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0125" windowHeight="7260" tabRatio="876" firstSheet="1" activeTab="6"/>
  </bookViews>
  <sheets>
    <sheet name="Допущения" sheetId="1" r:id="rId1"/>
    <sheet name="Расчет" sheetId="2" r:id="rId2"/>
    <sheet name="Отчетность" sheetId="3" r:id="rId3"/>
    <sheet name="Годовая отчетность" sheetId="6" r:id="rId4"/>
    <sheet name="Оценка" sheetId="4" r:id="rId5"/>
    <sheet name="Анализ чувствительности" sheetId="5" r:id="rId6"/>
    <sheet name="Сценарный анализ" sheetId="8" r:id="rId7"/>
    <sheet name="Цвета" sheetId="7" r:id="rId8"/>
  </sheets>
  <calcPr calcId="125725"/>
</workbook>
</file>

<file path=xl/calcChain.xml><?xml version="1.0" encoding="utf-8"?>
<calcChain xmlns="http://schemas.openxmlformats.org/spreadsheetml/2006/main">
  <c r="A58" i="8"/>
  <c r="D29" s="1"/>
  <c r="H21"/>
  <c r="I21" s="1"/>
  <c r="J21" s="1"/>
  <c r="K21" s="1"/>
  <c r="L21" s="1"/>
  <c r="M21" s="1"/>
  <c r="N21" s="1"/>
  <c r="O21" s="1"/>
  <c r="P21" s="1"/>
  <c r="Q21" s="1"/>
  <c r="R21" s="1"/>
  <c r="S21" s="1"/>
  <c r="T21" s="1"/>
  <c r="U21" s="1"/>
  <c r="G21"/>
  <c r="H14"/>
  <c r="I14"/>
  <c r="J14" s="1"/>
  <c r="K14" s="1"/>
  <c r="L14" s="1"/>
  <c r="M14" s="1"/>
  <c r="N14" s="1"/>
  <c r="O14" s="1"/>
  <c r="P14" s="1"/>
  <c r="Q14" s="1"/>
  <c r="R14" s="1"/>
  <c r="S14" s="1"/>
  <c r="T14" s="1"/>
  <c r="U14" s="1"/>
  <c r="G14"/>
  <c r="G13"/>
  <c r="G8"/>
  <c r="H8"/>
  <c r="I8" s="1"/>
  <c r="J8" s="1"/>
  <c r="K8" s="1"/>
  <c r="L8" s="1"/>
  <c r="M8" s="1"/>
  <c r="N8" s="1"/>
  <c r="O8" s="1"/>
  <c r="P8" s="1"/>
  <c r="Q8" s="1"/>
  <c r="R8" s="1"/>
  <c r="S8" s="1"/>
  <c r="T8" s="1"/>
  <c r="U8" s="1"/>
  <c r="F8"/>
  <c r="C50"/>
  <c r="U36"/>
  <c r="F36"/>
  <c r="G20"/>
  <c r="H20" s="1"/>
  <c r="I20" s="1"/>
  <c r="J20" s="1"/>
  <c r="K20" s="1"/>
  <c r="L20" s="1"/>
  <c r="M20" s="1"/>
  <c r="N20" s="1"/>
  <c r="O20" s="1"/>
  <c r="P20" s="1"/>
  <c r="Q20" s="1"/>
  <c r="R20" s="1"/>
  <c r="S20" s="1"/>
  <c r="T20" s="1"/>
  <c r="U20" s="1"/>
  <c r="G19"/>
  <c r="H19" s="1"/>
  <c r="I19" s="1"/>
  <c r="J19" s="1"/>
  <c r="K19" s="1"/>
  <c r="L19" s="1"/>
  <c r="M19" s="1"/>
  <c r="N19" s="1"/>
  <c r="O19" s="1"/>
  <c r="P19" s="1"/>
  <c r="Q19" s="1"/>
  <c r="R19" s="1"/>
  <c r="S19" s="1"/>
  <c r="T19" s="1"/>
  <c r="U19" s="1"/>
  <c r="H13"/>
  <c r="I13" s="1"/>
  <c r="J13" s="1"/>
  <c r="K13" s="1"/>
  <c r="L13" s="1"/>
  <c r="M13" s="1"/>
  <c r="N13" s="1"/>
  <c r="O13" s="1"/>
  <c r="P13" s="1"/>
  <c r="Q13" s="1"/>
  <c r="R13" s="1"/>
  <c r="S13" s="1"/>
  <c r="T13" s="1"/>
  <c r="U13" s="1"/>
  <c r="G12"/>
  <c r="H12" s="1"/>
  <c r="I12" s="1"/>
  <c r="J12" s="1"/>
  <c r="K12" s="1"/>
  <c r="L12" s="1"/>
  <c r="M12" s="1"/>
  <c r="N12" s="1"/>
  <c r="O12" s="1"/>
  <c r="P12" s="1"/>
  <c r="Q12" s="1"/>
  <c r="R12" s="1"/>
  <c r="S12" s="1"/>
  <c r="T12" s="1"/>
  <c r="U12" s="1"/>
  <c r="G7"/>
  <c r="H7" s="1"/>
  <c r="F7"/>
  <c r="F6"/>
  <c r="G6" s="1"/>
  <c r="H6" s="1"/>
  <c r="I6" s="1"/>
  <c r="E3"/>
  <c r="E11" i="5"/>
  <c r="F11"/>
  <c r="G11"/>
  <c r="H11"/>
  <c r="I11"/>
  <c r="J11"/>
  <c r="K11"/>
  <c r="L11"/>
  <c r="M11"/>
  <c r="N11"/>
  <c r="O11"/>
  <c r="P11"/>
  <c r="D11"/>
  <c r="D10"/>
  <c r="E10"/>
  <c r="F10"/>
  <c r="G10"/>
  <c r="H10"/>
  <c r="I10"/>
  <c r="J10"/>
  <c r="K10"/>
  <c r="L10"/>
  <c r="M10"/>
  <c r="N10"/>
  <c r="E22" i="1"/>
  <c r="E21"/>
  <c r="C64" i="4"/>
  <c r="G15"/>
  <c r="H15"/>
  <c r="I15"/>
  <c r="J15"/>
  <c r="K15"/>
  <c r="L15"/>
  <c r="M15"/>
  <c r="N15"/>
  <c r="O15"/>
  <c r="P15"/>
  <c r="Q15"/>
  <c r="R15"/>
  <c r="S15"/>
  <c r="T15"/>
  <c r="U15"/>
  <c r="G28"/>
  <c r="H28" s="1"/>
  <c r="I28" s="1"/>
  <c r="J28" s="1"/>
  <c r="K28" s="1"/>
  <c r="L28" s="1"/>
  <c r="M28" s="1"/>
  <c r="N28" s="1"/>
  <c r="O28" s="1"/>
  <c r="P28" s="1"/>
  <c r="Q28" s="1"/>
  <c r="R28" s="1"/>
  <c r="S28" s="1"/>
  <c r="T28" s="1"/>
  <c r="U28" s="1"/>
  <c r="F28"/>
  <c r="F18" s="1"/>
  <c r="G18" s="1"/>
  <c r="I26" i="6"/>
  <c r="H26"/>
  <c r="G26"/>
  <c r="F26"/>
  <c r="I18"/>
  <c r="H18"/>
  <c r="G18"/>
  <c r="F18"/>
  <c r="G31" i="3"/>
  <c r="H31"/>
  <c r="I31"/>
  <c r="J31"/>
  <c r="K31"/>
  <c r="L31"/>
  <c r="M31"/>
  <c r="N31"/>
  <c r="O31"/>
  <c r="P31"/>
  <c r="Q31"/>
  <c r="R31"/>
  <c r="I30" i="6" s="1"/>
  <c r="S31" i="3"/>
  <c r="T31"/>
  <c r="U31"/>
  <c r="D84" i="2"/>
  <c r="D83"/>
  <c r="U94"/>
  <c r="Q9" i="8" l="1"/>
  <c r="R9"/>
  <c r="S9"/>
  <c r="T9"/>
  <c r="H16"/>
  <c r="H15" i="1" s="1"/>
  <c r="I16" i="8"/>
  <c r="I15" i="1" s="1"/>
  <c r="L16" i="8"/>
  <c r="L15" i="1" s="1"/>
  <c r="N16" i="8"/>
  <c r="N15" i="1" s="1"/>
  <c r="F9" i="8"/>
  <c r="F9" i="1" s="1"/>
  <c r="F10" s="1"/>
  <c r="L23" i="8"/>
  <c r="L16" i="1" s="1"/>
  <c r="G9" i="8"/>
  <c r="G9" i="1" s="1"/>
  <c r="N23" i="8"/>
  <c r="N16" i="1" s="1"/>
  <c r="H9" i="8"/>
  <c r="H9" i="1" s="1"/>
  <c r="O23" i="8"/>
  <c r="O16" i="1" s="1"/>
  <c r="I9" i="8"/>
  <c r="P23"/>
  <c r="P16" i="1" s="1"/>
  <c r="J9" i="8"/>
  <c r="O16"/>
  <c r="O15" i="1" s="1"/>
  <c r="S23" i="8"/>
  <c r="S16" i="1" s="1"/>
  <c r="F23" i="8"/>
  <c r="F16" i="1" s="1"/>
  <c r="K9" i="8"/>
  <c r="P16"/>
  <c r="P15" i="1" s="1"/>
  <c r="T23" i="8"/>
  <c r="T16" i="1" s="1"/>
  <c r="G23" i="8"/>
  <c r="G16" i="1" s="1"/>
  <c r="O9" i="8"/>
  <c r="Q16"/>
  <c r="Q15" i="1" s="1"/>
  <c r="F16" i="8"/>
  <c r="F15" i="1" s="1"/>
  <c r="J23" i="8"/>
  <c r="J16" i="1" s="1"/>
  <c r="P9" i="8"/>
  <c r="R16"/>
  <c r="R15" i="1" s="1"/>
  <c r="G16" i="8"/>
  <c r="G15" i="1" s="1"/>
  <c r="K23" i="8"/>
  <c r="K16" i="1" s="1"/>
  <c r="E9" i="8"/>
  <c r="E16"/>
  <c r="E15" i="1" s="1"/>
  <c r="L9" i="8"/>
  <c r="S16"/>
  <c r="S15" i="1" s="1"/>
  <c r="J16" i="8"/>
  <c r="J15" i="1" s="1"/>
  <c r="Q23" i="8"/>
  <c r="Q16" i="1" s="1"/>
  <c r="H23" i="8"/>
  <c r="H16" i="1" s="1"/>
  <c r="E23" i="8"/>
  <c r="E16" i="1" s="1"/>
  <c r="N9" i="8"/>
  <c r="T16"/>
  <c r="T15" i="1" s="1"/>
  <c r="K16" i="8"/>
  <c r="K15" i="1" s="1"/>
  <c r="R23" i="8"/>
  <c r="R16" i="1" s="1"/>
  <c r="I23" i="8"/>
  <c r="I16" i="1" s="1"/>
  <c r="U9" i="8"/>
  <c r="M9"/>
  <c r="U16"/>
  <c r="U15" i="1" s="1"/>
  <c r="M16" i="8"/>
  <c r="M15" i="1" s="1"/>
  <c r="U23" i="8"/>
  <c r="U16" i="1" s="1"/>
  <c r="M23" i="8"/>
  <c r="M16" i="1" s="1"/>
  <c r="E82"/>
  <c r="N97" i="2" s="1"/>
  <c r="N29" i="4" s="1"/>
  <c r="J6" i="8"/>
  <c r="I7"/>
  <c r="I9" i="1" s="1"/>
  <c r="B14" i="5"/>
  <c r="B13"/>
  <c r="H18" i="4"/>
  <c r="I18" s="1"/>
  <c r="J18" s="1"/>
  <c r="K18" s="1"/>
  <c r="L18" s="1"/>
  <c r="M18" s="1"/>
  <c r="N18" s="1"/>
  <c r="O18" s="1"/>
  <c r="P18" s="1"/>
  <c r="Q18" s="1"/>
  <c r="R18" s="1"/>
  <c r="S18" s="1"/>
  <c r="T18" s="1"/>
  <c r="U18" s="1"/>
  <c r="H30" i="6"/>
  <c r="G30"/>
  <c r="F77" i="2"/>
  <c r="F42" i="3" s="1"/>
  <c r="F107" i="2"/>
  <c r="F10" i="3" s="1"/>
  <c r="E123" i="2"/>
  <c r="E77"/>
  <c r="E75"/>
  <c r="E76"/>
  <c r="E47" i="3"/>
  <c r="E46" i="6" s="1"/>
  <c r="E48" i="3"/>
  <c r="E47" i="6" s="1"/>
  <c r="E49" i="3"/>
  <c r="E48" i="6" s="1"/>
  <c r="E46" i="3"/>
  <c r="E45" i="6" s="1"/>
  <c r="E41" i="3"/>
  <c r="E40" i="6" s="1"/>
  <c r="E42" i="3"/>
  <c r="E41" i="6" s="1"/>
  <c r="E43" i="3"/>
  <c r="E42" i="6" s="1"/>
  <c r="E44" i="3"/>
  <c r="E43" i="6" s="1"/>
  <c r="E40" i="3"/>
  <c r="E39" i="6" s="1"/>
  <c r="U104" i="2"/>
  <c r="G104"/>
  <c r="H104"/>
  <c r="I104"/>
  <c r="J104"/>
  <c r="K104"/>
  <c r="L104"/>
  <c r="M104"/>
  <c r="N104"/>
  <c r="O104"/>
  <c r="P104"/>
  <c r="Q104"/>
  <c r="R104"/>
  <c r="S104"/>
  <c r="T104"/>
  <c r="G86"/>
  <c r="G33" i="3" s="1"/>
  <c r="H86" i="2"/>
  <c r="H33" i="3" s="1"/>
  <c r="I86" i="2"/>
  <c r="I33" i="3" s="1"/>
  <c r="J86" i="2"/>
  <c r="J33" i="3" s="1"/>
  <c r="K86" i="2"/>
  <c r="K33" i="3" s="1"/>
  <c r="L86" i="2"/>
  <c r="L33" i="3" s="1"/>
  <c r="M86" i="2"/>
  <c r="M33" i="3" s="1"/>
  <c r="N86" i="2"/>
  <c r="N33" i="3" s="1"/>
  <c r="O86" i="2"/>
  <c r="O33" i="3" s="1"/>
  <c r="P86" i="2"/>
  <c r="P33" i="3" s="1"/>
  <c r="Q86" i="2"/>
  <c r="Q33" i="3" s="1"/>
  <c r="R86" i="2"/>
  <c r="R33" i="3" s="1"/>
  <c r="S86" i="2"/>
  <c r="S33" i="3" s="1"/>
  <c r="T86" i="2"/>
  <c r="T33" i="3" s="1"/>
  <c r="U86" i="2"/>
  <c r="U33" i="3" s="1"/>
  <c r="F86" i="2"/>
  <c r="E80"/>
  <c r="G97" l="1"/>
  <c r="G29" i="4" s="1"/>
  <c r="H97" i="2"/>
  <c r="H29" i="4" s="1"/>
  <c r="Q97" i="2"/>
  <c r="Q29" i="4" s="1"/>
  <c r="O97" i="2"/>
  <c r="O29" i="4" s="1"/>
  <c r="T97" i="2"/>
  <c r="T29" i="4" s="1"/>
  <c r="E83" i="1"/>
  <c r="L97" i="2"/>
  <c r="L29" i="4" s="1"/>
  <c r="R97" i="2"/>
  <c r="R29" i="4" s="1"/>
  <c r="P97" i="2"/>
  <c r="P29" i="4" s="1"/>
  <c r="J97" i="2"/>
  <c r="J29" i="4" s="1"/>
  <c r="U97" i="2"/>
  <c r="U29" i="4" s="1"/>
  <c r="I97" i="2"/>
  <c r="I29" i="4" s="1"/>
  <c r="M97" i="2"/>
  <c r="M29" i="4" s="1"/>
  <c r="S97" i="2"/>
  <c r="S29" i="4" s="1"/>
  <c r="F97" i="2"/>
  <c r="F29" i="4" s="1"/>
  <c r="K97" i="2"/>
  <c r="K29" i="4" s="1"/>
  <c r="I32" i="6"/>
  <c r="G32"/>
  <c r="K6" i="8"/>
  <c r="J7"/>
  <c r="J9" i="1" s="1"/>
  <c r="H32" i="6"/>
  <c r="E81" i="2"/>
  <c r="F83"/>
  <c r="E50" i="3"/>
  <c r="E49" i="6" s="1"/>
  <c r="F33" i="3"/>
  <c r="F23"/>
  <c r="E45"/>
  <c r="E44" i="6" s="1"/>
  <c r="F84" i="2"/>
  <c r="F89" s="1"/>
  <c r="F8" i="3" s="1"/>
  <c r="L6" i="8" l="1"/>
  <c r="K7"/>
  <c r="K9" i="1" s="1"/>
  <c r="F46" i="3"/>
  <c r="G46" s="1"/>
  <c r="H46" s="1"/>
  <c r="I46" s="1"/>
  <c r="F32" i="6"/>
  <c r="E50"/>
  <c r="F18" i="3"/>
  <c r="F87" i="2"/>
  <c r="F88" s="1"/>
  <c r="F28" i="3" s="1"/>
  <c r="F81" i="2"/>
  <c r="F90" s="1"/>
  <c r="F40" i="3" s="1"/>
  <c r="F80" i="2"/>
  <c r="G83" s="1"/>
  <c r="E51" i="3"/>
  <c r="M6" i="8" l="1"/>
  <c r="L7"/>
  <c r="L9" i="1" s="1"/>
  <c r="J46" i="3"/>
  <c r="K46" s="1"/>
  <c r="L46" s="1"/>
  <c r="M46" s="1"/>
  <c r="F45" i="6"/>
  <c r="G84" i="2"/>
  <c r="G89" s="1"/>
  <c r="G8" i="3" s="1"/>
  <c r="G87" i="2"/>
  <c r="G88" s="1"/>
  <c r="F29" i="3"/>
  <c r="F7" i="4" s="1"/>
  <c r="F14" s="1"/>
  <c r="N6" i="8" l="1"/>
  <c r="M7"/>
  <c r="M9" i="1" s="1"/>
  <c r="N46" i="3"/>
  <c r="O46" s="1"/>
  <c r="P46" s="1"/>
  <c r="Q46" s="1"/>
  <c r="G45" i="6"/>
  <c r="G18" i="3"/>
  <c r="G28"/>
  <c r="G81" i="2"/>
  <c r="G90" s="1"/>
  <c r="G40" i="3" s="1"/>
  <c r="G80" i="2"/>
  <c r="H83" s="1"/>
  <c r="O6" i="8" l="1"/>
  <c r="N7"/>
  <c r="N9" i="1" s="1"/>
  <c r="R46" i="3"/>
  <c r="S46" s="1"/>
  <c r="T46" s="1"/>
  <c r="U46" s="1"/>
  <c r="I45" i="6" s="1"/>
  <c r="H45"/>
  <c r="G29" i="3"/>
  <c r="G7" i="4" s="1"/>
  <c r="G14" s="1"/>
  <c r="H87" i="2"/>
  <c r="H88" s="1"/>
  <c r="H28" i="3" s="1"/>
  <c r="H29" s="1"/>
  <c r="H7" i="4" s="1"/>
  <c r="H14" s="1"/>
  <c r="H80" i="2"/>
  <c r="I83" s="1"/>
  <c r="H84"/>
  <c r="H89" s="1"/>
  <c r="H8" i="3" s="1"/>
  <c r="P6" i="8" l="1"/>
  <c r="O7"/>
  <c r="O9" i="1" s="1"/>
  <c r="H18" i="3"/>
  <c r="F17" i="6" s="1"/>
  <c r="F7"/>
  <c r="H81" i="2"/>
  <c r="H90" s="1"/>
  <c r="H40" i="3" s="1"/>
  <c r="I84" i="2"/>
  <c r="I89" s="1"/>
  <c r="I8" i="3" s="1"/>
  <c r="I18" s="1"/>
  <c r="I80" i="2"/>
  <c r="J83" s="1"/>
  <c r="Q6" i="8" l="1"/>
  <c r="P7"/>
  <c r="P9" i="1" s="1"/>
  <c r="I87" i="2"/>
  <c r="I88" s="1"/>
  <c r="I81"/>
  <c r="I90" s="1"/>
  <c r="I40" i="3" s="1"/>
  <c r="F39" i="6" s="1"/>
  <c r="J87" i="2"/>
  <c r="J88" s="1"/>
  <c r="J84"/>
  <c r="R6" i="8" l="1"/>
  <c r="Q7"/>
  <c r="Q9" i="1" s="1"/>
  <c r="I28" i="3"/>
  <c r="J28"/>
  <c r="J81" i="2"/>
  <c r="J89"/>
  <c r="J8" i="3" s="1"/>
  <c r="J80" i="2"/>
  <c r="K83" s="1"/>
  <c r="S6" i="8" l="1"/>
  <c r="R7"/>
  <c r="R9" i="1" s="1"/>
  <c r="J29" i="3"/>
  <c r="J7" i="4" s="1"/>
  <c r="J14" s="1"/>
  <c r="I29" i="3"/>
  <c r="F27" i="6"/>
  <c r="J18" i="3"/>
  <c r="J90" i="2"/>
  <c r="J40" i="3" s="1"/>
  <c r="K84" i="2"/>
  <c r="K89" s="1"/>
  <c r="K8" i="3" s="1"/>
  <c r="K18" s="1"/>
  <c r="F28" i="6" l="1"/>
  <c r="I7" i="4"/>
  <c r="I14" s="1"/>
  <c r="T6" i="8"/>
  <c r="S7"/>
  <c r="S9" i="1" s="1"/>
  <c r="K81" i="2"/>
  <c r="K80"/>
  <c r="L83" s="1"/>
  <c r="K87"/>
  <c r="K88" s="1"/>
  <c r="U6" i="8" l="1"/>
  <c r="T7"/>
  <c r="T9" i="1" s="1"/>
  <c r="K28" i="3"/>
  <c r="L84" i="2"/>
  <c r="L89" s="1"/>
  <c r="L8" i="3" s="1"/>
  <c r="K90" i="2"/>
  <c r="K40" i="3" s="1"/>
  <c r="U7" i="8" l="1"/>
  <c r="U9" i="1" s="1"/>
  <c r="K29" i="3"/>
  <c r="K7" i="4" s="1"/>
  <c r="K14" s="1"/>
  <c r="L18" i="3"/>
  <c r="L81" i="2"/>
  <c r="L90" s="1"/>
  <c r="L40" i="3" s="1"/>
  <c r="L80" i="2"/>
  <c r="M83" s="1"/>
  <c r="L87"/>
  <c r="L88" s="1"/>
  <c r="L28" i="3" l="1"/>
  <c r="M84" i="2"/>
  <c r="M89" s="1"/>
  <c r="M8" i="3" s="1"/>
  <c r="L29" l="1"/>
  <c r="L7" i="4" s="1"/>
  <c r="L14" s="1"/>
  <c r="M18" i="3"/>
  <c r="G17" i="6" s="1"/>
  <c r="G7"/>
  <c r="M80" i="2"/>
  <c r="N83" s="1"/>
  <c r="M87"/>
  <c r="M88" s="1"/>
  <c r="M81"/>
  <c r="M28" i="3" l="1"/>
  <c r="N84" i="2"/>
  <c r="N89" s="1"/>
  <c r="N8" i="3" s="1"/>
  <c r="M90" i="2"/>
  <c r="M40" i="3" s="1"/>
  <c r="G39" i="6" s="1"/>
  <c r="M29" i="3" l="1"/>
  <c r="M7" i="4" s="1"/>
  <c r="M14" s="1"/>
  <c r="G27" i="6"/>
  <c r="N18" i="3"/>
  <c r="N80" i="2"/>
  <c r="O83" s="1"/>
  <c r="N87"/>
  <c r="N88" s="1"/>
  <c r="N81"/>
  <c r="N28" i="3" l="1"/>
  <c r="O84" i="2"/>
  <c r="O89" s="1"/>
  <c r="O8" i="3" s="1"/>
  <c r="N90" i="2"/>
  <c r="N40" i="3" s="1"/>
  <c r="N29" l="1"/>
  <c r="N7" i="4" s="1"/>
  <c r="N14" s="1"/>
  <c r="O18" i="3"/>
  <c r="O80" i="2"/>
  <c r="P83" s="1"/>
  <c r="O87"/>
  <c r="O88" s="1"/>
  <c r="O81"/>
  <c r="E47" i="1"/>
  <c r="E46"/>
  <c r="F6" i="2"/>
  <c r="F5"/>
  <c r="O28" i="3" l="1"/>
  <c r="P84" i="2"/>
  <c r="P89" s="1"/>
  <c r="P8" i="3" s="1"/>
  <c r="O90" i="2"/>
  <c r="O40" i="3" s="1"/>
  <c r="O29" l="1"/>
  <c r="O7" i="4" s="1"/>
  <c r="O14" s="1"/>
  <c r="P18" i="3"/>
  <c r="P80" i="2"/>
  <c r="Q83" s="1"/>
  <c r="P87"/>
  <c r="P88" s="1"/>
  <c r="P81"/>
  <c r="P28" i="3" l="1"/>
  <c r="P90" i="2"/>
  <c r="P40" i="3" s="1"/>
  <c r="Q87" i="2"/>
  <c r="Q88" s="1"/>
  <c r="Q84"/>
  <c r="Q89" s="1"/>
  <c r="Q8" i="3" s="1"/>
  <c r="P29" l="1"/>
  <c r="H27" i="6"/>
  <c r="Q18" i="3"/>
  <c r="H7" i="6"/>
  <c r="Q28" i="3"/>
  <c r="Q29" s="1"/>
  <c r="Q7" i="4" s="1"/>
  <c r="Q14" s="1"/>
  <c r="Q80" i="2"/>
  <c r="R83" s="1"/>
  <c r="Q81"/>
  <c r="F63" i="1"/>
  <c r="F59"/>
  <c r="F33"/>
  <c r="F34"/>
  <c r="C97"/>
  <c r="C102"/>
  <c r="F84"/>
  <c r="E85" s="1"/>
  <c r="F77"/>
  <c r="G77" s="1"/>
  <c r="H77" s="1"/>
  <c r="I77" s="1"/>
  <c r="J77" s="1"/>
  <c r="K77" s="1"/>
  <c r="L77" s="1"/>
  <c r="M77" s="1"/>
  <c r="N77" s="1"/>
  <c r="O77" s="1"/>
  <c r="P77" s="1"/>
  <c r="Q77" s="1"/>
  <c r="R77" s="1"/>
  <c r="S77" s="1"/>
  <c r="T77" s="1"/>
  <c r="U77" s="1"/>
  <c r="F76"/>
  <c r="F6" i="4" s="1"/>
  <c r="F67" i="1"/>
  <c r="F68"/>
  <c r="F73" i="2" s="1"/>
  <c r="F66" i="1"/>
  <c r="F53"/>
  <c r="E52"/>
  <c r="E45"/>
  <c r="E44"/>
  <c r="F11"/>
  <c r="F41"/>
  <c r="G41" s="1"/>
  <c r="H41" s="1"/>
  <c r="I41" s="1"/>
  <c r="J41" s="1"/>
  <c r="K41" s="1"/>
  <c r="L41" s="1"/>
  <c r="M41" s="1"/>
  <c r="N41" s="1"/>
  <c r="O41" s="1"/>
  <c r="P41" s="1"/>
  <c r="Q41" s="1"/>
  <c r="R41" s="1"/>
  <c r="S41" s="1"/>
  <c r="T41" s="1"/>
  <c r="U41" s="1"/>
  <c r="F40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F26"/>
  <c r="F27"/>
  <c r="F28"/>
  <c r="F29"/>
  <c r="F30"/>
  <c r="F25"/>
  <c r="G10"/>
  <c r="H10"/>
  <c r="I10"/>
  <c r="J10"/>
  <c r="K10"/>
  <c r="L10"/>
  <c r="M10"/>
  <c r="N10"/>
  <c r="O10"/>
  <c r="P10"/>
  <c r="Q10"/>
  <c r="R10"/>
  <c r="S10"/>
  <c r="T10"/>
  <c r="U10"/>
  <c r="G8"/>
  <c r="H8"/>
  <c r="I8"/>
  <c r="J8"/>
  <c r="K8"/>
  <c r="L8"/>
  <c r="M8"/>
  <c r="N8"/>
  <c r="O8"/>
  <c r="P8"/>
  <c r="Q8"/>
  <c r="R8"/>
  <c r="S8"/>
  <c r="T8"/>
  <c r="U8"/>
  <c r="F8"/>
  <c r="F42" s="1"/>
  <c r="J6"/>
  <c r="N6"/>
  <c r="O6"/>
  <c r="P6"/>
  <c r="Q6"/>
  <c r="R6"/>
  <c r="S6"/>
  <c r="T6"/>
  <c r="U6"/>
  <c r="F6"/>
  <c r="F22" s="1"/>
  <c r="F9" i="2" s="1"/>
  <c r="F13" s="1"/>
  <c r="K5" i="1"/>
  <c r="K6" s="1"/>
  <c r="G5"/>
  <c r="H5" s="1"/>
  <c r="I5" s="1"/>
  <c r="I6" s="1"/>
  <c r="H28" i="6" l="1"/>
  <c r="P7" i="4"/>
  <c r="P14" s="1"/>
  <c r="G11" i="1"/>
  <c r="F3" i="8"/>
  <c r="K96" i="2"/>
  <c r="S96"/>
  <c r="I96"/>
  <c r="P96"/>
  <c r="G96"/>
  <c r="U96"/>
  <c r="T96"/>
  <c r="J96"/>
  <c r="R96"/>
  <c r="Q96"/>
  <c r="H96"/>
  <c r="O96"/>
  <c r="N96"/>
  <c r="M96"/>
  <c r="L96"/>
  <c r="G84" i="1"/>
  <c r="G94" i="2" s="1"/>
  <c r="H98" s="1"/>
  <c r="F94"/>
  <c r="F104" s="1"/>
  <c r="F31" i="3" s="1"/>
  <c r="G76" i="1"/>
  <c r="F116" i="2"/>
  <c r="F120" s="1"/>
  <c r="H121" s="1"/>
  <c r="G33" i="1"/>
  <c r="F21" i="2"/>
  <c r="G29" i="1"/>
  <c r="G57" s="1"/>
  <c r="F24" i="2"/>
  <c r="G30" i="1"/>
  <c r="G58" s="1"/>
  <c r="F39" i="2"/>
  <c r="G6"/>
  <c r="G67" i="1"/>
  <c r="F71" i="2"/>
  <c r="G34" i="1"/>
  <c r="F36" i="2"/>
  <c r="G5"/>
  <c r="G68" i="1"/>
  <c r="G42"/>
  <c r="G46" s="1"/>
  <c r="G25" i="2" s="1"/>
  <c r="G40" s="1"/>
  <c r="F46" i="1"/>
  <c r="F25" i="2" s="1"/>
  <c r="F40" s="1"/>
  <c r="G26" i="1"/>
  <c r="F33" i="2"/>
  <c r="G66" i="1"/>
  <c r="F72" i="2"/>
  <c r="G27" i="1"/>
  <c r="F27" i="2"/>
  <c r="G53" i="1"/>
  <c r="F55" i="2"/>
  <c r="G25" i="1"/>
  <c r="F18" i="2"/>
  <c r="G28" i="1"/>
  <c r="G62" s="1"/>
  <c r="F42" i="2"/>
  <c r="Q90"/>
  <c r="Q40" i="3" s="1"/>
  <c r="H39" i="6" s="1"/>
  <c r="R84" i="2"/>
  <c r="R89" s="1"/>
  <c r="R8" i="3" s="1"/>
  <c r="F38" i="1"/>
  <c r="F31"/>
  <c r="F30" i="2" s="1"/>
  <c r="F51" i="1"/>
  <c r="G51" s="1"/>
  <c r="H51" s="1"/>
  <c r="I51" s="1"/>
  <c r="J51" s="1"/>
  <c r="K51" s="1"/>
  <c r="L51" s="1"/>
  <c r="M51" s="1"/>
  <c r="N51" s="1"/>
  <c r="O51" s="1"/>
  <c r="P51" s="1"/>
  <c r="Q51" s="1"/>
  <c r="R51" s="1"/>
  <c r="S51" s="1"/>
  <c r="T51" s="1"/>
  <c r="U51" s="1"/>
  <c r="F32"/>
  <c r="F45" i="2" s="1"/>
  <c r="F37" i="1"/>
  <c r="C103"/>
  <c r="L5"/>
  <c r="M5" s="1"/>
  <c r="M6" s="1"/>
  <c r="F52"/>
  <c r="F110" i="2" s="1"/>
  <c r="F43" i="1"/>
  <c r="F47" s="1"/>
  <c r="F28" i="2" s="1"/>
  <c r="F43" s="1"/>
  <c r="F50" i="1"/>
  <c r="F54" i="2" s="1"/>
  <c r="H42" i="1"/>
  <c r="H46" s="1"/>
  <c r="H25" i="2" s="1"/>
  <c r="H40" s="1"/>
  <c r="G44" i="1"/>
  <c r="F44"/>
  <c r="G6"/>
  <c r="G22" s="1"/>
  <c r="G9" i="2" s="1"/>
  <c r="F21" i="1"/>
  <c r="F8" i="2" s="1"/>
  <c r="F12" s="1"/>
  <c r="F15" s="1"/>
  <c r="F39" i="1"/>
  <c r="F22" i="2" s="1"/>
  <c r="F37" s="1"/>
  <c r="H6" i="1"/>
  <c r="F30" i="6" l="1"/>
  <c r="F15" i="4"/>
  <c r="H11" i="1"/>
  <c r="G3" i="8"/>
  <c r="R18" i="3"/>
  <c r="H99" i="2"/>
  <c r="H105" s="1"/>
  <c r="G98"/>
  <c r="G99" s="1"/>
  <c r="G105" s="1"/>
  <c r="F99"/>
  <c r="F105" s="1"/>
  <c r="F32" i="3" s="1"/>
  <c r="F44" i="2"/>
  <c r="H76" i="1"/>
  <c r="G116" i="2"/>
  <c r="G120" s="1"/>
  <c r="I121" s="1"/>
  <c r="R81"/>
  <c r="R90" s="1"/>
  <c r="R40" i="3" s="1"/>
  <c r="F111" i="2"/>
  <c r="F38"/>
  <c r="G13"/>
  <c r="F41"/>
  <c r="F4" i="3"/>
  <c r="F118" i="2"/>
  <c r="H28" i="1"/>
  <c r="G42" i="2"/>
  <c r="H66" i="1"/>
  <c r="G72" i="2"/>
  <c r="H5"/>
  <c r="H30" i="1"/>
  <c r="G39" i="2"/>
  <c r="G41" s="1"/>
  <c r="H27" i="1"/>
  <c r="G27" i="2"/>
  <c r="H68" i="1"/>
  <c r="G73" i="2"/>
  <c r="H6"/>
  <c r="G37" i="1"/>
  <c r="F19" i="2"/>
  <c r="F20" s="1"/>
  <c r="F101"/>
  <c r="F48" i="3" s="1"/>
  <c r="F29" i="2"/>
  <c r="H53" i="1"/>
  <c r="G55" i="2"/>
  <c r="H67" i="1"/>
  <c r="G71" i="2"/>
  <c r="H33" i="1"/>
  <c r="G21" i="2"/>
  <c r="F23"/>
  <c r="G52" i="1"/>
  <c r="G110" i="2" s="1"/>
  <c r="F56"/>
  <c r="F57" s="1"/>
  <c r="F58" s="1"/>
  <c r="G38" i="1"/>
  <c r="F34" i="2"/>
  <c r="F35" s="1"/>
  <c r="F67" s="1"/>
  <c r="F66" s="1"/>
  <c r="H25" i="1"/>
  <c r="G18" i="2"/>
  <c r="H26" i="1"/>
  <c r="G33" i="2"/>
  <c r="H34" i="1"/>
  <c r="G36" i="2"/>
  <c r="H29" i="1"/>
  <c r="G24" i="2"/>
  <c r="G26" s="1"/>
  <c r="H84" i="1"/>
  <c r="H94" i="2" s="1"/>
  <c r="I98" s="1"/>
  <c r="G61" i="1"/>
  <c r="G63" s="1"/>
  <c r="F26" i="2"/>
  <c r="R80"/>
  <c r="S83" s="1"/>
  <c r="R87"/>
  <c r="R88" s="1"/>
  <c r="G59" i="1"/>
  <c r="G31"/>
  <c r="L6"/>
  <c r="G32"/>
  <c r="F45"/>
  <c r="G43"/>
  <c r="G47" s="1"/>
  <c r="G28" i="2" s="1"/>
  <c r="G43" s="1"/>
  <c r="G50" i="1"/>
  <c r="I42"/>
  <c r="I46" s="1"/>
  <c r="I25" i="2" s="1"/>
  <c r="I40" s="1"/>
  <c r="H44" i="1"/>
  <c r="G21"/>
  <c r="G39"/>
  <c r="H22"/>
  <c r="F34" i="3" l="1"/>
  <c r="F16" i="4"/>
  <c r="F55" i="3"/>
  <c r="F23" i="4"/>
  <c r="I11" i="1"/>
  <c r="H3" i="8"/>
  <c r="F60" i="2"/>
  <c r="I99"/>
  <c r="I105" s="1"/>
  <c r="I32" i="3" s="1"/>
  <c r="I16" i="4" s="1"/>
  <c r="I107" i="2"/>
  <c r="I76" i="1"/>
  <c r="H116" i="2"/>
  <c r="H120" s="1"/>
  <c r="J121" s="1"/>
  <c r="G111"/>
  <c r="F6" i="3"/>
  <c r="F112" i="2"/>
  <c r="F113" s="1"/>
  <c r="R28" i="3"/>
  <c r="F64" i="2"/>
  <c r="F63" s="1"/>
  <c r="F69" s="1"/>
  <c r="F31"/>
  <c r="F48" s="1"/>
  <c r="I28" i="1"/>
  <c r="I62" s="1"/>
  <c r="H42" i="2"/>
  <c r="H62" i="1"/>
  <c r="I29"/>
  <c r="I57" s="1"/>
  <c r="H24" i="2"/>
  <c r="H26" s="1"/>
  <c r="H57" i="1"/>
  <c r="H38"/>
  <c r="G34" i="2"/>
  <c r="G35" s="1"/>
  <c r="G67" s="1"/>
  <c r="G66" s="1"/>
  <c r="I67" i="1"/>
  <c r="H71" i="2"/>
  <c r="H37" i="1"/>
  <c r="G19" i="2"/>
  <c r="G20" s="1"/>
  <c r="F46"/>
  <c r="F49" s="1"/>
  <c r="G44"/>
  <c r="H31" i="1"/>
  <c r="G30" i="2"/>
  <c r="I27" i="1"/>
  <c r="H27" i="2"/>
  <c r="I66" i="1"/>
  <c r="H72" i="2"/>
  <c r="H39" i="1"/>
  <c r="G22" i="2"/>
  <c r="G37" s="1"/>
  <c r="G38" s="1"/>
  <c r="I25" i="1"/>
  <c r="H18" i="2"/>
  <c r="I33" i="1"/>
  <c r="H21" i="2"/>
  <c r="G29"/>
  <c r="I84" i="1"/>
  <c r="I94" i="2" s="1"/>
  <c r="J98" s="1"/>
  <c r="I68" i="1"/>
  <c r="H73" i="2"/>
  <c r="I5"/>
  <c r="I26" i="1"/>
  <c r="H33" i="2"/>
  <c r="H32" i="1"/>
  <c r="G45" i="2"/>
  <c r="I6"/>
  <c r="I30" i="1"/>
  <c r="I58" s="1"/>
  <c r="H39" i="2"/>
  <c r="H41" s="1"/>
  <c r="H58" i="1"/>
  <c r="H61"/>
  <c r="H50"/>
  <c r="G54" i="2"/>
  <c r="I34" i="1"/>
  <c r="H36" i="2"/>
  <c r="H52" i="1"/>
  <c r="H110" i="2" s="1"/>
  <c r="G56"/>
  <c r="G57" s="1"/>
  <c r="I53" i="1"/>
  <c r="H55" i="2"/>
  <c r="S84"/>
  <c r="S89" s="1"/>
  <c r="S8" i="3" s="1"/>
  <c r="I22" i="1"/>
  <c r="H9" i="2"/>
  <c r="H13" s="1"/>
  <c r="H21" i="1"/>
  <c r="G8" i="2"/>
  <c r="G12" s="1"/>
  <c r="G15" s="1"/>
  <c r="H43" i="1"/>
  <c r="H47" s="1"/>
  <c r="H28" i="2" s="1"/>
  <c r="H43" s="1"/>
  <c r="G45" i="1"/>
  <c r="J42"/>
  <c r="J46" s="1"/>
  <c r="J25" i="2" s="1"/>
  <c r="J40" s="1"/>
  <c r="I44" i="1"/>
  <c r="G58" i="2" l="1"/>
  <c r="G60" s="1"/>
  <c r="G6" i="3" s="1"/>
  <c r="J11" i="1"/>
  <c r="I3" i="8"/>
  <c r="R29" i="3"/>
  <c r="R7" i="4" s="1"/>
  <c r="R14" s="1"/>
  <c r="S18" i="3"/>
  <c r="I34"/>
  <c r="J99" i="2"/>
  <c r="J105" s="1"/>
  <c r="J32" i="3" s="1"/>
  <c r="J16" i="4" s="1"/>
  <c r="J107" i="2"/>
  <c r="H63" i="1"/>
  <c r="J76"/>
  <c r="I116" i="2"/>
  <c r="I120" s="1"/>
  <c r="K121" s="1"/>
  <c r="G112"/>
  <c r="G113" s="1"/>
  <c r="H59" i="1"/>
  <c r="F51" i="2"/>
  <c r="F115" s="1"/>
  <c r="F119" s="1"/>
  <c r="F122" s="1"/>
  <c r="F123" s="1"/>
  <c r="F43" i="3" s="1"/>
  <c r="F76" i="2"/>
  <c r="F41" i="3" s="1"/>
  <c r="F75" i="2"/>
  <c r="F49" i="3" s="1"/>
  <c r="G4"/>
  <c r="G118" i="2"/>
  <c r="I39" i="1"/>
  <c r="H22" i="2"/>
  <c r="H37" s="1"/>
  <c r="H38" s="1"/>
  <c r="J34" i="1"/>
  <c r="I36" i="2"/>
  <c r="J26" i="1"/>
  <c r="I33" i="2"/>
  <c r="J68" i="1"/>
  <c r="I73" i="2"/>
  <c r="J25" i="1"/>
  <c r="I18" i="2"/>
  <c r="J28" i="1"/>
  <c r="J62" s="1"/>
  <c r="I42" i="2"/>
  <c r="G23"/>
  <c r="G31" s="1"/>
  <c r="G48" s="1"/>
  <c r="G64"/>
  <c r="G63" s="1"/>
  <c r="G69" s="1"/>
  <c r="G77" s="1"/>
  <c r="G42" i="3" s="1"/>
  <c r="J30" i="1"/>
  <c r="I39" i="2"/>
  <c r="I41" s="1"/>
  <c r="J27" i="1"/>
  <c r="J61" s="1"/>
  <c r="I27" i="2"/>
  <c r="J67" i="1"/>
  <c r="I71" i="2"/>
  <c r="G46"/>
  <c r="G49" s="1"/>
  <c r="H44"/>
  <c r="J33" i="1"/>
  <c r="I21" i="2"/>
  <c r="H29"/>
  <c r="I50" i="1"/>
  <c r="H54" i="2"/>
  <c r="I38" i="1"/>
  <c r="H34" i="2"/>
  <c r="H35" s="1"/>
  <c r="I32" i="1"/>
  <c r="H45" i="2"/>
  <c r="J66" i="1"/>
  <c r="I72" i="2"/>
  <c r="I37" i="1"/>
  <c r="H19" i="2"/>
  <c r="H20" s="1"/>
  <c r="J53" i="1"/>
  <c r="I55" i="2"/>
  <c r="J29" i="1"/>
  <c r="J57" s="1"/>
  <c r="I24" i="2"/>
  <c r="I26" s="1"/>
  <c r="I59" i="1"/>
  <c r="J84"/>
  <c r="J94" i="2" s="1"/>
  <c r="K98" s="1"/>
  <c r="I31" i="1"/>
  <c r="H30" i="2"/>
  <c r="I52" i="1"/>
  <c r="I110" i="2" s="1"/>
  <c r="H56"/>
  <c r="H57" s="1"/>
  <c r="J5"/>
  <c r="J6"/>
  <c r="I61" i="1"/>
  <c r="I63" s="1"/>
  <c r="S80" i="2"/>
  <c r="T83" s="1"/>
  <c r="S87"/>
  <c r="S88" s="1"/>
  <c r="S81"/>
  <c r="J22" i="1"/>
  <c r="I9" i="2"/>
  <c r="I13" s="1"/>
  <c r="I21" i="1"/>
  <c r="H8" i="2"/>
  <c r="H12" s="1"/>
  <c r="H15" s="1"/>
  <c r="I43" i="1"/>
  <c r="I47" s="1"/>
  <c r="I28" i="2" s="1"/>
  <c r="I43" s="1"/>
  <c r="H45" i="1"/>
  <c r="K42"/>
  <c r="K46" s="1"/>
  <c r="K25" i="2" s="1"/>
  <c r="K40" s="1"/>
  <c r="J44" i="1"/>
  <c r="H60" i="2" l="1"/>
  <c r="H58"/>
  <c r="K11" i="1"/>
  <c r="J3" i="8"/>
  <c r="J34" i="3"/>
  <c r="K99" i="2"/>
  <c r="K105" s="1"/>
  <c r="K32" i="3" s="1"/>
  <c r="K16" i="4" s="1"/>
  <c r="K107" i="2"/>
  <c r="I44"/>
  <c r="F22" i="3"/>
  <c r="K76" i="1"/>
  <c r="J116" i="2"/>
  <c r="J120" s="1"/>
  <c r="L121" s="1"/>
  <c r="H112"/>
  <c r="F5" i="3"/>
  <c r="H111" i="2"/>
  <c r="H23"/>
  <c r="H31" s="1"/>
  <c r="H48" s="1"/>
  <c r="I111"/>
  <c r="F24" i="3"/>
  <c r="S28"/>
  <c r="G23"/>
  <c r="H4"/>
  <c r="H118" i="2"/>
  <c r="J32" i="1"/>
  <c r="I45" i="2"/>
  <c r="G75"/>
  <c r="G49" i="3" s="1"/>
  <c r="G76" i="2"/>
  <c r="G41" i="3" s="1"/>
  <c r="J39" i="1"/>
  <c r="I22" i="2"/>
  <c r="I37" s="1"/>
  <c r="I38" s="1"/>
  <c r="K68" i="1"/>
  <c r="J73" i="2"/>
  <c r="G51"/>
  <c r="K66" i="1"/>
  <c r="J72" i="2"/>
  <c r="H67"/>
  <c r="H66" s="1"/>
  <c r="H46"/>
  <c r="H49" s="1"/>
  <c r="K30" i="1"/>
  <c r="J39" i="2"/>
  <c r="J41" s="1"/>
  <c r="K84" i="1"/>
  <c r="K94" i="2" s="1"/>
  <c r="L98" s="1"/>
  <c r="K53" i="1"/>
  <c r="J55" i="2"/>
  <c r="K25" i="1"/>
  <c r="J18" i="2"/>
  <c r="J37" i="1"/>
  <c r="I19" i="2"/>
  <c r="I20" s="1"/>
  <c r="J50" i="1"/>
  <c r="I54" i="2"/>
  <c r="H64"/>
  <c r="H63" s="1"/>
  <c r="K27" i="1"/>
  <c r="J27" i="2"/>
  <c r="F21" i="3"/>
  <c r="J63" i="1"/>
  <c r="K5" i="2"/>
  <c r="K6"/>
  <c r="J31" i="1"/>
  <c r="I30" i="2"/>
  <c r="K29" i="1"/>
  <c r="J24" i="2"/>
  <c r="J26" s="1"/>
  <c r="K28" i="1"/>
  <c r="J42" i="2"/>
  <c r="K34" i="1"/>
  <c r="J36" i="2"/>
  <c r="I29"/>
  <c r="J38" i="1"/>
  <c r="I34" i="2"/>
  <c r="I35" s="1"/>
  <c r="K33" i="1"/>
  <c r="J21" i="2"/>
  <c r="K67" i="1"/>
  <c r="J71" i="2"/>
  <c r="J52" i="1"/>
  <c r="J110" i="2" s="1"/>
  <c r="I56"/>
  <c r="I57" s="1"/>
  <c r="K26" i="1"/>
  <c r="J33" i="2"/>
  <c r="J58" i="1"/>
  <c r="J59" s="1"/>
  <c r="T84" i="2"/>
  <c r="T89" s="1"/>
  <c r="T8" i="3" s="1"/>
  <c r="S90" i="2"/>
  <c r="S40" i="3" s="1"/>
  <c r="K22" i="1"/>
  <c r="J9" i="2"/>
  <c r="J13" s="1"/>
  <c r="J21" i="1"/>
  <c r="I8" i="2"/>
  <c r="I12" s="1"/>
  <c r="I15" s="1"/>
  <c r="J43" i="1"/>
  <c r="J47" s="1"/>
  <c r="J28" i="2" s="1"/>
  <c r="I45" i="1"/>
  <c r="L42"/>
  <c r="L46" s="1"/>
  <c r="L25" i="2" s="1"/>
  <c r="L40" s="1"/>
  <c r="K44" i="1"/>
  <c r="L11" l="1"/>
  <c r="K3" i="8"/>
  <c r="I58" i="2"/>
  <c r="I60" s="1"/>
  <c r="I6" i="3" s="1"/>
  <c r="S29"/>
  <c r="S7" i="4" s="1"/>
  <c r="S14" s="1"/>
  <c r="T18" i="3"/>
  <c r="F7"/>
  <c r="K34"/>
  <c r="L99" i="2"/>
  <c r="L105" s="1"/>
  <c r="L32" i="3" s="1"/>
  <c r="L16" i="4" s="1"/>
  <c r="L107" i="2"/>
  <c r="J111"/>
  <c r="H69"/>
  <c r="H76" s="1"/>
  <c r="H41" i="3" s="1"/>
  <c r="H6"/>
  <c r="L76" i="1"/>
  <c r="K116" i="2"/>
  <c r="K120" s="1"/>
  <c r="M121" s="1"/>
  <c r="I112"/>
  <c r="I113" s="1"/>
  <c r="H113"/>
  <c r="G22" i="3"/>
  <c r="G21"/>
  <c r="F20"/>
  <c r="G5"/>
  <c r="G7" s="1"/>
  <c r="G9" s="1"/>
  <c r="G115" i="2"/>
  <c r="G119" s="1"/>
  <c r="G122" s="1"/>
  <c r="G123" s="1"/>
  <c r="G43" i="3" s="1"/>
  <c r="I4"/>
  <c r="F3" i="6" s="1"/>
  <c r="I118" i="2"/>
  <c r="I67"/>
  <c r="I66" s="1"/>
  <c r="I46"/>
  <c r="I49" s="1"/>
  <c r="K38" i="1"/>
  <c r="J34" i="2"/>
  <c r="J35" s="1"/>
  <c r="L28" i="1"/>
  <c r="L62" s="1"/>
  <c r="K42" i="2"/>
  <c r="L6"/>
  <c r="K50" i="1"/>
  <c r="J54" i="2"/>
  <c r="L25" i="1"/>
  <c r="K18" i="2"/>
  <c r="L30" i="1"/>
  <c r="L58" s="1"/>
  <c r="K39" i="2"/>
  <c r="K41" s="1"/>
  <c r="K32" i="1"/>
  <c r="J45" i="2"/>
  <c r="L26" i="1"/>
  <c r="K33" i="2"/>
  <c r="L33" i="1"/>
  <c r="K21" i="2"/>
  <c r="L34" i="1"/>
  <c r="K36" i="2"/>
  <c r="L68" i="1"/>
  <c r="K73" i="2"/>
  <c r="K62" i="1"/>
  <c r="I64" i="2"/>
  <c r="I63" s="1"/>
  <c r="K58" i="1"/>
  <c r="H51" i="2"/>
  <c r="L5"/>
  <c r="J29"/>
  <c r="J43"/>
  <c r="J44" s="1"/>
  <c r="L67" i="1"/>
  <c r="K71" i="2"/>
  <c r="L84" i="1"/>
  <c r="L94" i="2" s="1"/>
  <c r="M98" s="1"/>
  <c r="L66" i="1"/>
  <c r="K72" i="2"/>
  <c r="I23"/>
  <c r="I31" s="1"/>
  <c r="I48" s="1"/>
  <c r="K31" i="1"/>
  <c r="J30" i="2"/>
  <c r="L29" i="1"/>
  <c r="K24" i="2"/>
  <c r="K26" s="1"/>
  <c r="K37" i="1"/>
  <c r="J19" i="2"/>
  <c r="J20" s="1"/>
  <c r="J64" s="1"/>
  <c r="J63" s="1"/>
  <c r="K57" i="1"/>
  <c r="L27"/>
  <c r="K27" i="2"/>
  <c r="K52" i="1"/>
  <c r="K110" i="2" s="1"/>
  <c r="J56"/>
  <c r="J57" s="1"/>
  <c r="L53" i="1"/>
  <c r="K55" i="2"/>
  <c r="K39" i="1"/>
  <c r="J22" i="2"/>
  <c r="J37" s="1"/>
  <c r="J38" s="1"/>
  <c r="K61" i="1"/>
  <c r="T80" i="2"/>
  <c r="U83" s="1"/>
  <c r="T87"/>
  <c r="T88" s="1"/>
  <c r="T81"/>
  <c r="K9"/>
  <c r="K13" s="1"/>
  <c r="L22" i="1"/>
  <c r="K21"/>
  <c r="J8" i="2"/>
  <c r="J12" s="1"/>
  <c r="J15" s="1"/>
  <c r="K43" i="1"/>
  <c r="K47" s="1"/>
  <c r="K28" i="2" s="1"/>
  <c r="K43" s="1"/>
  <c r="J45" i="1"/>
  <c r="M42"/>
  <c r="M46" s="1"/>
  <c r="M25" i="2" s="1"/>
  <c r="M40" s="1"/>
  <c r="L44" i="1"/>
  <c r="F5" i="6" l="1"/>
  <c r="M11" i="1"/>
  <c r="L3" i="8"/>
  <c r="J58" i="2"/>
  <c r="J60" s="1"/>
  <c r="J6" i="3" s="1"/>
  <c r="F72" i="6"/>
  <c r="F9" i="3"/>
  <c r="L34"/>
  <c r="M99" i="2"/>
  <c r="M105" s="1"/>
  <c r="M32" i="3" s="1"/>
  <c r="M16" i="4" s="1"/>
  <c r="M107" i="2"/>
  <c r="U84"/>
  <c r="U89" s="1"/>
  <c r="U8" i="3" s="1"/>
  <c r="H77" i="2"/>
  <c r="H75"/>
  <c r="K44"/>
  <c r="M76" i="1"/>
  <c r="L116" i="2"/>
  <c r="L120" s="1"/>
  <c r="N121" s="1"/>
  <c r="J112"/>
  <c r="J113" s="1"/>
  <c r="H21" i="3"/>
  <c r="G24"/>
  <c r="H5"/>
  <c r="H115" i="2"/>
  <c r="H119" s="1"/>
  <c r="H122" s="1"/>
  <c r="H123" s="1"/>
  <c r="H43" i="3" s="1"/>
  <c r="T28"/>
  <c r="I51" i="2"/>
  <c r="J4" i="3"/>
  <c r="J118" i="2"/>
  <c r="M34" i="1"/>
  <c r="L36" i="2"/>
  <c r="K45"/>
  <c r="L32" i="1"/>
  <c r="M67"/>
  <c r="L71" i="2"/>
  <c r="K54"/>
  <c r="L50" i="1"/>
  <c r="L38"/>
  <c r="K34" i="2"/>
  <c r="K35" s="1"/>
  <c r="J67"/>
  <c r="J66" s="1"/>
  <c r="J69" s="1"/>
  <c r="J46"/>
  <c r="J49" s="1"/>
  <c r="I69"/>
  <c r="L52" i="1"/>
  <c r="L110" i="2" s="1"/>
  <c r="K56"/>
  <c r="K57" s="1"/>
  <c r="L39" i="1"/>
  <c r="K22" i="2"/>
  <c r="K37" s="1"/>
  <c r="K38" s="1"/>
  <c r="M84" i="1"/>
  <c r="M94" i="2" s="1"/>
  <c r="N98" s="1"/>
  <c r="M5"/>
  <c r="M28" i="1"/>
  <c r="M62" s="1"/>
  <c r="L42" i="2"/>
  <c r="M26" i="1"/>
  <c r="L33" i="2"/>
  <c r="M25" i="1"/>
  <c r="L18" i="2"/>
  <c r="M53" i="1"/>
  <c r="L55" i="2"/>
  <c r="M27" i="1"/>
  <c r="L27" i="2"/>
  <c r="M29" i="1"/>
  <c r="L24" i="2"/>
  <c r="L26" s="1"/>
  <c r="M66" i="1"/>
  <c r="L72" i="2"/>
  <c r="M6"/>
  <c r="K59" i="1"/>
  <c r="K63"/>
  <c r="L57"/>
  <c r="L59" s="1"/>
  <c r="J23" i="2"/>
  <c r="J31" s="1"/>
  <c r="J48" s="1"/>
  <c r="L37" i="1"/>
  <c r="K19" i="2"/>
  <c r="K20" s="1"/>
  <c r="L31" i="1"/>
  <c r="K30" i="2"/>
  <c r="M68" i="1"/>
  <c r="L73" i="2"/>
  <c r="M33" i="1"/>
  <c r="L21" i="2"/>
  <c r="M30" i="1"/>
  <c r="L39" i="2"/>
  <c r="L41" s="1"/>
  <c r="K29"/>
  <c r="L61" i="1"/>
  <c r="L63" s="1"/>
  <c r="T90" i="2"/>
  <c r="T40" i="3" s="1"/>
  <c r="M22" i="1"/>
  <c r="L9" i="2"/>
  <c r="L13" s="1"/>
  <c r="L21" i="1"/>
  <c r="K8" i="2"/>
  <c r="K12" s="1"/>
  <c r="K15" s="1"/>
  <c r="L43" i="1"/>
  <c r="L47" s="1"/>
  <c r="L28" i="2" s="1"/>
  <c r="L43" s="1"/>
  <c r="K45" i="1"/>
  <c r="N42"/>
  <c r="N46" s="1"/>
  <c r="N25" i="2" s="1"/>
  <c r="N40" s="1"/>
  <c r="M44" i="1"/>
  <c r="G31" i="6" l="1"/>
  <c r="K60" i="2"/>
  <c r="K58"/>
  <c r="N11" i="1"/>
  <c r="M3" i="8"/>
  <c r="F11" i="3"/>
  <c r="U18"/>
  <c r="I7" i="6"/>
  <c r="H7" i="3"/>
  <c r="T29"/>
  <c r="T7" i="4" s="1"/>
  <c r="T14" s="1"/>
  <c r="M34" i="3"/>
  <c r="G33" i="6" s="1"/>
  <c r="N99" i="2"/>
  <c r="N105" s="1"/>
  <c r="N32" i="3" s="1"/>
  <c r="N16" i="4" s="1"/>
  <c r="N107" i="2"/>
  <c r="H23" i="3"/>
  <c r="H42"/>
  <c r="H22"/>
  <c r="H49"/>
  <c r="U81" i="2"/>
  <c r="U90" s="1"/>
  <c r="U40" i="3" s="1"/>
  <c r="I39" i="6" s="1"/>
  <c r="G20" i="3"/>
  <c r="N76" i="1"/>
  <c r="M116" i="2"/>
  <c r="M120" s="1"/>
  <c r="O121" s="1"/>
  <c r="K112"/>
  <c r="L44"/>
  <c r="L111"/>
  <c r="K111"/>
  <c r="H24" i="3"/>
  <c r="I5"/>
  <c r="I7" s="1"/>
  <c r="I9" s="1"/>
  <c r="I115" i="2"/>
  <c r="I119" s="1"/>
  <c r="I122" s="1"/>
  <c r="I123" s="1"/>
  <c r="I43" i="3" s="1"/>
  <c r="F42" i="6" s="1"/>
  <c r="K4" i="3"/>
  <c r="K118" i="2"/>
  <c r="N67" i="1"/>
  <c r="M71" i="2"/>
  <c r="J51"/>
  <c r="N84" i="1"/>
  <c r="N94" i="2" s="1"/>
  <c r="O98" s="1"/>
  <c r="J76"/>
  <c r="J41" i="3" s="1"/>
  <c r="J75" i="2"/>
  <c r="J49" i="3" s="1"/>
  <c r="J77" i="2"/>
  <c r="J42" i="3" s="1"/>
  <c r="I75" i="2"/>
  <c r="I49" i="3" s="1"/>
  <c r="F48" i="6" s="1"/>
  <c r="F75" s="1"/>
  <c r="I77" i="2"/>
  <c r="I42" i="3" s="1"/>
  <c r="F41" i="6" s="1"/>
  <c r="F73" s="1"/>
  <c r="I76" i="2"/>
  <c r="I41" i="3" s="1"/>
  <c r="F40" i="6" s="1"/>
  <c r="F74" s="1"/>
  <c r="N6" i="2"/>
  <c r="N27" i="1"/>
  <c r="N61" s="1"/>
  <c r="M27" i="2"/>
  <c r="N26" i="1"/>
  <c r="M33" i="2"/>
  <c r="N5"/>
  <c r="M50" i="1"/>
  <c r="L54" i="2"/>
  <c r="K23"/>
  <c r="K31" s="1"/>
  <c r="K48" s="1"/>
  <c r="N53" i="1"/>
  <c r="M55" i="2"/>
  <c r="K64"/>
  <c r="K63" s="1"/>
  <c r="M38" i="1"/>
  <c r="L34" i="2"/>
  <c r="L35" s="1"/>
  <c r="N34" i="1"/>
  <c r="M36" i="2"/>
  <c r="L29"/>
  <c r="N30" i="1"/>
  <c r="M39" i="2"/>
  <c r="M41" s="1"/>
  <c r="M37" i="1"/>
  <c r="L19" i="2"/>
  <c r="L20" s="1"/>
  <c r="N29" i="1"/>
  <c r="M24" i="2"/>
  <c r="M26" s="1"/>
  <c r="N25" i="1"/>
  <c r="M18" i="2"/>
  <c r="M52" i="1"/>
  <c r="M110" i="2" s="1"/>
  <c r="L56"/>
  <c r="L57" s="1"/>
  <c r="K67"/>
  <c r="K66" s="1"/>
  <c r="K46"/>
  <c r="K49" s="1"/>
  <c r="M58" i="1"/>
  <c r="M57"/>
  <c r="M61"/>
  <c r="M63" s="1"/>
  <c r="N68"/>
  <c r="M73" i="2"/>
  <c r="N33" i="1"/>
  <c r="M21" i="2"/>
  <c r="M31" i="1"/>
  <c r="L30" i="2"/>
  <c r="N66" i="1"/>
  <c r="M72" i="2"/>
  <c r="N28" i="1"/>
  <c r="M42" i="2"/>
  <c r="M39" i="1"/>
  <c r="L22" i="2"/>
  <c r="L37" s="1"/>
  <c r="L38" s="1"/>
  <c r="M32" i="1"/>
  <c r="L45" i="2"/>
  <c r="U80"/>
  <c r="U87"/>
  <c r="U88" s="1"/>
  <c r="N22" i="1"/>
  <c r="M9" i="2"/>
  <c r="M13" s="1"/>
  <c r="M21" i="1"/>
  <c r="L8" i="2"/>
  <c r="L12" s="1"/>
  <c r="L15" s="1"/>
  <c r="M43" i="1"/>
  <c r="M47" s="1"/>
  <c r="M28" i="2" s="1"/>
  <c r="M43" s="1"/>
  <c r="L45" i="1"/>
  <c r="O42"/>
  <c r="O46" s="1"/>
  <c r="O25" i="2" s="1"/>
  <c r="O40" s="1"/>
  <c r="N44" i="1"/>
  <c r="F4" i="6" l="1"/>
  <c r="M44" i="2"/>
  <c r="L58"/>
  <c r="L60" s="1"/>
  <c r="L6" i="3" s="1"/>
  <c r="O11" i="1"/>
  <c r="N3" i="8"/>
  <c r="K113" i="2"/>
  <c r="H20" i="3"/>
  <c r="F12"/>
  <c r="F13" s="1"/>
  <c r="H17" i="6"/>
  <c r="I17"/>
  <c r="H9" i="3"/>
  <c r="F8" i="6" s="1"/>
  <c r="F61" s="1"/>
  <c r="F6"/>
  <c r="N34" i="3"/>
  <c r="O99" i="2"/>
  <c r="O105" s="1"/>
  <c r="O32" i="3" s="1"/>
  <c r="O16" i="4" s="1"/>
  <c r="O107" i="2"/>
  <c r="K6" i="3"/>
  <c r="O76" i="1"/>
  <c r="N116" i="2"/>
  <c r="N120" s="1"/>
  <c r="P121" s="1"/>
  <c r="L112"/>
  <c r="L113" s="1"/>
  <c r="J22" i="3"/>
  <c r="J21"/>
  <c r="J23"/>
  <c r="K51" i="2"/>
  <c r="I22" i="3"/>
  <c r="I24"/>
  <c r="F23" i="6" s="1"/>
  <c r="I23" i="3"/>
  <c r="L23" i="2"/>
  <c r="L31" s="1"/>
  <c r="L48" s="1"/>
  <c r="I21" i="3"/>
  <c r="F20" i="6" s="1"/>
  <c r="J5" i="3"/>
  <c r="J115" i="2"/>
  <c r="J119" s="1"/>
  <c r="J122" s="1"/>
  <c r="J123" s="1"/>
  <c r="J43" i="3" s="1"/>
  <c r="K69" i="2"/>
  <c r="K75" s="1"/>
  <c r="K49" i="3" s="1"/>
  <c r="U28"/>
  <c r="L4"/>
  <c r="L118" i="2"/>
  <c r="O28" i="1"/>
  <c r="N42" i="2"/>
  <c r="O68" i="1"/>
  <c r="N73" i="2"/>
  <c r="O29" i="1"/>
  <c r="N24" i="2"/>
  <c r="N26" s="1"/>
  <c r="O26" i="1"/>
  <c r="N33" i="2"/>
  <c r="O67" i="1"/>
  <c r="N71" i="2"/>
  <c r="O53" i="1"/>
  <c r="N55" i="2"/>
  <c r="O25" i="1"/>
  <c r="N18" i="2"/>
  <c r="O5"/>
  <c r="O6"/>
  <c r="O62" i="1"/>
  <c r="M59"/>
  <c r="L67" i="2"/>
  <c r="L66" s="1"/>
  <c r="L46"/>
  <c r="L49" s="1"/>
  <c r="N32" i="1"/>
  <c r="M45" i="2"/>
  <c r="N31" i="1"/>
  <c r="M30" i="2"/>
  <c r="N52" i="1"/>
  <c r="N110" i="2" s="1"/>
  <c r="M56"/>
  <c r="M57" s="1"/>
  <c r="O30" i="1"/>
  <c r="N39" i="2"/>
  <c r="N41" s="1"/>
  <c r="O84" i="1"/>
  <c r="O94" i="2" s="1"/>
  <c r="P98" s="1"/>
  <c r="N57" i="1"/>
  <c r="N62"/>
  <c r="N63" s="1"/>
  <c r="N38"/>
  <c r="M34" i="2"/>
  <c r="M35" s="1"/>
  <c r="N58" i="1"/>
  <c r="O33"/>
  <c r="N21" i="2"/>
  <c r="O66" i="1"/>
  <c r="N72" i="2"/>
  <c r="L64"/>
  <c r="L63" s="1"/>
  <c r="N37" i="1"/>
  <c r="M19" i="2"/>
  <c r="M20" s="1"/>
  <c r="N50" i="1"/>
  <c r="M54" i="2"/>
  <c r="O27" i="1"/>
  <c r="O61" s="1"/>
  <c r="N27" i="2"/>
  <c r="N39" i="1"/>
  <c r="M22" i="2"/>
  <c r="M37" s="1"/>
  <c r="M38" s="1"/>
  <c r="O34" i="1"/>
  <c r="N36" i="2"/>
  <c r="M29"/>
  <c r="O22" i="1"/>
  <c r="N9" i="2"/>
  <c r="N13" s="1"/>
  <c r="N21" i="1"/>
  <c r="M8" i="2"/>
  <c r="M12" s="1"/>
  <c r="M15" s="1"/>
  <c r="N43" i="1"/>
  <c r="N47" s="1"/>
  <c r="N28" i="2" s="1"/>
  <c r="N43" s="1"/>
  <c r="M45" i="1"/>
  <c r="P42"/>
  <c r="P46" s="1"/>
  <c r="P25" i="2" s="1"/>
  <c r="P40" s="1"/>
  <c r="O44" i="1"/>
  <c r="P11" l="1"/>
  <c r="O3" i="8"/>
  <c r="M58" i="2"/>
  <c r="M60" s="1"/>
  <c r="O63" i="1"/>
  <c r="F47" i="3"/>
  <c r="F17"/>
  <c r="J7"/>
  <c r="U29"/>
  <c r="U7" i="4" s="1"/>
  <c r="U14" s="1"/>
  <c r="I27" i="6"/>
  <c r="O34" i="3"/>
  <c r="P99" i="2"/>
  <c r="P105" s="1"/>
  <c r="P32" i="3" s="1"/>
  <c r="P16" i="4" s="1"/>
  <c r="P107" i="2"/>
  <c r="P76" i="1"/>
  <c r="O116" i="2"/>
  <c r="O120" s="1"/>
  <c r="Q121" s="1"/>
  <c r="M111"/>
  <c r="M112"/>
  <c r="K76"/>
  <c r="K41" i="3" s="1"/>
  <c r="K22"/>
  <c r="I20"/>
  <c r="F19" i="6" s="1"/>
  <c r="L51" i="2"/>
  <c r="J24" i="3"/>
  <c r="K5"/>
  <c r="K7" s="1"/>
  <c r="K9" s="1"/>
  <c r="K115" i="2"/>
  <c r="K119" s="1"/>
  <c r="K122" s="1"/>
  <c r="K123" s="1"/>
  <c r="K43" i="3" s="1"/>
  <c r="L69" i="2"/>
  <c r="L75" s="1"/>
  <c r="L49" i="3" s="1"/>
  <c r="K77" i="2"/>
  <c r="K42" i="3" s="1"/>
  <c r="M4"/>
  <c r="G3" i="6" s="1"/>
  <c r="M118" i="2"/>
  <c r="M67"/>
  <c r="M66" s="1"/>
  <c r="M46"/>
  <c r="M49" s="1"/>
  <c r="M64"/>
  <c r="M63" s="1"/>
  <c r="O52" i="1"/>
  <c r="O110" i="2" s="1"/>
  <c r="N56"/>
  <c r="N57" s="1"/>
  <c r="P28" i="1"/>
  <c r="O42" i="2"/>
  <c r="O38" i="1"/>
  <c r="N34" i="2"/>
  <c r="N35" s="1"/>
  <c r="P25" i="1"/>
  <c r="O18" i="2"/>
  <c r="N44"/>
  <c r="P33" i="1"/>
  <c r="O21" i="2"/>
  <c r="P34" i="1"/>
  <c r="O36" i="2"/>
  <c r="P30" i="1"/>
  <c r="P58" s="1"/>
  <c r="O39" i="2"/>
  <c r="O41" s="1"/>
  <c r="P67" i="1"/>
  <c r="O71" i="2"/>
  <c r="P68" i="1"/>
  <c r="O73" i="2"/>
  <c r="O58" i="1"/>
  <c r="P5" i="2"/>
  <c r="O39" i="1"/>
  <c r="N22" i="2"/>
  <c r="N37" s="1"/>
  <c r="N38" s="1"/>
  <c r="P84" i="1"/>
  <c r="P94" i="2" s="1"/>
  <c r="Q98" s="1"/>
  <c r="O32" i="1"/>
  <c r="N45" i="2"/>
  <c r="P29" i="1"/>
  <c r="P57" s="1"/>
  <c r="O24" i="2"/>
  <c r="O26" s="1"/>
  <c r="N29"/>
  <c r="P66" i="1"/>
  <c r="O72" i="2"/>
  <c r="P53" i="1"/>
  <c r="O55" i="2"/>
  <c r="O57" i="1"/>
  <c r="O31"/>
  <c r="N30" i="2"/>
  <c r="P26" i="1"/>
  <c r="O33" i="2"/>
  <c r="M23"/>
  <c r="M31" s="1"/>
  <c r="M48" s="1"/>
  <c r="O50" i="1"/>
  <c r="N54" i="2"/>
  <c r="P27" i="1"/>
  <c r="P61" s="1"/>
  <c r="O27" i="2"/>
  <c r="O37" i="1"/>
  <c r="N19" i="2"/>
  <c r="N20" s="1"/>
  <c r="P6"/>
  <c r="N59" i="1"/>
  <c r="P22"/>
  <c r="O9" i="2"/>
  <c r="O13" s="1"/>
  <c r="O21" i="1"/>
  <c r="N8" i="2"/>
  <c r="N12" s="1"/>
  <c r="N15" s="1"/>
  <c r="O43" i="1"/>
  <c r="O47" s="1"/>
  <c r="O28" i="2" s="1"/>
  <c r="O43" s="1"/>
  <c r="N45" i="1"/>
  <c r="Q42"/>
  <c r="Q46" s="1"/>
  <c r="Q25" i="2" s="1"/>
  <c r="Q40" s="1"/>
  <c r="P44" i="1"/>
  <c r="M113" i="2" l="1"/>
  <c r="K21" i="3"/>
  <c r="N60" i="2"/>
  <c r="N6" i="3" s="1"/>
  <c r="N58" i="2"/>
  <c r="Q11" i="1"/>
  <c r="P3" i="8"/>
  <c r="F50" i="3"/>
  <c r="F22" i="4"/>
  <c r="F24" s="1"/>
  <c r="G72" i="6"/>
  <c r="J20" i="3"/>
  <c r="G28" i="6"/>
  <c r="I28"/>
  <c r="F44" i="3"/>
  <c r="F25"/>
  <c r="J9"/>
  <c r="P34"/>
  <c r="Q99" i="2"/>
  <c r="Q105" s="1"/>
  <c r="Q32" i="3" s="1"/>
  <c r="Q107" i="2"/>
  <c r="L77"/>
  <c r="L76"/>
  <c r="M51"/>
  <c r="M5" i="3" s="1"/>
  <c r="Q76" i="1"/>
  <c r="P116" i="2"/>
  <c r="P120" s="1"/>
  <c r="R121" s="1"/>
  <c r="N112"/>
  <c r="N111"/>
  <c r="O59" i="1"/>
  <c r="M6" i="3"/>
  <c r="G5" i="6" s="1"/>
  <c r="L22" i="3"/>
  <c r="K24"/>
  <c r="L5"/>
  <c r="L7" s="1"/>
  <c r="L9" s="1"/>
  <c r="L115" i="2"/>
  <c r="L119" s="1"/>
  <c r="L122" s="1"/>
  <c r="L123" s="1"/>
  <c r="L43" i="3" s="1"/>
  <c r="K23"/>
  <c r="N23" i="2"/>
  <c r="N31" s="1"/>
  <c r="N48" s="1"/>
  <c r="N4" i="3"/>
  <c r="N118" i="2"/>
  <c r="N64"/>
  <c r="N63" s="1"/>
  <c r="P37" i="1"/>
  <c r="O19" i="2"/>
  <c r="O20" s="1"/>
  <c r="Q84" i="1"/>
  <c r="Q94" i="2" s="1"/>
  <c r="R98" s="1"/>
  <c r="Q68" i="1"/>
  <c r="P73" i="2"/>
  <c r="Q33" i="1"/>
  <c r="P21" i="2"/>
  <c r="Q28" i="1"/>
  <c r="P42" i="2"/>
  <c r="P32" i="1"/>
  <c r="O45" i="2"/>
  <c r="O44"/>
  <c r="M69"/>
  <c r="Q34" i="1"/>
  <c r="P36" i="2"/>
  <c r="P38" i="1"/>
  <c r="O34" i="2"/>
  <c r="O35" s="1"/>
  <c r="O67" s="1"/>
  <c r="O66" s="1"/>
  <c r="Q6"/>
  <c r="Q29" i="1"/>
  <c r="Q57" s="1"/>
  <c r="P24" i="2"/>
  <c r="P26" s="1"/>
  <c r="P59" i="1"/>
  <c r="Q53"/>
  <c r="P55" i="2"/>
  <c r="P31" i="1"/>
  <c r="O30" i="2"/>
  <c r="Q30" i="1"/>
  <c r="Q58" s="1"/>
  <c r="P39" i="2"/>
  <c r="P41" s="1"/>
  <c r="Q25" i="1"/>
  <c r="P18" i="2"/>
  <c r="P52" i="1"/>
  <c r="P110" i="2" s="1"/>
  <c r="O56"/>
  <c r="O57" s="1"/>
  <c r="P62" i="1"/>
  <c r="P63" s="1"/>
  <c r="N67" i="2"/>
  <c r="N66" s="1"/>
  <c r="N46"/>
  <c r="N49" s="1"/>
  <c r="P50" i="1"/>
  <c r="O54" i="2"/>
  <c r="Q27" i="1"/>
  <c r="Q61" s="1"/>
  <c r="P27" i="2"/>
  <c r="P39" i="1"/>
  <c r="O22" i="2"/>
  <c r="O37" s="1"/>
  <c r="O38" s="1"/>
  <c r="Q66" i="1"/>
  <c r="P72" i="2"/>
  <c r="Q26" i="1"/>
  <c r="P33" i="2"/>
  <c r="Q5"/>
  <c r="Q67" i="1"/>
  <c r="P71" i="2"/>
  <c r="O29"/>
  <c r="Q22" i="1"/>
  <c r="P9" i="2"/>
  <c r="P13" s="1"/>
  <c r="P21" i="1"/>
  <c r="O8" i="2"/>
  <c r="O12" s="1"/>
  <c r="O15" s="1"/>
  <c r="P43" i="1"/>
  <c r="P47" s="1"/>
  <c r="P28" i="2" s="1"/>
  <c r="P43" s="1"/>
  <c r="O45" i="1"/>
  <c r="R42"/>
  <c r="R46" s="1"/>
  <c r="R25" i="2" s="1"/>
  <c r="R40" s="1"/>
  <c r="Q44" i="1"/>
  <c r="H31" i="6" l="1"/>
  <c r="Q16" i="4"/>
  <c r="O60" i="2"/>
  <c r="O58"/>
  <c r="R11" i="1"/>
  <c r="Q3" i="8"/>
  <c r="F26" i="4"/>
  <c r="F27"/>
  <c r="F45" i="3"/>
  <c r="F51" s="1"/>
  <c r="C38" i="4"/>
  <c r="C46" s="1"/>
  <c r="C68" s="1"/>
  <c r="F36" i="3"/>
  <c r="F5" i="4"/>
  <c r="G4" i="6"/>
  <c r="Q34" i="3"/>
  <c r="H33" i="6" s="1"/>
  <c r="R99" i="2"/>
  <c r="R105" s="1"/>
  <c r="R32" i="3" s="1"/>
  <c r="R16" i="4" s="1"/>
  <c r="R107" i="2"/>
  <c r="L21" i="3"/>
  <c r="L41"/>
  <c r="L23"/>
  <c r="L42"/>
  <c r="M7"/>
  <c r="M9" s="1"/>
  <c r="G8" i="6" s="1"/>
  <c r="G61" s="1"/>
  <c r="R76" i="1"/>
  <c r="Q116" i="2"/>
  <c r="Q120" s="1"/>
  <c r="S121" s="1"/>
  <c r="P111"/>
  <c r="O111"/>
  <c r="O6" i="3"/>
  <c r="O112" i="2"/>
  <c r="Q59" i="1"/>
  <c r="Q111" i="2" s="1"/>
  <c r="M115"/>
  <c r="M119" s="1"/>
  <c r="M122" s="1"/>
  <c r="M123" s="1"/>
  <c r="M43" i="3" s="1"/>
  <c r="G42" i="6" s="1"/>
  <c r="N113" i="2"/>
  <c r="L24" i="3"/>
  <c r="K20"/>
  <c r="N51" i="2"/>
  <c r="O4" i="3"/>
  <c r="O118" i="2"/>
  <c r="Q32" i="1"/>
  <c r="P45" i="2"/>
  <c r="N69"/>
  <c r="R68" i="1"/>
  <c r="Q73" i="2"/>
  <c r="O46"/>
  <c r="O49" s="1"/>
  <c r="R5"/>
  <c r="R30" i="1"/>
  <c r="R58" s="1"/>
  <c r="Q39" i="2"/>
  <c r="Q41" s="1"/>
  <c r="Q37" i="1"/>
  <c r="P19" i="2"/>
  <c r="P20" s="1"/>
  <c r="Q38" i="1"/>
  <c r="P34" i="2"/>
  <c r="P35" s="1"/>
  <c r="R33" i="1"/>
  <c r="Q21" i="2"/>
  <c r="R29" i="1"/>
  <c r="R57" s="1"/>
  <c r="Q24" i="2"/>
  <c r="Q26" s="1"/>
  <c r="Q50" i="1"/>
  <c r="P54" i="2"/>
  <c r="R25" i="1"/>
  <c r="Q18" i="2"/>
  <c r="R53" i="1"/>
  <c r="Q55" i="2"/>
  <c r="R84" i="1"/>
  <c r="O23" i="2"/>
  <c r="O31" s="1"/>
  <c r="O48" s="1"/>
  <c r="R66" i="1"/>
  <c r="Q72" i="2"/>
  <c r="R6"/>
  <c r="R62" i="1"/>
  <c r="R28"/>
  <c r="Q42" i="2"/>
  <c r="O64"/>
  <c r="O63" s="1"/>
  <c r="O69" s="1"/>
  <c r="R67" i="1"/>
  <c r="Q71" i="2"/>
  <c r="R27" i="1"/>
  <c r="R61" s="1"/>
  <c r="Q27" i="2"/>
  <c r="Q52" i="1"/>
  <c r="Q110" i="2" s="1"/>
  <c r="P56"/>
  <c r="P57" s="1"/>
  <c r="Q31" i="1"/>
  <c r="P30" i="2"/>
  <c r="M76"/>
  <c r="M41" i="3" s="1"/>
  <c r="G40" i="6" s="1"/>
  <c r="G74" s="1"/>
  <c r="M77" i="2"/>
  <c r="M42" i="3" s="1"/>
  <c r="G41" i="6" s="1"/>
  <c r="G73" s="1"/>
  <c r="M75" i="2"/>
  <c r="M49" i="3" s="1"/>
  <c r="G48" i="6" s="1"/>
  <c r="G75" s="1"/>
  <c r="P44" i="2"/>
  <c r="Q39" i="1"/>
  <c r="P22" i="2"/>
  <c r="P37" s="1"/>
  <c r="P38" s="1"/>
  <c r="R26" i="1"/>
  <c r="Q33" i="2"/>
  <c r="R34" i="1"/>
  <c r="Q36" i="2"/>
  <c r="P29"/>
  <c r="Q62" i="1"/>
  <c r="Q63" s="1"/>
  <c r="R22"/>
  <c r="Q9" i="2"/>
  <c r="Q13" s="1"/>
  <c r="Q21" i="1"/>
  <c r="P8" i="2"/>
  <c r="P12" s="1"/>
  <c r="P15" s="1"/>
  <c r="Q43" i="1"/>
  <c r="Q47" s="1"/>
  <c r="Q28" i="2" s="1"/>
  <c r="Q43" s="1"/>
  <c r="P45" i="1"/>
  <c r="S42"/>
  <c r="S46" s="1"/>
  <c r="S25" i="2" s="1"/>
  <c r="S40" s="1"/>
  <c r="R44" i="1"/>
  <c r="S11" l="1"/>
  <c r="R3" i="8"/>
  <c r="P58" i="2"/>
  <c r="P60" s="1"/>
  <c r="P6" i="3" s="1"/>
  <c r="L20"/>
  <c r="O51" i="2"/>
  <c r="O5" i="3" s="1"/>
  <c r="O7" s="1"/>
  <c r="O9" s="1"/>
  <c r="F21" i="4"/>
  <c r="F9" s="1"/>
  <c r="F13"/>
  <c r="F12" s="1"/>
  <c r="F19" s="1"/>
  <c r="F4"/>
  <c r="G6" i="6"/>
  <c r="R34" i="3"/>
  <c r="S84" i="1"/>
  <c r="R94" i="2"/>
  <c r="S98" s="1"/>
  <c r="P23"/>
  <c r="P31" s="1"/>
  <c r="P48" s="1"/>
  <c r="Q44"/>
  <c r="O113"/>
  <c r="S76" i="1"/>
  <c r="R116" i="2"/>
  <c r="R120" s="1"/>
  <c r="T121" s="1"/>
  <c r="P112"/>
  <c r="P113" s="1"/>
  <c r="N5" i="3"/>
  <c r="N115" i="2"/>
  <c r="N119" s="1"/>
  <c r="N122" s="1"/>
  <c r="N123" s="1"/>
  <c r="N43" i="3" s="1"/>
  <c r="M22"/>
  <c r="G21" i="6" s="1"/>
  <c r="M24" i="3"/>
  <c r="G23" i="6" s="1"/>
  <c r="M23" i="3"/>
  <c r="G22" i="6" s="1"/>
  <c r="M21" i="3"/>
  <c r="G20" i="6" s="1"/>
  <c r="P4" i="3"/>
  <c r="P118" i="2"/>
  <c r="P67"/>
  <c r="P66" s="1"/>
  <c r="P46"/>
  <c r="P49" s="1"/>
  <c r="S25" i="1"/>
  <c r="R18" i="2"/>
  <c r="R38" i="1"/>
  <c r="Q34" i="2"/>
  <c r="Q35" s="1"/>
  <c r="Q67" s="1"/>
  <c r="Q66" s="1"/>
  <c r="R32" i="1"/>
  <c r="Q45" i="2"/>
  <c r="R59" i="1"/>
  <c r="S53"/>
  <c r="R55" i="2"/>
  <c r="S33" i="1"/>
  <c r="R21" i="2"/>
  <c r="R63" i="1"/>
  <c r="S67"/>
  <c r="R71" i="2"/>
  <c r="S28" i="1"/>
  <c r="S62" s="1"/>
  <c r="R42" i="2"/>
  <c r="S66" i="1"/>
  <c r="R72" i="2"/>
  <c r="S30" i="1"/>
  <c r="S58" s="1"/>
  <c r="R39" i="2"/>
  <c r="R41" s="1"/>
  <c r="N77"/>
  <c r="N42" i="3" s="1"/>
  <c r="N75" i="2"/>
  <c r="N49" i="3" s="1"/>
  <c r="N76" i="2"/>
  <c r="N41" i="3" s="1"/>
  <c r="R31" i="1"/>
  <c r="Q30" i="2"/>
  <c r="S29" i="1"/>
  <c r="R24" i="2"/>
  <c r="R26" s="1"/>
  <c r="S68" i="1"/>
  <c r="R73" i="2"/>
  <c r="S26" i="1"/>
  <c r="R33" i="2"/>
  <c r="S27" i="1"/>
  <c r="R27" i="2"/>
  <c r="R37" i="1"/>
  <c r="Q19" i="2"/>
  <c r="Q20" s="1"/>
  <c r="O75"/>
  <c r="O49" i="3" s="1"/>
  <c r="O76" i="2"/>
  <c r="O41" i="3" s="1"/>
  <c r="O77" i="2"/>
  <c r="O42" i="3" s="1"/>
  <c r="R50" i="1"/>
  <c r="Q54" i="2"/>
  <c r="Q29"/>
  <c r="R39" i="1"/>
  <c r="Q22" i="2"/>
  <c r="Q37" s="1"/>
  <c r="Q38" s="1"/>
  <c r="S34" i="1"/>
  <c r="R36" i="2"/>
  <c r="R52" i="1"/>
  <c r="R110" i="2" s="1"/>
  <c r="Q56"/>
  <c r="Q57" s="1"/>
  <c r="P64"/>
  <c r="P63" s="1"/>
  <c r="S6"/>
  <c r="S5"/>
  <c r="S22" i="1"/>
  <c r="R9" i="2"/>
  <c r="R13" s="1"/>
  <c r="R21" i="1"/>
  <c r="Q8" i="2"/>
  <c r="Q12" s="1"/>
  <c r="Q15" s="1"/>
  <c r="R43" i="1"/>
  <c r="R47" s="1"/>
  <c r="R28" i="2" s="1"/>
  <c r="Q45" i="1"/>
  <c r="T42"/>
  <c r="T46" s="1"/>
  <c r="T25" i="2" s="1"/>
  <c r="T40" s="1"/>
  <c r="S44" i="1"/>
  <c r="Q60" i="2" l="1"/>
  <c r="Q6" i="3" s="1"/>
  <c r="H5" i="6" s="1"/>
  <c r="Q58" i="2"/>
  <c r="T11" i="1"/>
  <c r="S3" i="8"/>
  <c r="O115" i="2"/>
  <c r="O119" s="1"/>
  <c r="O122" s="1"/>
  <c r="O123" s="1"/>
  <c r="O43" i="3" s="1"/>
  <c r="F10" i="4"/>
  <c r="N7" i="3"/>
  <c r="T84" i="1"/>
  <c r="T94" i="2" s="1"/>
  <c r="U98" s="1"/>
  <c r="U99" s="1"/>
  <c r="U105" s="1"/>
  <c r="S94"/>
  <c r="T98" s="1"/>
  <c r="S99"/>
  <c r="S105" s="1"/>
  <c r="S32" i="3" s="1"/>
  <c r="S16" i="4" s="1"/>
  <c r="S107" i="2"/>
  <c r="T76" i="1"/>
  <c r="S116" i="2"/>
  <c r="S120" s="1"/>
  <c r="U121" s="1"/>
  <c r="Q112"/>
  <c r="Q113" s="1"/>
  <c r="P51"/>
  <c r="P5" i="3" s="1"/>
  <c r="P7" s="1"/>
  <c r="P9" s="1"/>
  <c r="R111" i="2"/>
  <c r="N24" i="3"/>
  <c r="N23"/>
  <c r="N22"/>
  <c r="Q46" i="2"/>
  <c r="Q49" s="1"/>
  <c r="O22" i="3"/>
  <c r="O21"/>
  <c r="N21"/>
  <c r="O23"/>
  <c r="M20"/>
  <c r="G19" i="6" s="1"/>
  <c r="Q4" i="3"/>
  <c r="H3" i="6" s="1"/>
  <c r="Q118" i="2"/>
  <c r="S39" i="1"/>
  <c r="R22" i="2"/>
  <c r="R37" s="1"/>
  <c r="R38" s="1"/>
  <c r="T66" i="1"/>
  <c r="S72" i="2"/>
  <c r="S32" i="1"/>
  <c r="R45" i="2"/>
  <c r="T27" i="1"/>
  <c r="S27" i="2"/>
  <c r="T29" i="1"/>
  <c r="T57" s="1"/>
  <c r="S24" i="2"/>
  <c r="S26" s="1"/>
  <c r="T34" i="1"/>
  <c r="S36" i="2"/>
  <c r="T30" i="1"/>
  <c r="T58" s="1"/>
  <c r="S39" i="2"/>
  <c r="S41" s="1"/>
  <c r="Q23"/>
  <c r="Q31" s="1"/>
  <c r="Q48" s="1"/>
  <c r="R29"/>
  <c r="R43"/>
  <c r="R44" s="1"/>
  <c r="T68" i="1"/>
  <c r="S73" i="2"/>
  <c r="S31" i="1"/>
  <c r="R30" i="2"/>
  <c r="Q64"/>
  <c r="Q63" s="1"/>
  <c r="Q69" s="1"/>
  <c r="S50" i="1"/>
  <c r="R54" i="2"/>
  <c r="T67" i="1"/>
  <c r="S71" i="2"/>
  <c r="T25" i="1"/>
  <c r="S18" i="2"/>
  <c r="S37" i="1"/>
  <c r="R19" i="2"/>
  <c r="R20" s="1"/>
  <c r="R64" s="1"/>
  <c r="R63" s="1"/>
  <c r="T53" i="1"/>
  <c r="S55" i="2"/>
  <c r="T6"/>
  <c r="T5"/>
  <c r="T28" i="1"/>
  <c r="T62" s="1"/>
  <c r="S42" i="2"/>
  <c r="S38" i="1"/>
  <c r="R34" i="2"/>
  <c r="R35" s="1"/>
  <c r="R67" s="1"/>
  <c r="R66" s="1"/>
  <c r="S57" i="1"/>
  <c r="S59" s="1"/>
  <c r="P69" i="2"/>
  <c r="S52" i="1"/>
  <c r="S110" i="2" s="1"/>
  <c r="R56"/>
  <c r="R57" s="1"/>
  <c r="T26" i="1"/>
  <c r="S33" i="2"/>
  <c r="T33" i="1"/>
  <c r="S21" i="2"/>
  <c r="S61" i="1"/>
  <c r="S63" s="1"/>
  <c r="T22"/>
  <c r="S9" i="2"/>
  <c r="S13" s="1"/>
  <c r="S21" i="1"/>
  <c r="R8" i="2"/>
  <c r="R12" s="1"/>
  <c r="R15" s="1"/>
  <c r="S43" i="1"/>
  <c r="S47" s="1"/>
  <c r="S28" i="2" s="1"/>
  <c r="S43" s="1"/>
  <c r="R45" i="1"/>
  <c r="U42"/>
  <c r="T44"/>
  <c r="P115" i="2" l="1"/>
  <c r="P119" s="1"/>
  <c r="P122" s="1"/>
  <c r="P123" s="1"/>
  <c r="P43" i="3" s="1"/>
  <c r="U11" i="1"/>
  <c r="U3" i="8" s="1"/>
  <c r="T3"/>
  <c r="R58" i="2"/>
  <c r="R60" s="1"/>
  <c r="R6" i="3" s="1"/>
  <c r="H72" i="6"/>
  <c r="N9" i="3"/>
  <c r="S34"/>
  <c r="T99" i="2"/>
  <c r="T105" s="1"/>
  <c r="T32" i="3" s="1"/>
  <c r="T107" i="2"/>
  <c r="T10" i="3" s="1"/>
  <c r="T6" i="4" s="1"/>
  <c r="O24" i="3"/>
  <c r="O20" s="1"/>
  <c r="R23" i="2"/>
  <c r="R31" s="1"/>
  <c r="R48" s="1"/>
  <c r="U76" i="1"/>
  <c r="U116" i="2" s="1"/>
  <c r="U120" s="1"/>
  <c r="T116"/>
  <c r="T120" s="1"/>
  <c r="R112"/>
  <c r="R113" s="1"/>
  <c r="S111"/>
  <c r="N20" i="3"/>
  <c r="R69" i="2"/>
  <c r="R75" s="1"/>
  <c r="R49" i="3" s="1"/>
  <c r="Q51" i="2"/>
  <c r="R4" i="3"/>
  <c r="R118" i="2"/>
  <c r="U107"/>
  <c r="U44" i="1"/>
  <c r="U46"/>
  <c r="U25" i="2" s="1"/>
  <c r="U40" s="1"/>
  <c r="U26" i="1"/>
  <c r="U33" i="2" s="1"/>
  <c r="T33"/>
  <c r="U34" i="1"/>
  <c r="U36" i="2" s="1"/>
  <c r="T36"/>
  <c r="T39" i="1"/>
  <c r="S22" i="2"/>
  <c r="S37" s="1"/>
  <c r="S38" s="1"/>
  <c r="R46"/>
  <c r="R49" s="1"/>
  <c r="T37" i="1"/>
  <c r="S19" i="2"/>
  <c r="S20" s="1"/>
  <c r="U68" i="1"/>
  <c r="U73" i="2" s="1"/>
  <c r="T73"/>
  <c r="U27" i="1"/>
  <c r="U27" i="2" s="1"/>
  <c r="T27"/>
  <c r="T50" i="1"/>
  <c r="S54" i="2"/>
  <c r="U53" i="1"/>
  <c r="U55" i="2" s="1"/>
  <c r="T55"/>
  <c r="U67" i="1"/>
  <c r="U71" i="2" s="1"/>
  <c r="T71"/>
  <c r="T31" i="1"/>
  <c r="S30" i="2"/>
  <c r="S29"/>
  <c r="P77"/>
  <c r="P42" i="3" s="1"/>
  <c r="P76" i="2"/>
  <c r="P41" i="3" s="1"/>
  <c r="P75" i="2"/>
  <c r="P49" i="3" s="1"/>
  <c r="U30" i="1"/>
  <c r="U39" i="2" s="1"/>
  <c r="T39"/>
  <c r="T41" s="1"/>
  <c r="U29" i="1"/>
  <c r="U24" i="2" s="1"/>
  <c r="T24"/>
  <c r="T26" s="1"/>
  <c r="U66" i="1"/>
  <c r="U72" i="2" s="1"/>
  <c r="T72"/>
  <c r="U25" i="1"/>
  <c r="U18" i="2" s="1"/>
  <c r="T18"/>
  <c r="Q77"/>
  <c r="Q42" i="3" s="1"/>
  <c r="H41" i="6" s="1"/>
  <c r="H73" s="1"/>
  <c r="Q76" i="2"/>
  <c r="Q41" i="3" s="1"/>
  <c r="H40" i="6" s="1"/>
  <c r="H74" s="1"/>
  <c r="Q75" i="2"/>
  <c r="Q49" i="3" s="1"/>
  <c r="H48" i="6" s="1"/>
  <c r="H75" s="1"/>
  <c r="T59" i="1"/>
  <c r="U5" i="2"/>
  <c r="U61" i="1"/>
  <c r="U33"/>
  <c r="U21" i="2" s="1"/>
  <c r="T21"/>
  <c r="T52" i="1"/>
  <c r="T110" i="2" s="1"/>
  <c r="S56"/>
  <c r="S57" s="1"/>
  <c r="T32" i="1"/>
  <c r="S45" i="2"/>
  <c r="S44"/>
  <c r="T61" i="1"/>
  <c r="T63" s="1"/>
  <c r="T38"/>
  <c r="S34" i="2"/>
  <c r="S35" s="1"/>
  <c r="S67" s="1"/>
  <c r="S66" s="1"/>
  <c r="U28" i="1"/>
  <c r="U42" i="2" s="1"/>
  <c r="T42"/>
  <c r="U6"/>
  <c r="S23"/>
  <c r="U22" i="1"/>
  <c r="U9" i="2" s="1"/>
  <c r="T9"/>
  <c r="T13" s="1"/>
  <c r="T21" i="1"/>
  <c r="S8" i="2"/>
  <c r="S12" s="1"/>
  <c r="S15" s="1"/>
  <c r="T43" i="1"/>
  <c r="T47" s="1"/>
  <c r="T28" i="2" s="1"/>
  <c r="T43" s="1"/>
  <c r="S45" i="1"/>
  <c r="S58" i="2" l="1"/>
  <c r="S60" s="1"/>
  <c r="S6" i="3" s="1"/>
  <c r="T34"/>
  <c r="T16" i="4"/>
  <c r="P24" i="3"/>
  <c r="U13" i="2"/>
  <c r="U26"/>
  <c r="T44"/>
  <c r="S112"/>
  <c r="S113" s="1"/>
  <c r="U57" i="1"/>
  <c r="U58"/>
  <c r="T111" i="2"/>
  <c r="R22" i="3"/>
  <c r="Q21"/>
  <c r="Q22"/>
  <c r="P23"/>
  <c r="Q23"/>
  <c r="P21"/>
  <c r="Q5"/>
  <c r="Q115" i="2"/>
  <c r="Q119" s="1"/>
  <c r="Q122" s="1"/>
  <c r="Q123" s="1"/>
  <c r="Q43" i="3" s="1"/>
  <c r="H42" i="6" s="1"/>
  <c r="R76" i="2"/>
  <c r="R41" i="3" s="1"/>
  <c r="R51" i="2"/>
  <c r="R77"/>
  <c r="R42" i="3" s="1"/>
  <c r="P22"/>
  <c r="U41" i="2"/>
  <c r="S4" i="3"/>
  <c r="S118" i="2"/>
  <c r="U32" i="1"/>
  <c r="U45" i="2" s="1"/>
  <c r="T45"/>
  <c r="U50" i="1"/>
  <c r="U54" i="2" s="1"/>
  <c r="T54"/>
  <c r="T38"/>
  <c r="U39" i="1"/>
  <c r="U22" i="2" s="1"/>
  <c r="U37" s="1"/>
  <c r="U38" s="1"/>
  <c r="T22"/>
  <c r="T37" s="1"/>
  <c r="S46"/>
  <c r="S49" s="1"/>
  <c r="U62" i="1"/>
  <c r="U63" s="1"/>
  <c r="S64" i="2"/>
  <c r="S63" s="1"/>
  <c r="S69" s="1"/>
  <c r="S31"/>
  <c r="S48" s="1"/>
  <c r="U37" i="1"/>
  <c r="U19" i="2" s="1"/>
  <c r="U20" s="1"/>
  <c r="T19"/>
  <c r="T20" s="1"/>
  <c r="U38" i="1"/>
  <c r="U34" i="2" s="1"/>
  <c r="U35" s="1"/>
  <c r="T34"/>
  <c r="T35" s="1"/>
  <c r="U52" i="1"/>
  <c r="T56" i="2"/>
  <c r="T57" s="1"/>
  <c r="T29"/>
  <c r="U31" i="1"/>
  <c r="U30" i="2" s="1"/>
  <c r="T30"/>
  <c r="U21" i="1"/>
  <c r="U8" i="2" s="1"/>
  <c r="U12" s="1"/>
  <c r="T8"/>
  <c r="T12" s="1"/>
  <c r="T15" s="1"/>
  <c r="U43" i="1"/>
  <c r="T45"/>
  <c r="T58" i="2" l="1"/>
  <c r="T60" s="1"/>
  <c r="T6" i="3" s="1"/>
  <c r="U59" i="1"/>
  <c r="U111" i="2" s="1"/>
  <c r="H21" i="6"/>
  <c r="H22"/>
  <c r="H20"/>
  <c r="Q7" i="3"/>
  <c r="H4" i="6"/>
  <c r="U15" i="2"/>
  <c r="U4" i="3" s="1"/>
  <c r="T112" i="2"/>
  <c r="T113" s="1"/>
  <c r="U56"/>
  <c r="U57" s="1"/>
  <c r="U58" s="1"/>
  <c r="U110"/>
  <c r="R23" i="3"/>
  <c r="P20"/>
  <c r="R5"/>
  <c r="R115" i="2"/>
  <c r="R119" s="1"/>
  <c r="R122" s="1"/>
  <c r="R123" s="1"/>
  <c r="R43" i="3" s="1"/>
  <c r="T23" i="2"/>
  <c r="T31" s="1"/>
  <c r="T48" s="1"/>
  <c r="Q24" i="3"/>
  <c r="R21"/>
  <c r="U23" i="2"/>
  <c r="T4" i="3"/>
  <c r="I3" i="6" s="1"/>
  <c r="T118" i="2"/>
  <c r="U32" i="3"/>
  <c r="U16" i="4" s="1"/>
  <c r="T64" i="2"/>
  <c r="T63" s="1"/>
  <c r="U67"/>
  <c r="U66" s="1"/>
  <c r="S75"/>
  <c r="S49" i="3" s="1"/>
  <c r="S77" i="2"/>
  <c r="S42" i="3" s="1"/>
  <c r="S76" i="2"/>
  <c r="S41" i="3" s="1"/>
  <c r="S51" i="2"/>
  <c r="U45" i="1"/>
  <c r="U47"/>
  <c r="U28" i="2" s="1"/>
  <c r="U64"/>
  <c r="U63" s="1"/>
  <c r="T67"/>
  <c r="T66" s="1"/>
  <c r="T46"/>
  <c r="T49" s="1"/>
  <c r="I10" i="3"/>
  <c r="I6" i="4" s="1"/>
  <c r="U60" i="2" l="1"/>
  <c r="U6" i="3" s="1"/>
  <c r="I5" i="6" s="1"/>
  <c r="Q20" i="3"/>
  <c r="H19" i="6" s="1"/>
  <c r="H23"/>
  <c r="I72"/>
  <c r="Q9" i="3"/>
  <c r="H8" i="6" s="1"/>
  <c r="H61" s="1"/>
  <c r="H6"/>
  <c r="R7" i="3"/>
  <c r="U34"/>
  <c r="I33" i="6" s="1"/>
  <c r="I31"/>
  <c r="I11" i="3"/>
  <c r="I58"/>
  <c r="I39" i="8" s="1"/>
  <c r="U118" i="2"/>
  <c r="U112"/>
  <c r="U113" s="1"/>
  <c r="S23" i="3"/>
  <c r="S21"/>
  <c r="S5"/>
  <c r="S7" s="1"/>
  <c r="S9" s="1"/>
  <c r="S115" i="2"/>
  <c r="S119" s="1"/>
  <c r="S122" s="1"/>
  <c r="S123" s="1"/>
  <c r="S43" i="3" s="1"/>
  <c r="T69" i="2"/>
  <c r="T76" s="1"/>
  <c r="T41" i="3" s="1"/>
  <c r="S22"/>
  <c r="R24"/>
  <c r="T51" i="2"/>
  <c r="U43"/>
  <c r="U44" s="1"/>
  <c r="U46" s="1"/>
  <c r="U49" s="1"/>
  <c r="U29"/>
  <c r="U31" s="1"/>
  <c r="U48" s="1"/>
  <c r="U69"/>
  <c r="K10" i="3"/>
  <c r="K6" i="4" s="1"/>
  <c r="J10" i="3"/>
  <c r="J6" i="4" s="1"/>
  <c r="R20" i="3" l="1"/>
  <c r="R9"/>
  <c r="K11"/>
  <c r="K58"/>
  <c r="K39" i="8" s="1"/>
  <c r="J11" i="3"/>
  <c r="J58"/>
  <c r="J39" i="8" s="1"/>
  <c r="U51" i="2"/>
  <c r="U115" s="1"/>
  <c r="U119" s="1"/>
  <c r="U122" s="1"/>
  <c r="T75"/>
  <c r="T49" i="3" s="1"/>
  <c r="T77" i="2"/>
  <c r="S24" i="3"/>
  <c r="S20" s="1"/>
  <c r="T5"/>
  <c r="T115" i="2"/>
  <c r="T119" s="1"/>
  <c r="T122" s="1"/>
  <c r="T123" s="1"/>
  <c r="T43" i="3" s="1"/>
  <c r="T21"/>
  <c r="U76" i="2"/>
  <c r="U41" i="3" s="1"/>
  <c r="I40" i="6" s="1"/>
  <c r="I74" s="1"/>
  <c r="U77" i="2"/>
  <c r="U42" i="3" s="1"/>
  <c r="I41" i="6" s="1"/>
  <c r="I73" s="1"/>
  <c r="U75" i="2"/>
  <c r="U49" i="3" s="1"/>
  <c r="I48" i="6" s="1"/>
  <c r="I75" s="1"/>
  <c r="L10" i="3"/>
  <c r="L6" i="4" s="1"/>
  <c r="I20" i="6" l="1"/>
  <c r="T7" i="3"/>
  <c r="L11"/>
  <c r="L58"/>
  <c r="L39" i="8" s="1"/>
  <c r="L61" i="3"/>
  <c r="L42" i="8" s="1"/>
  <c r="T23" i="3"/>
  <c r="T42"/>
  <c r="U5"/>
  <c r="U7" s="1"/>
  <c r="U9" s="1"/>
  <c r="T22"/>
  <c r="I21" i="6" s="1"/>
  <c r="U22" i="3"/>
  <c r="F21" i="6" s="1"/>
  <c r="U123" i="2"/>
  <c r="U43" i="3" s="1"/>
  <c r="I42" i="6" s="1"/>
  <c r="T24" i="3"/>
  <c r="U23"/>
  <c r="F22" i="6" s="1"/>
  <c r="U21" i="3"/>
  <c r="M10"/>
  <c r="M6" i="4" s="1"/>
  <c r="C66" l="1"/>
  <c r="C67" s="1"/>
  <c r="C78" s="1"/>
  <c r="C51" i="8" s="1"/>
  <c r="I4" i="6"/>
  <c r="I23"/>
  <c r="T9" i="3"/>
  <c r="I6" i="6"/>
  <c r="I22"/>
  <c r="M11" i="3"/>
  <c r="G10" i="6" s="1"/>
  <c r="M58" i="3"/>
  <c r="M39" i="8" s="1"/>
  <c r="G9" i="6"/>
  <c r="M61" i="3"/>
  <c r="M42" i="8" s="1"/>
  <c r="T20" i="3"/>
  <c r="I19" i="6" s="1"/>
  <c r="U24" i="3"/>
  <c r="U20" s="1"/>
  <c r="N10"/>
  <c r="N6" i="4" s="1"/>
  <c r="C69" l="1"/>
  <c r="C74" s="1"/>
  <c r="C47" i="8" s="1"/>
  <c r="T11" i="3"/>
  <c r="T58"/>
  <c r="T39" i="8" s="1"/>
  <c r="I8" i="6"/>
  <c r="I61" s="1"/>
  <c r="G81"/>
  <c r="G60"/>
  <c r="N11" i="3"/>
  <c r="N58"/>
  <c r="N39" i="8" s="1"/>
  <c r="N61" i="3"/>
  <c r="N42" i="8" s="1"/>
  <c r="O10" i="3"/>
  <c r="O6" i="4" s="1"/>
  <c r="O11" i="3" l="1"/>
  <c r="O58"/>
  <c r="O39" i="8" s="1"/>
  <c r="O61" i="3"/>
  <c r="O42" i="8" s="1"/>
  <c r="P10" i="3"/>
  <c r="P6" i="4" s="1"/>
  <c r="P11" i="3" l="1"/>
  <c r="P58"/>
  <c r="P39" i="8" s="1"/>
  <c r="P61" i="3"/>
  <c r="P42" i="8" s="1"/>
  <c r="H9" i="6"/>
  <c r="Q10" i="3"/>
  <c r="Q6" i="4" s="1"/>
  <c r="Q11" i="3" l="1"/>
  <c r="H10" i="6" s="1"/>
  <c r="Q58" i="3"/>
  <c r="Q39" i="8" s="1"/>
  <c r="Q61" i="3"/>
  <c r="Q42" i="8" s="1"/>
  <c r="R61" i="3"/>
  <c r="R42" i="8" s="1"/>
  <c r="R10" i="3"/>
  <c r="R6" i="4" s="1"/>
  <c r="H81" i="6" l="1"/>
  <c r="H60"/>
  <c r="R11" i="3"/>
  <c r="R58"/>
  <c r="R39" i="8" s="1"/>
  <c r="S10" i="3"/>
  <c r="S61" l="1"/>
  <c r="S42" i="8" s="1"/>
  <c r="S6" i="4"/>
  <c r="S11" i="3"/>
  <c r="S58"/>
  <c r="S39" i="8" s="1"/>
  <c r="T61" i="3"/>
  <c r="T42" i="8" s="1"/>
  <c r="U10" i="3"/>
  <c r="U6" i="4" s="1"/>
  <c r="U11" i="3" l="1"/>
  <c r="I10" i="6" s="1"/>
  <c r="U61" i="3"/>
  <c r="U42" i="8" s="1"/>
  <c r="I9" i="6"/>
  <c r="G107" i="2"/>
  <c r="G10" i="3" s="1"/>
  <c r="G6" i="4" s="1"/>
  <c r="I81" i="6" l="1"/>
  <c r="I60"/>
  <c r="G11" i="3"/>
  <c r="G12" s="1"/>
  <c r="G58"/>
  <c r="G39" i="8" s="1"/>
  <c r="H32" i="3"/>
  <c r="H16" i="4" s="1"/>
  <c r="G13" i="3" l="1"/>
  <c r="H34"/>
  <c r="K61"/>
  <c r="K42" i="8" s="1"/>
  <c r="H107" i="2"/>
  <c r="H10" i="3" s="1"/>
  <c r="H6" i="4" s="1"/>
  <c r="G47" i="3" l="1"/>
  <c r="H11"/>
  <c r="F10" i="6" s="1"/>
  <c r="H58" i="3"/>
  <c r="H39" i="8" s="1"/>
  <c r="F9" i="6"/>
  <c r="G17" i="3"/>
  <c r="H12" l="1"/>
  <c r="H13" s="1"/>
  <c r="G22" i="4"/>
  <c r="F81" i="6"/>
  <c r="F60"/>
  <c r="G25" i="3"/>
  <c r="G5" i="4" s="1"/>
  <c r="G4" l="1"/>
  <c r="G13"/>
  <c r="H47" i="3"/>
  <c r="H17"/>
  <c r="H25" s="1"/>
  <c r="H5" i="4" s="1"/>
  <c r="I12" i="3" l="1"/>
  <c r="I13" s="1"/>
  <c r="I17" s="1"/>
  <c r="F16" i="6" s="1"/>
  <c r="H22" i="4"/>
  <c r="H13"/>
  <c r="H12" s="1"/>
  <c r="H19" s="1"/>
  <c r="H4"/>
  <c r="H36" i="3"/>
  <c r="F11" i="6" l="1"/>
  <c r="I47" i="3"/>
  <c r="F12" i="6"/>
  <c r="I25" i="3"/>
  <c r="I5" i="4" s="1"/>
  <c r="F46" i="6" l="1"/>
  <c r="I22" i="4"/>
  <c r="I4"/>
  <c r="I13"/>
  <c r="I12" s="1"/>
  <c r="I19" s="1"/>
  <c r="F56" i="6"/>
  <c r="F54"/>
  <c r="F59"/>
  <c r="J12" i="3"/>
  <c r="I36"/>
  <c r="F24" i="6"/>
  <c r="I60" i="3"/>
  <c r="I41" i="8" s="1"/>
  <c r="J13" i="3" l="1"/>
  <c r="J47" l="1"/>
  <c r="J17"/>
  <c r="K12" l="1"/>
  <c r="K13" s="1"/>
  <c r="J22" i="4"/>
  <c r="J25" i="3"/>
  <c r="J5" i="4" s="1"/>
  <c r="J13" l="1"/>
  <c r="J12" s="1"/>
  <c r="J19" s="1"/>
  <c r="J4"/>
  <c r="K47" i="3"/>
  <c r="K17"/>
  <c r="J36"/>
  <c r="J60"/>
  <c r="J41" i="8" s="1"/>
  <c r="L12" i="3" l="1"/>
  <c r="L13" s="1"/>
  <c r="K22" i="4"/>
  <c r="K25" i="3"/>
  <c r="K5" i="4" s="1"/>
  <c r="K4" l="1"/>
  <c r="K13"/>
  <c r="K12" s="1"/>
  <c r="K19" s="1"/>
  <c r="L47" i="3"/>
  <c r="L17"/>
  <c r="K36"/>
  <c r="K60"/>
  <c r="K59" l="1"/>
  <c r="K40" i="8" s="1"/>
  <c r="K41"/>
  <c r="M12" i="3"/>
  <c r="M13" s="1"/>
  <c r="L22" i="4"/>
  <c r="L25" i="3"/>
  <c r="L5" i="4" s="1"/>
  <c r="G11" i="6" l="1"/>
  <c r="L13" i="4"/>
  <c r="L12" s="1"/>
  <c r="L19" s="1"/>
  <c r="L4"/>
  <c r="M47" i="3"/>
  <c r="M22" i="4" s="1"/>
  <c r="G12" i="6"/>
  <c r="M17" i="3"/>
  <c r="L36"/>
  <c r="L60"/>
  <c r="L59" l="1"/>
  <c r="L40" i="8" s="1"/>
  <c r="L41"/>
  <c r="G46" i="6"/>
  <c r="N12" i="3"/>
  <c r="G56" i="6"/>
  <c r="G59"/>
  <c r="G54"/>
  <c r="M25" i="3"/>
  <c r="M5" i="4" s="1"/>
  <c r="G16" i="6"/>
  <c r="M13" i="4" l="1"/>
  <c r="M12" s="1"/>
  <c r="M19" s="1"/>
  <c r="M4"/>
  <c r="N13" i="3"/>
  <c r="M36"/>
  <c r="G24" i="6"/>
  <c r="M60" i="3"/>
  <c r="M59" l="1"/>
  <c r="M40" i="8" s="1"/>
  <c r="M41"/>
  <c r="N47" i="3"/>
  <c r="N17"/>
  <c r="O12" l="1"/>
  <c r="O13" s="1"/>
  <c r="N22" i="4"/>
  <c r="N25" i="3"/>
  <c r="N5" i="4" s="1"/>
  <c r="N4" l="1"/>
  <c r="N13"/>
  <c r="N12" s="1"/>
  <c r="N19" s="1"/>
  <c r="O47" i="3"/>
  <c r="O17"/>
  <c r="N36"/>
  <c r="N60"/>
  <c r="N59" l="1"/>
  <c r="N40" i="8" s="1"/>
  <c r="N41"/>
  <c r="P12" i="3"/>
  <c r="P13" s="1"/>
  <c r="O22" i="4"/>
  <c r="O25" i="3"/>
  <c r="O5" i="4" s="1"/>
  <c r="O13" l="1"/>
  <c r="O12" s="1"/>
  <c r="O19" s="1"/>
  <c r="O4"/>
  <c r="P47" i="3"/>
  <c r="P17"/>
  <c r="O36"/>
  <c r="O60"/>
  <c r="O59" l="1"/>
  <c r="O40" i="8" s="1"/>
  <c r="O41"/>
  <c r="Q12" i="3"/>
  <c r="Q13" s="1"/>
  <c r="P22" i="4"/>
  <c r="P25" i="3"/>
  <c r="P5" i="4" s="1"/>
  <c r="H11" i="6" l="1"/>
  <c r="P13" i="4"/>
  <c r="P12" s="1"/>
  <c r="P19" s="1"/>
  <c r="P4"/>
  <c r="Q47" i="3"/>
  <c r="Q22" i="4" s="1"/>
  <c r="Q17" i="3"/>
  <c r="H12" i="6"/>
  <c r="P36" i="3"/>
  <c r="P60"/>
  <c r="P59" l="1"/>
  <c r="P40" i="8" s="1"/>
  <c r="P41"/>
  <c r="H46" i="6"/>
  <c r="R12" i="3"/>
  <c r="Q25"/>
  <c r="Q5" i="4" s="1"/>
  <c r="H16" i="6"/>
  <c r="H56"/>
  <c r="H59"/>
  <c r="H54"/>
  <c r="Q13" i="4" l="1"/>
  <c r="Q12" s="1"/>
  <c r="Q19" s="1"/>
  <c r="Q4"/>
  <c r="R13" i="3"/>
  <c r="Q36"/>
  <c r="H24" i="6"/>
  <c r="Q60" i="3"/>
  <c r="Q59" l="1"/>
  <c r="Q40" i="8" s="1"/>
  <c r="Q41"/>
  <c r="R47" i="3"/>
  <c r="R17"/>
  <c r="S12" l="1"/>
  <c r="S13" s="1"/>
  <c r="R22" i="4"/>
  <c r="R25" i="3"/>
  <c r="R5" i="4" s="1"/>
  <c r="R4" l="1"/>
  <c r="R13"/>
  <c r="S47" i="3"/>
  <c r="S17"/>
  <c r="R36"/>
  <c r="R60"/>
  <c r="R59" l="1"/>
  <c r="R40" i="8" s="1"/>
  <c r="R41"/>
  <c r="R12" i="4"/>
  <c r="R19" s="1"/>
  <c r="T12" i="3"/>
  <c r="T13" s="1"/>
  <c r="S22" i="4"/>
  <c r="S25" i="3"/>
  <c r="S5" i="4" s="1"/>
  <c r="G32" i="3"/>
  <c r="G16" i="4" s="1"/>
  <c r="G12" s="1"/>
  <c r="G19" s="1"/>
  <c r="G101" i="2"/>
  <c r="S4" i="4" l="1"/>
  <c r="S13"/>
  <c r="T47" i="3"/>
  <c r="T17"/>
  <c r="S36"/>
  <c r="S60"/>
  <c r="G44"/>
  <c r="H44" s="1"/>
  <c r="I44" s="1"/>
  <c r="F31" i="6"/>
  <c r="I61" i="3"/>
  <c r="J61"/>
  <c r="G48"/>
  <c r="G34"/>
  <c r="J59" l="1"/>
  <c r="J40" i="8" s="1"/>
  <c r="J42"/>
  <c r="I59" i="3"/>
  <c r="I40" i="8" s="1"/>
  <c r="I42"/>
  <c r="S59" i="3"/>
  <c r="S40" i="8" s="1"/>
  <c r="S41"/>
  <c r="G55" i="3"/>
  <c r="G36" i="8" s="1"/>
  <c r="G23" i="4"/>
  <c r="S12"/>
  <c r="S19" s="1"/>
  <c r="U12" i="3"/>
  <c r="U13" s="1"/>
  <c r="T22" i="4"/>
  <c r="G50" i="3"/>
  <c r="J44"/>
  <c r="F43" i="6"/>
  <c r="T25" i="3"/>
  <c r="T5" i="4" s="1"/>
  <c r="G36" i="3"/>
  <c r="F35" i="6" s="1"/>
  <c r="F33"/>
  <c r="G45" i="3"/>
  <c r="H101" i="2"/>
  <c r="I11" i="6" l="1"/>
  <c r="G24" i="4"/>
  <c r="G26" s="1"/>
  <c r="T13"/>
  <c r="T4"/>
  <c r="G51" i="3"/>
  <c r="K44"/>
  <c r="U47"/>
  <c r="U17"/>
  <c r="I12" i="6"/>
  <c r="T36" i="3"/>
  <c r="T60"/>
  <c r="H48"/>
  <c r="H45"/>
  <c r="I101" i="2"/>
  <c r="T59" i="3" l="1"/>
  <c r="T40" i="8" s="1"/>
  <c r="T41"/>
  <c r="G27" i="4"/>
  <c r="G21" s="1"/>
  <c r="G9" s="1"/>
  <c r="G10" s="1"/>
  <c r="H55" i="3"/>
  <c r="H36" i="8" s="1"/>
  <c r="H23" i="4"/>
  <c r="H24" s="1"/>
  <c r="I46" i="6"/>
  <c r="U22" i="4"/>
  <c r="T12"/>
  <c r="T19" s="1"/>
  <c r="H50" i="3"/>
  <c r="H51" s="1"/>
  <c r="L44"/>
  <c r="I56" i="6"/>
  <c r="I59"/>
  <c r="I54"/>
  <c r="U25" i="3"/>
  <c r="U5" i="4" s="1"/>
  <c r="I16" i="6"/>
  <c r="I48" i="3"/>
  <c r="I23" i="4" s="1"/>
  <c r="I45" i="3"/>
  <c r="F44" i="6" s="1"/>
  <c r="J101" i="2"/>
  <c r="H27" i="4" l="1"/>
  <c r="H26"/>
  <c r="I24"/>
  <c r="I26" s="1"/>
  <c r="U13"/>
  <c r="U4"/>
  <c r="I50" i="3"/>
  <c r="F49" i="6" s="1"/>
  <c r="F50" s="1"/>
  <c r="I55" i="3"/>
  <c r="I36" i="8" s="1"/>
  <c r="F47" i="6"/>
  <c r="I56" i="3"/>
  <c r="I37" i="8" s="1"/>
  <c r="I57" i="3"/>
  <c r="I38" i="8" s="1"/>
  <c r="M44" i="3"/>
  <c r="F63" i="6"/>
  <c r="F71"/>
  <c r="F62"/>
  <c r="F55"/>
  <c r="U36" i="3"/>
  <c r="U60"/>
  <c r="I24" i="6"/>
  <c r="J48" i="3"/>
  <c r="J45"/>
  <c r="K101" i="2"/>
  <c r="I27" i="4" l="1"/>
  <c r="I21" s="1"/>
  <c r="I9" s="1"/>
  <c r="I10" s="1"/>
  <c r="U59" i="3"/>
  <c r="U40" i="8" s="1"/>
  <c r="U41"/>
  <c r="J50" i="3"/>
  <c r="J51" s="1"/>
  <c r="J23" i="4"/>
  <c r="H21"/>
  <c r="H9" s="1"/>
  <c r="H10" s="1"/>
  <c r="U12"/>
  <c r="U19" s="1"/>
  <c r="C42" s="1"/>
  <c r="C43"/>
  <c r="C44" s="1"/>
  <c r="J56" i="3"/>
  <c r="J37" i="8" s="1"/>
  <c r="J55" i="3"/>
  <c r="J36" i="8" s="1"/>
  <c r="J57" i="3"/>
  <c r="J38" i="8" s="1"/>
  <c r="F79" i="6"/>
  <c r="F78"/>
  <c r="F67"/>
  <c r="F80"/>
  <c r="F66"/>
  <c r="F68"/>
  <c r="I51" i="3"/>
  <c r="F58" i="6"/>
  <c r="G35"/>
  <c r="H35"/>
  <c r="I35"/>
  <c r="N44" i="3"/>
  <c r="G43" i="6"/>
  <c r="K48" i="3"/>
  <c r="K23" i="4" s="1"/>
  <c r="K45" i="3"/>
  <c r="L101" i="2"/>
  <c r="K24" i="4" l="1"/>
  <c r="K26" s="1"/>
  <c r="J24"/>
  <c r="J26" s="1"/>
  <c r="K50" i="3"/>
  <c r="K51" s="1"/>
  <c r="C45" i="4"/>
  <c r="K56" i="3"/>
  <c r="K37" i="8" s="1"/>
  <c r="K55" i="3"/>
  <c r="K36" i="8" s="1"/>
  <c r="K57" i="3"/>
  <c r="K38" i="8" s="1"/>
  <c r="O44" i="3"/>
  <c r="L48"/>
  <c r="L23" i="4" s="1"/>
  <c r="L45" i="3"/>
  <c r="M101" i="2"/>
  <c r="L50" i="3" l="1"/>
  <c r="L51" s="1"/>
  <c r="K27" i="4"/>
  <c r="K21" s="1"/>
  <c r="J27"/>
  <c r="J21" s="1"/>
  <c r="J9" s="1"/>
  <c r="J10" s="1"/>
  <c r="L24"/>
  <c r="L26" s="1"/>
  <c r="C47"/>
  <c r="C79" s="1"/>
  <c r="C52" i="8" s="1"/>
  <c r="C75" i="4"/>
  <c r="C48" i="8" s="1"/>
  <c r="L56" i="3"/>
  <c r="L37" i="8" s="1"/>
  <c r="L55" i="3"/>
  <c r="L36" i="8" s="1"/>
  <c r="L57" i="3"/>
  <c r="L38" i="8" s="1"/>
  <c r="P44" i="3"/>
  <c r="M48"/>
  <c r="M45"/>
  <c r="G44" i="6" s="1"/>
  <c r="N101" i="2"/>
  <c r="K9" i="4" l="1"/>
  <c r="K10" s="1"/>
  <c r="L27"/>
  <c r="L21" s="1"/>
  <c r="M50" i="3"/>
  <c r="G49" i="6" s="1"/>
  <c r="G50" s="1"/>
  <c r="M23" i="4"/>
  <c r="M24" s="1"/>
  <c r="G47" i="6"/>
  <c r="M56" i="3"/>
  <c r="M37" i="8" s="1"/>
  <c r="M55" i="3"/>
  <c r="M36" i="8" s="1"/>
  <c r="M57" i="3"/>
  <c r="M38" i="8" s="1"/>
  <c r="Q44" i="3"/>
  <c r="G63" i="6"/>
  <c r="G55"/>
  <c r="G62"/>
  <c r="G71"/>
  <c r="N48" i="3"/>
  <c r="N23" i="4" s="1"/>
  <c r="N24" s="1"/>
  <c r="N45" i="3"/>
  <c r="O101" i="2"/>
  <c r="N50" i="3" l="1"/>
  <c r="N51" s="1"/>
  <c r="L9" i="4"/>
  <c r="L10" s="1"/>
  <c r="N27"/>
  <c r="N26"/>
  <c r="M27"/>
  <c r="M26"/>
  <c r="M51" i="3"/>
  <c r="G79" i="6"/>
  <c r="G78"/>
  <c r="G80"/>
  <c r="G66"/>
  <c r="G68"/>
  <c r="G67"/>
  <c r="N56" i="3"/>
  <c r="N37" i="8" s="1"/>
  <c r="N55" i="3"/>
  <c r="N36" i="8" s="1"/>
  <c r="N57" i="3"/>
  <c r="N38" i="8" s="1"/>
  <c r="G58" i="6"/>
  <c r="R44" i="3"/>
  <c r="H43" i="6"/>
  <c r="O48" i="3"/>
  <c r="O45"/>
  <c r="P101" i="2"/>
  <c r="N21" i="4" l="1"/>
  <c r="N9" s="1"/>
  <c r="N10" s="1"/>
  <c r="O50" i="3"/>
  <c r="O51" s="1"/>
  <c r="O23" i="4"/>
  <c r="O24" s="1"/>
  <c r="M21"/>
  <c r="M9" s="1"/>
  <c r="M10" s="1"/>
  <c r="O56" i="3"/>
  <c r="O37" i="8" s="1"/>
  <c r="O55" i="3"/>
  <c r="O36" i="8" s="1"/>
  <c r="O57" i="3"/>
  <c r="O38" i="8" s="1"/>
  <c r="S44" i="3"/>
  <c r="P48"/>
  <c r="P45"/>
  <c r="Q101" i="2"/>
  <c r="O27" i="4" l="1"/>
  <c r="O26"/>
  <c r="P50" i="3"/>
  <c r="P23" i="4"/>
  <c r="P24" s="1"/>
  <c r="P56" i="3"/>
  <c r="P37" i="8" s="1"/>
  <c r="P55" i="3"/>
  <c r="P36" i="8" s="1"/>
  <c r="P57" i="3"/>
  <c r="P38" i="8" s="1"/>
  <c r="T44" i="3"/>
  <c r="P51"/>
  <c r="Q48"/>
  <c r="Q23" i="4" s="1"/>
  <c r="Q45" i="3"/>
  <c r="H44" i="6" s="1"/>
  <c r="R101" i="2"/>
  <c r="Q50" i="3" l="1"/>
  <c r="H49" i="6" s="1"/>
  <c r="H50" s="1"/>
  <c r="O21" i="4"/>
  <c r="O9" s="1"/>
  <c r="O10" s="1"/>
  <c r="Q24"/>
  <c r="Q26" s="1"/>
  <c r="P27"/>
  <c r="P26"/>
  <c r="Q56" i="3"/>
  <c r="Q37" i="8" s="1"/>
  <c r="Q55" i="3"/>
  <c r="Q36" i="8" s="1"/>
  <c r="H47" i="6"/>
  <c r="Q57" i="3"/>
  <c r="Q38" i="8" s="1"/>
  <c r="U44" i="3"/>
  <c r="H71" i="6"/>
  <c r="H63"/>
  <c r="H55"/>
  <c r="H62"/>
  <c r="R48" i="3"/>
  <c r="R23" i="4" s="1"/>
  <c r="R45" i="3"/>
  <c r="S101" i="2"/>
  <c r="Q51" i="3" l="1"/>
  <c r="Q27" i="4"/>
  <c r="Q21" s="1"/>
  <c r="Q9" s="1"/>
  <c r="Q10" s="1"/>
  <c r="R24"/>
  <c r="R26" s="1"/>
  <c r="P21"/>
  <c r="P9" s="1"/>
  <c r="P10" s="1"/>
  <c r="R56" i="3"/>
  <c r="R37" i="8" s="1"/>
  <c r="R55" i="3"/>
  <c r="R36" i="8" s="1"/>
  <c r="R57" i="3"/>
  <c r="R38" i="8" s="1"/>
  <c r="H79" i="6"/>
  <c r="H78"/>
  <c r="H67"/>
  <c r="H80"/>
  <c r="H66"/>
  <c r="H68"/>
  <c r="R50" i="3"/>
  <c r="R51" s="1"/>
  <c r="H58" i="6"/>
  <c r="I43"/>
  <c r="S48" i="3"/>
  <c r="S23" i="4" s="1"/>
  <c r="S24" s="1"/>
  <c r="S45" i="3"/>
  <c r="T101" i="2"/>
  <c r="U101"/>
  <c r="S50" i="3" l="1"/>
  <c r="S51" s="1"/>
  <c r="R27" i="4"/>
  <c r="R21" s="1"/>
  <c r="R9" s="1"/>
  <c r="R10" s="1"/>
  <c r="S27"/>
  <c r="S26"/>
  <c r="S56" i="3"/>
  <c r="S37" i="8" s="1"/>
  <c r="S55" i="3"/>
  <c r="S36" i="8" s="1"/>
  <c r="S57" i="3"/>
  <c r="S38" i="8" s="1"/>
  <c r="T48" i="3"/>
  <c r="T23" i="4" s="1"/>
  <c r="T24" s="1"/>
  <c r="U48" i="3"/>
  <c r="U23" i="4" s="1"/>
  <c r="T45" i="3"/>
  <c r="U45"/>
  <c r="I44" i="6" s="1"/>
  <c r="S21" i="4" l="1"/>
  <c r="S9" s="1"/>
  <c r="S10" s="1"/>
  <c r="T27"/>
  <c r="T26"/>
  <c r="U27"/>
  <c r="U24"/>
  <c r="U26" s="1"/>
  <c r="T56" i="3"/>
  <c r="T37" i="8" s="1"/>
  <c r="T55" i="3"/>
  <c r="T36" i="8" s="1"/>
  <c r="T57" i="3"/>
  <c r="T38" i="8" s="1"/>
  <c r="U56" i="3"/>
  <c r="U37" i="8" s="1"/>
  <c r="U55" i="3"/>
  <c r="I47" i="6"/>
  <c r="U57" i="3"/>
  <c r="U38" i="8" s="1"/>
  <c r="U50" i="3"/>
  <c r="I49" i="6" s="1"/>
  <c r="I50" s="1"/>
  <c r="T50" i="3"/>
  <c r="T51" s="1"/>
  <c r="I63" i="6"/>
  <c r="I55"/>
  <c r="I62"/>
  <c r="I71"/>
  <c r="T21" i="4" l="1"/>
  <c r="T9" s="1"/>
  <c r="U21"/>
  <c r="C35" s="1"/>
  <c r="U51" i="3"/>
  <c r="I79" i="6"/>
  <c r="I78"/>
  <c r="I68"/>
  <c r="I80"/>
  <c r="I66"/>
  <c r="I67"/>
  <c r="I58"/>
  <c r="C36" i="4" l="1"/>
  <c r="T10"/>
  <c r="U9"/>
  <c r="U10" s="1"/>
  <c r="C34" l="1"/>
  <c r="C37" s="1"/>
  <c r="C80" l="1"/>
  <c r="C53" i="8" s="1"/>
  <c r="C39" i="4"/>
  <c r="D14" i="5" l="1"/>
  <c r="C7"/>
  <c r="C76" i="4"/>
  <c r="C49" i="8" s="1"/>
  <c r="C4" i="5"/>
</calcChain>
</file>

<file path=xl/sharedStrings.xml><?xml version="1.0" encoding="utf-8"?>
<sst xmlns="http://schemas.openxmlformats.org/spreadsheetml/2006/main" count="1027" uniqueCount="350">
  <si>
    <t>Ед. изм</t>
  </si>
  <si>
    <t xml:space="preserve">Год 0 </t>
  </si>
  <si>
    <t>Год 1</t>
  </si>
  <si>
    <t>Год 2</t>
  </si>
  <si>
    <t>Год 3</t>
  </si>
  <si>
    <t>Год 4</t>
  </si>
  <si>
    <t>1-й кв.</t>
  </si>
  <si>
    <t>2-й кв.</t>
  </si>
  <si>
    <t>3-й кв.</t>
  </si>
  <si>
    <t>4-й кв.</t>
  </si>
  <si>
    <t>Комментарий</t>
  </si>
  <si>
    <t>Макроэкономика</t>
  </si>
  <si>
    <t>Инфляция</t>
  </si>
  <si>
    <t>Индекс инфляции</t>
  </si>
  <si>
    <t>Курс доллара</t>
  </si>
  <si>
    <t>Объем производства</t>
  </si>
  <si>
    <t>Цены на продукцию</t>
  </si>
  <si>
    <t>Себестоимость</t>
  </si>
  <si>
    <t>%</t>
  </si>
  <si>
    <t>руб./$</t>
  </si>
  <si>
    <t>Const</t>
  </si>
  <si>
    <t>Инфляция заработной платы</t>
  </si>
  <si>
    <t>Индекс инфляции заработной платы</t>
  </si>
  <si>
    <t>Долларовая инфляция</t>
  </si>
  <si>
    <t>Индекс долларовой инфляции</t>
  </si>
  <si>
    <t>Макетная продукция</t>
  </si>
  <si>
    <t>Сувенирная продукция</t>
  </si>
  <si>
    <t>кг</t>
  </si>
  <si>
    <t>Максимальный объем</t>
  </si>
  <si>
    <t>Ежеквартальный рост макетной</t>
  </si>
  <si>
    <t>Ежеквартальный рост сувенирной</t>
  </si>
  <si>
    <t>руб/кг</t>
  </si>
  <si>
    <t>Нормативы расхода</t>
  </si>
  <si>
    <t>Пластика на 1 кг макетной продукции</t>
  </si>
  <si>
    <t>Пластика на 1 кг сувенирной продукции</t>
  </si>
  <si>
    <t>Человеко-часов дизайнера на 1 кг сувенир</t>
  </si>
  <si>
    <t>Человеко-часов дизайнера на 1 кг макет</t>
  </si>
  <si>
    <t>Человеко-часов рабочего на 1 кг макет</t>
  </si>
  <si>
    <t>Человеко-часов рабочего на 1 кг сувенир</t>
  </si>
  <si>
    <t>час/кг</t>
  </si>
  <si>
    <t>Прочие расходы на 1 кг макетной</t>
  </si>
  <si>
    <t>Прочие расходы на 1 кг сувенирной</t>
  </si>
  <si>
    <t>Расходы электроэнергии на 1 кг макетной</t>
  </si>
  <si>
    <t>Расходы электроэнергии на 1 кг сувенирной</t>
  </si>
  <si>
    <t>кВТ*ч/кг</t>
  </si>
  <si>
    <t>Стоимость пластика для сувенирной</t>
  </si>
  <si>
    <t>Стоимость пластика для макетной</t>
  </si>
  <si>
    <t>Стоимость электроэнергии</t>
  </si>
  <si>
    <t>руб/кВТ*ч</t>
  </si>
  <si>
    <t>Количество рабочих недель в месяце</t>
  </si>
  <si>
    <t>Рабочих часов в неделе</t>
  </si>
  <si>
    <t>час</t>
  </si>
  <si>
    <t>нед</t>
  </si>
  <si>
    <t>Темп роста курса доллара</t>
  </si>
  <si>
    <t>Накладные расходы</t>
  </si>
  <si>
    <t>Аренда помещения</t>
  </si>
  <si>
    <t>Заработная плата рабочего</t>
  </si>
  <si>
    <t>тыс. руб/мес</t>
  </si>
  <si>
    <t>Заработная плата дизайнера</t>
  </si>
  <si>
    <t>тыс. руб/кварт</t>
  </si>
  <si>
    <t>Средняя заработная плата непроизв персонала</t>
  </si>
  <si>
    <t>Количество непроизводств персонала</t>
  </si>
  <si>
    <t>Прочие расходы</t>
  </si>
  <si>
    <t>Увеличение каждый первый квартал</t>
  </si>
  <si>
    <t>Увеличение непроизводств персонала</t>
  </si>
  <si>
    <t>ДЗ поставщики</t>
  </si>
  <si>
    <t>КЗ клиенты</t>
  </si>
  <si>
    <t>Оборачиваемость запасов</t>
  </si>
  <si>
    <t>Стоимость оборудования</t>
  </si>
  <si>
    <t>Срок использования оборудования бух учет</t>
  </si>
  <si>
    <t>дней</t>
  </si>
  <si>
    <t>млн. руб</t>
  </si>
  <si>
    <t>лет</t>
  </si>
  <si>
    <t>Оборотный капитал</t>
  </si>
  <si>
    <t>Основные средства</t>
  </si>
  <si>
    <t>Налоговые ставки</t>
  </si>
  <si>
    <t>Налог на прибыль</t>
  </si>
  <si>
    <t>Налог на НДС</t>
  </si>
  <si>
    <t>Кредиты и займы</t>
  </si>
  <si>
    <t>Кредит 1</t>
  </si>
  <si>
    <t>Доля от стоимости оборудования</t>
  </si>
  <si>
    <t>Баланс</t>
  </si>
  <si>
    <t>Ставка кредитования</t>
  </si>
  <si>
    <t>Платеж по кредиту</t>
  </si>
  <si>
    <t>% годовых</t>
  </si>
  <si>
    <t>% квартал</t>
  </si>
  <si>
    <t>Вложения акционеров</t>
  </si>
  <si>
    <t>Бухгалтерский баланс (факт)</t>
  </si>
  <si>
    <t>Дебиторская задолженность</t>
  </si>
  <si>
    <t>Запасы</t>
  </si>
  <si>
    <t>Дебиторская задолженность по НДС</t>
  </si>
  <si>
    <t>Денежные средства</t>
  </si>
  <si>
    <t>Итого активы</t>
  </si>
  <si>
    <t>тыс. руб</t>
  </si>
  <si>
    <t>Капитал и резервы</t>
  </si>
  <si>
    <t>Нераспределенная прибыль</t>
  </si>
  <si>
    <t>Кредиторская задолженность</t>
  </si>
  <si>
    <t>Итого пассивы</t>
  </si>
  <si>
    <t>Проверка</t>
  </si>
  <si>
    <t>расчет</t>
  </si>
  <si>
    <t>входные данные</t>
  </si>
  <si>
    <t>цвет</t>
  </si>
  <si>
    <t>Долларовая инфляция и ослабление рубля</t>
  </si>
  <si>
    <t>Общая инфляция</t>
  </si>
  <si>
    <t>Количество рабочих на макетную</t>
  </si>
  <si>
    <t>Количество рабочих на сувенирную</t>
  </si>
  <si>
    <t>Количество рабочих всего</t>
  </si>
  <si>
    <t>Количество дизайнеров на макетную</t>
  </si>
  <si>
    <t>Количество дизайнеров на сувенирную</t>
  </si>
  <si>
    <t>Количество дизайнеров всего</t>
  </si>
  <si>
    <t>Округляется в большую сторону</t>
  </si>
  <si>
    <t>Срок погашения</t>
  </si>
  <si>
    <t>ссылка на другой лист</t>
  </si>
  <si>
    <t>Вспомогательные величины</t>
  </si>
  <si>
    <t>Объем производства макетной</t>
  </si>
  <si>
    <t>Объем производства сувенирной</t>
  </si>
  <si>
    <t>Цена за 1 кг сувенирной</t>
  </si>
  <si>
    <t>Цена за 1 кг макетной</t>
  </si>
  <si>
    <t>Расчет выручки</t>
  </si>
  <si>
    <t>Выручка от макетной продукции</t>
  </si>
  <si>
    <t>Выручка от сувенирной продукции</t>
  </si>
  <si>
    <t>Итого выручка</t>
  </si>
  <si>
    <t>Расчет себестоимости</t>
  </si>
  <si>
    <t>Заготовка</t>
  </si>
  <si>
    <t>Стоимость пластика за 1 кг</t>
  </si>
  <si>
    <t>Расход пластика на 1 кг готовой продукции</t>
  </si>
  <si>
    <t>Затраты электроэнергии</t>
  </si>
  <si>
    <t>Расход электроэнергии на 1 кг готовой продукции</t>
  </si>
  <si>
    <t>Х</t>
  </si>
  <si>
    <t>Стоимость одного человека-часа рабочего</t>
  </si>
  <si>
    <t>Стоимость одного человека-часа дизайнера</t>
  </si>
  <si>
    <t>тыс. руб/ч</t>
  </si>
  <si>
    <t>Расход труда рабочего на 1 кг готовой продукции</t>
  </si>
  <si>
    <t>Стоимость человека-часа рабочего</t>
  </si>
  <si>
    <t>тыс. руб/час</t>
  </si>
  <si>
    <t>Расход труда дизайнера на 1 кг готовой продукции</t>
  </si>
  <si>
    <t>Стоимость человека-часа дизайнера</t>
  </si>
  <si>
    <t>Затраты пластика</t>
  </si>
  <si>
    <t>Затраты на оплату труда рабочего</t>
  </si>
  <si>
    <t>Затраты на оплату труда дизайнера</t>
  </si>
  <si>
    <t>Удельная себестоимость макетной продукции</t>
  </si>
  <si>
    <t>Удельная себестоимость сувенирной продукции</t>
  </si>
  <si>
    <t>Себестоимость макетной продукции</t>
  </si>
  <si>
    <t>Себестоимость сувенирной продукции</t>
  </si>
  <si>
    <t>Итого себестоимость</t>
  </si>
  <si>
    <t>Расчет накладных расходов</t>
  </si>
  <si>
    <t>Затраты на аренду помещения</t>
  </si>
  <si>
    <t>Затраты на оплату труда непроизводственного персонала</t>
  </si>
  <si>
    <t>Количество непроизводственного персонала</t>
  </si>
  <si>
    <t>Средняя зп непроизводственного персонала</t>
  </si>
  <si>
    <t>Итого накладные расходы</t>
  </si>
  <si>
    <t>тыс. руб/квартал</t>
  </si>
  <si>
    <t>Расчет оборотного капитала</t>
  </si>
  <si>
    <t>ТМЦ на макетную продукцию, в т. ч.</t>
  </si>
  <si>
    <t>Пластик</t>
  </si>
  <si>
    <t>ТМЦ на сувенирную продукцию, в т. ч.</t>
  </si>
  <si>
    <t>Всего ТМЦ</t>
  </si>
  <si>
    <t>Оборачиваемость КЗ</t>
  </si>
  <si>
    <t>Оборачиваемость ДЗ</t>
  </si>
  <si>
    <t>дни</t>
  </si>
  <si>
    <t>КЗ</t>
  </si>
  <si>
    <t>ДЗ</t>
  </si>
  <si>
    <t>Моделирование основных средств, амортизации и поддерживающих инвестиций</t>
  </si>
  <si>
    <t>Первоначальная стоимость оборудования</t>
  </si>
  <si>
    <t>Остаточная стоимость оборудования</t>
  </si>
  <si>
    <t>Ремонты (в составе расходов)</t>
  </si>
  <si>
    <t>Амортизация оборудования</t>
  </si>
  <si>
    <t>Экономический срок использования оборудования</t>
  </si>
  <si>
    <t>СПИ (экономически)</t>
  </si>
  <si>
    <t>Поддерживающие инвестиции</t>
  </si>
  <si>
    <t>Поддерживающие инвестиции (оборудование)</t>
  </si>
  <si>
    <t>Инвестиции всего</t>
  </si>
  <si>
    <t>Амортизация</t>
  </si>
  <si>
    <t>Остаточная стоимость ОС</t>
  </si>
  <si>
    <t>Моделирование кредитов и займов</t>
  </si>
  <si>
    <t>Кредит_1 (инвестиционный)</t>
  </si>
  <si>
    <t>Привлечение</t>
  </si>
  <si>
    <t>% ставка</t>
  </si>
  <si>
    <t>Проценты</t>
  </si>
  <si>
    <t>Баланс кредитов долгосрочных</t>
  </si>
  <si>
    <t>Баланс кредитов краткосрочных</t>
  </si>
  <si>
    <t>Итого привлечение</t>
  </si>
  <si>
    <t>Итого погашение</t>
  </si>
  <si>
    <t>Итого проценты</t>
  </si>
  <si>
    <t>Прогнозный отчет о прибылях и убытках</t>
  </si>
  <si>
    <t>Выручка</t>
  </si>
  <si>
    <t>EBITDA</t>
  </si>
  <si>
    <t>Проценты уплаченные</t>
  </si>
  <si>
    <t>Чистая прибыль</t>
  </si>
  <si>
    <t>Себестоимость (без амортизации)</t>
  </si>
  <si>
    <t>Накладные расходы (без амортизации)</t>
  </si>
  <si>
    <t>EBIT (операционная прибыль)</t>
  </si>
  <si>
    <t>Прогнозный отчет о движении денежных средств</t>
  </si>
  <si>
    <t>Прочие неденежные доходы и расходы</t>
  </si>
  <si>
    <t>Изменение оборотного капитала</t>
  </si>
  <si>
    <t xml:space="preserve">    Изменение ДЗ</t>
  </si>
  <si>
    <t xml:space="preserve">    Изменение КЗ</t>
  </si>
  <si>
    <t xml:space="preserve">    Изменение запасов</t>
  </si>
  <si>
    <t xml:space="preserve">    Изменение ДЗ по НДС</t>
  </si>
  <si>
    <t>Итого операционный поток</t>
  </si>
  <si>
    <t>Инвестиционный приток</t>
  </si>
  <si>
    <t>Инвестиционный отток</t>
  </si>
  <si>
    <t>Итого инвестиционный поток</t>
  </si>
  <si>
    <t>Привлечение кредитов и займов</t>
  </si>
  <si>
    <t>Погашение кредитов и займов</t>
  </si>
  <si>
    <t>Вложение собственного капитала</t>
  </si>
  <si>
    <t>Итого денежный поток</t>
  </si>
  <si>
    <t>ИТОГО ДЕНЕЖНЫЙ ПОТОК</t>
  </si>
  <si>
    <t>Прогнозный отчет бухгалтерского баланса</t>
  </si>
  <si>
    <t>Моделирование НДС</t>
  </si>
  <si>
    <t>Оплата труда непроизводственного персонала</t>
  </si>
  <si>
    <t>Оплата труда рабочих</t>
  </si>
  <si>
    <t>Оплата труда дизайнеров</t>
  </si>
  <si>
    <t>Итого оплата труда</t>
  </si>
  <si>
    <t>Ставка НДС</t>
  </si>
  <si>
    <t>НДС с выручки</t>
  </si>
  <si>
    <t>НДС с затрат</t>
  </si>
  <si>
    <t>Расходы облагаемые НДС</t>
  </si>
  <si>
    <t>НДС с инвестиций</t>
  </si>
  <si>
    <t>Возмещение НДС с кап. Инвестиций</t>
  </si>
  <si>
    <t>Итого поток по НДС</t>
  </si>
  <si>
    <t>Задолженность бюджета по НДС</t>
  </si>
  <si>
    <t>Погашение c процентами</t>
  </si>
  <si>
    <t>Погашение без процентов</t>
  </si>
  <si>
    <t>СПИ (бухучет)</t>
  </si>
  <si>
    <t>Финансовый анализ</t>
  </si>
  <si>
    <t>1. Рентабельность</t>
  </si>
  <si>
    <t>1.1 Рентабельность продаж (ROS)</t>
  </si>
  <si>
    <t>1.2 Рентабельность активов (ROA)</t>
  </si>
  <si>
    <t>1.3 Рентабельность собств. капит. (ROE)</t>
  </si>
  <si>
    <t>Формула Дюпона</t>
  </si>
  <si>
    <t xml:space="preserve">    коэф. налогового бремени</t>
  </si>
  <si>
    <t xml:space="preserve">    коэф. процентного бремени</t>
  </si>
  <si>
    <t xml:space="preserve">    рентабельность продаж (по EBIT)</t>
  </si>
  <si>
    <t xml:space="preserve">    оборачиваемость активов</t>
  </si>
  <si>
    <t xml:space="preserve">    коэф. финансового  рычага</t>
  </si>
  <si>
    <t>2. Ликвидность</t>
  </si>
  <si>
    <t>2.1 Мгновенная ликвидность</t>
  </si>
  <si>
    <t>2.2 Быстрая ликвидность</t>
  </si>
  <si>
    <t>2.3 Текущая ликвидность</t>
  </si>
  <si>
    <t>3. Оборачиваемость (деловая активность)</t>
  </si>
  <si>
    <t>3.1 Оборачиваемость активов</t>
  </si>
  <si>
    <t>3.2 Оборачиваемость ОС</t>
  </si>
  <si>
    <t>4. Финансовая устойчивость</t>
  </si>
  <si>
    <t>4.1 Финансовый левередж</t>
  </si>
  <si>
    <t>4.2 Долг/EBITDA</t>
  </si>
  <si>
    <t>4.3 Чистый долг/EBITDA</t>
  </si>
  <si>
    <t>4.4 EBIT/проценты</t>
  </si>
  <si>
    <t>EBT (прибыль до налогообложения)</t>
  </si>
  <si>
    <t>Посчитал для строки кредиты и займы</t>
  </si>
  <si>
    <t>Если по факту, краткосрочных кредитов и займов нет, коэффициенты = Inf</t>
  </si>
  <si>
    <t>3.5 Оборачиваемость КЗ</t>
  </si>
  <si>
    <t>3.4 Оборачиваемость ДЗ</t>
  </si>
  <si>
    <t>3.3 Оборачиваемость запасов</t>
  </si>
  <si>
    <t>Банковские ковенанты</t>
  </si>
  <si>
    <t>1. LTV</t>
  </si>
  <si>
    <t>4. ICR (EBIT/проценты)</t>
  </si>
  <si>
    <t>3. Чистый догг/EBITDA</t>
  </si>
  <si>
    <t>2. Долг/EBITDA</t>
  </si>
  <si>
    <t>5. DSCR</t>
  </si>
  <si>
    <t>5.1 CFADS</t>
  </si>
  <si>
    <t>5.2 Debt service</t>
  </si>
  <si>
    <t>Расчет с 4 кв первого года</t>
  </si>
  <si>
    <t>Не показаны значения, при процентах = 0</t>
  </si>
  <si>
    <t xml:space="preserve">    Операционный поток</t>
  </si>
  <si>
    <t xml:space="preserve">    Проценты * (1-Т)</t>
  </si>
  <si>
    <t xml:space="preserve">    Инвестиционный поток</t>
  </si>
  <si>
    <t xml:space="preserve">    Фактор дисконтирования</t>
  </si>
  <si>
    <t>Свободный денежный поток на фирму (FCFF)</t>
  </si>
  <si>
    <t>Свободный денежный поток для акционеров (FCFE)</t>
  </si>
  <si>
    <t xml:space="preserve">    Привлечение кредитов</t>
  </si>
  <si>
    <t xml:space="preserve">    Погашение кредитов</t>
  </si>
  <si>
    <t>WACC</t>
  </si>
  <si>
    <t xml:space="preserve">    Собственный капитал</t>
  </si>
  <si>
    <t xml:space="preserve">    Долг</t>
  </si>
  <si>
    <t xml:space="preserve">   Всего капитал</t>
  </si>
  <si>
    <t xml:space="preserve">    Доля собственного капитала</t>
  </si>
  <si>
    <t xml:space="preserve">    Доля долга</t>
  </si>
  <si>
    <t xml:space="preserve">    Стоимость собственного капитала</t>
  </si>
  <si>
    <t xml:space="preserve">    Стоимость долга</t>
  </si>
  <si>
    <t>Дисконтированный поток FCFF</t>
  </si>
  <si>
    <t>Дисконтированный поток FCFE</t>
  </si>
  <si>
    <t>Стоимость компании (через FCFF)</t>
  </si>
  <si>
    <t xml:space="preserve">    Чистая приведенная стоимость потоков FCFF в модели</t>
  </si>
  <si>
    <t xml:space="preserve">    Терминальная стоимость</t>
  </si>
  <si>
    <t xml:space="preserve">    Дисконтированная терминальная стоимость</t>
  </si>
  <si>
    <t xml:space="preserve">    Чистый долг</t>
  </si>
  <si>
    <t>Стоимость собственного капитала (через FCFF)</t>
  </si>
  <si>
    <t>Чистый долг</t>
  </si>
  <si>
    <t>Стоимость компании (через FCFE)</t>
  </si>
  <si>
    <t xml:space="preserve">    Чистая приведенная стоимость потоков FCFE в модели</t>
  </si>
  <si>
    <t>Стоимость собственного капитала (через FCFE)</t>
  </si>
  <si>
    <t>Темп роста в постпрогнозном периоде (в год)</t>
  </si>
  <si>
    <t>Не учитываем выплату долгу в 4 году</t>
  </si>
  <si>
    <t>Оценка затратным методом</t>
  </si>
  <si>
    <t>Оценка сравнительным методом</t>
  </si>
  <si>
    <t>Выборка компаний для сравнений</t>
  </si>
  <si>
    <t>Название</t>
  </si>
  <si>
    <t>EV/EBITDA</t>
  </si>
  <si>
    <t>Компания 1</t>
  </si>
  <si>
    <t>Компания 2</t>
  </si>
  <si>
    <t>Компания 3</t>
  </si>
  <si>
    <t>Компания 4</t>
  </si>
  <si>
    <t>Компания 5</t>
  </si>
  <si>
    <t>Компания 6</t>
  </si>
  <si>
    <t>Компания 7</t>
  </si>
  <si>
    <t>Компания 8</t>
  </si>
  <si>
    <t>Компания 9</t>
  </si>
  <si>
    <t>ед.изм</t>
  </si>
  <si>
    <t>Среднее гармоническое</t>
  </si>
  <si>
    <t>Стоимость комании (сравнительный метод)</t>
  </si>
  <si>
    <t>Стоимость собственного капитала (сравнительный метод)</t>
  </si>
  <si>
    <t>Итого оценки</t>
  </si>
  <si>
    <t>Параметр</t>
  </si>
  <si>
    <t>Величина</t>
  </si>
  <si>
    <t>Цена макетной продукции</t>
  </si>
  <si>
    <t>Цена сувенирной продукции</t>
  </si>
  <si>
    <t>Оценка собственного капитала (FCFF)</t>
  </si>
  <si>
    <t>Цена сувенирной продукции, руб/кг</t>
  </si>
  <si>
    <t>Стоимость отличная</t>
  </si>
  <si>
    <t>Стоимость удовлетворительная</t>
  </si>
  <si>
    <t>Стоимость неудовлетворительная</t>
  </si>
  <si>
    <t>&gt;=</t>
  </si>
  <si>
    <t>&lt;</t>
  </si>
  <si>
    <t>Изменение на 1000 руб/кг</t>
  </si>
  <si>
    <t>delta собственного капитала (FCFF)/delta цена макетной</t>
  </si>
  <si>
    <t>delta собственного капитала (FCFF)/delta сувенирной макетной</t>
  </si>
  <si>
    <t>Сред. знач delta/delta сувенирной</t>
  </si>
  <si>
    <t>Сред. знач delta/delta макетной</t>
  </si>
  <si>
    <t>Таблица для цветовой палитры</t>
  </si>
  <si>
    <t>руб/$</t>
  </si>
  <si>
    <t>Инфляция цены на пластик</t>
  </si>
  <si>
    <t>Базовый сценарий</t>
  </si>
  <si>
    <t>Консервативный сценарий</t>
  </si>
  <si>
    <t>Объем производства макетной продукции</t>
  </si>
  <si>
    <t>Объем производства сувенирной продукции</t>
  </si>
  <si>
    <t>Проценная ставка по кредиту</t>
  </si>
  <si>
    <t>Сценарий</t>
  </si>
  <si>
    <t>Базовый</t>
  </si>
  <si>
    <t>Консервативный</t>
  </si>
  <si>
    <t>Вспомогательная таблица</t>
  </si>
  <si>
    <t>Итоговая объем производства сувенирной</t>
  </si>
  <si>
    <t>Итоговая объем производства макетной</t>
  </si>
  <si>
    <t>Итоговая ставка</t>
  </si>
  <si>
    <t>Порядковый номер сценария</t>
  </si>
  <si>
    <t>Из сценарного анализа</t>
  </si>
  <si>
    <t>Итого долларовая инфляция</t>
  </si>
  <si>
    <t>анализ чувствительности/сценарный анализ</t>
  </si>
  <si>
    <t>Оптимистичный сценарий</t>
  </si>
  <si>
    <t>Оптимистичный</t>
  </si>
</sst>
</file>

<file path=xl/styles.xml><?xml version="1.0" encoding="utf-8"?>
<styleSheet xmlns="http://schemas.openxmlformats.org/spreadsheetml/2006/main">
  <numFmts count="5">
    <numFmt numFmtId="8" formatCode="#,##0.00\ &quot;₽&quot;;[Red]\-#,##0.00\ &quot;₽&quot;"/>
    <numFmt numFmtId="164" formatCode="0.0%"/>
    <numFmt numFmtId="165" formatCode="0.000"/>
    <numFmt numFmtId="166" formatCode="0.0"/>
    <numFmt numFmtId="167" formatCode="#,##0.0"/>
  </numFmts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i/>
      <sz val="16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rgb="FFC5E0B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0" borderId="1" xfId="0" applyBorder="1"/>
    <xf numFmtId="9" fontId="4" fillId="0" borderId="1" xfId="0" applyNumberFormat="1" applyFont="1" applyBorder="1"/>
    <xf numFmtId="9" fontId="3" fillId="0" borderId="1" xfId="0" applyNumberFormat="1" applyFont="1" applyBorder="1"/>
    <xf numFmtId="9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Border="1"/>
    <xf numFmtId="10" fontId="4" fillId="0" borderId="1" xfId="0" applyNumberFormat="1" applyFont="1" applyBorder="1"/>
    <xf numFmtId="165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0" fontId="0" fillId="0" borderId="0" xfId="0" applyBorder="1"/>
    <xf numFmtId="0" fontId="4" fillId="0" borderId="0" xfId="0" applyFont="1"/>
    <xf numFmtId="3" fontId="0" fillId="0" borderId="1" xfId="0" applyNumberFormat="1" applyFill="1" applyBorder="1"/>
    <xf numFmtId="1" fontId="0" fillId="0" borderId="1" xfId="0" applyNumberFormat="1" applyBorder="1"/>
    <xf numFmtId="3" fontId="0" fillId="0" borderId="1" xfId="0" applyNumberFormat="1" applyBorder="1"/>
    <xf numFmtId="3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3" xfId="0" applyFill="1" applyBorder="1"/>
    <xf numFmtId="0" fontId="0" fillId="0" borderId="3" xfId="0" applyBorder="1"/>
    <xf numFmtId="0" fontId="4" fillId="0" borderId="0" xfId="0" applyFont="1" applyBorder="1"/>
    <xf numFmtId="0" fontId="3" fillId="0" borderId="1" xfId="0" applyFont="1" applyBorder="1"/>
    <xf numFmtId="0" fontId="4" fillId="0" borderId="4" xfId="0" applyFont="1" applyBorder="1"/>
    <xf numFmtId="0" fontId="4" fillId="2" borderId="0" xfId="0" applyFont="1" applyFill="1" applyBorder="1"/>
    <xf numFmtId="4" fontId="5" fillId="0" borderId="0" xfId="0" applyNumberFormat="1" applyFont="1"/>
    <xf numFmtId="0" fontId="1" fillId="0" borderId="0" xfId="0" applyFont="1"/>
    <xf numFmtId="8" fontId="0" fillId="0" borderId="0" xfId="0" applyNumberFormat="1"/>
    <xf numFmtId="165" fontId="3" fillId="0" borderId="4" xfId="0" applyNumberFormat="1" applyFont="1" applyBorder="1"/>
    <xf numFmtId="0" fontId="4" fillId="0" borderId="0" xfId="0" applyFont="1" applyFill="1" applyBorder="1"/>
    <xf numFmtId="0" fontId="1" fillId="0" borderId="1" xfId="0" applyFont="1" applyBorder="1"/>
    <xf numFmtId="0" fontId="6" fillId="0" borderId="0" xfId="0" applyFont="1"/>
    <xf numFmtId="1" fontId="0" fillId="0" borderId="1" xfId="0" applyNumberFormat="1" applyFill="1" applyBorder="1"/>
    <xf numFmtId="9" fontId="4" fillId="0" borderId="0" xfId="0" applyNumberFormat="1" applyFont="1" applyBorder="1"/>
    <xf numFmtId="2" fontId="0" fillId="0" borderId="0" xfId="0" applyNumberFormat="1"/>
    <xf numFmtId="166" fontId="4" fillId="0" borderId="1" xfId="0" applyNumberFormat="1" applyFont="1" applyBorder="1"/>
    <xf numFmtId="3" fontId="7" fillId="0" borderId="1" xfId="0" applyNumberFormat="1" applyFont="1" applyBorder="1"/>
    <xf numFmtId="0" fontId="1" fillId="0" borderId="0" xfId="0" applyFont="1" applyFill="1"/>
    <xf numFmtId="0" fontId="7" fillId="0" borderId="1" xfId="0" applyFont="1" applyBorder="1"/>
    <xf numFmtId="3" fontId="1" fillId="0" borderId="1" xfId="0" applyNumberFormat="1" applyFont="1" applyBorder="1"/>
    <xf numFmtId="1" fontId="7" fillId="0" borderId="1" xfId="0" applyNumberFormat="1" applyFont="1" applyBorder="1"/>
    <xf numFmtId="1" fontId="1" fillId="0" borderId="1" xfId="0" applyNumberFormat="1" applyFont="1" applyBorder="1"/>
    <xf numFmtId="166" fontId="7" fillId="0" borderId="1" xfId="0" applyNumberFormat="1" applyFont="1" applyBorder="1"/>
    <xf numFmtId="1" fontId="9" fillId="0" borderId="1" xfId="0" applyNumberFormat="1" applyFont="1" applyBorder="1"/>
    <xf numFmtId="0" fontId="1" fillId="3" borderId="0" xfId="0" applyFont="1" applyFill="1"/>
    <xf numFmtId="3" fontId="1" fillId="3" borderId="1" xfId="0" applyNumberFormat="1" applyFont="1" applyFill="1" applyBorder="1"/>
    <xf numFmtId="3" fontId="8" fillId="5" borderId="1" xfId="0" applyNumberFormat="1" applyFont="1" applyFill="1" applyBorder="1"/>
    <xf numFmtId="3" fontId="0" fillId="0" borderId="0" xfId="0" applyNumberFormat="1" applyBorder="1"/>
    <xf numFmtId="3" fontId="8" fillId="4" borderId="1" xfId="0" applyNumberFormat="1" applyFont="1" applyFill="1" applyBorder="1"/>
    <xf numFmtId="3" fontId="9" fillId="0" borderId="1" xfId="0" applyNumberFormat="1" applyFont="1" applyBorder="1"/>
    <xf numFmtId="0" fontId="0" fillId="3" borderId="0" xfId="0" applyFill="1"/>
    <xf numFmtId="3" fontId="8" fillId="3" borderId="1" xfId="0" applyNumberFormat="1" applyFont="1" applyFill="1" applyBorder="1"/>
    <xf numFmtId="4" fontId="10" fillId="6" borderId="0" xfId="0" applyNumberFormat="1" applyFont="1" applyFill="1" applyBorder="1"/>
    <xf numFmtId="0" fontId="0" fillId="0" borderId="0" xfId="0" applyFont="1" applyFill="1"/>
    <xf numFmtId="3" fontId="11" fillId="3" borderId="1" xfId="0" applyNumberFormat="1" applyFont="1" applyFill="1" applyBorder="1"/>
    <xf numFmtId="0" fontId="7" fillId="0" borderId="5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0" fillId="0" borderId="0" xfId="0" applyAlignment="1">
      <alignment horizontal="left"/>
    </xf>
    <xf numFmtId="0" fontId="7" fillId="0" borderId="1" xfId="0" applyFont="1" applyBorder="1" applyAlignment="1"/>
    <xf numFmtId="4" fontId="10" fillId="0" borderId="0" xfId="0" applyNumberFormat="1" applyFont="1"/>
    <xf numFmtId="4" fontId="5" fillId="3" borderId="0" xfId="0" applyNumberFormat="1" applyFont="1" applyFill="1"/>
    <xf numFmtId="2" fontId="7" fillId="3" borderId="1" xfId="0" applyNumberFormat="1" applyFont="1" applyFill="1" applyBorder="1"/>
    <xf numFmtId="2" fontId="0" fillId="3" borderId="1" xfId="0" applyNumberFormat="1" applyFill="1" applyBorder="1"/>
    <xf numFmtId="0" fontId="8" fillId="4" borderId="1" xfId="0" applyFont="1" applyFill="1" applyBorder="1"/>
    <xf numFmtId="2" fontId="8" fillId="4" borderId="1" xfId="0" applyNumberFormat="1" applyFont="1" applyFill="1" applyBorder="1"/>
    <xf numFmtId="165" fontId="8" fillId="4" borderId="1" xfId="0" applyNumberFormat="1" applyFont="1" applyFill="1" applyBorder="1"/>
    <xf numFmtId="4" fontId="10" fillId="2" borderId="0" xfId="0" applyNumberFormat="1" applyFont="1" applyFill="1"/>
    <xf numFmtId="10" fontId="3" fillId="0" borderId="2" xfId="0" applyNumberFormat="1" applyFont="1" applyBorder="1"/>
    <xf numFmtId="165" fontId="7" fillId="0" borderId="1" xfId="0" applyNumberFormat="1" applyFont="1" applyBorder="1"/>
    <xf numFmtId="9" fontId="7" fillId="0" borderId="1" xfId="0" applyNumberFormat="1" applyFont="1" applyBorder="1"/>
    <xf numFmtId="0" fontId="8" fillId="5" borderId="1" xfId="0" applyFont="1" applyFill="1" applyBorder="1"/>
    <xf numFmtId="0" fontId="8" fillId="3" borderId="1" xfId="0" applyFont="1" applyFill="1" applyBorder="1"/>
    <xf numFmtId="2" fontId="0" fillId="3" borderId="2" xfId="0" applyNumberFormat="1" applyFill="1" applyBorder="1"/>
    <xf numFmtId="166" fontId="8" fillId="4" borderId="1" xfId="0" applyNumberFormat="1" applyFont="1" applyFill="1" applyBorder="1"/>
    <xf numFmtId="0" fontId="0" fillId="0" borderId="5" xfId="0" applyBorder="1"/>
    <xf numFmtId="3" fontId="7" fillId="0" borderId="5" xfId="0" applyNumberFormat="1" applyFont="1" applyBorder="1"/>
    <xf numFmtId="3" fontId="0" fillId="0" borderId="5" xfId="0" applyNumberFormat="1" applyBorder="1"/>
    <xf numFmtId="3" fontId="1" fillId="0" borderId="5" xfId="0" applyNumberFormat="1" applyFont="1" applyBorder="1"/>
    <xf numFmtId="1" fontId="7" fillId="0" borderId="5" xfId="0" applyNumberFormat="1" applyFont="1" applyBorder="1"/>
    <xf numFmtId="1" fontId="1" fillId="0" borderId="5" xfId="0" applyNumberFormat="1" applyFont="1" applyBorder="1"/>
    <xf numFmtId="166" fontId="7" fillId="0" borderId="5" xfId="0" applyNumberFormat="1" applyFont="1" applyBorder="1"/>
    <xf numFmtId="1" fontId="9" fillId="0" borderId="5" xfId="0" applyNumberFormat="1" applyFont="1" applyBorder="1"/>
    <xf numFmtId="3" fontId="1" fillId="3" borderId="5" xfId="0" applyNumberFormat="1" applyFont="1" applyFill="1" applyBorder="1"/>
    <xf numFmtId="3" fontId="8" fillId="4" borderId="5" xfId="0" applyNumberFormat="1" applyFont="1" applyFill="1" applyBorder="1"/>
    <xf numFmtId="3" fontId="9" fillId="0" borderId="5" xfId="0" applyNumberFormat="1" applyFont="1" applyBorder="1"/>
    <xf numFmtId="3" fontId="8" fillId="3" borderId="5" xfId="0" applyNumberFormat="1" applyFont="1" applyFill="1" applyBorder="1"/>
    <xf numFmtId="2" fontId="0" fillId="0" borderId="5" xfId="0" applyNumberFormat="1" applyBorder="1"/>
    <xf numFmtId="2" fontId="4" fillId="0" borderId="5" xfId="0" applyNumberFormat="1" applyFont="1" applyBorder="1"/>
    <xf numFmtId="2" fontId="5" fillId="0" borderId="5" xfId="0" applyNumberFormat="1" applyFont="1" applyBorder="1"/>
    <xf numFmtId="2" fontId="7" fillId="3" borderId="5" xfId="0" applyNumberFormat="1" applyFont="1" applyFill="1" applyBorder="1"/>
    <xf numFmtId="2" fontId="0" fillId="3" borderId="6" xfId="0" applyNumberFormat="1" applyFill="1" applyBorder="1"/>
    <xf numFmtId="2" fontId="8" fillId="4" borderId="5" xfId="0" applyNumberFormat="1" applyFont="1" applyFill="1" applyBorder="1"/>
    <xf numFmtId="166" fontId="8" fillId="4" borderId="5" xfId="0" applyNumberFormat="1" applyFont="1" applyFill="1" applyBorder="1"/>
    <xf numFmtId="0" fontId="8" fillId="4" borderId="5" xfId="0" applyFont="1" applyFill="1" applyBorder="1"/>
    <xf numFmtId="0" fontId="0" fillId="0" borderId="0" xfId="0" applyFill="1" applyBorder="1"/>
    <xf numFmtId="0" fontId="8" fillId="0" borderId="0" xfId="0" applyFont="1" applyFill="1" applyBorder="1"/>
    <xf numFmtId="0" fontId="1" fillId="0" borderId="0" xfId="0" applyFont="1" applyFill="1" applyBorder="1"/>
    <xf numFmtId="0" fontId="8" fillId="3" borderId="5" xfId="0" applyFont="1" applyFill="1" applyBorder="1"/>
    <xf numFmtId="0" fontId="8" fillId="5" borderId="5" xfId="0" applyFont="1" applyFill="1" applyBorder="1"/>
    <xf numFmtId="166" fontId="8" fillId="4" borderId="3" xfId="0" applyNumberFormat="1" applyFont="1" applyFill="1" applyBorder="1"/>
    <xf numFmtId="0" fontId="8" fillId="4" borderId="3" xfId="0" applyFont="1" applyFill="1" applyBorder="1"/>
    <xf numFmtId="2" fontId="8" fillId="4" borderId="3" xfId="0" applyNumberFormat="1" applyFont="1" applyFill="1" applyBorder="1"/>
    <xf numFmtId="3" fontId="8" fillId="3" borderId="3" xfId="0" applyNumberFormat="1" applyFont="1" applyFill="1" applyBorder="1"/>
    <xf numFmtId="3" fontId="8" fillId="4" borderId="3" xfId="0" applyNumberFormat="1" applyFont="1" applyFill="1" applyBorder="1"/>
    <xf numFmtId="3" fontId="8" fillId="5" borderId="3" xfId="0" applyNumberFormat="1" applyFont="1" applyFill="1" applyBorder="1"/>
    <xf numFmtId="0" fontId="8" fillId="4" borderId="0" xfId="0" applyFont="1" applyFill="1" applyBorder="1"/>
    <xf numFmtId="0" fontId="8" fillId="3" borderId="0" xfId="0" applyFont="1" applyFill="1" applyBorder="1"/>
    <xf numFmtId="0" fontId="8" fillId="5" borderId="0" xfId="0" applyFont="1" applyFill="1" applyBorder="1"/>
    <xf numFmtId="4" fontId="12" fillId="4" borderId="5" xfId="0" applyNumberFormat="1" applyFont="1" applyFill="1" applyBorder="1"/>
    <xf numFmtId="0" fontId="0" fillId="0" borderId="0" xfId="0" applyFont="1"/>
    <xf numFmtId="0" fontId="1" fillId="3" borderId="3" xfId="0" applyFont="1" applyFill="1" applyBorder="1"/>
    <xf numFmtId="0" fontId="1" fillId="7" borderId="3" xfId="0" applyFont="1" applyFill="1" applyBorder="1"/>
    <xf numFmtId="3" fontId="0" fillId="0" borderId="7" xfId="0" applyNumberFormat="1" applyBorder="1"/>
    <xf numFmtId="0" fontId="0" fillId="0" borderId="7" xfId="0" applyBorder="1"/>
    <xf numFmtId="3" fontId="1" fillId="3" borderId="3" xfId="0" applyNumberFormat="1" applyFont="1" applyFill="1" applyBorder="1"/>
    <xf numFmtId="3" fontId="0" fillId="0" borderId="3" xfId="0" applyNumberFormat="1" applyBorder="1"/>
    <xf numFmtId="3" fontId="0" fillId="0" borderId="8" xfId="0" applyNumberFormat="1" applyBorder="1"/>
    <xf numFmtId="0" fontId="1" fillId="7" borderId="9" xfId="0" applyFont="1" applyFill="1" applyBorder="1"/>
    <xf numFmtId="0" fontId="1" fillId="3" borderId="9" xfId="0" applyFont="1" applyFill="1" applyBorder="1"/>
    <xf numFmtId="0" fontId="1" fillId="0" borderId="9" xfId="0" applyFont="1" applyBorder="1"/>
    <xf numFmtId="0" fontId="13" fillId="2" borderId="0" xfId="0" applyFont="1" applyFill="1"/>
    <xf numFmtId="3" fontId="1" fillId="7" borderId="3" xfId="0" applyNumberFormat="1" applyFont="1" applyFill="1" applyBorder="1"/>
    <xf numFmtId="0" fontId="11" fillId="3" borderId="1" xfId="0" applyFont="1" applyFill="1" applyBorder="1"/>
    <xf numFmtId="3" fontId="6" fillId="0" borderId="1" xfId="0" applyNumberFormat="1" applyFont="1" applyBorder="1"/>
    <xf numFmtId="8" fontId="1" fillId="0" borderId="0" xfId="0" applyNumberFormat="1" applyFont="1"/>
    <xf numFmtId="3" fontId="1" fillId="0" borderId="2" xfId="0" applyNumberFormat="1" applyFont="1" applyBorder="1"/>
    <xf numFmtId="0" fontId="8" fillId="4" borderId="9" xfId="0" applyFont="1" applyFill="1" applyBorder="1"/>
    <xf numFmtId="0" fontId="11" fillId="4" borderId="1" xfId="0" applyFont="1" applyFill="1" applyBorder="1"/>
    <xf numFmtId="1" fontId="6" fillId="0" borderId="1" xfId="0" applyNumberFormat="1" applyFont="1" applyBorder="1"/>
    <xf numFmtId="3" fontId="0" fillId="0" borderId="2" xfId="0" applyNumberFormat="1" applyBorder="1"/>
    <xf numFmtId="3" fontId="7" fillId="0" borderId="0" xfId="0" applyNumberFormat="1" applyFont="1"/>
    <xf numFmtId="3" fontId="1" fillId="0" borderId="9" xfId="0" applyNumberFormat="1" applyFont="1" applyBorder="1"/>
    <xf numFmtId="3" fontId="0" fillId="0" borderId="0" xfId="0" applyNumberFormat="1"/>
    <xf numFmtId="165" fontId="3" fillId="0" borderId="1" xfId="0" applyNumberFormat="1" applyFont="1" applyBorder="1"/>
    <xf numFmtId="0" fontId="14" fillId="0" borderId="1" xfId="0" applyFont="1" applyBorder="1"/>
    <xf numFmtId="166" fontId="0" fillId="0" borderId="0" xfId="0" applyNumberFormat="1"/>
    <xf numFmtId="0" fontId="1" fillId="0" borderId="9" xfId="0" applyFont="1" applyFill="1" applyBorder="1"/>
    <xf numFmtId="0" fontId="6" fillId="0" borderId="0" xfId="0" applyFont="1" applyFill="1"/>
    <xf numFmtId="0" fontId="1" fillId="0" borderId="1" xfId="0" applyFont="1" applyFill="1" applyBorder="1"/>
    <xf numFmtId="0" fontId="0" fillId="7" borderId="9" xfId="0" applyFill="1" applyBorder="1"/>
    <xf numFmtId="0" fontId="0" fillId="7" borderId="3" xfId="0" applyFill="1" applyBorder="1"/>
    <xf numFmtId="0" fontId="0" fillId="0" borderId="7" xfId="0" applyFill="1" applyBorder="1"/>
    <xf numFmtId="3" fontId="0" fillId="0" borderId="10" xfId="0" applyNumberFormat="1" applyFill="1" applyBorder="1"/>
    <xf numFmtId="3" fontId="0" fillId="0" borderId="3" xfId="0" applyNumberFormat="1" applyFill="1" applyBorder="1"/>
    <xf numFmtId="3" fontId="0" fillId="7" borderId="3" xfId="0" applyNumberFormat="1" applyFill="1" applyBorder="1"/>
    <xf numFmtId="3" fontId="0" fillId="7" borderId="1" xfId="0" applyNumberFormat="1" applyFill="1" applyBorder="1"/>
    <xf numFmtId="3" fontId="1" fillId="7" borderId="1" xfId="0" applyNumberFormat="1" applyFont="1" applyFill="1" applyBorder="1"/>
    <xf numFmtId="3" fontId="0" fillId="0" borderId="2" xfId="0" applyNumberFormat="1" applyFill="1" applyBorder="1"/>
    <xf numFmtId="3" fontId="1" fillId="0" borderId="1" xfId="0" applyNumberFormat="1" applyFont="1" applyFill="1" applyBorder="1"/>
    <xf numFmtId="3" fontId="0" fillId="0" borderId="4" xfId="0" applyNumberFormat="1" applyFill="1" applyBorder="1"/>
    <xf numFmtId="3" fontId="0" fillId="0" borderId="0" xfId="0" applyNumberFormat="1" applyFill="1"/>
    <xf numFmtId="9" fontId="0" fillId="0" borderId="10" xfId="1" applyFont="1" applyFill="1" applyBorder="1"/>
    <xf numFmtId="9" fontId="0" fillId="0" borderId="3" xfId="1" applyFont="1" applyFill="1" applyBorder="1"/>
    <xf numFmtId="9" fontId="0" fillId="7" borderId="1" xfId="1" applyFont="1" applyFill="1" applyBorder="1"/>
    <xf numFmtId="2" fontId="0" fillId="0" borderId="3" xfId="0" applyNumberFormat="1" applyFill="1" applyBorder="1"/>
    <xf numFmtId="166" fontId="0" fillId="0" borderId="3" xfId="0" applyNumberFormat="1" applyFill="1" applyBorder="1"/>
    <xf numFmtId="166" fontId="0" fillId="0" borderId="1" xfId="0" applyNumberFormat="1" applyFill="1" applyBorder="1"/>
    <xf numFmtId="3" fontId="0" fillId="2" borderId="0" xfId="0" applyNumberFormat="1" applyFill="1"/>
    <xf numFmtId="167" fontId="0" fillId="0" borderId="1" xfId="0" applyNumberFormat="1" applyBorder="1"/>
    <xf numFmtId="9" fontId="0" fillId="0" borderId="0" xfId="0" applyNumberFormat="1" applyBorder="1"/>
    <xf numFmtId="9" fontId="0" fillId="0" borderId="1" xfId="1" applyFont="1" applyBorder="1"/>
    <xf numFmtId="164" fontId="1" fillId="3" borderId="1" xfId="0" applyNumberFormat="1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5" fillId="0" borderId="0" xfId="0" applyFont="1"/>
    <xf numFmtId="3" fontId="16" fillId="7" borderId="1" xfId="0" applyNumberFormat="1" applyFont="1" applyFill="1" applyBorder="1"/>
    <xf numFmtId="0" fontId="0" fillId="2" borderId="0" xfId="0" applyFill="1" applyBorder="1"/>
    <xf numFmtId="0" fontId="8" fillId="0" borderId="0" xfId="0" applyFont="1"/>
    <xf numFmtId="0" fontId="0" fillId="2" borderId="1" xfId="0" applyFill="1" applyBorder="1"/>
    <xf numFmtId="3" fontId="0" fillId="2" borderId="1" xfId="0" applyNumberFormat="1" applyFill="1" applyBorder="1"/>
    <xf numFmtId="0" fontId="8" fillId="0" borderId="1" xfId="0" applyFont="1" applyBorder="1"/>
    <xf numFmtId="3" fontId="17" fillId="8" borderId="1" xfId="0" applyNumberFormat="1" applyFont="1" applyFill="1" applyBorder="1"/>
    <xf numFmtId="0" fontId="17" fillId="8" borderId="1" xfId="0" applyFont="1" applyFill="1" applyBorder="1"/>
    <xf numFmtId="3" fontId="0" fillId="8" borderId="0" xfId="0" applyNumberFormat="1" applyFill="1"/>
    <xf numFmtId="3" fontId="0" fillId="3" borderId="1" xfId="0" applyNumberFormat="1" applyFill="1" applyBorder="1"/>
    <xf numFmtId="0" fontId="8" fillId="0" borderId="0" xfId="0" applyFont="1" applyBorder="1"/>
    <xf numFmtId="3" fontId="8" fillId="0" borderId="1" xfId="0" applyNumberFormat="1" applyFont="1" applyBorder="1"/>
    <xf numFmtId="10" fontId="0" fillId="0" borderId="1" xfId="0" applyNumberFormat="1" applyBorder="1"/>
    <xf numFmtId="0" fontId="4" fillId="0" borderId="2" xfId="0" applyFont="1" applyBorder="1"/>
    <xf numFmtId="0" fontId="18" fillId="9" borderId="0" xfId="0" applyFont="1" applyFill="1"/>
    <xf numFmtId="0" fontId="0" fillId="9" borderId="0" xfId="0" applyFill="1"/>
    <xf numFmtId="0" fontId="4" fillId="9" borderId="1" xfId="0" applyFont="1" applyFill="1" applyBorder="1"/>
    <xf numFmtId="0" fontId="0" fillId="9" borderId="1" xfId="0" applyFill="1" applyBorder="1"/>
    <xf numFmtId="10" fontId="3" fillId="9" borderId="1" xfId="0" applyNumberFormat="1" applyFont="1" applyFill="1" applyBorder="1"/>
    <xf numFmtId="0" fontId="19" fillId="8" borderId="3" xfId="0" applyFont="1" applyFill="1" applyBorder="1"/>
    <xf numFmtId="0" fontId="19" fillId="8" borderId="1" xfId="0" applyFont="1" applyFill="1" applyBorder="1"/>
    <xf numFmtId="9" fontId="3" fillId="9" borderId="1" xfId="1" applyFont="1" applyFill="1" applyBorder="1"/>
    <xf numFmtId="164" fontId="17" fillId="8" borderId="1" xfId="0" applyNumberFormat="1" applyFont="1" applyFill="1" applyBorder="1"/>
    <xf numFmtId="4" fontId="0" fillId="0" borderId="1" xfId="0" applyNumberFormat="1" applyBorder="1"/>
  </cellXfs>
  <cellStyles count="2">
    <cellStyle name="Обычный" xfId="0" builtinId="0"/>
    <cellStyle name="Процентный" xfId="1" builtinId="5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44824</xdr:colOff>
      <xdr:row>80</xdr:row>
      <xdr:rowOff>179295</xdr:rowOff>
    </xdr:from>
    <xdr:ext cx="10991086" cy="2159053"/>
    <xdr:sp macro="" textlink="">
      <xdr:nvSpPr>
        <xdr:cNvPr id="2" name="TextBox 1"/>
        <xdr:cNvSpPr txBox="1"/>
      </xdr:nvSpPr>
      <xdr:spPr>
        <a:xfrm>
          <a:off x="44824" y="15766677"/>
          <a:ext cx="10991086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ru-RU" sz="1100"/>
            <a:t>Стоимости через сравнительный метод оказалась сильно больше, чем при затратном методе,</a:t>
          </a:r>
          <a:r>
            <a:rPr lang="ru-RU" sz="1100" baseline="0"/>
            <a:t> это может быть по следующим причинам:</a:t>
          </a:r>
          <a:br>
            <a:rPr lang="ru-RU" sz="1100" baseline="0"/>
          </a:br>
          <a:r>
            <a:rPr lang="ru-RU" sz="1100" baseline="0"/>
            <a:t>1. Некорректная выборка компаний для сравнения</a:t>
          </a:r>
        </a:p>
        <a:p>
          <a:r>
            <a:rPr lang="ru-RU" sz="1100" baseline="0"/>
            <a:t>2. Некорректные входные данные для оценки бизнеса.</a:t>
          </a:r>
        </a:p>
        <a:p>
          <a:endParaRPr lang="ru-RU" sz="1100" baseline="0"/>
        </a:p>
        <a:p>
          <a:r>
            <a:rPr lang="ru-RU" sz="1100" baseline="0"/>
            <a:t>Если принять, что выборка компаний для сравнения корректа, следовательно, выручка и чистая прибыль компании, и  операционный денежный поток</a:t>
          </a:r>
        </a:p>
        <a:p>
          <a:r>
            <a:rPr lang="ru-RU" sz="1100" baseline="0"/>
            <a:t>занижены существенно, то есть возможно, что  цена отпускаемой продукции меньше рыночной (если объемы производства сравнимы с аналогичными у компаний конкурентов).</a:t>
          </a:r>
          <a:br>
            <a:rPr lang="ru-RU" sz="1100" baseline="0"/>
          </a:br>
          <a:r>
            <a:rPr lang="ru-RU" sz="1100" baseline="0"/>
            <a:t>Так же драйверами роста операционного потока может быть ДЗ, КЗ и запасы.</a:t>
          </a:r>
        </a:p>
        <a:p>
          <a:r>
            <a:rPr lang="ru-RU" sz="1100" baseline="0"/>
            <a:t>Возможно проблема в себестоимости и или накладных расходых. </a:t>
          </a:r>
        </a:p>
        <a:p>
          <a:endParaRPr lang="ru-RU" sz="1100" baseline="0"/>
        </a:p>
        <a:p>
          <a:r>
            <a:rPr lang="ru-RU" sz="1100" baseline="0"/>
            <a:t>Если выборка компаний не корректна, необходимо поменять выборку </a:t>
          </a:r>
          <a:r>
            <a:rPr lang="ru-RU" sz="1100"/>
            <a:t> </a:t>
          </a:r>
        </a:p>
        <a:p>
          <a:endParaRPr lang="ru-RU" sz="1100"/>
        </a:p>
        <a:p>
          <a:r>
            <a:rPr lang="ru-RU" sz="1100"/>
            <a:t>Необходимо</a:t>
          </a:r>
          <a:r>
            <a:rPr lang="ru-RU" sz="1100" baseline="0"/>
            <a:t> уточнить цену отпускаемой продукции, нормативы себестоимости и накладные расходы</a:t>
          </a:r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890869</xdr:colOff>
      <xdr:row>15</xdr:row>
      <xdr:rowOff>128867</xdr:rowOff>
    </xdr:from>
    <xdr:ext cx="649941" cy="1333500"/>
    <xdr:sp macro="" textlink="">
      <xdr:nvSpPr>
        <xdr:cNvPr id="2" name="TextBox 1"/>
        <xdr:cNvSpPr txBox="1"/>
      </xdr:nvSpPr>
      <xdr:spPr>
        <a:xfrm rot="-5400000">
          <a:off x="3081619" y="3328146"/>
          <a:ext cx="1333500" cy="6499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1200"/>
            <a:t>Цена макетной продукции, руб/кг</a:t>
          </a:r>
        </a:p>
      </xdr:txBody>
    </xdr:sp>
    <xdr:clientData/>
  </xdr:oneCellAnchor>
  <xdr:oneCellAnchor>
    <xdr:from>
      <xdr:col>0</xdr:col>
      <xdr:colOff>0</xdr:colOff>
      <xdr:row>14</xdr:row>
      <xdr:rowOff>78442</xdr:rowOff>
    </xdr:from>
    <xdr:ext cx="3393429" cy="530658"/>
    <xdr:sp macro="" textlink="">
      <xdr:nvSpPr>
        <xdr:cNvPr id="3" name="TextBox 2"/>
        <xdr:cNvSpPr txBox="1"/>
      </xdr:nvSpPr>
      <xdr:spPr>
        <a:xfrm>
          <a:off x="0" y="2745442"/>
          <a:ext cx="339342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ru-RU" sz="1400"/>
            <a:t>Собств. капитал через </a:t>
          </a:r>
          <a:r>
            <a:rPr lang="en-US" sz="1400"/>
            <a:t>FCFF </a:t>
          </a:r>
          <a:r>
            <a:rPr lang="ru-RU" sz="1400"/>
            <a:t>наиболее</a:t>
          </a:r>
          <a:r>
            <a:rPr lang="ru-RU" sz="1400" baseline="0"/>
            <a:t> </a:t>
          </a:r>
        </a:p>
        <a:p>
          <a:r>
            <a:rPr lang="ru-RU" sz="1400" baseline="0"/>
            <a:t>чувствителен к цене макетной продукции</a:t>
          </a:r>
          <a:endParaRPr lang="ru-RU" sz="14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showGridLines="0" zoomScale="70" zoomScaleNormal="70" workbookViewId="0">
      <pane ySplit="2" topLeftCell="A54" activePane="bottomLeft" state="frozen"/>
      <selection pane="bottomLeft" activeCell="C82" sqref="C82"/>
    </sheetView>
  </sheetViews>
  <sheetFormatPr defaultRowHeight="15"/>
  <cols>
    <col min="1" max="1" width="53.85546875" customWidth="1"/>
    <col min="2" max="2" width="15.85546875" customWidth="1"/>
    <col min="3" max="3" width="39.28515625" customWidth="1"/>
    <col min="4" max="4" width="8.28515625" customWidth="1"/>
    <col min="5" max="6" width="12.42578125" bestFit="1" customWidth="1"/>
    <col min="7" max="11" width="13.28515625" bestFit="1" customWidth="1"/>
    <col min="12" max="18" width="12.7109375" bestFit="1" customWidth="1"/>
    <col min="19" max="21" width="13.28515625" bestFit="1" customWidth="1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4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4" spans="1:21" s="1" customFormat="1">
      <c r="A4" s="2" t="s">
        <v>11</v>
      </c>
    </row>
    <row r="5" spans="1:21">
      <c r="A5" t="s">
        <v>12</v>
      </c>
      <c r="B5" t="s">
        <v>18</v>
      </c>
      <c r="E5" s="4"/>
      <c r="F5" s="5">
        <v>7.0000000000000007E-2</v>
      </c>
      <c r="G5" s="6">
        <f>F5</f>
        <v>7.0000000000000007E-2</v>
      </c>
      <c r="H5" s="6">
        <f t="shared" ref="H5:I5" si="0">G5</f>
        <v>7.0000000000000007E-2</v>
      </c>
      <c r="I5" s="6">
        <f t="shared" si="0"/>
        <v>7.0000000000000007E-2</v>
      </c>
      <c r="J5" s="5">
        <v>0.06</v>
      </c>
      <c r="K5" s="7">
        <f>J5</f>
        <v>0.06</v>
      </c>
      <c r="L5" s="7">
        <f t="shared" ref="L5:M5" si="1">K5</f>
        <v>0.06</v>
      </c>
      <c r="M5" s="7">
        <f t="shared" si="1"/>
        <v>0.06</v>
      </c>
      <c r="N5" s="5">
        <v>0.05</v>
      </c>
      <c r="O5" s="7">
        <v>0.05</v>
      </c>
      <c r="P5" s="7">
        <v>0.05</v>
      </c>
      <c r="Q5" s="7">
        <v>0.05</v>
      </c>
      <c r="R5" s="7">
        <v>0.05</v>
      </c>
      <c r="S5" s="7">
        <v>0.05</v>
      </c>
      <c r="T5" s="7">
        <v>0.05</v>
      </c>
      <c r="U5" s="7">
        <v>0.05</v>
      </c>
    </row>
    <row r="6" spans="1:21">
      <c r="A6" t="s">
        <v>13</v>
      </c>
      <c r="B6" t="s">
        <v>18</v>
      </c>
      <c r="E6" s="4"/>
      <c r="F6" s="9">
        <f>1+F5/4</f>
        <v>1.0175000000000001</v>
      </c>
      <c r="G6" s="9">
        <f t="shared" ref="G6:U6" si="2">1+G5/4</f>
        <v>1.0175000000000001</v>
      </c>
      <c r="H6" s="9">
        <f t="shared" si="2"/>
        <v>1.0175000000000001</v>
      </c>
      <c r="I6" s="9">
        <f t="shared" si="2"/>
        <v>1.0175000000000001</v>
      </c>
      <c r="J6" s="9">
        <f t="shared" si="2"/>
        <v>1.0149999999999999</v>
      </c>
      <c r="K6" s="9">
        <f t="shared" si="2"/>
        <v>1.0149999999999999</v>
      </c>
      <c r="L6" s="9">
        <f t="shared" si="2"/>
        <v>1.0149999999999999</v>
      </c>
      <c r="M6" s="9">
        <f t="shared" si="2"/>
        <v>1.0149999999999999</v>
      </c>
      <c r="N6" s="9">
        <f t="shared" si="2"/>
        <v>1.0125</v>
      </c>
      <c r="O6" s="9">
        <f t="shared" si="2"/>
        <v>1.0125</v>
      </c>
      <c r="P6" s="9">
        <f t="shared" si="2"/>
        <v>1.0125</v>
      </c>
      <c r="Q6" s="9">
        <f t="shared" si="2"/>
        <v>1.0125</v>
      </c>
      <c r="R6" s="9">
        <f t="shared" si="2"/>
        <v>1.0125</v>
      </c>
      <c r="S6" s="9">
        <f t="shared" si="2"/>
        <v>1.0125</v>
      </c>
      <c r="T6" s="9">
        <f t="shared" si="2"/>
        <v>1.0125</v>
      </c>
      <c r="U6" s="9">
        <f t="shared" si="2"/>
        <v>1.0125</v>
      </c>
    </row>
    <row r="7" spans="1:21">
      <c r="A7" t="s">
        <v>21</v>
      </c>
      <c r="B7" t="s">
        <v>18</v>
      </c>
      <c r="E7" s="4"/>
      <c r="F7" s="5">
        <v>0.08</v>
      </c>
      <c r="G7" s="7">
        <v>0.08</v>
      </c>
      <c r="H7" s="7">
        <v>0.08</v>
      </c>
      <c r="I7" s="7">
        <v>0.08</v>
      </c>
      <c r="J7" s="7">
        <v>0.08</v>
      </c>
      <c r="K7" s="7">
        <v>0.08</v>
      </c>
      <c r="L7" s="7">
        <v>0.08</v>
      </c>
      <c r="M7" s="7">
        <v>0.08</v>
      </c>
      <c r="N7" s="7">
        <v>0.08</v>
      </c>
      <c r="O7" s="7">
        <v>0.08</v>
      </c>
      <c r="P7" s="7">
        <v>0.08</v>
      </c>
      <c r="Q7" s="7">
        <v>0.08</v>
      </c>
      <c r="R7" s="7">
        <v>0.08</v>
      </c>
      <c r="S7" s="7">
        <v>0.08</v>
      </c>
      <c r="T7" s="7">
        <v>0.08</v>
      </c>
      <c r="U7" s="7">
        <v>0.08</v>
      </c>
    </row>
    <row r="8" spans="1:21">
      <c r="A8" t="s">
        <v>22</v>
      </c>
      <c r="B8" t="s">
        <v>18</v>
      </c>
      <c r="E8" s="4"/>
      <c r="F8" s="9">
        <f>1+F7/4</f>
        <v>1.02</v>
      </c>
      <c r="G8" s="9">
        <f t="shared" ref="G8:U8" si="3">1+G7/4</f>
        <v>1.02</v>
      </c>
      <c r="H8" s="9">
        <f t="shared" si="3"/>
        <v>1.02</v>
      </c>
      <c r="I8" s="9">
        <f t="shared" si="3"/>
        <v>1.02</v>
      </c>
      <c r="J8" s="9">
        <f t="shared" si="3"/>
        <v>1.02</v>
      </c>
      <c r="K8" s="9">
        <f t="shared" si="3"/>
        <v>1.02</v>
      </c>
      <c r="L8" s="9">
        <f t="shared" si="3"/>
        <v>1.02</v>
      </c>
      <c r="M8" s="9">
        <f t="shared" si="3"/>
        <v>1.02</v>
      </c>
      <c r="N8" s="9">
        <f t="shared" si="3"/>
        <v>1.02</v>
      </c>
      <c r="O8" s="9">
        <f t="shared" si="3"/>
        <v>1.02</v>
      </c>
      <c r="P8" s="9">
        <f t="shared" si="3"/>
        <v>1.02</v>
      </c>
      <c r="Q8" s="9">
        <f t="shared" si="3"/>
        <v>1.02</v>
      </c>
      <c r="R8" s="9">
        <f t="shared" si="3"/>
        <v>1.02</v>
      </c>
      <c r="S8" s="9">
        <f t="shared" si="3"/>
        <v>1.02</v>
      </c>
      <c r="T8" s="9">
        <f t="shared" si="3"/>
        <v>1.02</v>
      </c>
      <c r="U8" s="9">
        <f t="shared" si="3"/>
        <v>1.02</v>
      </c>
    </row>
    <row r="9" spans="1:21">
      <c r="A9" t="s">
        <v>23</v>
      </c>
      <c r="B9" t="s">
        <v>18</v>
      </c>
      <c r="C9" s="3" t="s">
        <v>345</v>
      </c>
      <c r="E9" s="4"/>
      <c r="F9" s="191">
        <f>'Сценарный анализ'!F9</f>
        <v>0.01</v>
      </c>
      <c r="G9" s="191">
        <f>'Сценарный анализ'!G9</f>
        <v>0.01</v>
      </c>
      <c r="H9" s="191">
        <f>'Сценарный анализ'!H9</f>
        <v>0.01</v>
      </c>
      <c r="I9" s="191">
        <f>'Сценарный анализ'!I9</f>
        <v>0.01</v>
      </c>
      <c r="J9" s="191">
        <f>'Сценарный анализ'!J9</f>
        <v>0.01</v>
      </c>
      <c r="K9" s="191">
        <f>'Сценарный анализ'!K9</f>
        <v>0.01</v>
      </c>
      <c r="L9" s="191">
        <f>'Сценарный анализ'!L9</f>
        <v>0.01</v>
      </c>
      <c r="M9" s="191">
        <f>'Сценарный анализ'!M9</f>
        <v>0.01</v>
      </c>
      <c r="N9" s="191">
        <f>'Сценарный анализ'!N9</f>
        <v>0.01</v>
      </c>
      <c r="O9" s="191">
        <f>'Сценарный анализ'!O9</f>
        <v>0.01</v>
      </c>
      <c r="P9" s="191">
        <f>'Сценарный анализ'!P9</f>
        <v>0.01</v>
      </c>
      <c r="Q9" s="191">
        <f>'Сценарный анализ'!Q9</f>
        <v>0.01</v>
      </c>
      <c r="R9" s="191">
        <f>'Сценарный анализ'!R9</f>
        <v>0.01</v>
      </c>
      <c r="S9" s="191">
        <f>'Сценарный анализ'!S9</f>
        <v>0.01</v>
      </c>
      <c r="T9" s="191">
        <f>'Сценарный анализ'!T9</f>
        <v>0.01</v>
      </c>
      <c r="U9" s="191">
        <f>'Сценарный анализ'!U9</f>
        <v>0.01</v>
      </c>
    </row>
    <row r="10" spans="1:21">
      <c r="A10" t="s">
        <v>24</v>
      </c>
      <c r="B10" t="s">
        <v>18</v>
      </c>
      <c r="E10" s="4"/>
      <c r="F10" s="9">
        <f>1+F9/4</f>
        <v>1.0024999999999999</v>
      </c>
      <c r="G10" s="9">
        <f t="shared" ref="G10:U10" si="4">1+G9/4</f>
        <v>1.0024999999999999</v>
      </c>
      <c r="H10" s="9">
        <f t="shared" si="4"/>
        <v>1.0024999999999999</v>
      </c>
      <c r="I10" s="9">
        <f t="shared" si="4"/>
        <v>1.0024999999999999</v>
      </c>
      <c r="J10" s="9">
        <f t="shared" si="4"/>
        <v>1.0024999999999999</v>
      </c>
      <c r="K10" s="9">
        <f t="shared" si="4"/>
        <v>1.0024999999999999</v>
      </c>
      <c r="L10" s="9">
        <f t="shared" si="4"/>
        <v>1.0024999999999999</v>
      </c>
      <c r="M10" s="9">
        <f t="shared" si="4"/>
        <v>1.0024999999999999</v>
      </c>
      <c r="N10" s="9">
        <f t="shared" si="4"/>
        <v>1.0024999999999999</v>
      </c>
      <c r="O10" s="9">
        <f t="shared" si="4"/>
        <v>1.0024999999999999</v>
      </c>
      <c r="P10" s="9">
        <f t="shared" si="4"/>
        <v>1.0024999999999999</v>
      </c>
      <c r="Q10" s="9">
        <f t="shared" si="4"/>
        <v>1.0024999999999999</v>
      </c>
      <c r="R10" s="9">
        <f t="shared" si="4"/>
        <v>1.0024999999999999</v>
      </c>
      <c r="S10" s="9">
        <f t="shared" si="4"/>
        <v>1.0024999999999999</v>
      </c>
      <c r="T10" s="9">
        <f t="shared" si="4"/>
        <v>1.0024999999999999</v>
      </c>
      <c r="U10" s="9">
        <f t="shared" si="4"/>
        <v>1.0024999999999999</v>
      </c>
    </row>
    <row r="11" spans="1:21">
      <c r="A11" t="s">
        <v>14</v>
      </c>
      <c r="B11" t="s">
        <v>19</v>
      </c>
      <c r="E11" s="20">
        <v>74</v>
      </c>
      <c r="F11" s="13">
        <f>E11*(1+$D$12)</f>
        <v>74.36999999999999</v>
      </c>
      <c r="G11" s="13">
        <f t="shared" ref="G11:U11" si="5">F11*(1+$D$12)</f>
        <v>74.741849999999985</v>
      </c>
      <c r="H11" s="13">
        <f t="shared" si="5"/>
        <v>75.115559249999976</v>
      </c>
      <c r="I11" s="13">
        <f t="shared" si="5"/>
        <v>75.49113704624996</v>
      </c>
      <c r="J11" s="13">
        <f t="shared" si="5"/>
        <v>75.868592731481201</v>
      </c>
      <c r="K11" s="13">
        <f t="shared" si="5"/>
        <v>76.247935695138594</v>
      </c>
      <c r="L11" s="13">
        <f t="shared" si="5"/>
        <v>76.629175373614274</v>
      </c>
      <c r="M11" s="13">
        <f t="shared" si="5"/>
        <v>77.01232125048233</v>
      </c>
      <c r="N11" s="13">
        <f t="shared" si="5"/>
        <v>77.397382856734737</v>
      </c>
      <c r="O11" s="13">
        <f t="shared" si="5"/>
        <v>77.784369771018405</v>
      </c>
      <c r="P11" s="13">
        <f t="shared" si="5"/>
        <v>78.173291619873481</v>
      </c>
      <c r="Q11" s="13">
        <f t="shared" si="5"/>
        <v>78.564158077972834</v>
      </c>
      <c r="R11" s="13">
        <f t="shared" si="5"/>
        <v>78.956978868362697</v>
      </c>
      <c r="S11" s="13">
        <f t="shared" si="5"/>
        <v>79.351763762704508</v>
      </c>
      <c r="T11" s="13">
        <f t="shared" si="5"/>
        <v>79.748522581518017</v>
      </c>
      <c r="U11" s="13">
        <f t="shared" si="5"/>
        <v>80.1472651944256</v>
      </c>
    </row>
    <row r="12" spans="1:21">
      <c r="A12" t="s">
        <v>53</v>
      </c>
      <c r="B12" t="s">
        <v>18</v>
      </c>
      <c r="D12" s="10">
        <v>5.0000000000000001E-3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4" spans="1:21" s="1" customFormat="1">
      <c r="A14" s="2" t="s">
        <v>15</v>
      </c>
    </row>
    <row r="15" spans="1:21" s="3" customFormat="1">
      <c r="A15" s="3" t="s">
        <v>25</v>
      </c>
      <c r="B15" s="3" t="s">
        <v>27</v>
      </c>
      <c r="C15" s="3" t="s">
        <v>345</v>
      </c>
      <c r="D15" s="32"/>
      <c r="E15" s="189">
        <f>'Сценарный анализ'!E16</f>
        <v>0</v>
      </c>
      <c r="F15" s="188">
        <f>'Сценарный анализ'!F16</f>
        <v>0</v>
      </c>
      <c r="G15" s="188">
        <f>'Сценарный анализ'!G16</f>
        <v>500</v>
      </c>
      <c r="H15" s="188">
        <f>'Сценарный анализ'!H16</f>
        <v>1000</v>
      </c>
      <c r="I15" s="188">
        <f>'Сценарный анализ'!I16</f>
        <v>1500</v>
      </c>
      <c r="J15" s="188">
        <f>'Сценарный анализ'!J16</f>
        <v>2000</v>
      </c>
      <c r="K15" s="188">
        <f>'Сценарный анализ'!K16</f>
        <v>2500</v>
      </c>
      <c r="L15" s="188">
        <f>'Сценарный анализ'!L16</f>
        <v>3000</v>
      </c>
      <c r="M15" s="188">
        <f>'Сценарный анализ'!M16</f>
        <v>3500</v>
      </c>
      <c r="N15" s="188">
        <f>'Сценарный анализ'!N16</f>
        <v>4000</v>
      </c>
      <c r="O15" s="188">
        <f>'Сценарный анализ'!O16</f>
        <v>4000</v>
      </c>
      <c r="P15" s="188">
        <f>'Сценарный анализ'!P16</f>
        <v>4000</v>
      </c>
      <c r="Q15" s="188">
        <f>'Сценарный анализ'!Q16</f>
        <v>4000</v>
      </c>
      <c r="R15" s="188">
        <f>'Сценарный анализ'!R16</f>
        <v>4000</v>
      </c>
      <c r="S15" s="188">
        <f>'Сценарный анализ'!S16</f>
        <v>4000</v>
      </c>
      <c r="T15" s="188">
        <f>'Сценарный анализ'!T16</f>
        <v>4000</v>
      </c>
      <c r="U15" s="188">
        <f>'Сценарный анализ'!U16</f>
        <v>4000</v>
      </c>
    </row>
    <row r="16" spans="1:21">
      <c r="A16" s="3" t="s">
        <v>26</v>
      </c>
      <c r="B16" t="s">
        <v>27</v>
      </c>
      <c r="C16" s="3" t="s">
        <v>345</v>
      </c>
      <c r="D16" s="24"/>
      <c r="E16" s="189">
        <f>'Сценарный анализ'!E23</f>
        <v>0</v>
      </c>
      <c r="F16" s="188">
        <f>'Сценарный анализ'!F23</f>
        <v>0</v>
      </c>
      <c r="G16" s="188">
        <f>'Сценарный анализ'!G23</f>
        <v>50</v>
      </c>
      <c r="H16" s="188">
        <f>'Сценарный анализ'!H23</f>
        <v>100</v>
      </c>
      <c r="I16" s="188">
        <f>'Сценарный анализ'!I23</f>
        <v>150</v>
      </c>
      <c r="J16" s="188">
        <f>'Сценарный анализ'!J23</f>
        <v>200</v>
      </c>
      <c r="K16" s="188">
        <f>'Сценарный анализ'!K23</f>
        <v>250</v>
      </c>
      <c r="L16" s="188">
        <f>'Сценарный анализ'!L23</f>
        <v>300</v>
      </c>
      <c r="M16" s="188">
        <f>'Сценарный анализ'!M23</f>
        <v>350</v>
      </c>
      <c r="N16" s="188">
        <f>'Сценарный анализ'!N23</f>
        <v>400</v>
      </c>
      <c r="O16" s="188">
        <f>'Сценарный анализ'!O23</f>
        <v>450</v>
      </c>
      <c r="P16" s="188">
        <f>'Сценарный анализ'!P23</f>
        <v>450</v>
      </c>
      <c r="Q16" s="188">
        <f>'Сценарный анализ'!Q23</f>
        <v>450</v>
      </c>
      <c r="R16" s="188">
        <f>'Сценарный анализ'!R23</f>
        <v>450</v>
      </c>
      <c r="S16" s="188">
        <f>'Сценарный анализ'!S23</f>
        <v>450</v>
      </c>
      <c r="T16" s="188">
        <f>'Сценарный анализ'!T23</f>
        <v>450</v>
      </c>
      <c r="U16" s="188">
        <f>'Сценарный анализ'!U23</f>
        <v>450</v>
      </c>
    </row>
    <row r="17" spans="1:21">
      <c r="A17" s="3" t="s">
        <v>29</v>
      </c>
      <c r="B17" t="s">
        <v>27</v>
      </c>
      <c r="C17" s="3"/>
      <c r="D17" s="24"/>
    </row>
    <row r="18" spans="1:21">
      <c r="A18" s="3" t="s">
        <v>30</v>
      </c>
      <c r="B18" t="s">
        <v>27</v>
      </c>
      <c r="C18" s="3"/>
      <c r="D18" s="24"/>
    </row>
    <row r="20" spans="1:21" s="1" customFormat="1">
      <c r="A20" s="2" t="s">
        <v>16</v>
      </c>
    </row>
    <row r="21" spans="1:21" s="3" customFormat="1">
      <c r="A21" s="3" t="s">
        <v>25</v>
      </c>
      <c r="B21" s="3" t="s">
        <v>31</v>
      </c>
      <c r="C21" s="3" t="s">
        <v>103</v>
      </c>
      <c r="E21" s="175">
        <f>'Анализ чувствительности'!C3</f>
        <v>4000</v>
      </c>
      <c r="F21" s="16">
        <f>E21*F6</f>
        <v>4070.0000000000005</v>
      </c>
      <c r="G21" s="16">
        <f t="shared" ref="G21:U21" si="6">F21*G6</f>
        <v>4141.2250000000004</v>
      </c>
      <c r="H21" s="16">
        <f t="shared" si="6"/>
        <v>4213.6964375000007</v>
      </c>
      <c r="I21" s="16">
        <f t="shared" si="6"/>
        <v>4287.4361251562514</v>
      </c>
      <c r="J21" s="16">
        <f t="shared" si="6"/>
        <v>4351.7476670335946</v>
      </c>
      <c r="K21" s="16">
        <f t="shared" si="6"/>
        <v>4417.0238820390978</v>
      </c>
      <c r="L21" s="16">
        <f t="shared" si="6"/>
        <v>4483.2792402696841</v>
      </c>
      <c r="M21" s="16">
        <f t="shared" si="6"/>
        <v>4550.5284288737294</v>
      </c>
      <c r="N21" s="16">
        <f t="shared" si="6"/>
        <v>4607.410034234651</v>
      </c>
      <c r="O21" s="16">
        <f t="shared" si="6"/>
        <v>4665.0026596625839</v>
      </c>
      <c r="P21" s="16">
        <f t="shared" si="6"/>
        <v>4723.315192908366</v>
      </c>
      <c r="Q21" s="16">
        <f t="shared" si="6"/>
        <v>4782.3566328197203</v>
      </c>
      <c r="R21" s="16">
        <f t="shared" si="6"/>
        <v>4842.1360907299668</v>
      </c>
      <c r="S21" s="16">
        <f t="shared" si="6"/>
        <v>4902.6627918640916</v>
      </c>
      <c r="T21" s="16">
        <f t="shared" si="6"/>
        <v>4963.9460767623923</v>
      </c>
      <c r="U21" s="16">
        <f t="shared" si="6"/>
        <v>5025.9954027219219</v>
      </c>
    </row>
    <row r="22" spans="1:21">
      <c r="A22" s="3" t="s">
        <v>26</v>
      </c>
      <c r="B22" s="3" t="s">
        <v>31</v>
      </c>
      <c r="C22" s="3" t="s">
        <v>103</v>
      </c>
      <c r="E22" s="175">
        <f>'Анализ чувствительности'!C6</f>
        <v>12000</v>
      </c>
      <c r="F22" s="18">
        <f>E22*F6</f>
        <v>12210</v>
      </c>
      <c r="G22" s="18">
        <f t="shared" ref="G22:U22" si="7">F22*G6</f>
        <v>12423.675000000001</v>
      </c>
      <c r="H22" s="18">
        <f t="shared" si="7"/>
        <v>12641.089312500002</v>
      </c>
      <c r="I22" s="18">
        <f t="shared" si="7"/>
        <v>12862.308375468752</v>
      </c>
      <c r="J22" s="18">
        <f t="shared" si="7"/>
        <v>13055.243001100782</v>
      </c>
      <c r="K22" s="18">
        <f t="shared" si="7"/>
        <v>13251.071646117292</v>
      </c>
      <c r="L22" s="18">
        <f t="shared" si="7"/>
        <v>13449.83772080905</v>
      </c>
      <c r="M22" s="18">
        <f t="shared" si="7"/>
        <v>13651.585286621184</v>
      </c>
      <c r="N22" s="18">
        <f t="shared" si="7"/>
        <v>13822.230102703948</v>
      </c>
      <c r="O22" s="18">
        <f t="shared" si="7"/>
        <v>13995.007978987747</v>
      </c>
      <c r="P22" s="18">
        <f t="shared" si="7"/>
        <v>14169.945578725094</v>
      </c>
      <c r="Q22" s="18">
        <f t="shared" si="7"/>
        <v>14347.069898459156</v>
      </c>
      <c r="R22" s="18">
        <f t="shared" si="7"/>
        <v>14526.408272189896</v>
      </c>
      <c r="S22" s="18">
        <f t="shared" si="7"/>
        <v>14707.988375592269</v>
      </c>
      <c r="T22" s="18">
        <f t="shared" si="7"/>
        <v>14891.838230287172</v>
      </c>
      <c r="U22" s="18">
        <f t="shared" si="7"/>
        <v>15077.986208165761</v>
      </c>
    </row>
    <row r="24" spans="1:21" s="1" customFormat="1">
      <c r="A24" s="2" t="s">
        <v>32</v>
      </c>
    </row>
    <row r="25" spans="1:21" s="3" customFormat="1">
      <c r="A25" s="3" t="s">
        <v>33</v>
      </c>
      <c r="B25" s="3" t="s">
        <v>128</v>
      </c>
      <c r="C25" s="3" t="s">
        <v>123</v>
      </c>
      <c r="E25" s="21">
        <v>1.05</v>
      </c>
      <c r="F25" s="8">
        <f>E25</f>
        <v>1.05</v>
      </c>
      <c r="G25" s="8">
        <f t="shared" ref="G25:U25" si="8">F25</f>
        <v>1.05</v>
      </c>
      <c r="H25" s="8">
        <f t="shared" si="8"/>
        <v>1.05</v>
      </c>
      <c r="I25" s="8">
        <f t="shared" si="8"/>
        <v>1.05</v>
      </c>
      <c r="J25" s="8">
        <f t="shared" si="8"/>
        <v>1.05</v>
      </c>
      <c r="K25" s="8">
        <f t="shared" si="8"/>
        <v>1.05</v>
      </c>
      <c r="L25" s="8">
        <f t="shared" si="8"/>
        <v>1.05</v>
      </c>
      <c r="M25" s="8">
        <f t="shared" si="8"/>
        <v>1.05</v>
      </c>
      <c r="N25" s="8">
        <f t="shared" si="8"/>
        <v>1.05</v>
      </c>
      <c r="O25" s="8">
        <f t="shared" si="8"/>
        <v>1.05</v>
      </c>
      <c r="P25" s="8">
        <f t="shared" si="8"/>
        <v>1.05</v>
      </c>
      <c r="Q25" s="8">
        <f t="shared" si="8"/>
        <v>1.05</v>
      </c>
      <c r="R25" s="8">
        <f t="shared" si="8"/>
        <v>1.05</v>
      </c>
      <c r="S25" s="8">
        <f t="shared" si="8"/>
        <v>1.05</v>
      </c>
      <c r="T25" s="8">
        <f t="shared" si="8"/>
        <v>1.05</v>
      </c>
      <c r="U25" s="8">
        <f t="shared" si="8"/>
        <v>1.05</v>
      </c>
    </row>
    <row r="26" spans="1:21">
      <c r="A26" s="3" t="s">
        <v>34</v>
      </c>
      <c r="B26" s="3" t="s">
        <v>128</v>
      </c>
      <c r="C26" s="3" t="s">
        <v>123</v>
      </c>
      <c r="E26" s="20">
        <v>1.1200000000000001</v>
      </c>
      <c r="F26" s="8">
        <f t="shared" ref="F26:U34" si="9">E26</f>
        <v>1.1200000000000001</v>
      </c>
      <c r="G26" s="8">
        <f t="shared" si="9"/>
        <v>1.1200000000000001</v>
      </c>
      <c r="H26" s="8">
        <f t="shared" si="9"/>
        <v>1.1200000000000001</v>
      </c>
      <c r="I26" s="8">
        <f t="shared" si="9"/>
        <v>1.1200000000000001</v>
      </c>
      <c r="J26" s="8">
        <f t="shared" si="9"/>
        <v>1.1200000000000001</v>
      </c>
      <c r="K26" s="8">
        <f t="shared" si="9"/>
        <v>1.1200000000000001</v>
      </c>
      <c r="L26" s="8">
        <f t="shared" si="9"/>
        <v>1.1200000000000001</v>
      </c>
      <c r="M26" s="8">
        <f t="shared" si="9"/>
        <v>1.1200000000000001</v>
      </c>
      <c r="N26" s="8">
        <f t="shared" si="9"/>
        <v>1.1200000000000001</v>
      </c>
      <c r="O26" s="8">
        <f t="shared" si="9"/>
        <v>1.1200000000000001</v>
      </c>
      <c r="P26" s="8">
        <f t="shared" si="9"/>
        <v>1.1200000000000001</v>
      </c>
      <c r="Q26" s="8">
        <f t="shared" si="9"/>
        <v>1.1200000000000001</v>
      </c>
      <c r="R26" s="8">
        <f t="shared" si="9"/>
        <v>1.1200000000000001</v>
      </c>
      <c r="S26" s="8">
        <f t="shared" si="9"/>
        <v>1.1200000000000001</v>
      </c>
      <c r="T26" s="8">
        <f t="shared" si="9"/>
        <v>1.1200000000000001</v>
      </c>
      <c r="U26" s="8">
        <f t="shared" si="9"/>
        <v>1.1200000000000001</v>
      </c>
    </row>
    <row r="27" spans="1:21">
      <c r="A27" s="3" t="s">
        <v>36</v>
      </c>
      <c r="B27" s="3" t="s">
        <v>39</v>
      </c>
      <c r="E27" s="20">
        <v>0.5</v>
      </c>
      <c r="F27" s="8">
        <f t="shared" si="9"/>
        <v>0.5</v>
      </c>
      <c r="G27" s="8">
        <f t="shared" si="9"/>
        <v>0.5</v>
      </c>
      <c r="H27" s="8">
        <f t="shared" si="9"/>
        <v>0.5</v>
      </c>
      <c r="I27" s="8">
        <f t="shared" si="9"/>
        <v>0.5</v>
      </c>
      <c r="J27" s="8">
        <f t="shared" si="9"/>
        <v>0.5</v>
      </c>
      <c r="K27" s="8">
        <f t="shared" si="9"/>
        <v>0.5</v>
      </c>
      <c r="L27" s="8">
        <f t="shared" si="9"/>
        <v>0.5</v>
      </c>
      <c r="M27" s="8">
        <f t="shared" si="9"/>
        <v>0.5</v>
      </c>
      <c r="N27" s="8">
        <f t="shared" si="9"/>
        <v>0.5</v>
      </c>
      <c r="O27" s="8">
        <f t="shared" si="9"/>
        <v>0.5</v>
      </c>
      <c r="P27" s="8">
        <f t="shared" si="9"/>
        <v>0.5</v>
      </c>
      <c r="Q27" s="8">
        <f t="shared" si="9"/>
        <v>0.5</v>
      </c>
      <c r="R27" s="8">
        <f t="shared" si="9"/>
        <v>0.5</v>
      </c>
      <c r="S27" s="8">
        <f t="shared" si="9"/>
        <v>0.5</v>
      </c>
      <c r="T27" s="8">
        <f t="shared" si="9"/>
        <v>0.5</v>
      </c>
      <c r="U27" s="8">
        <f t="shared" si="9"/>
        <v>0.5</v>
      </c>
    </row>
    <row r="28" spans="1:21">
      <c r="A28" s="3" t="s">
        <v>35</v>
      </c>
      <c r="B28" s="3" t="s">
        <v>39</v>
      </c>
      <c r="E28" s="20">
        <v>1.25</v>
      </c>
      <c r="F28" s="8">
        <f t="shared" si="9"/>
        <v>1.25</v>
      </c>
      <c r="G28" s="8">
        <f t="shared" si="9"/>
        <v>1.25</v>
      </c>
      <c r="H28" s="8">
        <f t="shared" si="9"/>
        <v>1.25</v>
      </c>
      <c r="I28" s="8">
        <f t="shared" si="9"/>
        <v>1.25</v>
      </c>
      <c r="J28" s="8">
        <f t="shared" si="9"/>
        <v>1.25</v>
      </c>
      <c r="K28" s="8">
        <f t="shared" si="9"/>
        <v>1.25</v>
      </c>
      <c r="L28" s="8">
        <f t="shared" si="9"/>
        <v>1.25</v>
      </c>
      <c r="M28" s="8">
        <f t="shared" si="9"/>
        <v>1.25</v>
      </c>
      <c r="N28" s="8">
        <f t="shared" si="9"/>
        <v>1.25</v>
      </c>
      <c r="O28" s="8">
        <f t="shared" si="9"/>
        <v>1.25</v>
      </c>
      <c r="P28" s="8">
        <f t="shared" si="9"/>
        <v>1.25</v>
      </c>
      <c r="Q28" s="8">
        <f t="shared" si="9"/>
        <v>1.25</v>
      </c>
      <c r="R28" s="8">
        <f t="shared" si="9"/>
        <v>1.25</v>
      </c>
      <c r="S28" s="8">
        <f t="shared" si="9"/>
        <v>1.25</v>
      </c>
      <c r="T28" s="8">
        <f t="shared" si="9"/>
        <v>1.25</v>
      </c>
      <c r="U28" s="8">
        <f t="shared" si="9"/>
        <v>1.25</v>
      </c>
    </row>
    <row r="29" spans="1:21">
      <c r="A29" s="3" t="s">
        <v>37</v>
      </c>
      <c r="B29" s="3" t="s">
        <v>39</v>
      </c>
      <c r="E29" s="20">
        <v>0.1</v>
      </c>
      <c r="F29" s="8">
        <f t="shared" si="9"/>
        <v>0.1</v>
      </c>
      <c r="G29" s="8">
        <f t="shared" si="9"/>
        <v>0.1</v>
      </c>
      <c r="H29" s="8">
        <f t="shared" si="9"/>
        <v>0.1</v>
      </c>
      <c r="I29" s="8">
        <f t="shared" si="9"/>
        <v>0.1</v>
      </c>
      <c r="J29" s="8">
        <f t="shared" si="9"/>
        <v>0.1</v>
      </c>
      <c r="K29" s="8">
        <f t="shared" si="9"/>
        <v>0.1</v>
      </c>
      <c r="L29" s="8">
        <f t="shared" si="9"/>
        <v>0.1</v>
      </c>
      <c r="M29" s="8">
        <f t="shared" si="9"/>
        <v>0.1</v>
      </c>
      <c r="N29" s="8">
        <f t="shared" si="9"/>
        <v>0.1</v>
      </c>
      <c r="O29" s="8">
        <f t="shared" si="9"/>
        <v>0.1</v>
      </c>
      <c r="P29" s="8">
        <f t="shared" si="9"/>
        <v>0.1</v>
      </c>
      <c r="Q29" s="8">
        <f t="shared" si="9"/>
        <v>0.1</v>
      </c>
      <c r="R29" s="8">
        <f t="shared" si="9"/>
        <v>0.1</v>
      </c>
      <c r="S29" s="8">
        <f t="shared" si="9"/>
        <v>0.1</v>
      </c>
      <c r="T29" s="8">
        <f t="shared" si="9"/>
        <v>0.1</v>
      </c>
      <c r="U29" s="8">
        <f t="shared" si="9"/>
        <v>0.1</v>
      </c>
    </row>
    <row r="30" spans="1:21">
      <c r="A30" s="3" t="s">
        <v>38</v>
      </c>
      <c r="B30" s="3" t="s">
        <v>39</v>
      </c>
      <c r="E30" s="20">
        <v>1.5</v>
      </c>
      <c r="F30" s="8">
        <f t="shared" si="9"/>
        <v>1.5</v>
      </c>
      <c r="G30" s="8">
        <f t="shared" si="9"/>
        <v>1.5</v>
      </c>
      <c r="H30" s="8">
        <f t="shared" si="9"/>
        <v>1.5</v>
      </c>
      <c r="I30" s="8">
        <f t="shared" si="9"/>
        <v>1.5</v>
      </c>
      <c r="J30" s="8">
        <f t="shared" si="9"/>
        <v>1.5</v>
      </c>
      <c r="K30" s="8">
        <f t="shared" si="9"/>
        <v>1.5</v>
      </c>
      <c r="L30" s="8">
        <f t="shared" si="9"/>
        <v>1.5</v>
      </c>
      <c r="M30" s="8">
        <f t="shared" si="9"/>
        <v>1.5</v>
      </c>
      <c r="N30" s="8">
        <f t="shared" si="9"/>
        <v>1.5</v>
      </c>
      <c r="O30" s="8">
        <f t="shared" si="9"/>
        <v>1.5</v>
      </c>
      <c r="P30" s="8">
        <f t="shared" si="9"/>
        <v>1.5</v>
      </c>
      <c r="Q30" s="8">
        <f t="shared" si="9"/>
        <v>1.5</v>
      </c>
      <c r="R30" s="8">
        <f t="shared" si="9"/>
        <v>1.5</v>
      </c>
      <c r="S30" s="8">
        <f t="shared" si="9"/>
        <v>1.5</v>
      </c>
      <c r="T30" s="8">
        <f t="shared" si="9"/>
        <v>1.5</v>
      </c>
      <c r="U30" s="8">
        <f t="shared" si="9"/>
        <v>1.5</v>
      </c>
    </row>
    <row r="31" spans="1:21">
      <c r="A31" s="3" t="s">
        <v>40</v>
      </c>
      <c r="B31" s="3" t="s">
        <v>31</v>
      </c>
      <c r="C31" t="s">
        <v>103</v>
      </c>
      <c r="E31" s="20">
        <v>250</v>
      </c>
      <c r="F31" s="35">
        <f>E31*F6</f>
        <v>254.37500000000003</v>
      </c>
      <c r="G31" s="35">
        <f t="shared" ref="G31:U31" si="10">F31*G6</f>
        <v>258.82656250000002</v>
      </c>
      <c r="H31" s="35">
        <f t="shared" si="10"/>
        <v>263.35602734375004</v>
      </c>
      <c r="I31" s="35">
        <f t="shared" si="10"/>
        <v>267.96475782226571</v>
      </c>
      <c r="J31" s="35">
        <f t="shared" si="10"/>
        <v>271.98422918959966</v>
      </c>
      <c r="K31" s="35">
        <f t="shared" si="10"/>
        <v>276.06399262744361</v>
      </c>
      <c r="L31" s="35">
        <f t="shared" si="10"/>
        <v>280.20495251685526</v>
      </c>
      <c r="M31" s="35">
        <f t="shared" si="10"/>
        <v>284.40802680460808</v>
      </c>
      <c r="N31" s="35">
        <f t="shared" si="10"/>
        <v>287.96312713966569</v>
      </c>
      <c r="O31" s="35">
        <f t="shared" si="10"/>
        <v>291.5626662289115</v>
      </c>
      <c r="P31" s="35">
        <f t="shared" si="10"/>
        <v>295.20719955677288</v>
      </c>
      <c r="Q31" s="35">
        <f t="shared" si="10"/>
        <v>298.89728955123252</v>
      </c>
      <c r="R31" s="35">
        <f t="shared" si="10"/>
        <v>302.63350567062292</v>
      </c>
      <c r="S31" s="35">
        <f t="shared" si="10"/>
        <v>306.41642449150572</v>
      </c>
      <c r="T31" s="35">
        <f t="shared" si="10"/>
        <v>310.24662979764952</v>
      </c>
      <c r="U31" s="35">
        <f t="shared" si="10"/>
        <v>314.12471267012012</v>
      </c>
    </row>
    <row r="32" spans="1:21">
      <c r="A32" s="3" t="s">
        <v>41</v>
      </c>
      <c r="B32" s="3" t="s">
        <v>31</v>
      </c>
      <c r="C32" t="s">
        <v>103</v>
      </c>
      <c r="E32" s="20">
        <v>600</v>
      </c>
      <c r="F32" s="35">
        <f>E32*F6</f>
        <v>610.5</v>
      </c>
      <c r="G32" s="35">
        <f t="shared" ref="G32:U32" si="11">F32*G6</f>
        <v>621.18375000000003</v>
      </c>
      <c r="H32" s="35">
        <f t="shared" si="11"/>
        <v>632.05446562500003</v>
      </c>
      <c r="I32" s="35">
        <f t="shared" si="11"/>
        <v>643.11541877343757</v>
      </c>
      <c r="J32" s="35">
        <f t="shared" si="11"/>
        <v>652.76215005503911</v>
      </c>
      <c r="K32" s="35">
        <f t="shared" si="11"/>
        <v>662.55358230586467</v>
      </c>
      <c r="L32" s="35">
        <f t="shared" si="11"/>
        <v>672.49188604045253</v>
      </c>
      <c r="M32" s="35">
        <f t="shared" si="11"/>
        <v>682.57926433105922</v>
      </c>
      <c r="N32" s="35">
        <f t="shared" si="11"/>
        <v>691.11150513519738</v>
      </c>
      <c r="O32" s="35">
        <f t="shared" si="11"/>
        <v>699.75039894938732</v>
      </c>
      <c r="P32" s="35">
        <f t="shared" si="11"/>
        <v>708.49727893625459</v>
      </c>
      <c r="Q32" s="35">
        <f t="shared" si="11"/>
        <v>717.35349492295779</v>
      </c>
      <c r="R32" s="35">
        <f t="shared" si="11"/>
        <v>726.32041360949472</v>
      </c>
      <c r="S32" s="35">
        <f t="shared" si="11"/>
        <v>735.39941877961337</v>
      </c>
      <c r="T32" s="35">
        <f t="shared" si="11"/>
        <v>744.59191151435846</v>
      </c>
      <c r="U32" s="35">
        <f t="shared" si="11"/>
        <v>753.89931040828787</v>
      </c>
    </row>
    <row r="33" spans="1:21">
      <c r="A33" s="3" t="s">
        <v>42</v>
      </c>
      <c r="B33" s="3" t="s">
        <v>44</v>
      </c>
      <c r="E33" s="20">
        <v>50</v>
      </c>
      <c r="F33" s="8">
        <f t="shared" si="9"/>
        <v>50</v>
      </c>
      <c r="G33" s="8">
        <f t="shared" si="9"/>
        <v>50</v>
      </c>
      <c r="H33" s="8">
        <f t="shared" si="9"/>
        <v>50</v>
      </c>
      <c r="I33" s="8">
        <f t="shared" si="9"/>
        <v>50</v>
      </c>
      <c r="J33" s="8">
        <f t="shared" si="9"/>
        <v>50</v>
      </c>
      <c r="K33" s="8">
        <f t="shared" si="9"/>
        <v>50</v>
      </c>
      <c r="L33" s="8">
        <f t="shared" si="9"/>
        <v>50</v>
      </c>
      <c r="M33" s="8">
        <f t="shared" si="9"/>
        <v>50</v>
      </c>
      <c r="N33" s="8">
        <f t="shared" si="9"/>
        <v>50</v>
      </c>
      <c r="O33" s="8">
        <f t="shared" si="9"/>
        <v>50</v>
      </c>
      <c r="P33" s="8">
        <f t="shared" si="9"/>
        <v>50</v>
      </c>
      <c r="Q33" s="8">
        <f t="shared" si="9"/>
        <v>50</v>
      </c>
      <c r="R33" s="8">
        <f t="shared" si="9"/>
        <v>50</v>
      </c>
      <c r="S33" s="8">
        <f t="shared" si="9"/>
        <v>50</v>
      </c>
      <c r="T33" s="8">
        <f t="shared" si="9"/>
        <v>50</v>
      </c>
      <c r="U33" s="8">
        <f t="shared" si="9"/>
        <v>50</v>
      </c>
    </row>
    <row r="34" spans="1:21">
      <c r="A34" s="3" t="s">
        <v>43</v>
      </c>
      <c r="B34" s="3" t="s">
        <v>44</v>
      </c>
      <c r="E34" s="20">
        <v>200</v>
      </c>
      <c r="F34" s="8">
        <f t="shared" si="9"/>
        <v>200</v>
      </c>
      <c r="G34" s="8">
        <f t="shared" si="9"/>
        <v>200</v>
      </c>
      <c r="H34" s="8">
        <f t="shared" si="9"/>
        <v>200</v>
      </c>
      <c r="I34" s="8">
        <f t="shared" si="9"/>
        <v>200</v>
      </c>
      <c r="J34" s="8">
        <f t="shared" si="9"/>
        <v>200</v>
      </c>
      <c r="K34" s="8">
        <f t="shared" si="9"/>
        <v>200</v>
      </c>
      <c r="L34" s="8">
        <f t="shared" si="9"/>
        <v>200</v>
      </c>
      <c r="M34" s="8">
        <f t="shared" si="9"/>
        <v>200</v>
      </c>
      <c r="N34" s="8">
        <f t="shared" si="9"/>
        <v>200</v>
      </c>
      <c r="O34" s="8">
        <f t="shared" si="9"/>
        <v>200</v>
      </c>
      <c r="P34" s="8">
        <f t="shared" si="9"/>
        <v>200</v>
      </c>
      <c r="Q34" s="8">
        <f t="shared" si="9"/>
        <v>200</v>
      </c>
      <c r="R34" s="8">
        <f t="shared" si="9"/>
        <v>200</v>
      </c>
      <c r="S34" s="8">
        <f t="shared" si="9"/>
        <v>200</v>
      </c>
      <c r="T34" s="8">
        <f t="shared" si="9"/>
        <v>200</v>
      </c>
      <c r="U34" s="8">
        <f t="shared" si="9"/>
        <v>200</v>
      </c>
    </row>
    <row r="35" spans="1:21">
      <c r="A35" s="3"/>
    </row>
    <row r="36" spans="1:21" s="1" customFormat="1">
      <c r="A36" s="2" t="s">
        <v>17</v>
      </c>
    </row>
    <row r="37" spans="1:21">
      <c r="A37" s="3" t="s">
        <v>46</v>
      </c>
      <c r="B37" t="s">
        <v>31</v>
      </c>
      <c r="C37" t="s">
        <v>102</v>
      </c>
      <c r="E37" s="19">
        <v>1500</v>
      </c>
      <c r="F37" s="18">
        <f t="shared" ref="F37:U37" si="12">E37*F10*F11/E11</f>
        <v>1511.2687499999997</v>
      </c>
      <c r="G37" s="18">
        <f t="shared" si="12"/>
        <v>1522.6221564843747</v>
      </c>
      <c r="H37" s="18">
        <f t="shared" si="12"/>
        <v>1534.0608554349633</v>
      </c>
      <c r="I37" s="18">
        <f t="shared" si="12"/>
        <v>1545.5854876114181</v>
      </c>
      <c r="J37" s="18">
        <f t="shared" si="12"/>
        <v>1557.1966985870986</v>
      </c>
      <c r="K37" s="18">
        <f t="shared" si="12"/>
        <v>1568.8951387852337</v>
      </c>
      <c r="L37" s="18">
        <f t="shared" si="12"/>
        <v>1580.6814635153573</v>
      </c>
      <c r="M37" s="18">
        <f t="shared" si="12"/>
        <v>1592.556333010016</v>
      </c>
      <c r="N37" s="18">
        <f t="shared" si="12"/>
        <v>1604.5204124617535</v>
      </c>
      <c r="O37" s="18">
        <f t="shared" si="12"/>
        <v>1616.5743720603723</v>
      </c>
      <c r="P37" s="18">
        <f t="shared" si="12"/>
        <v>1628.7188870304753</v>
      </c>
      <c r="Q37" s="18">
        <f t="shared" si="12"/>
        <v>1640.9546376692915</v>
      </c>
      <c r="R37" s="18">
        <f t="shared" si="12"/>
        <v>1653.2823093847819</v>
      </c>
      <c r="S37" s="18">
        <f t="shared" si="12"/>
        <v>1665.7025927340349</v>
      </c>
      <c r="T37" s="18">
        <f t="shared" si="12"/>
        <v>1678.2161834619492</v>
      </c>
      <c r="U37" s="18">
        <f t="shared" si="12"/>
        <v>1690.8237825402066</v>
      </c>
    </row>
    <row r="38" spans="1:21">
      <c r="A38" s="3" t="s">
        <v>45</v>
      </c>
      <c r="B38" t="s">
        <v>31</v>
      </c>
      <c r="C38" t="s">
        <v>102</v>
      </c>
      <c r="E38" s="19">
        <v>2500</v>
      </c>
      <c r="F38" s="18">
        <f t="shared" ref="F38:U38" si="13">E38*F10*F11/E11</f>
        <v>2518.7812499999995</v>
      </c>
      <c r="G38" s="18">
        <f t="shared" si="13"/>
        <v>2537.7035941406243</v>
      </c>
      <c r="H38" s="18">
        <f t="shared" si="13"/>
        <v>2556.7680923916055</v>
      </c>
      <c r="I38" s="18">
        <f t="shared" si="13"/>
        <v>2575.9758126856968</v>
      </c>
      <c r="J38" s="18">
        <f t="shared" si="13"/>
        <v>2595.3278309784978</v>
      </c>
      <c r="K38" s="18">
        <f t="shared" si="13"/>
        <v>2614.8252313087232</v>
      </c>
      <c r="L38" s="18">
        <f t="shared" si="13"/>
        <v>2634.4691058589297</v>
      </c>
      <c r="M38" s="18">
        <f t="shared" si="13"/>
        <v>2654.2605550166941</v>
      </c>
      <c r="N38" s="18">
        <f t="shared" si="13"/>
        <v>2674.2006874362569</v>
      </c>
      <c r="O38" s="18">
        <f t="shared" si="13"/>
        <v>2694.2906201006213</v>
      </c>
      <c r="P38" s="18">
        <f t="shared" si="13"/>
        <v>2714.5314783841268</v>
      </c>
      <c r="Q38" s="18">
        <f t="shared" si="13"/>
        <v>2734.9243961154866</v>
      </c>
      <c r="R38" s="18">
        <f t="shared" si="13"/>
        <v>2755.4705156413042</v>
      </c>
      <c r="S38" s="18">
        <f t="shared" si="13"/>
        <v>2776.1709878900592</v>
      </c>
      <c r="T38" s="18">
        <f t="shared" si="13"/>
        <v>2797.0269724365826</v>
      </c>
      <c r="U38" s="18">
        <f t="shared" si="13"/>
        <v>2818.0396375670121</v>
      </c>
    </row>
    <row r="39" spans="1:21">
      <c r="A39" s="3" t="s">
        <v>47</v>
      </c>
      <c r="B39" s="3" t="s">
        <v>48</v>
      </c>
      <c r="C39" t="s">
        <v>103</v>
      </c>
      <c r="E39" s="20">
        <v>6</v>
      </c>
      <c r="F39" s="13">
        <f t="shared" ref="F39:U39" si="14">E39*F6</f>
        <v>6.1050000000000004</v>
      </c>
      <c r="G39" s="13">
        <f t="shared" si="14"/>
        <v>6.2118375000000006</v>
      </c>
      <c r="H39" s="13">
        <f t="shared" si="14"/>
        <v>6.3205446562500009</v>
      </c>
      <c r="I39" s="13">
        <f t="shared" si="14"/>
        <v>6.4311541877343767</v>
      </c>
      <c r="J39" s="13">
        <f t="shared" si="14"/>
        <v>6.5276215005503921</v>
      </c>
      <c r="K39" s="13">
        <f t="shared" si="14"/>
        <v>6.6255358230586472</v>
      </c>
      <c r="L39" s="13">
        <f t="shared" si="14"/>
        <v>6.724918860404526</v>
      </c>
      <c r="M39" s="13">
        <f t="shared" si="14"/>
        <v>6.8257926433105931</v>
      </c>
      <c r="N39" s="13">
        <f t="shared" si="14"/>
        <v>6.9111150513519748</v>
      </c>
      <c r="O39" s="13">
        <f t="shared" si="14"/>
        <v>6.9975039894938744</v>
      </c>
      <c r="P39" s="13">
        <f t="shared" si="14"/>
        <v>7.0849727893625474</v>
      </c>
      <c r="Q39" s="13">
        <f t="shared" si="14"/>
        <v>7.1735349492295786</v>
      </c>
      <c r="R39" s="13">
        <f t="shared" si="14"/>
        <v>7.2632041360949477</v>
      </c>
      <c r="S39" s="13">
        <f t="shared" si="14"/>
        <v>7.3539941877961343</v>
      </c>
      <c r="T39" s="13">
        <f t="shared" si="14"/>
        <v>7.4459191151435853</v>
      </c>
      <c r="U39" s="13">
        <f t="shared" si="14"/>
        <v>7.5389931040828797</v>
      </c>
    </row>
    <row r="40" spans="1:21">
      <c r="A40" s="3" t="s">
        <v>49</v>
      </c>
      <c r="B40" s="3" t="s">
        <v>51</v>
      </c>
      <c r="E40" s="20">
        <v>40</v>
      </c>
      <c r="F40" s="4">
        <f>E40</f>
        <v>40</v>
      </c>
      <c r="G40" s="4">
        <f t="shared" ref="G40:U40" si="15">F40</f>
        <v>40</v>
      </c>
      <c r="H40" s="4">
        <f t="shared" si="15"/>
        <v>40</v>
      </c>
      <c r="I40" s="4">
        <f t="shared" si="15"/>
        <v>40</v>
      </c>
      <c r="J40" s="4">
        <f t="shared" si="15"/>
        <v>40</v>
      </c>
      <c r="K40" s="4">
        <f t="shared" si="15"/>
        <v>40</v>
      </c>
      <c r="L40" s="4">
        <f t="shared" si="15"/>
        <v>40</v>
      </c>
      <c r="M40" s="4">
        <f t="shared" si="15"/>
        <v>40</v>
      </c>
      <c r="N40" s="4">
        <f t="shared" si="15"/>
        <v>40</v>
      </c>
      <c r="O40" s="4">
        <f t="shared" si="15"/>
        <v>40</v>
      </c>
      <c r="P40" s="4">
        <f t="shared" si="15"/>
        <v>40</v>
      </c>
      <c r="Q40" s="4">
        <f t="shared" si="15"/>
        <v>40</v>
      </c>
      <c r="R40" s="4">
        <f t="shared" si="15"/>
        <v>40</v>
      </c>
      <c r="S40" s="4">
        <f t="shared" si="15"/>
        <v>40</v>
      </c>
      <c r="T40" s="4">
        <f t="shared" si="15"/>
        <v>40</v>
      </c>
      <c r="U40" s="4">
        <f t="shared" si="15"/>
        <v>40</v>
      </c>
    </row>
    <row r="41" spans="1:21">
      <c r="A41" s="3" t="s">
        <v>50</v>
      </c>
      <c r="B41" s="3" t="s">
        <v>52</v>
      </c>
      <c r="E41" s="20">
        <v>4.5</v>
      </c>
      <c r="F41" s="4">
        <f>E41</f>
        <v>4.5</v>
      </c>
      <c r="G41" s="4">
        <f t="shared" ref="G41:U41" si="16">F41</f>
        <v>4.5</v>
      </c>
      <c r="H41" s="4">
        <f t="shared" si="16"/>
        <v>4.5</v>
      </c>
      <c r="I41" s="4">
        <f t="shared" si="16"/>
        <v>4.5</v>
      </c>
      <c r="J41" s="4">
        <f t="shared" si="16"/>
        <v>4.5</v>
      </c>
      <c r="K41" s="4">
        <f t="shared" si="16"/>
        <v>4.5</v>
      </c>
      <c r="L41" s="4">
        <f t="shared" si="16"/>
        <v>4.5</v>
      </c>
      <c r="M41" s="4">
        <f t="shared" si="16"/>
        <v>4.5</v>
      </c>
      <c r="N41" s="4">
        <f t="shared" si="16"/>
        <v>4.5</v>
      </c>
      <c r="O41" s="4">
        <f t="shared" si="16"/>
        <v>4.5</v>
      </c>
      <c r="P41" s="4">
        <f t="shared" si="16"/>
        <v>4.5</v>
      </c>
      <c r="Q41" s="4">
        <f t="shared" si="16"/>
        <v>4.5</v>
      </c>
      <c r="R41" s="4">
        <f t="shared" si="16"/>
        <v>4.5</v>
      </c>
      <c r="S41" s="4">
        <f t="shared" si="16"/>
        <v>4.5</v>
      </c>
      <c r="T41" s="4">
        <f t="shared" si="16"/>
        <v>4.5</v>
      </c>
      <c r="U41" s="4">
        <f t="shared" si="16"/>
        <v>4.5</v>
      </c>
    </row>
    <row r="42" spans="1:21">
      <c r="A42" s="3" t="s">
        <v>56</v>
      </c>
      <c r="B42" s="3" t="s">
        <v>57</v>
      </c>
      <c r="D42" s="14"/>
      <c r="E42" s="20">
        <v>70</v>
      </c>
      <c r="F42" s="17">
        <f>E42*F$8</f>
        <v>71.400000000000006</v>
      </c>
      <c r="G42" s="17">
        <f t="shared" ref="G42:U42" si="17">F42*G$8</f>
        <v>72.828000000000003</v>
      </c>
      <c r="H42" s="17">
        <f t="shared" si="17"/>
        <v>74.284559999999999</v>
      </c>
      <c r="I42" s="17">
        <f t="shared" si="17"/>
        <v>75.770251200000004</v>
      </c>
      <c r="J42" s="17">
        <f t="shared" si="17"/>
        <v>77.285656224000007</v>
      </c>
      <c r="K42" s="17">
        <f t="shared" si="17"/>
        <v>78.83136934848001</v>
      </c>
      <c r="L42" s="17">
        <f t="shared" si="17"/>
        <v>80.407996735449615</v>
      </c>
      <c r="M42" s="17">
        <f t="shared" si="17"/>
        <v>82.016156670158608</v>
      </c>
      <c r="N42" s="17">
        <f t="shared" si="17"/>
        <v>83.65647980356178</v>
      </c>
      <c r="O42" s="17">
        <f t="shared" si="17"/>
        <v>85.329609399633014</v>
      </c>
      <c r="P42" s="17">
        <f t="shared" si="17"/>
        <v>87.036201587625669</v>
      </c>
      <c r="Q42" s="17">
        <f t="shared" si="17"/>
        <v>88.77692561937819</v>
      </c>
      <c r="R42" s="17">
        <f t="shared" si="17"/>
        <v>90.55246413176576</v>
      </c>
      <c r="S42" s="17">
        <f t="shared" si="17"/>
        <v>92.363513414401083</v>
      </c>
      <c r="T42" s="17">
        <f t="shared" si="17"/>
        <v>94.210783682689112</v>
      </c>
      <c r="U42" s="17">
        <f t="shared" si="17"/>
        <v>96.094999356342896</v>
      </c>
    </row>
    <row r="43" spans="1:21">
      <c r="A43" s="3" t="s">
        <v>58</v>
      </c>
      <c r="B43" s="3" t="s">
        <v>57</v>
      </c>
      <c r="D43" s="14"/>
      <c r="E43" s="20">
        <v>150</v>
      </c>
      <c r="F43" s="17">
        <f>E43*F$8</f>
        <v>153</v>
      </c>
      <c r="G43" s="17">
        <f t="shared" ref="G43:U43" si="18">F43*G$8</f>
        <v>156.06</v>
      </c>
      <c r="H43" s="17">
        <f t="shared" si="18"/>
        <v>159.18120000000002</v>
      </c>
      <c r="I43" s="17">
        <f t="shared" si="18"/>
        <v>162.36482400000003</v>
      </c>
      <c r="J43" s="17">
        <f t="shared" si="18"/>
        <v>165.61212048000004</v>
      </c>
      <c r="K43" s="17">
        <f t="shared" si="18"/>
        <v>168.92436288960005</v>
      </c>
      <c r="L43" s="17">
        <f t="shared" si="18"/>
        <v>172.30285014739206</v>
      </c>
      <c r="M43" s="17">
        <f t="shared" si="18"/>
        <v>175.7489071503399</v>
      </c>
      <c r="N43" s="17">
        <f t="shared" si="18"/>
        <v>179.2638852933467</v>
      </c>
      <c r="O43" s="17">
        <f t="shared" si="18"/>
        <v>182.84916299921363</v>
      </c>
      <c r="P43" s="17">
        <f t="shared" si="18"/>
        <v>186.50614625919792</v>
      </c>
      <c r="Q43" s="17">
        <f t="shared" si="18"/>
        <v>190.23626918438188</v>
      </c>
      <c r="R43" s="17">
        <f t="shared" si="18"/>
        <v>194.04099456806952</v>
      </c>
      <c r="S43" s="17">
        <f t="shared" si="18"/>
        <v>197.92181445943092</v>
      </c>
      <c r="T43" s="17">
        <f t="shared" si="18"/>
        <v>201.88025074861955</v>
      </c>
      <c r="U43" s="17">
        <f t="shared" si="18"/>
        <v>205.91785576359194</v>
      </c>
    </row>
    <row r="44" spans="1:21">
      <c r="A44" s="3" t="s">
        <v>56</v>
      </c>
      <c r="B44" s="3" t="s">
        <v>59</v>
      </c>
      <c r="D44" s="14"/>
      <c r="E44" s="17">
        <f>E42*3</f>
        <v>210</v>
      </c>
      <c r="F44" s="17">
        <f t="shared" ref="F44:U44" si="19">F42*3</f>
        <v>214.20000000000002</v>
      </c>
      <c r="G44" s="17">
        <f t="shared" si="19"/>
        <v>218.48400000000001</v>
      </c>
      <c r="H44" s="17">
        <f t="shared" si="19"/>
        <v>222.85368</v>
      </c>
      <c r="I44" s="17">
        <f t="shared" si="19"/>
        <v>227.3107536</v>
      </c>
      <c r="J44" s="17">
        <f t="shared" si="19"/>
        <v>231.85696867200002</v>
      </c>
      <c r="K44" s="17">
        <f t="shared" si="19"/>
        <v>236.49410804544004</v>
      </c>
      <c r="L44" s="17">
        <f t="shared" si="19"/>
        <v>241.22399020634884</v>
      </c>
      <c r="M44" s="17">
        <f t="shared" si="19"/>
        <v>246.04847001047582</v>
      </c>
      <c r="N44" s="17">
        <f t="shared" si="19"/>
        <v>250.96943941068534</v>
      </c>
      <c r="O44" s="17">
        <f t="shared" si="19"/>
        <v>255.98882819889906</v>
      </c>
      <c r="P44" s="17">
        <f t="shared" si="19"/>
        <v>261.10860476287701</v>
      </c>
      <c r="Q44" s="17">
        <f t="shared" si="19"/>
        <v>266.33077685813458</v>
      </c>
      <c r="R44" s="17">
        <f t="shared" si="19"/>
        <v>271.65739239529728</v>
      </c>
      <c r="S44" s="17">
        <f t="shared" si="19"/>
        <v>277.09054024320324</v>
      </c>
      <c r="T44" s="17">
        <f t="shared" si="19"/>
        <v>282.63235104806733</v>
      </c>
      <c r="U44" s="17">
        <f t="shared" si="19"/>
        <v>288.28499806902869</v>
      </c>
    </row>
    <row r="45" spans="1:21">
      <c r="A45" s="3" t="s">
        <v>58</v>
      </c>
      <c r="B45" s="3" t="s">
        <v>59</v>
      </c>
      <c r="D45" s="14"/>
      <c r="E45" s="17">
        <f>E43*3</f>
        <v>450</v>
      </c>
      <c r="F45" s="17">
        <f t="shared" ref="F45:U45" si="20">F43*3</f>
        <v>459</v>
      </c>
      <c r="G45" s="17">
        <f t="shared" si="20"/>
        <v>468.18</v>
      </c>
      <c r="H45" s="17">
        <f t="shared" si="20"/>
        <v>477.54360000000008</v>
      </c>
      <c r="I45" s="17">
        <f t="shared" si="20"/>
        <v>487.09447200000011</v>
      </c>
      <c r="J45" s="17">
        <f t="shared" si="20"/>
        <v>496.83636144000013</v>
      </c>
      <c r="K45" s="17">
        <f t="shared" si="20"/>
        <v>506.77308866880014</v>
      </c>
      <c r="L45" s="17">
        <f t="shared" si="20"/>
        <v>516.90855044217619</v>
      </c>
      <c r="M45" s="17">
        <f t="shared" si="20"/>
        <v>527.24672145101977</v>
      </c>
      <c r="N45" s="17">
        <f t="shared" si="20"/>
        <v>537.79165588004014</v>
      </c>
      <c r="O45" s="17">
        <f t="shared" si="20"/>
        <v>548.54748899764093</v>
      </c>
      <c r="P45" s="17">
        <f t="shared" si="20"/>
        <v>559.5184387775937</v>
      </c>
      <c r="Q45" s="17">
        <f t="shared" si="20"/>
        <v>570.70880755314568</v>
      </c>
      <c r="R45" s="17">
        <f t="shared" si="20"/>
        <v>582.12298370420854</v>
      </c>
      <c r="S45" s="17">
        <f t="shared" si="20"/>
        <v>593.76544337829273</v>
      </c>
      <c r="T45" s="17">
        <f t="shared" si="20"/>
        <v>605.64075224585861</v>
      </c>
      <c r="U45" s="17">
        <f t="shared" si="20"/>
        <v>617.75356729077589</v>
      </c>
    </row>
    <row r="46" spans="1:21">
      <c r="A46" s="3" t="s">
        <v>129</v>
      </c>
      <c r="B46" s="3" t="s">
        <v>131</v>
      </c>
      <c r="D46" s="14"/>
      <c r="E46" s="13">
        <f>E42/E41/E40</f>
        <v>0.3888888888888889</v>
      </c>
      <c r="F46" s="13">
        <f t="shared" ref="F46:U46" si="21">F42/F41/F40</f>
        <v>0.39666666666666667</v>
      </c>
      <c r="G46" s="13">
        <f t="shared" si="21"/>
        <v>0.40460000000000002</v>
      </c>
      <c r="H46" s="13">
        <f t="shared" si="21"/>
        <v>0.412692</v>
      </c>
      <c r="I46" s="13">
        <f t="shared" si="21"/>
        <v>0.42094584000000002</v>
      </c>
      <c r="J46" s="13">
        <f t="shared" si="21"/>
        <v>0.42936475680000008</v>
      </c>
      <c r="K46" s="13">
        <f t="shared" si="21"/>
        <v>0.43795205193600006</v>
      </c>
      <c r="L46" s="13">
        <f t="shared" si="21"/>
        <v>0.44671109297472011</v>
      </c>
      <c r="M46" s="13">
        <f t="shared" si="21"/>
        <v>0.4556453148342145</v>
      </c>
      <c r="N46" s="13">
        <f t="shared" si="21"/>
        <v>0.46475822113089882</v>
      </c>
      <c r="O46" s="13">
        <f t="shared" si="21"/>
        <v>0.47405338555351673</v>
      </c>
      <c r="P46" s="13">
        <f t="shared" si="21"/>
        <v>0.48353445326458705</v>
      </c>
      <c r="Q46" s="13">
        <f t="shared" si="21"/>
        <v>0.49320514232987883</v>
      </c>
      <c r="R46" s="13">
        <f t="shared" si="21"/>
        <v>0.50306924517647644</v>
      </c>
      <c r="S46" s="13">
        <f t="shared" si="21"/>
        <v>0.51313063008000603</v>
      </c>
      <c r="T46" s="13">
        <f t="shared" si="21"/>
        <v>0.52339324268160614</v>
      </c>
      <c r="U46" s="13">
        <f t="shared" si="21"/>
        <v>0.5338611075352383</v>
      </c>
    </row>
    <row r="47" spans="1:21">
      <c r="A47" s="3" t="s">
        <v>130</v>
      </c>
      <c r="B47" s="3" t="s">
        <v>131</v>
      </c>
      <c r="D47" s="14"/>
      <c r="E47" s="13">
        <f>E43/E41/E40</f>
        <v>0.83333333333333337</v>
      </c>
      <c r="F47" s="13">
        <f t="shared" ref="F47:U47" si="22">F43/F41/F40</f>
        <v>0.85</v>
      </c>
      <c r="G47" s="13">
        <f t="shared" si="22"/>
        <v>0.86699999999999999</v>
      </c>
      <c r="H47" s="13">
        <f t="shared" si="22"/>
        <v>0.88434000000000013</v>
      </c>
      <c r="I47" s="13">
        <f t="shared" si="22"/>
        <v>0.90202680000000013</v>
      </c>
      <c r="J47" s="13">
        <f t="shared" si="22"/>
        <v>0.92006733600000035</v>
      </c>
      <c r="K47" s="13">
        <f t="shared" si="22"/>
        <v>0.93846868272000028</v>
      </c>
      <c r="L47" s="13">
        <f t="shared" si="22"/>
        <v>0.95723805637440029</v>
      </c>
      <c r="M47" s="13">
        <f t="shared" si="22"/>
        <v>0.97638281750188827</v>
      </c>
      <c r="N47" s="13">
        <f t="shared" si="22"/>
        <v>0.99591047385192621</v>
      </c>
      <c r="O47" s="13">
        <f t="shared" si="22"/>
        <v>1.0158286833289645</v>
      </c>
      <c r="P47" s="13">
        <f t="shared" si="22"/>
        <v>1.0361452569955438</v>
      </c>
      <c r="Q47" s="13">
        <f t="shared" si="22"/>
        <v>1.056868162135455</v>
      </c>
      <c r="R47" s="13">
        <f t="shared" si="22"/>
        <v>1.078005525378164</v>
      </c>
      <c r="S47" s="13">
        <f t="shared" si="22"/>
        <v>1.0995656358857273</v>
      </c>
      <c r="T47" s="13">
        <f t="shared" si="22"/>
        <v>1.1215569486034418</v>
      </c>
      <c r="U47" s="13">
        <f t="shared" si="22"/>
        <v>1.1439880875755108</v>
      </c>
    </row>
    <row r="49" spans="1:21" s="1" customFormat="1">
      <c r="A49" s="2" t="s">
        <v>54</v>
      </c>
    </row>
    <row r="50" spans="1:21">
      <c r="A50" t="s">
        <v>55</v>
      </c>
      <c r="B50" s="3" t="s">
        <v>59</v>
      </c>
      <c r="C50" t="s">
        <v>103</v>
      </c>
      <c r="E50" s="20">
        <v>300</v>
      </c>
      <c r="F50" s="17">
        <f t="shared" ref="F50:U50" si="23">E50*F6</f>
        <v>305.25</v>
      </c>
      <c r="G50" s="17">
        <f t="shared" si="23"/>
        <v>310.59187500000002</v>
      </c>
      <c r="H50" s="17">
        <f t="shared" si="23"/>
        <v>316.02723281250002</v>
      </c>
      <c r="I50" s="17">
        <f t="shared" si="23"/>
        <v>321.55770938671878</v>
      </c>
      <c r="J50" s="17">
        <f t="shared" si="23"/>
        <v>326.38107502751956</v>
      </c>
      <c r="K50" s="17">
        <f t="shared" si="23"/>
        <v>331.27679115293233</v>
      </c>
      <c r="L50" s="17">
        <f t="shared" si="23"/>
        <v>336.24594302022626</v>
      </c>
      <c r="M50" s="17">
        <f t="shared" si="23"/>
        <v>341.28963216552961</v>
      </c>
      <c r="N50" s="17">
        <f t="shared" si="23"/>
        <v>345.55575256759869</v>
      </c>
      <c r="O50" s="17">
        <f t="shared" si="23"/>
        <v>349.87519947469366</v>
      </c>
      <c r="P50" s="17">
        <f t="shared" si="23"/>
        <v>354.24863946812729</v>
      </c>
      <c r="Q50" s="17">
        <f t="shared" si="23"/>
        <v>358.6767474614789</v>
      </c>
      <c r="R50" s="17">
        <f t="shared" si="23"/>
        <v>363.16020680474736</v>
      </c>
      <c r="S50" s="17">
        <f t="shared" si="23"/>
        <v>367.69970938980669</v>
      </c>
      <c r="T50" s="17">
        <f t="shared" si="23"/>
        <v>372.29595575717923</v>
      </c>
      <c r="U50" s="17">
        <f t="shared" si="23"/>
        <v>376.94965520414394</v>
      </c>
    </row>
    <row r="51" spans="1:21">
      <c r="A51" t="s">
        <v>60</v>
      </c>
      <c r="B51" s="3" t="s">
        <v>57</v>
      </c>
      <c r="E51" s="20">
        <v>120</v>
      </c>
      <c r="F51" s="17">
        <f t="shared" ref="F51:U51" si="24">E51*F8</f>
        <v>122.4</v>
      </c>
      <c r="G51" s="17">
        <f t="shared" si="24"/>
        <v>124.84800000000001</v>
      </c>
      <c r="H51" s="17">
        <f t="shared" si="24"/>
        <v>127.34496000000001</v>
      </c>
      <c r="I51" s="17">
        <f t="shared" si="24"/>
        <v>129.89185920000003</v>
      </c>
      <c r="J51" s="17">
        <f t="shared" si="24"/>
        <v>132.48969638400004</v>
      </c>
      <c r="K51" s="17">
        <f t="shared" si="24"/>
        <v>135.13949031168005</v>
      </c>
      <c r="L51" s="17">
        <f t="shared" si="24"/>
        <v>137.84228011791365</v>
      </c>
      <c r="M51" s="17">
        <f t="shared" si="24"/>
        <v>140.59912572027193</v>
      </c>
      <c r="N51" s="17">
        <f t="shared" si="24"/>
        <v>143.41110823467736</v>
      </c>
      <c r="O51" s="17">
        <f t="shared" si="24"/>
        <v>146.27933039937091</v>
      </c>
      <c r="P51" s="17">
        <f t="shared" si="24"/>
        <v>149.20491700735832</v>
      </c>
      <c r="Q51" s="17">
        <f t="shared" si="24"/>
        <v>152.18901534750549</v>
      </c>
      <c r="R51" s="17">
        <f t="shared" si="24"/>
        <v>155.2327956544556</v>
      </c>
      <c r="S51" s="17">
        <f t="shared" si="24"/>
        <v>158.33745156754472</v>
      </c>
      <c r="T51" s="17">
        <f t="shared" si="24"/>
        <v>161.50420059889561</v>
      </c>
      <c r="U51" s="17">
        <f t="shared" si="24"/>
        <v>164.73428461087352</v>
      </c>
    </row>
    <row r="52" spans="1:21">
      <c r="A52" t="s">
        <v>60</v>
      </c>
      <c r="B52" s="3" t="s">
        <v>59</v>
      </c>
      <c r="E52" s="25">
        <f>E51*3</f>
        <v>360</v>
      </c>
      <c r="F52" s="17">
        <f t="shared" ref="F52:U52" si="25">E52*F8</f>
        <v>367.2</v>
      </c>
      <c r="G52" s="17">
        <f t="shared" si="25"/>
        <v>374.54399999999998</v>
      </c>
      <c r="H52" s="17">
        <f t="shared" si="25"/>
        <v>382.03487999999999</v>
      </c>
      <c r="I52" s="17">
        <f t="shared" si="25"/>
        <v>389.6755776</v>
      </c>
      <c r="J52" s="17">
        <f t="shared" si="25"/>
        <v>397.46908915199998</v>
      </c>
      <c r="K52" s="17">
        <f t="shared" si="25"/>
        <v>405.41847093503998</v>
      </c>
      <c r="L52" s="17">
        <f t="shared" si="25"/>
        <v>413.52684035374079</v>
      </c>
      <c r="M52" s="17">
        <f t="shared" si="25"/>
        <v>421.79737716081564</v>
      </c>
      <c r="N52" s="17">
        <f t="shared" si="25"/>
        <v>430.23332470403199</v>
      </c>
      <c r="O52" s="17">
        <f t="shared" si="25"/>
        <v>438.83799119811266</v>
      </c>
      <c r="P52" s="17">
        <f t="shared" si="25"/>
        <v>447.61475102207493</v>
      </c>
      <c r="Q52" s="17">
        <f t="shared" si="25"/>
        <v>456.56704604251644</v>
      </c>
      <c r="R52" s="17">
        <f t="shared" si="25"/>
        <v>465.69838696336677</v>
      </c>
      <c r="S52" s="17">
        <f t="shared" si="25"/>
        <v>475.01235470263413</v>
      </c>
      <c r="T52" s="17">
        <f t="shared" si="25"/>
        <v>484.51260179668679</v>
      </c>
      <c r="U52" s="17">
        <f t="shared" si="25"/>
        <v>494.20285383262052</v>
      </c>
    </row>
    <row r="53" spans="1:21">
      <c r="A53" t="s">
        <v>61</v>
      </c>
      <c r="B53" s="3" t="s">
        <v>128</v>
      </c>
      <c r="E53" s="20">
        <v>5</v>
      </c>
      <c r="F53" s="4">
        <f>E53</f>
        <v>5</v>
      </c>
      <c r="G53" s="4">
        <f t="shared" ref="G53:I53" si="26">F53</f>
        <v>5</v>
      </c>
      <c r="H53" s="4">
        <f t="shared" si="26"/>
        <v>5</v>
      </c>
      <c r="I53" s="4">
        <f t="shared" si="26"/>
        <v>5</v>
      </c>
      <c r="J53" s="4">
        <f>I53+E54</f>
        <v>6</v>
      </c>
      <c r="K53" s="4">
        <f>J53</f>
        <v>6</v>
      </c>
      <c r="L53" s="4">
        <f t="shared" ref="L53:M53" si="27">K53</f>
        <v>6</v>
      </c>
      <c r="M53" s="4">
        <f t="shared" si="27"/>
        <v>6</v>
      </c>
      <c r="N53" s="4">
        <f>M53+E54</f>
        <v>7</v>
      </c>
      <c r="O53" s="4">
        <f>N53</f>
        <v>7</v>
      </c>
      <c r="P53" s="4">
        <f t="shared" ref="P53:Q53" si="28">O53</f>
        <v>7</v>
      </c>
      <c r="Q53" s="4">
        <f t="shared" si="28"/>
        <v>7</v>
      </c>
      <c r="R53" s="4">
        <f>Q53+E54</f>
        <v>8</v>
      </c>
      <c r="S53" s="4">
        <f t="shared" ref="S53:U53" si="29">R53+F54</f>
        <v>8</v>
      </c>
      <c r="T53" s="4">
        <f t="shared" si="29"/>
        <v>8</v>
      </c>
      <c r="U53" s="4">
        <f t="shared" si="29"/>
        <v>8</v>
      </c>
    </row>
    <row r="54" spans="1:21">
      <c r="A54" t="s">
        <v>64</v>
      </c>
      <c r="B54" s="3" t="s">
        <v>128</v>
      </c>
      <c r="C54" t="s">
        <v>63</v>
      </c>
      <c r="E54" s="20">
        <v>1</v>
      </c>
    </row>
    <row r="55" spans="1:21">
      <c r="A55" t="s">
        <v>62</v>
      </c>
      <c r="B55" t="s">
        <v>18</v>
      </c>
      <c r="E55" s="5">
        <v>0.05</v>
      </c>
    </row>
    <row r="56" spans="1:21">
      <c r="E56" s="36"/>
    </row>
    <row r="57" spans="1:21">
      <c r="A57" t="s">
        <v>104</v>
      </c>
      <c r="B57" s="3" t="s">
        <v>128</v>
      </c>
      <c r="E57" s="36"/>
      <c r="F57" s="38">
        <v>1</v>
      </c>
      <c r="G57" s="13">
        <f>G15*G29/(G40*G41)</f>
        <v>0.27777777777777779</v>
      </c>
      <c r="H57" s="13">
        <f>H15*H29/(H40*H41)</f>
        <v>0.55555555555555558</v>
      </c>
      <c r="I57" s="13">
        <f>I15*I29/(I40*I41)</f>
        <v>0.83333333333333337</v>
      </c>
      <c r="J57" s="13">
        <f>J15*J29/(J40*J41)</f>
        <v>1.1111111111111112</v>
      </c>
      <c r="K57" s="13">
        <f>K15*K29/(K40*K41)</f>
        <v>1.3888888888888888</v>
      </c>
      <c r="L57" s="13">
        <f>L15*L29/(L40*L41)</f>
        <v>1.6666666666666667</v>
      </c>
      <c r="M57" s="13">
        <f>M15*M29/(M40*M41)</f>
        <v>1.9444444444444444</v>
      </c>
      <c r="N57" s="13">
        <f>N15*N29/(N40*N41)</f>
        <v>2.2222222222222223</v>
      </c>
      <c r="O57" s="13">
        <f>O15*O29/(O40*O41)</f>
        <v>2.2222222222222223</v>
      </c>
      <c r="P57" s="13">
        <f>P15*P29/(P40*P41)</f>
        <v>2.2222222222222223</v>
      </c>
      <c r="Q57" s="13">
        <f>Q15*Q29/(Q40*Q41)</f>
        <v>2.2222222222222223</v>
      </c>
      <c r="R57" s="13">
        <f>R15*R29/(R40*R41)</f>
        <v>2.2222222222222223</v>
      </c>
      <c r="S57" s="13">
        <f>S15*S29/(S40*S41)</f>
        <v>2.2222222222222223</v>
      </c>
      <c r="T57" s="13">
        <f>T15*T29/(T40*T41)</f>
        <v>2.2222222222222223</v>
      </c>
      <c r="U57" s="13">
        <f>U15*U29/(U40*U41)</f>
        <v>2.2222222222222223</v>
      </c>
    </row>
    <row r="58" spans="1:21">
      <c r="A58" t="s">
        <v>105</v>
      </c>
      <c r="B58" s="3" t="s">
        <v>128</v>
      </c>
      <c r="E58" s="36"/>
      <c r="F58" s="13">
        <v>0</v>
      </c>
      <c r="G58" s="13">
        <f>G16*G30/(G40*G41)</f>
        <v>0.41666666666666669</v>
      </c>
      <c r="H58" s="13">
        <f>H16*H30/(H40*H41)</f>
        <v>0.83333333333333337</v>
      </c>
      <c r="I58" s="13">
        <f>I16*I30/(I40*I41)</f>
        <v>1.25</v>
      </c>
      <c r="J58" s="13">
        <f>J16*J30/(J40*J41)</f>
        <v>1.6666666666666667</v>
      </c>
      <c r="K58" s="13">
        <f>K16*K30/(K40*K41)</f>
        <v>2.0833333333333335</v>
      </c>
      <c r="L58" s="13">
        <f>L16*L30/(L40*L41)</f>
        <v>2.5</v>
      </c>
      <c r="M58" s="13">
        <f>M16*M30/(M40*M41)</f>
        <v>2.9166666666666665</v>
      </c>
      <c r="N58" s="13">
        <f>N16*N30/(N40*N41)</f>
        <v>3.3333333333333335</v>
      </c>
      <c r="O58" s="13">
        <f>O16*O30/(O40*O41)</f>
        <v>3.75</v>
      </c>
      <c r="P58" s="13">
        <f>P16*P30/(P40*P41)</f>
        <v>3.75</v>
      </c>
      <c r="Q58" s="13">
        <f>Q16*Q30/(Q40*Q41)</f>
        <v>3.75</v>
      </c>
      <c r="R58" s="13">
        <f>R16*R30/(R40*R41)</f>
        <v>3.75</v>
      </c>
      <c r="S58" s="13">
        <f>S16*S30/(S40*S41)</f>
        <v>3.75</v>
      </c>
      <c r="T58" s="13">
        <f>T16*T30/(T40*T41)</f>
        <v>3.75</v>
      </c>
      <c r="U58" s="13">
        <f>U16*U30/(U40*U41)</f>
        <v>3.75</v>
      </c>
    </row>
    <row r="59" spans="1:21">
      <c r="A59" t="s">
        <v>106</v>
      </c>
      <c r="B59" s="3" t="s">
        <v>128</v>
      </c>
      <c r="C59" t="s">
        <v>110</v>
      </c>
      <c r="E59" s="36"/>
      <c r="F59" s="17">
        <f>ROUNDUP(F57+F58,0)</f>
        <v>1</v>
      </c>
      <c r="G59" s="17">
        <f>ROUNDUP(G57+G58,0)</f>
        <v>1</v>
      </c>
      <c r="H59" s="17">
        <f t="shared" ref="H59:U59" si="30">ROUNDUP(H57+H58,0)</f>
        <v>2</v>
      </c>
      <c r="I59" s="17">
        <f t="shared" si="30"/>
        <v>3</v>
      </c>
      <c r="J59" s="17">
        <f t="shared" si="30"/>
        <v>3</v>
      </c>
      <c r="K59" s="17">
        <f t="shared" si="30"/>
        <v>4</v>
      </c>
      <c r="L59" s="17">
        <f t="shared" si="30"/>
        <v>5</v>
      </c>
      <c r="M59" s="17">
        <f t="shared" si="30"/>
        <v>5</v>
      </c>
      <c r="N59" s="17">
        <f t="shared" si="30"/>
        <v>6</v>
      </c>
      <c r="O59" s="17">
        <f t="shared" si="30"/>
        <v>6</v>
      </c>
      <c r="P59" s="17">
        <f t="shared" si="30"/>
        <v>6</v>
      </c>
      <c r="Q59" s="17">
        <f t="shared" si="30"/>
        <v>6</v>
      </c>
      <c r="R59" s="17">
        <f t="shared" si="30"/>
        <v>6</v>
      </c>
      <c r="S59" s="17">
        <f t="shared" si="30"/>
        <v>6</v>
      </c>
      <c r="T59" s="17">
        <f t="shared" si="30"/>
        <v>6</v>
      </c>
      <c r="U59" s="17">
        <f t="shared" si="30"/>
        <v>6</v>
      </c>
    </row>
    <row r="60" spans="1:21">
      <c r="E60" s="36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>
      <c r="A61" t="s">
        <v>107</v>
      </c>
      <c r="B61" s="3" t="s">
        <v>128</v>
      </c>
      <c r="E61" s="36"/>
      <c r="F61" s="38">
        <v>2</v>
      </c>
      <c r="G61" s="13">
        <f>G15*G27/(G40*G41)</f>
        <v>1.3888888888888888</v>
      </c>
      <c r="H61" s="13">
        <f>H15*H27/(H40*H41)</f>
        <v>2.7777777777777777</v>
      </c>
      <c r="I61" s="13">
        <f>I15*I27/(I40*I41)</f>
        <v>4.166666666666667</v>
      </c>
      <c r="J61" s="13">
        <f>J15*J27/(J40*J41)</f>
        <v>5.5555555555555554</v>
      </c>
      <c r="K61" s="13">
        <f>K15*K27/(K40*K41)</f>
        <v>6.9444444444444446</v>
      </c>
      <c r="L61" s="13">
        <f>L15*L27/(L40*L41)</f>
        <v>8.3333333333333339</v>
      </c>
      <c r="M61" s="13">
        <f>M15*M27/(M40*M41)</f>
        <v>9.7222222222222214</v>
      </c>
      <c r="N61" s="13">
        <f>N15*N27/(N40*N41)</f>
        <v>11.111111111111111</v>
      </c>
      <c r="O61" s="13">
        <f>O15*O27/(O40*O41)</f>
        <v>11.111111111111111</v>
      </c>
      <c r="P61" s="13">
        <f>P15*P27/(P40*P41)</f>
        <v>11.111111111111111</v>
      </c>
      <c r="Q61" s="13">
        <f>Q15*Q27/(Q40*Q41)</f>
        <v>11.111111111111111</v>
      </c>
      <c r="R61" s="13">
        <f>R15*R27/(R40*R41)</f>
        <v>11.111111111111111</v>
      </c>
      <c r="S61" s="13">
        <f>S15*S27/(S40*S41)</f>
        <v>11.111111111111111</v>
      </c>
      <c r="T61" s="13">
        <f>T15*T27/(T40*T41)</f>
        <v>11.111111111111111</v>
      </c>
      <c r="U61" s="13">
        <f>U15*U27/(U40*U41)</f>
        <v>11.111111111111111</v>
      </c>
    </row>
    <row r="62" spans="1:21">
      <c r="A62" t="s">
        <v>108</v>
      </c>
      <c r="B62" s="3" t="s">
        <v>128</v>
      </c>
      <c r="E62" s="36"/>
      <c r="F62" s="13">
        <v>0</v>
      </c>
      <c r="G62" s="13">
        <f>G16*G28/(G40*G41)</f>
        <v>0.34722222222222221</v>
      </c>
      <c r="H62" s="13">
        <f>H16*H28/(H40*H41)</f>
        <v>0.69444444444444442</v>
      </c>
      <c r="I62" s="13">
        <f>I16*I28/(I40*I41)</f>
        <v>1.0416666666666667</v>
      </c>
      <c r="J62" s="13">
        <f>J16*J28/(J40*J41)</f>
        <v>1.3888888888888888</v>
      </c>
      <c r="K62" s="13">
        <f>K16*K28/(K40*K41)</f>
        <v>1.7361111111111112</v>
      </c>
      <c r="L62" s="13">
        <f>L16*L28/(L40*L41)</f>
        <v>2.0833333333333335</v>
      </c>
      <c r="M62" s="13">
        <f>M16*M28/(M40*M41)</f>
        <v>2.4305555555555554</v>
      </c>
      <c r="N62" s="13">
        <f>N16*N28/(N40*N41)</f>
        <v>2.7777777777777777</v>
      </c>
      <c r="O62" s="13">
        <f>O16*O28/(O40*O41)</f>
        <v>3.125</v>
      </c>
      <c r="P62" s="13">
        <f>P16*P28/(P40*P41)</f>
        <v>3.125</v>
      </c>
      <c r="Q62" s="13">
        <f>Q16*Q28/(Q40*Q41)</f>
        <v>3.125</v>
      </c>
      <c r="R62" s="13">
        <f>R16*R28/(R40*R41)</f>
        <v>3.125</v>
      </c>
      <c r="S62" s="13">
        <f>S16*S28/(S40*S41)</f>
        <v>3.125</v>
      </c>
      <c r="T62" s="13">
        <f>T16*T28/(T40*T41)</f>
        <v>3.125</v>
      </c>
      <c r="U62" s="13">
        <f>U16*U28/(U40*U41)</f>
        <v>3.125</v>
      </c>
    </row>
    <row r="63" spans="1:21">
      <c r="A63" t="s">
        <v>109</v>
      </c>
      <c r="B63" s="3" t="s">
        <v>128</v>
      </c>
      <c r="C63" t="s">
        <v>110</v>
      </c>
      <c r="F63" s="17">
        <f>ROUNDUP(F61+F62,0)</f>
        <v>2</v>
      </c>
      <c r="G63" s="17">
        <f>ROUNDUP(G61+G62,0)</f>
        <v>2</v>
      </c>
      <c r="H63" s="17">
        <f t="shared" ref="H63:U63" si="31">ROUNDUP(H61+H62,0)</f>
        <v>4</v>
      </c>
      <c r="I63" s="17">
        <f t="shared" si="31"/>
        <v>6</v>
      </c>
      <c r="J63" s="17">
        <f t="shared" si="31"/>
        <v>7</v>
      </c>
      <c r="K63" s="17">
        <f t="shared" si="31"/>
        <v>9</v>
      </c>
      <c r="L63" s="17">
        <f t="shared" si="31"/>
        <v>11</v>
      </c>
      <c r="M63" s="17">
        <f t="shared" si="31"/>
        <v>13</v>
      </c>
      <c r="N63" s="17">
        <f t="shared" si="31"/>
        <v>14</v>
      </c>
      <c r="O63" s="17">
        <f t="shared" si="31"/>
        <v>15</v>
      </c>
      <c r="P63" s="17">
        <f t="shared" si="31"/>
        <v>15</v>
      </c>
      <c r="Q63" s="17">
        <f t="shared" si="31"/>
        <v>15</v>
      </c>
      <c r="R63" s="17">
        <f t="shared" si="31"/>
        <v>15</v>
      </c>
      <c r="S63" s="17">
        <f t="shared" si="31"/>
        <v>15</v>
      </c>
      <c r="T63" s="17">
        <f t="shared" si="31"/>
        <v>15</v>
      </c>
      <c r="U63" s="17">
        <f t="shared" si="31"/>
        <v>15</v>
      </c>
    </row>
    <row r="65" spans="1:21" s="1" customFormat="1">
      <c r="A65" s="2" t="s">
        <v>73</v>
      </c>
    </row>
    <row r="66" spans="1:21">
      <c r="A66" t="s">
        <v>65</v>
      </c>
      <c r="B66" t="s">
        <v>70</v>
      </c>
      <c r="E66" s="20">
        <v>7</v>
      </c>
      <c r="F66" s="4">
        <f>E66</f>
        <v>7</v>
      </c>
      <c r="G66" s="4">
        <f t="shared" ref="G66:U66" si="32">F66</f>
        <v>7</v>
      </c>
      <c r="H66" s="4">
        <f t="shared" si="32"/>
        <v>7</v>
      </c>
      <c r="I66" s="4">
        <f t="shared" si="32"/>
        <v>7</v>
      </c>
      <c r="J66" s="4">
        <f t="shared" si="32"/>
        <v>7</v>
      </c>
      <c r="K66" s="4">
        <f t="shared" si="32"/>
        <v>7</v>
      </c>
      <c r="L66" s="4">
        <f t="shared" si="32"/>
        <v>7</v>
      </c>
      <c r="M66" s="4">
        <f t="shared" si="32"/>
        <v>7</v>
      </c>
      <c r="N66" s="4">
        <f t="shared" si="32"/>
        <v>7</v>
      </c>
      <c r="O66" s="4">
        <f t="shared" si="32"/>
        <v>7</v>
      </c>
      <c r="P66" s="4">
        <f t="shared" si="32"/>
        <v>7</v>
      </c>
      <c r="Q66" s="4">
        <f t="shared" si="32"/>
        <v>7</v>
      </c>
      <c r="R66" s="4">
        <f t="shared" si="32"/>
        <v>7</v>
      </c>
      <c r="S66" s="4">
        <f t="shared" si="32"/>
        <v>7</v>
      </c>
      <c r="T66" s="4">
        <f t="shared" si="32"/>
        <v>7</v>
      </c>
      <c r="U66" s="4">
        <f t="shared" si="32"/>
        <v>7</v>
      </c>
    </row>
    <row r="67" spans="1:21">
      <c r="A67" t="s">
        <v>66</v>
      </c>
      <c r="B67" t="s">
        <v>70</v>
      </c>
      <c r="E67" s="20">
        <v>5</v>
      </c>
      <c r="F67" s="4">
        <f t="shared" ref="F67:U68" si="33">E67</f>
        <v>5</v>
      </c>
      <c r="G67" s="4">
        <f t="shared" si="33"/>
        <v>5</v>
      </c>
      <c r="H67" s="4">
        <f t="shared" si="33"/>
        <v>5</v>
      </c>
      <c r="I67" s="4">
        <f t="shared" si="33"/>
        <v>5</v>
      </c>
      <c r="J67" s="4">
        <f t="shared" si="33"/>
        <v>5</v>
      </c>
      <c r="K67" s="4">
        <f t="shared" si="33"/>
        <v>5</v>
      </c>
      <c r="L67" s="4">
        <f t="shared" si="33"/>
        <v>5</v>
      </c>
      <c r="M67" s="4">
        <f t="shared" si="33"/>
        <v>5</v>
      </c>
      <c r="N67" s="4">
        <f t="shared" si="33"/>
        <v>5</v>
      </c>
      <c r="O67" s="4">
        <f t="shared" si="33"/>
        <v>5</v>
      </c>
      <c r="P67" s="4">
        <f t="shared" si="33"/>
        <v>5</v>
      </c>
      <c r="Q67" s="4">
        <f t="shared" si="33"/>
        <v>5</v>
      </c>
      <c r="R67" s="4">
        <f t="shared" si="33"/>
        <v>5</v>
      </c>
      <c r="S67" s="4">
        <f t="shared" si="33"/>
        <v>5</v>
      </c>
      <c r="T67" s="4">
        <f t="shared" si="33"/>
        <v>5</v>
      </c>
      <c r="U67" s="4">
        <f t="shared" si="33"/>
        <v>5</v>
      </c>
    </row>
    <row r="68" spans="1:21">
      <c r="A68" t="s">
        <v>67</v>
      </c>
      <c r="B68" t="s">
        <v>70</v>
      </c>
      <c r="E68" s="20">
        <v>15</v>
      </c>
      <c r="F68" s="4">
        <f t="shared" si="33"/>
        <v>15</v>
      </c>
      <c r="G68" s="4">
        <f t="shared" si="33"/>
        <v>15</v>
      </c>
      <c r="H68" s="4">
        <f t="shared" si="33"/>
        <v>15</v>
      </c>
      <c r="I68" s="4">
        <f t="shared" si="33"/>
        <v>15</v>
      </c>
      <c r="J68" s="4">
        <f t="shared" si="33"/>
        <v>15</v>
      </c>
      <c r="K68" s="4">
        <f t="shared" si="33"/>
        <v>15</v>
      </c>
      <c r="L68" s="4">
        <f t="shared" si="33"/>
        <v>15</v>
      </c>
      <c r="M68" s="4">
        <f t="shared" si="33"/>
        <v>15</v>
      </c>
      <c r="N68" s="4">
        <f t="shared" si="33"/>
        <v>15</v>
      </c>
      <c r="O68" s="4">
        <f t="shared" si="33"/>
        <v>15</v>
      </c>
      <c r="P68" s="4">
        <f t="shared" si="33"/>
        <v>15</v>
      </c>
      <c r="Q68" s="4">
        <f t="shared" si="33"/>
        <v>15</v>
      </c>
      <c r="R68" s="4">
        <f t="shared" si="33"/>
        <v>15</v>
      </c>
      <c r="S68" s="4">
        <f t="shared" si="33"/>
        <v>15</v>
      </c>
      <c r="T68" s="4">
        <f t="shared" si="33"/>
        <v>15</v>
      </c>
      <c r="U68" s="4">
        <f t="shared" si="33"/>
        <v>15</v>
      </c>
    </row>
    <row r="69" spans="1:21">
      <c r="E69" s="24"/>
    </row>
    <row r="70" spans="1:21" s="1" customFormat="1">
      <c r="A70" s="2" t="s">
        <v>74</v>
      </c>
      <c r="E70" s="27"/>
    </row>
    <row r="71" spans="1:21">
      <c r="A71" t="s">
        <v>68</v>
      </c>
      <c r="B71" t="s">
        <v>71</v>
      </c>
      <c r="E71" s="26">
        <v>12.5</v>
      </c>
    </row>
    <row r="72" spans="1:21">
      <c r="A72" t="s">
        <v>69</v>
      </c>
      <c r="B72" t="s">
        <v>72</v>
      </c>
      <c r="E72" s="20">
        <v>3</v>
      </c>
    </row>
    <row r="73" spans="1:21">
      <c r="A73" t="s">
        <v>167</v>
      </c>
      <c r="B73" t="s">
        <v>72</v>
      </c>
      <c r="E73" s="20">
        <v>5</v>
      </c>
    </row>
    <row r="75" spans="1:21" s="1" customFormat="1">
      <c r="A75" s="2" t="s">
        <v>75</v>
      </c>
    </row>
    <row r="76" spans="1:21">
      <c r="A76" t="s">
        <v>77</v>
      </c>
      <c r="B76" t="s">
        <v>18</v>
      </c>
      <c r="E76" s="5">
        <v>0.2</v>
      </c>
      <c r="F76" s="7">
        <f>E76</f>
        <v>0.2</v>
      </c>
      <c r="G76" s="7">
        <f t="shared" ref="G76:U76" si="34">F76</f>
        <v>0.2</v>
      </c>
      <c r="H76" s="7">
        <f t="shared" si="34"/>
        <v>0.2</v>
      </c>
      <c r="I76" s="7">
        <f t="shared" si="34"/>
        <v>0.2</v>
      </c>
      <c r="J76" s="7">
        <f t="shared" si="34"/>
        <v>0.2</v>
      </c>
      <c r="K76" s="7">
        <f t="shared" si="34"/>
        <v>0.2</v>
      </c>
      <c r="L76" s="7">
        <f t="shared" si="34"/>
        <v>0.2</v>
      </c>
      <c r="M76" s="7">
        <f t="shared" si="34"/>
        <v>0.2</v>
      </c>
      <c r="N76" s="7">
        <f t="shared" si="34"/>
        <v>0.2</v>
      </c>
      <c r="O76" s="7">
        <f t="shared" si="34"/>
        <v>0.2</v>
      </c>
      <c r="P76" s="7">
        <f t="shared" si="34"/>
        <v>0.2</v>
      </c>
      <c r="Q76" s="7">
        <f t="shared" si="34"/>
        <v>0.2</v>
      </c>
      <c r="R76" s="7">
        <f t="shared" si="34"/>
        <v>0.2</v>
      </c>
      <c r="S76" s="7">
        <f t="shared" si="34"/>
        <v>0.2</v>
      </c>
      <c r="T76" s="7">
        <f t="shared" si="34"/>
        <v>0.2</v>
      </c>
      <c r="U76" s="7">
        <f t="shared" si="34"/>
        <v>0.2</v>
      </c>
    </row>
    <row r="77" spans="1:21">
      <c r="A77" t="s">
        <v>76</v>
      </c>
      <c r="B77" t="s">
        <v>18</v>
      </c>
      <c r="E77" s="5">
        <v>0.2</v>
      </c>
      <c r="F77" s="7">
        <f>E77</f>
        <v>0.2</v>
      </c>
      <c r="G77" s="7">
        <f t="shared" ref="G77:U77" si="35">F77</f>
        <v>0.2</v>
      </c>
      <c r="H77" s="7">
        <f t="shared" si="35"/>
        <v>0.2</v>
      </c>
      <c r="I77" s="7">
        <f t="shared" si="35"/>
        <v>0.2</v>
      </c>
      <c r="J77" s="7">
        <f t="shared" si="35"/>
        <v>0.2</v>
      </c>
      <c r="K77" s="7">
        <f t="shared" si="35"/>
        <v>0.2</v>
      </c>
      <c r="L77" s="7">
        <f t="shared" si="35"/>
        <v>0.2</v>
      </c>
      <c r="M77" s="7">
        <f t="shared" si="35"/>
        <v>0.2</v>
      </c>
      <c r="N77" s="7">
        <f t="shared" si="35"/>
        <v>0.2</v>
      </c>
      <c r="O77" s="7">
        <f t="shared" si="35"/>
        <v>0.2</v>
      </c>
      <c r="P77" s="7">
        <f t="shared" si="35"/>
        <v>0.2</v>
      </c>
      <c r="Q77" s="7">
        <f t="shared" si="35"/>
        <v>0.2</v>
      </c>
      <c r="R77" s="7">
        <f t="shared" si="35"/>
        <v>0.2</v>
      </c>
      <c r="S77" s="7">
        <f t="shared" si="35"/>
        <v>0.2</v>
      </c>
      <c r="T77" s="7">
        <f t="shared" si="35"/>
        <v>0.2</v>
      </c>
      <c r="U77" s="7">
        <f t="shared" si="35"/>
        <v>0.2</v>
      </c>
    </row>
    <row r="79" spans="1:21" s="1" customFormat="1">
      <c r="A79" s="2" t="s">
        <v>78</v>
      </c>
    </row>
    <row r="80" spans="1:21">
      <c r="A80" s="29" t="s">
        <v>79</v>
      </c>
    </row>
    <row r="81" spans="1:21">
      <c r="A81" t="s">
        <v>80</v>
      </c>
      <c r="B81" t="s">
        <v>18</v>
      </c>
      <c r="E81" s="5">
        <v>0.95</v>
      </c>
    </row>
    <row r="82" spans="1:21">
      <c r="A82" t="s">
        <v>82</v>
      </c>
      <c r="B82" t="s">
        <v>84</v>
      </c>
      <c r="C82" s="3" t="s">
        <v>345</v>
      </c>
      <c r="E82" s="191">
        <f>'Сценарный анализ'!D29</f>
        <v>8.5000000000000006E-2</v>
      </c>
    </row>
    <row r="83" spans="1:21">
      <c r="A83" t="s">
        <v>82</v>
      </c>
      <c r="B83" t="s">
        <v>85</v>
      </c>
      <c r="E83" s="71">
        <f>E82/4</f>
        <v>2.1250000000000002E-2</v>
      </c>
    </row>
    <row r="84" spans="1:21">
      <c r="A84" s="28" t="s">
        <v>81</v>
      </c>
      <c r="B84" t="s">
        <v>71</v>
      </c>
      <c r="E84" s="4"/>
      <c r="F84" s="11">
        <f>E81*E71</f>
        <v>11.875</v>
      </c>
      <c r="G84" s="11">
        <f>F84*(1+E82/4)-$E$85</f>
        <v>11.137795340391495</v>
      </c>
      <c r="H84" s="11">
        <f t="shared" ref="H84:T84" si="36">G84*(1+$E$83)-$E$85</f>
        <v>10.38492508176631</v>
      </c>
      <c r="I84" s="11">
        <f t="shared" si="36"/>
        <v>9.616056330145339</v>
      </c>
      <c r="J84" s="11">
        <f t="shared" si="36"/>
        <v>8.8308491175524235</v>
      </c>
      <c r="K84" s="11">
        <f t="shared" si="36"/>
        <v>8.0289562516919073</v>
      </c>
      <c r="L84" s="11">
        <f t="shared" si="36"/>
        <v>7.210023162431856</v>
      </c>
      <c r="M84" s="11">
        <f t="shared" si="36"/>
        <v>6.3736877450250287</v>
      </c>
      <c r="N84" s="11">
        <f t="shared" si="36"/>
        <v>5.5195801999983063</v>
      </c>
      <c r="O84" s="11">
        <f t="shared" si="36"/>
        <v>4.6473228696397655</v>
      </c>
      <c r="P84" s="11">
        <f t="shared" si="36"/>
        <v>3.756530071011106</v>
      </c>
      <c r="Q84" s="11">
        <f t="shared" si="36"/>
        <v>2.8468079254115874</v>
      </c>
      <c r="R84" s="11">
        <f t="shared" si="36"/>
        <v>1.917754184218079</v>
      </c>
      <c r="S84" s="11">
        <f t="shared" si="36"/>
        <v>0.96895805102420851</v>
      </c>
      <c r="T84" s="13">
        <f t="shared" si="36"/>
        <v>-3.1752378504279477E-14</v>
      </c>
      <c r="U84" s="4">
        <v>0</v>
      </c>
    </row>
    <row r="85" spans="1:21">
      <c r="A85" s="28" t="s">
        <v>83</v>
      </c>
      <c r="B85" t="s">
        <v>71</v>
      </c>
      <c r="E85" s="31">
        <f>-PMT(E83,E86*4,F84)</f>
        <v>0.98954840960850465</v>
      </c>
    </row>
    <row r="86" spans="1:21">
      <c r="A86" s="28" t="s">
        <v>111</v>
      </c>
      <c r="B86" t="s">
        <v>72</v>
      </c>
      <c r="E86" s="20">
        <v>3.5</v>
      </c>
    </row>
    <row r="88" spans="1:21" s="1" customFormat="1">
      <c r="A88" s="2" t="s">
        <v>86</v>
      </c>
    </row>
    <row r="89" spans="1:21">
      <c r="A89" s="30" t="s">
        <v>86</v>
      </c>
      <c r="B89" t="s">
        <v>71</v>
      </c>
      <c r="F89" s="20">
        <v>4</v>
      </c>
      <c r="G89" s="20">
        <v>5</v>
      </c>
      <c r="H89" s="138">
        <v>0</v>
      </c>
      <c r="I89" s="138">
        <v>0</v>
      </c>
      <c r="J89" s="138">
        <v>0</v>
      </c>
      <c r="K89" s="138">
        <v>0</v>
      </c>
      <c r="L89" s="138">
        <v>0</v>
      </c>
      <c r="M89" s="138">
        <v>0</v>
      </c>
      <c r="N89" s="138">
        <v>0</v>
      </c>
      <c r="O89" s="138">
        <v>0</v>
      </c>
      <c r="P89" s="138">
        <v>0</v>
      </c>
      <c r="Q89" s="138">
        <v>0</v>
      </c>
      <c r="R89" s="138">
        <v>0</v>
      </c>
      <c r="S89" s="138">
        <v>0</v>
      </c>
      <c r="T89" s="138">
        <v>0</v>
      </c>
      <c r="U89" s="138">
        <v>0</v>
      </c>
    </row>
    <row r="90" spans="1:21">
      <c r="A90" s="30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s="1" customFormat="1">
      <c r="A91" s="2" t="s">
        <v>87</v>
      </c>
    </row>
    <row r="92" spans="1:21">
      <c r="A92" t="s">
        <v>74</v>
      </c>
      <c r="B92" t="s">
        <v>93</v>
      </c>
      <c r="C92" s="15">
        <v>0</v>
      </c>
    </row>
    <row r="93" spans="1:21">
      <c r="A93" t="s">
        <v>88</v>
      </c>
      <c r="B93" t="s">
        <v>93</v>
      </c>
      <c r="C93" s="15">
        <v>0</v>
      </c>
    </row>
    <row r="94" spans="1:21">
      <c r="A94" t="s">
        <v>89</v>
      </c>
      <c r="B94" t="s">
        <v>93</v>
      </c>
      <c r="C94" s="15">
        <v>150</v>
      </c>
    </row>
    <row r="95" spans="1:21">
      <c r="A95" t="s">
        <v>90</v>
      </c>
      <c r="B95" t="s">
        <v>93</v>
      </c>
      <c r="C95" s="15">
        <v>0</v>
      </c>
    </row>
    <row r="96" spans="1:21">
      <c r="A96" t="s">
        <v>91</v>
      </c>
      <c r="B96" t="s">
        <v>93</v>
      </c>
      <c r="C96" s="15">
        <v>1850</v>
      </c>
    </row>
    <row r="97" spans="1:3">
      <c r="A97" s="33" t="s">
        <v>92</v>
      </c>
      <c r="B97" s="33" t="s">
        <v>93</v>
      </c>
      <c r="C97" s="33">
        <f>SUM(C92:C96)</f>
        <v>2000</v>
      </c>
    </row>
    <row r="98" spans="1:3">
      <c r="A98" t="s">
        <v>94</v>
      </c>
      <c r="B98" t="s">
        <v>93</v>
      </c>
      <c r="C98" s="32">
        <v>2000</v>
      </c>
    </row>
    <row r="99" spans="1:3">
      <c r="A99" t="s">
        <v>95</v>
      </c>
      <c r="B99" t="s">
        <v>93</v>
      </c>
      <c r="C99" s="32">
        <v>0</v>
      </c>
    </row>
    <row r="100" spans="1:3">
      <c r="A100" t="s">
        <v>78</v>
      </c>
      <c r="B100" t="s">
        <v>93</v>
      </c>
      <c r="C100" s="32">
        <v>0</v>
      </c>
    </row>
    <row r="101" spans="1:3">
      <c r="A101" t="s">
        <v>96</v>
      </c>
      <c r="B101" t="s">
        <v>93</v>
      </c>
      <c r="C101" s="32">
        <v>0</v>
      </c>
    </row>
    <row r="102" spans="1:3">
      <c r="A102" s="33" t="s">
        <v>97</v>
      </c>
      <c r="B102" s="33" t="s">
        <v>93</v>
      </c>
      <c r="C102" s="33">
        <f>SUM(C98:C101)</f>
        <v>2000</v>
      </c>
    </row>
    <row r="103" spans="1:3">
      <c r="A103" s="34" t="s">
        <v>98</v>
      </c>
      <c r="C103">
        <f>C97-C102</f>
        <v>0</v>
      </c>
    </row>
  </sheetData>
  <conditionalFormatting sqref="C10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180" verticalDpi="180" r:id="rId1"/>
  <ignoredErrors>
    <ignoredError sqref="F51 G51:U51 J53 N5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23"/>
  <sheetViews>
    <sheetView showGridLines="0" zoomScale="70" zoomScaleNormal="70" workbookViewId="0">
      <pane ySplit="2" topLeftCell="A102" activePane="bottomLeft" state="frozen"/>
      <selection pane="bottomLeft" activeCell="A59" sqref="A59"/>
    </sheetView>
  </sheetViews>
  <sheetFormatPr defaultRowHeight="15"/>
  <cols>
    <col min="1" max="1" width="58.140625" customWidth="1"/>
    <col min="2" max="2" width="18.140625" customWidth="1"/>
    <col min="3" max="3" width="26.7109375" customWidth="1"/>
    <col min="4" max="4" width="7.5703125" customWidth="1"/>
    <col min="6" max="19" width="9.85546875" bestFit="1" customWidth="1"/>
    <col min="20" max="20" width="12.85546875" bestFit="1" customWidth="1"/>
    <col min="21" max="21" width="12.7109375" bestFit="1" customWidth="1"/>
    <col min="22" max="16384" width="9.140625" style="98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78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78" t="s">
        <v>9</v>
      </c>
    </row>
    <row r="4" spans="1:21">
      <c r="A4" s="2" t="s">
        <v>113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t="s">
        <v>114</v>
      </c>
      <c r="B5" t="s">
        <v>27</v>
      </c>
      <c r="F5" s="39">
        <f>Допущения!F15</f>
        <v>0</v>
      </c>
      <c r="G5" s="39">
        <f>Допущения!G15</f>
        <v>500</v>
      </c>
      <c r="H5" s="39">
        <f>Допущения!H15</f>
        <v>1000</v>
      </c>
      <c r="I5" s="39">
        <f>Допущения!I15</f>
        <v>1500</v>
      </c>
      <c r="J5" s="39">
        <f>Допущения!J15</f>
        <v>2000</v>
      </c>
      <c r="K5" s="39">
        <f>Допущения!K15</f>
        <v>2500</v>
      </c>
      <c r="L5" s="39">
        <f>Допущения!L15</f>
        <v>3000</v>
      </c>
      <c r="M5" s="39">
        <f>Допущения!M15</f>
        <v>3500</v>
      </c>
      <c r="N5" s="39">
        <f>Допущения!N15</f>
        <v>4000</v>
      </c>
      <c r="O5" s="39">
        <f>Допущения!O15</f>
        <v>4000</v>
      </c>
      <c r="P5" s="39">
        <f>Допущения!P15</f>
        <v>4000</v>
      </c>
      <c r="Q5" s="39">
        <f>Допущения!Q15</f>
        <v>4000</v>
      </c>
      <c r="R5" s="39">
        <f>Допущения!R15</f>
        <v>4000</v>
      </c>
      <c r="S5" s="39">
        <f>Допущения!S15</f>
        <v>4000</v>
      </c>
      <c r="T5" s="39">
        <f>Допущения!T15</f>
        <v>4000</v>
      </c>
      <c r="U5" s="39">
        <f>Допущения!U15</f>
        <v>4000</v>
      </c>
    </row>
    <row r="6" spans="1:21">
      <c r="A6" t="s">
        <v>115</v>
      </c>
      <c r="B6" t="s">
        <v>27</v>
      </c>
      <c r="F6" s="39">
        <f>Допущения!F16</f>
        <v>0</v>
      </c>
      <c r="G6" s="39">
        <f>Допущения!G16</f>
        <v>50</v>
      </c>
      <c r="H6" s="39">
        <f>Допущения!H16</f>
        <v>100</v>
      </c>
      <c r="I6" s="39">
        <f>Допущения!I16</f>
        <v>150</v>
      </c>
      <c r="J6" s="39">
        <f>Допущения!J16</f>
        <v>200</v>
      </c>
      <c r="K6" s="39">
        <f>Допущения!K16</f>
        <v>250</v>
      </c>
      <c r="L6" s="39">
        <f>Допущения!L16</f>
        <v>300</v>
      </c>
      <c r="M6" s="39">
        <f>Допущения!M16</f>
        <v>350</v>
      </c>
      <c r="N6" s="39">
        <f>Допущения!N16</f>
        <v>400</v>
      </c>
      <c r="O6" s="39">
        <f>Допущения!O16</f>
        <v>450</v>
      </c>
      <c r="P6" s="39">
        <f>Допущения!P16</f>
        <v>450</v>
      </c>
      <c r="Q6" s="39">
        <f>Допущения!Q16</f>
        <v>450</v>
      </c>
      <c r="R6" s="39">
        <f>Допущения!R16</f>
        <v>450</v>
      </c>
      <c r="S6" s="39">
        <f>Допущения!S16</f>
        <v>450</v>
      </c>
      <c r="T6" s="39">
        <f>Допущения!T16</f>
        <v>450</v>
      </c>
      <c r="U6" s="39">
        <f>Допущения!U16</f>
        <v>450</v>
      </c>
    </row>
    <row r="8" spans="1:21">
      <c r="A8" t="s">
        <v>117</v>
      </c>
      <c r="B8" t="s">
        <v>31</v>
      </c>
      <c r="F8" s="39">
        <f>Допущения!F21</f>
        <v>4070.0000000000005</v>
      </c>
      <c r="G8" s="39">
        <f>Допущения!G21</f>
        <v>4141.2250000000004</v>
      </c>
      <c r="H8" s="39">
        <f>Допущения!H21</f>
        <v>4213.6964375000007</v>
      </c>
      <c r="I8" s="39">
        <f>Допущения!I21</f>
        <v>4287.4361251562514</v>
      </c>
      <c r="J8" s="39">
        <f>Допущения!J21</f>
        <v>4351.7476670335946</v>
      </c>
      <c r="K8" s="39">
        <f>Допущения!K21</f>
        <v>4417.0238820390978</v>
      </c>
      <c r="L8" s="39">
        <f>Допущения!L21</f>
        <v>4483.2792402696841</v>
      </c>
      <c r="M8" s="39">
        <f>Допущения!M21</f>
        <v>4550.5284288737294</v>
      </c>
      <c r="N8" s="39">
        <f>Допущения!N21</f>
        <v>4607.410034234651</v>
      </c>
      <c r="O8" s="39">
        <f>Допущения!O21</f>
        <v>4665.0026596625839</v>
      </c>
      <c r="P8" s="39">
        <f>Допущения!P21</f>
        <v>4723.315192908366</v>
      </c>
      <c r="Q8" s="39">
        <f>Допущения!Q21</f>
        <v>4782.3566328197203</v>
      </c>
      <c r="R8" s="39">
        <f>Допущения!R21</f>
        <v>4842.1360907299668</v>
      </c>
      <c r="S8" s="39">
        <f>Допущения!S21</f>
        <v>4902.6627918640916</v>
      </c>
      <c r="T8" s="39">
        <f>Допущения!T21</f>
        <v>4963.9460767623923</v>
      </c>
      <c r="U8" s="39">
        <f>Допущения!U21</f>
        <v>5025.9954027219219</v>
      </c>
    </row>
    <row r="9" spans="1:21">
      <c r="A9" t="s">
        <v>116</v>
      </c>
      <c r="B9" t="s">
        <v>31</v>
      </c>
      <c r="F9" s="39">
        <f>Допущения!F22</f>
        <v>12210</v>
      </c>
      <c r="G9" s="39">
        <f>Допущения!G22</f>
        <v>12423.675000000001</v>
      </c>
      <c r="H9" s="39">
        <f>Допущения!H22</f>
        <v>12641.089312500002</v>
      </c>
      <c r="I9" s="39">
        <f>Допущения!I22</f>
        <v>12862.308375468752</v>
      </c>
      <c r="J9" s="39">
        <f>Допущения!J22</f>
        <v>13055.243001100782</v>
      </c>
      <c r="K9" s="39">
        <f>Допущения!K22</f>
        <v>13251.071646117292</v>
      </c>
      <c r="L9" s="39">
        <f>Допущения!L22</f>
        <v>13449.83772080905</v>
      </c>
      <c r="M9" s="39">
        <f>Допущения!M22</f>
        <v>13651.585286621184</v>
      </c>
      <c r="N9" s="39">
        <f>Допущения!N22</f>
        <v>13822.230102703948</v>
      </c>
      <c r="O9" s="39">
        <f>Допущения!O22</f>
        <v>13995.007978987747</v>
      </c>
      <c r="P9" s="39">
        <f>Допущения!P22</f>
        <v>14169.945578725094</v>
      </c>
      <c r="Q9" s="39">
        <f>Допущения!Q22</f>
        <v>14347.069898459156</v>
      </c>
      <c r="R9" s="39">
        <f>Допущения!R22</f>
        <v>14526.408272189896</v>
      </c>
      <c r="S9" s="39">
        <f>Допущения!S22</f>
        <v>14707.988375592269</v>
      </c>
      <c r="T9" s="39">
        <f>Допущения!T22</f>
        <v>14891.838230287172</v>
      </c>
      <c r="U9" s="39">
        <f>Допущения!U22</f>
        <v>15077.986208165761</v>
      </c>
    </row>
    <row r="11" spans="1:21">
      <c r="A11" s="2" t="s">
        <v>118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t="s">
        <v>119</v>
      </c>
      <c r="B12" t="s">
        <v>93</v>
      </c>
      <c r="F12" s="4">
        <f>F5*F8</f>
        <v>0</v>
      </c>
      <c r="G12" s="18">
        <f>G5*G8/1000</f>
        <v>2070.6125000000002</v>
      </c>
      <c r="H12" s="18">
        <f t="shared" ref="H12:U12" si="0">H5*H8/1000</f>
        <v>4213.6964375000007</v>
      </c>
      <c r="I12" s="18">
        <f t="shared" si="0"/>
        <v>6431.154187734377</v>
      </c>
      <c r="J12" s="18">
        <f t="shared" si="0"/>
        <v>8703.4953340671891</v>
      </c>
      <c r="K12" s="18">
        <f t="shared" si="0"/>
        <v>11042.559705097745</v>
      </c>
      <c r="L12" s="18">
        <f t="shared" si="0"/>
        <v>13449.837720809051</v>
      </c>
      <c r="M12" s="18">
        <f t="shared" si="0"/>
        <v>15926.849501058054</v>
      </c>
      <c r="N12" s="18">
        <f t="shared" si="0"/>
        <v>18429.640136938604</v>
      </c>
      <c r="O12" s="18">
        <f t="shared" si="0"/>
        <v>18660.010638650336</v>
      </c>
      <c r="P12" s="18">
        <f t="shared" si="0"/>
        <v>18893.260771633464</v>
      </c>
      <c r="Q12" s="18">
        <f t="shared" si="0"/>
        <v>19129.426531278881</v>
      </c>
      <c r="R12" s="18">
        <f t="shared" si="0"/>
        <v>19368.544362919867</v>
      </c>
      <c r="S12" s="18">
        <f t="shared" si="0"/>
        <v>19610.651167456366</v>
      </c>
      <c r="T12" s="18">
        <f t="shared" si="0"/>
        <v>19855.784307049569</v>
      </c>
      <c r="U12" s="18">
        <f t="shared" si="0"/>
        <v>20103.981610887688</v>
      </c>
    </row>
    <row r="13" spans="1:21">
      <c r="A13" t="s">
        <v>120</v>
      </c>
      <c r="B13" t="s">
        <v>93</v>
      </c>
      <c r="F13" s="4">
        <f>F6*F9</f>
        <v>0</v>
      </c>
      <c r="G13" s="18">
        <f>G6*G9/1000</f>
        <v>621.18375000000003</v>
      </c>
      <c r="H13" s="18">
        <f t="shared" ref="H13:U13" si="1">H6*H9/1000</f>
        <v>1264.1089312500001</v>
      </c>
      <c r="I13" s="18">
        <f t="shared" si="1"/>
        <v>1929.3462563203129</v>
      </c>
      <c r="J13" s="18">
        <f t="shared" si="1"/>
        <v>2611.0486002201565</v>
      </c>
      <c r="K13" s="18">
        <f t="shared" si="1"/>
        <v>3312.7679115293231</v>
      </c>
      <c r="L13" s="18">
        <f t="shared" si="1"/>
        <v>4034.9513162427147</v>
      </c>
      <c r="M13" s="18">
        <f t="shared" si="1"/>
        <v>4778.054850317415</v>
      </c>
      <c r="N13" s="18">
        <f t="shared" si="1"/>
        <v>5528.892041081579</v>
      </c>
      <c r="O13" s="18">
        <f t="shared" si="1"/>
        <v>6297.7535905444865</v>
      </c>
      <c r="P13" s="18">
        <f t="shared" si="1"/>
        <v>6376.4755104262922</v>
      </c>
      <c r="Q13" s="18">
        <f t="shared" si="1"/>
        <v>6456.1814543066203</v>
      </c>
      <c r="R13" s="18">
        <f t="shared" si="1"/>
        <v>6536.8837224854533</v>
      </c>
      <c r="S13" s="18">
        <f t="shared" si="1"/>
        <v>6618.5947690165212</v>
      </c>
      <c r="T13" s="18">
        <f t="shared" si="1"/>
        <v>6701.3272036292274</v>
      </c>
      <c r="U13" s="18">
        <f t="shared" si="1"/>
        <v>6785.0937936745931</v>
      </c>
    </row>
    <row r="15" spans="1:21" s="99" customFormat="1" ht="15.75">
      <c r="A15" s="102" t="s">
        <v>121</v>
      </c>
      <c r="B15" s="74" t="s">
        <v>93</v>
      </c>
      <c r="C15" s="111"/>
      <c r="D15" s="111"/>
      <c r="E15" s="111"/>
      <c r="F15" s="49">
        <f>SUM(F12:F13)</f>
        <v>0</v>
      </c>
      <c r="G15" s="108">
        <f t="shared" ref="G15:U15" si="2">SUM(G12:G13)</f>
        <v>2691.7962500000003</v>
      </c>
      <c r="H15" s="49">
        <f t="shared" si="2"/>
        <v>5477.8053687500005</v>
      </c>
      <c r="I15" s="49">
        <f t="shared" si="2"/>
        <v>8360.5004440546909</v>
      </c>
      <c r="J15" s="49">
        <f t="shared" si="2"/>
        <v>11314.543934287345</v>
      </c>
      <c r="K15" s="49">
        <f t="shared" si="2"/>
        <v>14355.327616627068</v>
      </c>
      <c r="L15" s="49">
        <f t="shared" si="2"/>
        <v>17484.789037051767</v>
      </c>
      <c r="M15" s="49">
        <f t="shared" si="2"/>
        <v>20704.90435137547</v>
      </c>
      <c r="N15" s="49">
        <f t="shared" si="2"/>
        <v>23958.532178020185</v>
      </c>
      <c r="O15" s="49">
        <f t="shared" si="2"/>
        <v>24957.764229194821</v>
      </c>
      <c r="P15" s="49">
        <f t="shared" si="2"/>
        <v>25269.736282059755</v>
      </c>
      <c r="Q15" s="49">
        <f t="shared" si="2"/>
        <v>25585.607985585502</v>
      </c>
      <c r="R15" s="49">
        <f t="shared" si="2"/>
        <v>25905.428085405321</v>
      </c>
      <c r="S15" s="49">
        <f t="shared" si="2"/>
        <v>26229.245936472886</v>
      </c>
      <c r="T15" s="49">
        <f t="shared" si="2"/>
        <v>26557.111510678798</v>
      </c>
      <c r="U15" s="49">
        <f t="shared" si="2"/>
        <v>26889.075404562282</v>
      </c>
    </row>
    <row r="17" spans="1:21">
      <c r="A17" s="2" t="s">
        <v>122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t="s">
        <v>125</v>
      </c>
      <c r="B18" t="s">
        <v>128</v>
      </c>
      <c r="F18" s="41">
        <f>Допущения!F25</f>
        <v>1.05</v>
      </c>
      <c r="G18" s="41">
        <f>Допущения!G25</f>
        <v>1.05</v>
      </c>
      <c r="H18" s="41">
        <f>Допущения!H25</f>
        <v>1.05</v>
      </c>
      <c r="I18" s="41">
        <f>Допущения!I25</f>
        <v>1.05</v>
      </c>
      <c r="J18" s="41">
        <f>Допущения!J25</f>
        <v>1.05</v>
      </c>
      <c r="K18" s="41">
        <f>Допущения!K25</f>
        <v>1.05</v>
      </c>
      <c r="L18" s="41">
        <f>Допущения!L25</f>
        <v>1.05</v>
      </c>
      <c r="M18" s="41">
        <f>Допущения!M25</f>
        <v>1.05</v>
      </c>
      <c r="N18" s="41">
        <f>Допущения!N25</f>
        <v>1.05</v>
      </c>
      <c r="O18" s="41">
        <f>Допущения!O25</f>
        <v>1.05</v>
      </c>
      <c r="P18" s="41">
        <f>Допущения!P25</f>
        <v>1.05</v>
      </c>
      <c r="Q18" s="41">
        <f>Допущения!Q25</f>
        <v>1.05</v>
      </c>
      <c r="R18" s="41">
        <f>Допущения!R25</f>
        <v>1.05</v>
      </c>
      <c r="S18" s="41">
        <f>Допущения!S25</f>
        <v>1.05</v>
      </c>
      <c r="T18" s="58">
        <f>Допущения!T25</f>
        <v>1.05</v>
      </c>
      <c r="U18" s="41">
        <f>Допущения!U25</f>
        <v>1.05</v>
      </c>
    </row>
    <row r="19" spans="1:21">
      <c r="A19" t="s">
        <v>124</v>
      </c>
      <c r="B19" t="s">
        <v>31</v>
      </c>
      <c r="F19" s="39">
        <f>Допущения!F37</f>
        <v>1511.2687499999997</v>
      </c>
      <c r="G19" s="39">
        <f>Допущения!G37</f>
        <v>1522.6221564843747</v>
      </c>
      <c r="H19" s="39">
        <f>Допущения!H37</f>
        <v>1534.0608554349633</v>
      </c>
      <c r="I19" s="39">
        <f>Допущения!I37</f>
        <v>1545.5854876114181</v>
      </c>
      <c r="J19" s="39">
        <f>Допущения!J37</f>
        <v>1557.1966985870986</v>
      </c>
      <c r="K19" s="39">
        <f>Допущения!K37</f>
        <v>1568.8951387852337</v>
      </c>
      <c r="L19" s="39">
        <f>Допущения!L37</f>
        <v>1580.6814635153573</v>
      </c>
      <c r="M19" s="39">
        <f>Допущения!M37</f>
        <v>1592.556333010016</v>
      </c>
      <c r="N19" s="39">
        <f>Допущения!N37</f>
        <v>1604.5204124617535</v>
      </c>
      <c r="O19" s="39">
        <f>Допущения!O37</f>
        <v>1616.5743720603723</v>
      </c>
      <c r="P19" s="39">
        <f>Допущения!P37</f>
        <v>1628.7188870304753</v>
      </c>
      <c r="Q19" s="39">
        <f>Допущения!Q37</f>
        <v>1640.9546376692915</v>
      </c>
      <c r="R19" s="39">
        <f>Допущения!R37</f>
        <v>1653.2823093847819</v>
      </c>
      <c r="S19" s="39">
        <f>Допущения!S37</f>
        <v>1665.7025927340349</v>
      </c>
      <c r="T19" s="79">
        <f>Допущения!T37</f>
        <v>1678.2161834619492</v>
      </c>
      <c r="U19" s="39">
        <f>Допущения!U37</f>
        <v>1690.8237825402066</v>
      </c>
    </row>
    <row r="20" spans="1:21">
      <c r="A20" s="29" t="s">
        <v>137</v>
      </c>
      <c r="B20" s="29" t="s">
        <v>31</v>
      </c>
      <c r="C20" s="29"/>
      <c r="D20" s="29"/>
      <c r="E20" s="29"/>
      <c r="F20" s="42">
        <f>F18*F19</f>
        <v>1586.8321874999997</v>
      </c>
      <c r="G20" s="42">
        <f t="shared" ref="G20:U20" si="3">G18*G19</f>
        <v>1598.7532643085935</v>
      </c>
      <c r="H20" s="42">
        <f t="shared" si="3"/>
        <v>1610.7638982067115</v>
      </c>
      <c r="I20" s="42">
        <f t="shared" si="3"/>
        <v>1622.8647619919891</v>
      </c>
      <c r="J20" s="42">
        <f t="shared" si="3"/>
        <v>1635.0565335164536</v>
      </c>
      <c r="K20" s="42">
        <f t="shared" si="3"/>
        <v>1647.3398957244954</v>
      </c>
      <c r="L20" s="42">
        <f t="shared" si="3"/>
        <v>1659.7155366911252</v>
      </c>
      <c r="M20" s="42">
        <f t="shared" si="3"/>
        <v>1672.1841496605168</v>
      </c>
      <c r="N20" s="42">
        <f t="shared" si="3"/>
        <v>1684.7464330848413</v>
      </c>
      <c r="O20" s="42">
        <f t="shared" si="3"/>
        <v>1697.4030906633909</v>
      </c>
      <c r="P20" s="42">
        <f t="shared" si="3"/>
        <v>1710.1548313819992</v>
      </c>
      <c r="Q20" s="42">
        <f t="shared" si="3"/>
        <v>1723.0023695527561</v>
      </c>
      <c r="R20" s="42">
        <f t="shared" si="3"/>
        <v>1735.9464248540212</v>
      </c>
      <c r="S20" s="42">
        <f t="shared" si="3"/>
        <v>1748.9877223707367</v>
      </c>
      <c r="T20" s="81">
        <f t="shared" si="3"/>
        <v>1762.1269926350467</v>
      </c>
      <c r="U20" s="42">
        <f t="shared" si="3"/>
        <v>1775.3649716672171</v>
      </c>
    </row>
    <row r="21" spans="1:21">
      <c r="A21" t="s">
        <v>127</v>
      </c>
      <c r="B21" s="3" t="s">
        <v>44</v>
      </c>
      <c r="F21" s="43">
        <f>Допущения!F33</f>
        <v>50</v>
      </c>
      <c r="G21" s="43">
        <f>Допущения!G33</f>
        <v>50</v>
      </c>
      <c r="H21" s="43">
        <f>Допущения!H33</f>
        <v>50</v>
      </c>
      <c r="I21" s="43">
        <f>Допущения!I33</f>
        <v>50</v>
      </c>
      <c r="J21" s="43">
        <f>Допущения!J33</f>
        <v>50</v>
      </c>
      <c r="K21" s="43">
        <f>Допущения!K33</f>
        <v>50</v>
      </c>
      <c r="L21" s="43">
        <f>Допущения!L33</f>
        <v>50</v>
      </c>
      <c r="M21" s="43">
        <f>Допущения!M33</f>
        <v>50</v>
      </c>
      <c r="N21" s="43">
        <f>Допущения!N33</f>
        <v>50</v>
      </c>
      <c r="O21" s="43">
        <f>Допущения!O33</f>
        <v>50</v>
      </c>
      <c r="P21" s="43">
        <f>Допущения!P33</f>
        <v>50</v>
      </c>
      <c r="Q21" s="43">
        <f>Допущения!Q33</f>
        <v>50</v>
      </c>
      <c r="R21" s="43">
        <f>Допущения!R33</f>
        <v>50</v>
      </c>
      <c r="S21" s="43">
        <f>Допущения!S33</f>
        <v>50</v>
      </c>
      <c r="T21" s="82">
        <f>Допущения!T33</f>
        <v>50</v>
      </c>
      <c r="U21" s="43">
        <f>Допущения!U33</f>
        <v>50</v>
      </c>
    </row>
    <row r="22" spans="1:21">
      <c r="A22" t="s">
        <v>47</v>
      </c>
      <c r="B22" s="3" t="s">
        <v>48</v>
      </c>
      <c r="F22" s="43">
        <f>Допущения!F39</f>
        <v>6.1050000000000004</v>
      </c>
      <c r="G22" s="43">
        <f>Допущения!G39</f>
        <v>6.2118375000000006</v>
      </c>
      <c r="H22" s="43">
        <f>Допущения!H39</f>
        <v>6.3205446562500009</v>
      </c>
      <c r="I22" s="43">
        <f>Допущения!I39</f>
        <v>6.4311541877343767</v>
      </c>
      <c r="J22" s="43">
        <f>Допущения!J39</f>
        <v>6.5276215005503921</v>
      </c>
      <c r="K22" s="43">
        <f>Допущения!K39</f>
        <v>6.6255358230586472</v>
      </c>
      <c r="L22" s="43">
        <f>Допущения!L39</f>
        <v>6.724918860404526</v>
      </c>
      <c r="M22" s="43">
        <f>Допущения!M39</f>
        <v>6.8257926433105931</v>
      </c>
      <c r="N22" s="43">
        <f>Допущения!N39</f>
        <v>6.9111150513519748</v>
      </c>
      <c r="O22" s="43">
        <f>Допущения!O39</f>
        <v>6.9975039894938744</v>
      </c>
      <c r="P22" s="43">
        <f>Допущения!P39</f>
        <v>7.0849727893625474</v>
      </c>
      <c r="Q22" s="43">
        <f>Допущения!Q39</f>
        <v>7.1735349492295786</v>
      </c>
      <c r="R22" s="43">
        <f>Допущения!R39</f>
        <v>7.2632041360949477</v>
      </c>
      <c r="S22" s="43">
        <f>Допущения!S39</f>
        <v>7.3539941877961343</v>
      </c>
      <c r="T22" s="82">
        <f>Допущения!T39</f>
        <v>7.4459191151435853</v>
      </c>
      <c r="U22" s="43">
        <f>Допущения!U39</f>
        <v>7.5389931040828797</v>
      </c>
    </row>
    <row r="23" spans="1:21" s="100" customFormat="1">
      <c r="A23" s="29" t="s">
        <v>126</v>
      </c>
      <c r="B23" s="40" t="s">
        <v>31</v>
      </c>
      <c r="C23" s="29"/>
      <c r="D23" s="29"/>
      <c r="E23" s="29"/>
      <c r="F23" s="44">
        <f>F21*F22</f>
        <v>305.25</v>
      </c>
      <c r="G23" s="44">
        <f t="shared" ref="G23:U23" si="4">G21*G22</f>
        <v>310.59187500000002</v>
      </c>
      <c r="H23" s="44">
        <f t="shared" si="4"/>
        <v>316.02723281250007</v>
      </c>
      <c r="I23" s="44">
        <f t="shared" si="4"/>
        <v>321.55770938671884</v>
      </c>
      <c r="J23" s="44">
        <f t="shared" si="4"/>
        <v>326.38107502751961</v>
      </c>
      <c r="K23" s="44">
        <f t="shared" si="4"/>
        <v>331.27679115293233</v>
      </c>
      <c r="L23" s="44">
        <f t="shared" si="4"/>
        <v>336.24594302022632</v>
      </c>
      <c r="M23" s="44">
        <f t="shared" si="4"/>
        <v>341.28963216552967</v>
      </c>
      <c r="N23" s="44">
        <f t="shared" si="4"/>
        <v>345.55575256759874</v>
      </c>
      <c r="O23" s="44">
        <f t="shared" si="4"/>
        <v>349.87519947469372</v>
      </c>
      <c r="P23" s="44">
        <f t="shared" si="4"/>
        <v>354.24863946812735</v>
      </c>
      <c r="Q23" s="44">
        <f t="shared" si="4"/>
        <v>358.67674746147895</v>
      </c>
      <c r="R23" s="44">
        <f t="shared" si="4"/>
        <v>363.16020680474736</v>
      </c>
      <c r="S23" s="44">
        <f t="shared" si="4"/>
        <v>367.69970938980674</v>
      </c>
      <c r="T23" s="83">
        <f t="shared" si="4"/>
        <v>372.29595575717929</v>
      </c>
      <c r="U23" s="44">
        <f t="shared" si="4"/>
        <v>376.94965520414399</v>
      </c>
    </row>
    <row r="24" spans="1:21">
      <c r="A24" t="s">
        <v>132</v>
      </c>
      <c r="B24" s="3" t="s">
        <v>39</v>
      </c>
      <c r="F24" s="45">
        <f>Допущения!F29</f>
        <v>0.1</v>
      </c>
      <c r="G24" s="45">
        <f>Допущения!G29</f>
        <v>0.1</v>
      </c>
      <c r="H24" s="45">
        <f>Допущения!H29</f>
        <v>0.1</v>
      </c>
      <c r="I24" s="45">
        <f>Допущения!I29</f>
        <v>0.1</v>
      </c>
      <c r="J24" s="45">
        <f>Допущения!J29</f>
        <v>0.1</v>
      </c>
      <c r="K24" s="45">
        <f>Допущения!K29</f>
        <v>0.1</v>
      </c>
      <c r="L24" s="45">
        <f>Допущения!L29</f>
        <v>0.1</v>
      </c>
      <c r="M24" s="45">
        <f>Допущения!M29</f>
        <v>0.1</v>
      </c>
      <c r="N24" s="45">
        <f>Допущения!N29</f>
        <v>0.1</v>
      </c>
      <c r="O24" s="45">
        <f>Допущения!O29</f>
        <v>0.1</v>
      </c>
      <c r="P24" s="45">
        <f>Допущения!P29</f>
        <v>0.1</v>
      </c>
      <c r="Q24" s="45">
        <f>Допущения!Q29</f>
        <v>0.1</v>
      </c>
      <c r="R24" s="45">
        <f>Допущения!R29</f>
        <v>0.1</v>
      </c>
      <c r="S24" s="45">
        <f>Допущения!S29</f>
        <v>0.1</v>
      </c>
      <c r="T24" s="84">
        <f>Допущения!T29</f>
        <v>0.1</v>
      </c>
      <c r="U24" s="45">
        <f>Допущения!U29</f>
        <v>0.1</v>
      </c>
    </row>
    <row r="25" spans="1:21">
      <c r="A25" t="s">
        <v>133</v>
      </c>
      <c r="B25" s="3" t="s">
        <v>134</v>
      </c>
      <c r="F25" s="45">
        <f>Допущения!F46</f>
        <v>0.39666666666666667</v>
      </c>
      <c r="G25" s="45">
        <f>Допущения!G46</f>
        <v>0.40460000000000002</v>
      </c>
      <c r="H25" s="45">
        <f>Допущения!H46</f>
        <v>0.412692</v>
      </c>
      <c r="I25" s="45">
        <f>Допущения!I46</f>
        <v>0.42094584000000002</v>
      </c>
      <c r="J25" s="45">
        <f>Допущения!J46</f>
        <v>0.42936475680000008</v>
      </c>
      <c r="K25" s="45">
        <f>Допущения!K46</f>
        <v>0.43795205193600006</v>
      </c>
      <c r="L25" s="45">
        <f>Допущения!L46</f>
        <v>0.44671109297472011</v>
      </c>
      <c r="M25" s="45">
        <f>Допущения!M46</f>
        <v>0.4556453148342145</v>
      </c>
      <c r="N25" s="45">
        <f>Допущения!N46</f>
        <v>0.46475822113089882</v>
      </c>
      <c r="O25" s="45">
        <f>Допущения!O46</f>
        <v>0.47405338555351673</v>
      </c>
      <c r="P25" s="45">
        <f>Допущения!P46</f>
        <v>0.48353445326458705</v>
      </c>
      <c r="Q25" s="45">
        <f>Допущения!Q46</f>
        <v>0.49320514232987883</v>
      </c>
      <c r="R25" s="45">
        <f>Допущения!R46</f>
        <v>0.50306924517647644</v>
      </c>
      <c r="S25" s="45">
        <f>Допущения!S46</f>
        <v>0.51313063008000603</v>
      </c>
      <c r="T25" s="84">
        <f>Допущения!T46</f>
        <v>0.52339324268160614</v>
      </c>
      <c r="U25" s="45">
        <f>Допущения!U46</f>
        <v>0.5338611075352383</v>
      </c>
    </row>
    <row r="26" spans="1:21" s="100" customFormat="1">
      <c r="A26" s="29" t="s">
        <v>138</v>
      </c>
      <c r="B26" s="40" t="s">
        <v>31</v>
      </c>
      <c r="C26" s="29"/>
      <c r="D26" s="29"/>
      <c r="E26" s="29"/>
      <c r="F26" s="44">
        <f>F24*F25*1000</f>
        <v>39.666666666666671</v>
      </c>
      <c r="G26" s="44">
        <f t="shared" ref="G26:U26" si="5">G24*G25*1000</f>
        <v>40.46</v>
      </c>
      <c r="H26" s="44">
        <f t="shared" si="5"/>
        <v>41.269200000000005</v>
      </c>
      <c r="I26" s="44">
        <f t="shared" si="5"/>
        <v>42.094584000000005</v>
      </c>
      <c r="J26" s="44">
        <f t="shared" si="5"/>
        <v>42.936475680000008</v>
      </c>
      <c r="K26" s="44">
        <f t="shared" si="5"/>
        <v>43.795205193600005</v>
      </c>
      <c r="L26" s="44">
        <f t="shared" si="5"/>
        <v>44.671109297472015</v>
      </c>
      <c r="M26" s="44">
        <f t="shared" si="5"/>
        <v>45.564531483421455</v>
      </c>
      <c r="N26" s="44">
        <f t="shared" si="5"/>
        <v>46.475822113089883</v>
      </c>
      <c r="O26" s="44">
        <f t="shared" si="5"/>
        <v>47.405338555351676</v>
      </c>
      <c r="P26" s="44">
        <f t="shared" si="5"/>
        <v>48.353445326458711</v>
      </c>
      <c r="Q26" s="44">
        <f t="shared" si="5"/>
        <v>49.32051423298789</v>
      </c>
      <c r="R26" s="44">
        <f t="shared" si="5"/>
        <v>50.306924517647651</v>
      </c>
      <c r="S26" s="44">
        <f t="shared" si="5"/>
        <v>51.313063008000604</v>
      </c>
      <c r="T26" s="83">
        <f t="shared" si="5"/>
        <v>52.339324268160617</v>
      </c>
      <c r="U26" s="44">
        <f t="shared" si="5"/>
        <v>53.386110753523838</v>
      </c>
    </row>
    <row r="27" spans="1:21">
      <c r="A27" t="s">
        <v>135</v>
      </c>
      <c r="B27" s="3" t="s">
        <v>39</v>
      </c>
      <c r="F27" s="45">
        <f>Допущения!F27</f>
        <v>0.5</v>
      </c>
      <c r="G27" s="45">
        <f>Допущения!G27</f>
        <v>0.5</v>
      </c>
      <c r="H27" s="45">
        <f>Допущения!H27</f>
        <v>0.5</v>
      </c>
      <c r="I27" s="45">
        <f>Допущения!I27</f>
        <v>0.5</v>
      </c>
      <c r="J27" s="45">
        <f>Допущения!J27</f>
        <v>0.5</v>
      </c>
      <c r="K27" s="45">
        <f>Допущения!K27</f>
        <v>0.5</v>
      </c>
      <c r="L27" s="45">
        <f>Допущения!L27</f>
        <v>0.5</v>
      </c>
      <c r="M27" s="45">
        <f>Допущения!M27</f>
        <v>0.5</v>
      </c>
      <c r="N27" s="45">
        <f>Допущения!N27</f>
        <v>0.5</v>
      </c>
      <c r="O27" s="45">
        <f>Допущения!O27</f>
        <v>0.5</v>
      </c>
      <c r="P27" s="45">
        <f>Допущения!P27</f>
        <v>0.5</v>
      </c>
      <c r="Q27" s="45">
        <f>Допущения!Q27</f>
        <v>0.5</v>
      </c>
      <c r="R27" s="45">
        <f>Допущения!R27</f>
        <v>0.5</v>
      </c>
      <c r="S27" s="45">
        <f>Допущения!S27</f>
        <v>0.5</v>
      </c>
      <c r="T27" s="84">
        <f>Допущения!T27</f>
        <v>0.5</v>
      </c>
      <c r="U27" s="45">
        <f>Допущения!U27</f>
        <v>0.5</v>
      </c>
    </row>
    <row r="28" spans="1:21">
      <c r="A28" t="s">
        <v>136</v>
      </c>
      <c r="B28" s="3" t="s">
        <v>134</v>
      </c>
      <c r="F28" s="45">
        <f>Допущения!F47</f>
        <v>0.85</v>
      </c>
      <c r="G28" s="45">
        <f>Допущения!G47</f>
        <v>0.86699999999999999</v>
      </c>
      <c r="H28" s="45">
        <f>Допущения!H47</f>
        <v>0.88434000000000013</v>
      </c>
      <c r="I28" s="45">
        <f>Допущения!I47</f>
        <v>0.90202680000000013</v>
      </c>
      <c r="J28" s="45">
        <f>Допущения!J47</f>
        <v>0.92006733600000035</v>
      </c>
      <c r="K28" s="45">
        <f>Допущения!K47</f>
        <v>0.93846868272000028</v>
      </c>
      <c r="L28" s="45">
        <f>Допущения!L47</f>
        <v>0.95723805637440029</v>
      </c>
      <c r="M28" s="45">
        <f>Допущения!M47</f>
        <v>0.97638281750188827</v>
      </c>
      <c r="N28" s="45">
        <f>Допущения!N47</f>
        <v>0.99591047385192621</v>
      </c>
      <c r="O28" s="45">
        <f>Допущения!O47</f>
        <v>1.0158286833289645</v>
      </c>
      <c r="P28" s="45">
        <f>Допущения!P47</f>
        <v>1.0361452569955438</v>
      </c>
      <c r="Q28" s="45">
        <f>Допущения!Q47</f>
        <v>1.056868162135455</v>
      </c>
      <c r="R28" s="45">
        <f>Допущения!R47</f>
        <v>1.078005525378164</v>
      </c>
      <c r="S28" s="45">
        <f>Допущения!S47</f>
        <v>1.0995656358857273</v>
      </c>
      <c r="T28" s="84">
        <f>Допущения!T47</f>
        <v>1.1215569486034418</v>
      </c>
      <c r="U28" s="45">
        <f>Допущения!U47</f>
        <v>1.1439880875755108</v>
      </c>
    </row>
    <row r="29" spans="1:21">
      <c r="A29" s="29" t="s">
        <v>139</v>
      </c>
      <c r="B29" s="40" t="s">
        <v>31</v>
      </c>
      <c r="F29" s="44">
        <f>F27*F28*1000</f>
        <v>425</v>
      </c>
      <c r="G29" s="44">
        <f t="shared" ref="G29:U29" si="6">G27*G28*1000</f>
        <v>433.5</v>
      </c>
      <c r="H29" s="44">
        <f t="shared" si="6"/>
        <v>442.17000000000007</v>
      </c>
      <c r="I29" s="44">
        <f t="shared" si="6"/>
        <v>451.01340000000005</v>
      </c>
      <c r="J29" s="44">
        <f t="shared" si="6"/>
        <v>460.03366800000015</v>
      </c>
      <c r="K29" s="44">
        <f t="shared" si="6"/>
        <v>469.23434136000014</v>
      </c>
      <c r="L29" s="44">
        <f t="shared" si="6"/>
        <v>478.61902818720017</v>
      </c>
      <c r="M29" s="44">
        <f t="shared" si="6"/>
        <v>488.19140875094411</v>
      </c>
      <c r="N29" s="44">
        <f t="shared" si="6"/>
        <v>497.95523692596311</v>
      </c>
      <c r="O29" s="44">
        <f t="shared" si="6"/>
        <v>507.91434166448227</v>
      </c>
      <c r="P29" s="44">
        <f t="shared" si="6"/>
        <v>518.07262849777192</v>
      </c>
      <c r="Q29" s="44">
        <f t="shared" si="6"/>
        <v>528.43408106772745</v>
      </c>
      <c r="R29" s="44">
        <f t="shared" si="6"/>
        <v>539.00276268908203</v>
      </c>
      <c r="S29" s="44">
        <f t="shared" si="6"/>
        <v>549.78281794286363</v>
      </c>
      <c r="T29" s="83">
        <f t="shared" si="6"/>
        <v>560.77847430172085</v>
      </c>
      <c r="U29" s="44">
        <f t="shared" si="6"/>
        <v>571.99404378775546</v>
      </c>
    </row>
    <row r="30" spans="1:21" s="100" customFormat="1">
      <c r="A30" s="29" t="s">
        <v>62</v>
      </c>
      <c r="B30" s="40" t="s">
        <v>31</v>
      </c>
      <c r="C30" s="29"/>
      <c r="D30" s="29"/>
      <c r="E30" s="29"/>
      <c r="F30" s="46">
        <f>Допущения!F31</f>
        <v>254.37500000000003</v>
      </c>
      <c r="G30" s="46">
        <f>Допущения!G31</f>
        <v>258.82656250000002</v>
      </c>
      <c r="H30" s="46">
        <f>Допущения!H31</f>
        <v>263.35602734375004</v>
      </c>
      <c r="I30" s="46">
        <f>Допущения!I31</f>
        <v>267.96475782226571</v>
      </c>
      <c r="J30" s="46">
        <f>Допущения!J31</f>
        <v>271.98422918959966</v>
      </c>
      <c r="K30" s="46">
        <f>Допущения!K31</f>
        <v>276.06399262744361</v>
      </c>
      <c r="L30" s="46">
        <f>Допущения!L31</f>
        <v>280.20495251685526</v>
      </c>
      <c r="M30" s="46">
        <f>Допущения!M31</f>
        <v>284.40802680460808</v>
      </c>
      <c r="N30" s="46">
        <f>Допущения!N31</f>
        <v>287.96312713966569</v>
      </c>
      <c r="O30" s="46">
        <f>Допущения!O31</f>
        <v>291.5626662289115</v>
      </c>
      <c r="P30" s="46">
        <f>Допущения!P31</f>
        <v>295.20719955677288</v>
      </c>
      <c r="Q30" s="46">
        <f>Допущения!Q31</f>
        <v>298.89728955123252</v>
      </c>
      <c r="R30" s="46">
        <f>Допущения!R31</f>
        <v>302.63350567062292</v>
      </c>
      <c r="S30" s="46">
        <f>Допущения!S31</f>
        <v>306.41642449150572</v>
      </c>
      <c r="T30" s="85">
        <f>Допущения!T31</f>
        <v>310.24662979764952</v>
      </c>
      <c r="U30" s="46">
        <f>Допущения!U31</f>
        <v>314.12471267012012</v>
      </c>
    </row>
    <row r="31" spans="1:21" s="100" customFormat="1">
      <c r="A31" s="47" t="s">
        <v>140</v>
      </c>
      <c r="B31" s="47" t="s">
        <v>31</v>
      </c>
      <c r="C31" s="47"/>
      <c r="D31" s="47"/>
      <c r="E31" s="47"/>
      <c r="F31" s="48">
        <f>F20+F23+F26+F29+F30</f>
        <v>2611.1238541666662</v>
      </c>
      <c r="G31" s="48">
        <f t="shared" ref="G31:U31" si="7">G20+G23+G26+G29+G30</f>
        <v>2642.1317018085933</v>
      </c>
      <c r="H31" s="48">
        <f t="shared" si="7"/>
        <v>2673.5863583629621</v>
      </c>
      <c r="I31" s="48">
        <f t="shared" si="7"/>
        <v>2705.4952132009739</v>
      </c>
      <c r="J31" s="48">
        <f t="shared" si="7"/>
        <v>2736.3919814135729</v>
      </c>
      <c r="K31" s="48">
        <f t="shared" si="7"/>
        <v>2767.7102260584711</v>
      </c>
      <c r="L31" s="48">
        <f t="shared" si="7"/>
        <v>2799.4565697128792</v>
      </c>
      <c r="M31" s="48">
        <f t="shared" si="7"/>
        <v>2831.6377488650201</v>
      </c>
      <c r="N31" s="48">
        <f t="shared" si="7"/>
        <v>2862.696371831159</v>
      </c>
      <c r="O31" s="48">
        <f t="shared" si="7"/>
        <v>2894.1606365868302</v>
      </c>
      <c r="P31" s="48">
        <f t="shared" si="7"/>
        <v>2926.0367442311303</v>
      </c>
      <c r="Q31" s="48">
        <f t="shared" si="7"/>
        <v>2958.3310018661832</v>
      </c>
      <c r="R31" s="48">
        <f t="shared" si="7"/>
        <v>2991.0498245361209</v>
      </c>
      <c r="S31" s="48">
        <f t="shared" si="7"/>
        <v>3024.1997372029127</v>
      </c>
      <c r="T31" s="86">
        <f t="shared" si="7"/>
        <v>3057.7873767597566</v>
      </c>
      <c r="U31" s="48">
        <f t="shared" si="7"/>
        <v>3091.8194940827607</v>
      </c>
    </row>
    <row r="32" spans="1:21">
      <c r="U32" s="4"/>
    </row>
    <row r="33" spans="1:21">
      <c r="A33" t="s">
        <v>125</v>
      </c>
      <c r="B33" t="s">
        <v>128</v>
      </c>
      <c r="F33" s="41">
        <f>Допущения!F26</f>
        <v>1.1200000000000001</v>
      </c>
      <c r="G33" s="41">
        <f>Допущения!G26</f>
        <v>1.1200000000000001</v>
      </c>
      <c r="H33" s="41">
        <f>Допущения!H26</f>
        <v>1.1200000000000001</v>
      </c>
      <c r="I33" s="41">
        <f>Допущения!I26</f>
        <v>1.1200000000000001</v>
      </c>
      <c r="J33" s="41">
        <f>Допущения!J26</f>
        <v>1.1200000000000001</v>
      </c>
      <c r="K33" s="41">
        <f>Допущения!K26</f>
        <v>1.1200000000000001</v>
      </c>
      <c r="L33" s="41">
        <f>Допущения!L26</f>
        <v>1.1200000000000001</v>
      </c>
      <c r="M33" s="41">
        <f>Допущения!M26</f>
        <v>1.1200000000000001</v>
      </c>
      <c r="N33" s="41">
        <f>Допущения!N26</f>
        <v>1.1200000000000001</v>
      </c>
      <c r="O33" s="41">
        <f>Допущения!O26</f>
        <v>1.1200000000000001</v>
      </c>
      <c r="P33" s="41">
        <f>Допущения!P26</f>
        <v>1.1200000000000001</v>
      </c>
      <c r="Q33" s="41">
        <f>Допущения!Q26</f>
        <v>1.1200000000000001</v>
      </c>
      <c r="R33" s="41">
        <f>Допущения!R26</f>
        <v>1.1200000000000001</v>
      </c>
      <c r="S33" s="41">
        <f>Допущения!S26</f>
        <v>1.1200000000000001</v>
      </c>
      <c r="T33" s="58">
        <f>Допущения!T26</f>
        <v>1.1200000000000001</v>
      </c>
      <c r="U33" s="41">
        <f>Допущения!U26</f>
        <v>1.1200000000000001</v>
      </c>
    </row>
    <row r="34" spans="1:21">
      <c r="A34" t="s">
        <v>124</v>
      </c>
      <c r="B34" t="s">
        <v>31</v>
      </c>
      <c r="F34" s="39">
        <f>Допущения!F38</f>
        <v>2518.7812499999995</v>
      </c>
      <c r="G34" s="39">
        <f>Допущения!G38</f>
        <v>2537.7035941406243</v>
      </c>
      <c r="H34" s="39">
        <f>Допущения!H38</f>
        <v>2556.7680923916055</v>
      </c>
      <c r="I34" s="39">
        <f>Допущения!I38</f>
        <v>2575.9758126856968</v>
      </c>
      <c r="J34" s="39">
        <f>Допущения!J38</f>
        <v>2595.3278309784978</v>
      </c>
      <c r="K34" s="39">
        <f>Допущения!K38</f>
        <v>2614.8252313087232</v>
      </c>
      <c r="L34" s="39">
        <f>Допущения!L38</f>
        <v>2634.4691058589297</v>
      </c>
      <c r="M34" s="39">
        <f>Допущения!M38</f>
        <v>2654.2605550166941</v>
      </c>
      <c r="N34" s="39">
        <f>Допущения!N38</f>
        <v>2674.2006874362569</v>
      </c>
      <c r="O34" s="39">
        <f>Допущения!O38</f>
        <v>2694.2906201006213</v>
      </c>
      <c r="P34" s="39">
        <f>Допущения!P38</f>
        <v>2714.5314783841268</v>
      </c>
      <c r="Q34" s="39">
        <f>Допущения!Q38</f>
        <v>2734.9243961154866</v>
      </c>
      <c r="R34" s="39">
        <f>Допущения!R38</f>
        <v>2755.4705156413042</v>
      </c>
      <c r="S34" s="39">
        <f>Допущения!S38</f>
        <v>2776.1709878900592</v>
      </c>
      <c r="T34" s="79">
        <f>Допущения!T38</f>
        <v>2797.0269724365826</v>
      </c>
      <c r="U34" s="39">
        <f>Допущения!U38</f>
        <v>2818.0396375670121</v>
      </c>
    </row>
    <row r="35" spans="1:21">
      <c r="A35" s="29" t="s">
        <v>137</v>
      </c>
      <c r="B35" s="29" t="s">
        <v>31</v>
      </c>
      <c r="C35" s="29"/>
      <c r="D35" s="29"/>
      <c r="E35" s="29"/>
      <c r="F35" s="42">
        <f>F33*F34</f>
        <v>2821.0349999999999</v>
      </c>
      <c r="G35" s="42">
        <f t="shared" ref="G35:U35" si="8">G33*G34</f>
        <v>2842.2280254374996</v>
      </c>
      <c r="H35" s="42">
        <f t="shared" si="8"/>
        <v>2863.5802634785982</v>
      </c>
      <c r="I35" s="42">
        <f t="shared" si="8"/>
        <v>2885.0929102079808</v>
      </c>
      <c r="J35" s="42">
        <f t="shared" si="8"/>
        <v>2906.7671706959177</v>
      </c>
      <c r="K35" s="42">
        <f t="shared" si="8"/>
        <v>2928.6042590657703</v>
      </c>
      <c r="L35" s="42">
        <f t="shared" si="8"/>
        <v>2950.6053985620015</v>
      </c>
      <c r="M35" s="42">
        <f t="shared" si="8"/>
        <v>2972.7718216186977</v>
      </c>
      <c r="N35" s="42">
        <f t="shared" si="8"/>
        <v>2995.1047699286082</v>
      </c>
      <c r="O35" s="42">
        <f t="shared" si="8"/>
        <v>3017.6054945126962</v>
      </c>
      <c r="P35" s="42">
        <f t="shared" si="8"/>
        <v>3040.2752557902222</v>
      </c>
      <c r="Q35" s="42">
        <f t="shared" si="8"/>
        <v>3063.1153236493451</v>
      </c>
      <c r="R35" s="42">
        <f t="shared" si="8"/>
        <v>3086.1269775182609</v>
      </c>
      <c r="S35" s="42">
        <f t="shared" si="8"/>
        <v>3109.3115064368667</v>
      </c>
      <c r="T35" s="81">
        <f t="shared" si="8"/>
        <v>3132.6702091289726</v>
      </c>
      <c r="U35" s="42">
        <f t="shared" si="8"/>
        <v>3156.2043940750536</v>
      </c>
    </row>
    <row r="36" spans="1:21">
      <c r="A36" t="s">
        <v>127</v>
      </c>
      <c r="B36" s="3" t="s">
        <v>44</v>
      </c>
      <c r="F36" s="43">
        <f>Допущения!F34</f>
        <v>200</v>
      </c>
      <c r="G36" s="43">
        <f>Допущения!G34</f>
        <v>200</v>
      </c>
      <c r="H36" s="43">
        <f>Допущения!H34</f>
        <v>200</v>
      </c>
      <c r="I36" s="43">
        <f>Допущения!I34</f>
        <v>200</v>
      </c>
      <c r="J36" s="43">
        <f>Допущения!J34</f>
        <v>200</v>
      </c>
      <c r="K36" s="43">
        <f>Допущения!K34</f>
        <v>200</v>
      </c>
      <c r="L36" s="43">
        <f>Допущения!L34</f>
        <v>200</v>
      </c>
      <c r="M36" s="43">
        <f>Допущения!M34</f>
        <v>200</v>
      </c>
      <c r="N36" s="43">
        <f>Допущения!N34</f>
        <v>200</v>
      </c>
      <c r="O36" s="43">
        <f>Допущения!O34</f>
        <v>200</v>
      </c>
      <c r="P36" s="43">
        <f>Допущения!P34</f>
        <v>200</v>
      </c>
      <c r="Q36" s="43">
        <f>Допущения!Q34</f>
        <v>200</v>
      </c>
      <c r="R36" s="43">
        <f>Допущения!R34</f>
        <v>200</v>
      </c>
      <c r="S36" s="43">
        <f>Допущения!S34</f>
        <v>200</v>
      </c>
      <c r="T36" s="82">
        <f>Допущения!T34</f>
        <v>200</v>
      </c>
      <c r="U36" s="43">
        <f>Допущения!U34</f>
        <v>200</v>
      </c>
    </row>
    <row r="37" spans="1:21">
      <c r="A37" t="s">
        <v>47</v>
      </c>
      <c r="B37" s="3" t="s">
        <v>48</v>
      </c>
      <c r="F37" s="43">
        <f>F22</f>
        <v>6.1050000000000004</v>
      </c>
      <c r="G37" s="43">
        <f t="shared" ref="G37:U37" si="9">G22</f>
        <v>6.2118375000000006</v>
      </c>
      <c r="H37" s="43">
        <f t="shared" si="9"/>
        <v>6.3205446562500009</v>
      </c>
      <c r="I37" s="43">
        <f t="shared" si="9"/>
        <v>6.4311541877343767</v>
      </c>
      <c r="J37" s="43">
        <f t="shared" si="9"/>
        <v>6.5276215005503921</v>
      </c>
      <c r="K37" s="43">
        <f t="shared" si="9"/>
        <v>6.6255358230586472</v>
      </c>
      <c r="L37" s="43">
        <f t="shared" si="9"/>
        <v>6.724918860404526</v>
      </c>
      <c r="M37" s="43">
        <f t="shared" si="9"/>
        <v>6.8257926433105931</v>
      </c>
      <c r="N37" s="43">
        <f t="shared" si="9"/>
        <v>6.9111150513519748</v>
      </c>
      <c r="O37" s="43">
        <f t="shared" si="9"/>
        <v>6.9975039894938744</v>
      </c>
      <c r="P37" s="43">
        <f t="shared" si="9"/>
        <v>7.0849727893625474</v>
      </c>
      <c r="Q37" s="43">
        <f t="shared" si="9"/>
        <v>7.1735349492295786</v>
      </c>
      <c r="R37" s="43">
        <f t="shared" si="9"/>
        <v>7.2632041360949477</v>
      </c>
      <c r="S37" s="43">
        <f t="shared" si="9"/>
        <v>7.3539941877961343</v>
      </c>
      <c r="T37" s="82">
        <f t="shared" si="9"/>
        <v>7.4459191151435853</v>
      </c>
      <c r="U37" s="43">
        <f t="shared" si="9"/>
        <v>7.5389931040828797</v>
      </c>
    </row>
    <row r="38" spans="1:21">
      <c r="A38" s="29" t="s">
        <v>126</v>
      </c>
      <c r="B38" s="40" t="s">
        <v>31</v>
      </c>
      <c r="C38" s="29"/>
      <c r="D38" s="29"/>
      <c r="E38" s="29"/>
      <c r="F38" s="42">
        <f>F36*F37</f>
        <v>1221</v>
      </c>
      <c r="G38" s="42">
        <f t="shared" ref="G38:U38" si="10">G36*G37</f>
        <v>1242.3675000000001</v>
      </c>
      <c r="H38" s="42">
        <f t="shared" si="10"/>
        <v>1264.1089312500003</v>
      </c>
      <c r="I38" s="42">
        <f t="shared" si="10"/>
        <v>1286.2308375468754</v>
      </c>
      <c r="J38" s="42">
        <f t="shared" si="10"/>
        <v>1305.5243001100785</v>
      </c>
      <c r="K38" s="42">
        <f t="shared" si="10"/>
        <v>1325.1071646117293</v>
      </c>
      <c r="L38" s="42">
        <f t="shared" si="10"/>
        <v>1344.9837720809053</v>
      </c>
      <c r="M38" s="42">
        <f t="shared" si="10"/>
        <v>1365.1585286621187</v>
      </c>
      <c r="N38" s="42">
        <f t="shared" si="10"/>
        <v>1382.223010270395</v>
      </c>
      <c r="O38" s="42">
        <f t="shared" si="10"/>
        <v>1399.5007978987749</v>
      </c>
      <c r="P38" s="42">
        <f t="shared" si="10"/>
        <v>1416.9945578725094</v>
      </c>
      <c r="Q38" s="42">
        <f t="shared" si="10"/>
        <v>1434.7069898459158</v>
      </c>
      <c r="R38" s="42">
        <f t="shared" si="10"/>
        <v>1452.6408272189894</v>
      </c>
      <c r="S38" s="42">
        <f t="shared" si="10"/>
        <v>1470.798837559227</v>
      </c>
      <c r="T38" s="81">
        <f t="shared" si="10"/>
        <v>1489.1838230287171</v>
      </c>
      <c r="U38" s="42">
        <f t="shared" si="10"/>
        <v>1507.798620816576</v>
      </c>
    </row>
    <row r="39" spans="1:21">
      <c r="A39" t="s">
        <v>132</v>
      </c>
      <c r="B39" s="3" t="s">
        <v>39</v>
      </c>
      <c r="F39" s="45">
        <f>Допущения!F30</f>
        <v>1.5</v>
      </c>
      <c r="G39" s="45">
        <f>Допущения!G30</f>
        <v>1.5</v>
      </c>
      <c r="H39" s="45">
        <f>Допущения!H30</f>
        <v>1.5</v>
      </c>
      <c r="I39" s="45">
        <f>Допущения!I30</f>
        <v>1.5</v>
      </c>
      <c r="J39" s="45">
        <f>Допущения!J30</f>
        <v>1.5</v>
      </c>
      <c r="K39" s="45">
        <f>Допущения!K30</f>
        <v>1.5</v>
      </c>
      <c r="L39" s="45">
        <f>Допущения!L30</f>
        <v>1.5</v>
      </c>
      <c r="M39" s="45">
        <f>Допущения!M30</f>
        <v>1.5</v>
      </c>
      <c r="N39" s="45">
        <f>Допущения!N30</f>
        <v>1.5</v>
      </c>
      <c r="O39" s="45">
        <f>Допущения!O30</f>
        <v>1.5</v>
      </c>
      <c r="P39" s="45">
        <f>Допущения!P30</f>
        <v>1.5</v>
      </c>
      <c r="Q39" s="45">
        <f>Допущения!Q30</f>
        <v>1.5</v>
      </c>
      <c r="R39" s="45">
        <f>Допущения!R30</f>
        <v>1.5</v>
      </c>
      <c r="S39" s="45">
        <f>Допущения!S30</f>
        <v>1.5</v>
      </c>
      <c r="T39" s="84">
        <f>Допущения!T30</f>
        <v>1.5</v>
      </c>
      <c r="U39" s="45">
        <f>Допущения!U30</f>
        <v>1.5</v>
      </c>
    </row>
    <row r="40" spans="1:21">
      <c r="A40" t="s">
        <v>133</v>
      </c>
      <c r="B40" s="3" t="s">
        <v>134</v>
      </c>
      <c r="F40" s="45">
        <f>F25</f>
        <v>0.39666666666666667</v>
      </c>
      <c r="G40" s="45">
        <f t="shared" ref="G40:U40" si="11">G25</f>
        <v>0.40460000000000002</v>
      </c>
      <c r="H40" s="45">
        <f t="shared" si="11"/>
        <v>0.412692</v>
      </c>
      <c r="I40" s="45">
        <f t="shared" si="11"/>
        <v>0.42094584000000002</v>
      </c>
      <c r="J40" s="45">
        <f t="shared" si="11"/>
        <v>0.42936475680000008</v>
      </c>
      <c r="K40" s="45">
        <f t="shared" si="11"/>
        <v>0.43795205193600006</v>
      </c>
      <c r="L40" s="45">
        <f t="shared" si="11"/>
        <v>0.44671109297472011</v>
      </c>
      <c r="M40" s="45">
        <f t="shared" si="11"/>
        <v>0.4556453148342145</v>
      </c>
      <c r="N40" s="45">
        <f t="shared" si="11"/>
        <v>0.46475822113089882</v>
      </c>
      <c r="O40" s="45">
        <f t="shared" si="11"/>
        <v>0.47405338555351673</v>
      </c>
      <c r="P40" s="45">
        <f t="shared" si="11"/>
        <v>0.48353445326458705</v>
      </c>
      <c r="Q40" s="45">
        <f t="shared" si="11"/>
        <v>0.49320514232987883</v>
      </c>
      <c r="R40" s="45">
        <f t="shared" si="11"/>
        <v>0.50306924517647644</v>
      </c>
      <c r="S40" s="45">
        <f t="shared" si="11"/>
        <v>0.51313063008000603</v>
      </c>
      <c r="T40" s="84">
        <f t="shared" si="11"/>
        <v>0.52339324268160614</v>
      </c>
      <c r="U40" s="45">
        <f t="shared" si="11"/>
        <v>0.5338611075352383</v>
      </c>
    </row>
    <row r="41" spans="1:21">
      <c r="A41" s="29" t="s">
        <v>138</v>
      </c>
      <c r="B41" s="40" t="s">
        <v>31</v>
      </c>
      <c r="C41" s="29"/>
      <c r="D41" s="29"/>
      <c r="E41" s="29"/>
      <c r="F41" s="44">
        <f>F39*F40*1000</f>
        <v>595</v>
      </c>
      <c r="G41" s="44">
        <f t="shared" ref="G41:U41" si="12">G39*G40*1000</f>
        <v>606.9</v>
      </c>
      <c r="H41" s="44">
        <f t="shared" si="12"/>
        <v>619.03800000000001</v>
      </c>
      <c r="I41" s="44">
        <f t="shared" si="12"/>
        <v>631.41876000000013</v>
      </c>
      <c r="J41" s="44">
        <f t="shared" si="12"/>
        <v>644.04713520000007</v>
      </c>
      <c r="K41" s="44">
        <f t="shared" si="12"/>
        <v>656.92807790400013</v>
      </c>
      <c r="L41" s="44">
        <f t="shared" si="12"/>
        <v>670.06663946208027</v>
      </c>
      <c r="M41" s="44">
        <f t="shared" si="12"/>
        <v>683.46797225132173</v>
      </c>
      <c r="N41" s="44">
        <f t="shared" si="12"/>
        <v>697.13733169634827</v>
      </c>
      <c r="O41" s="44">
        <f t="shared" si="12"/>
        <v>711.08007833027511</v>
      </c>
      <c r="P41" s="44">
        <f t="shared" si="12"/>
        <v>725.3016798968805</v>
      </c>
      <c r="Q41" s="44">
        <f t="shared" si="12"/>
        <v>739.80771349481824</v>
      </c>
      <c r="R41" s="44">
        <f t="shared" si="12"/>
        <v>754.60386776471466</v>
      </c>
      <c r="S41" s="44">
        <f t="shared" si="12"/>
        <v>769.69594512000901</v>
      </c>
      <c r="T41" s="83">
        <f t="shared" si="12"/>
        <v>785.08986402240919</v>
      </c>
      <c r="U41" s="44">
        <f t="shared" si="12"/>
        <v>800.79166130285739</v>
      </c>
    </row>
    <row r="42" spans="1:21">
      <c r="A42" t="s">
        <v>135</v>
      </c>
      <c r="B42" s="3" t="s">
        <v>39</v>
      </c>
      <c r="F42" s="45">
        <f>Допущения!F28</f>
        <v>1.25</v>
      </c>
      <c r="G42" s="45">
        <f>Допущения!G28</f>
        <v>1.25</v>
      </c>
      <c r="H42" s="45">
        <f>Допущения!H28</f>
        <v>1.25</v>
      </c>
      <c r="I42" s="45">
        <f>Допущения!I28</f>
        <v>1.25</v>
      </c>
      <c r="J42" s="45">
        <f>Допущения!J28</f>
        <v>1.25</v>
      </c>
      <c r="K42" s="45">
        <f>Допущения!K28</f>
        <v>1.25</v>
      </c>
      <c r="L42" s="45">
        <f>Допущения!L28</f>
        <v>1.25</v>
      </c>
      <c r="M42" s="45">
        <f>Допущения!M28</f>
        <v>1.25</v>
      </c>
      <c r="N42" s="45">
        <f>Допущения!N28</f>
        <v>1.25</v>
      </c>
      <c r="O42" s="45">
        <f>Допущения!O28</f>
        <v>1.25</v>
      </c>
      <c r="P42" s="45">
        <f>Допущения!P28</f>
        <v>1.25</v>
      </c>
      <c r="Q42" s="45">
        <f>Допущения!Q28</f>
        <v>1.25</v>
      </c>
      <c r="R42" s="45">
        <f>Допущения!R28</f>
        <v>1.25</v>
      </c>
      <c r="S42" s="45">
        <f>Допущения!S28</f>
        <v>1.25</v>
      </c>
      <c r="T42" s="84">
        <f>Допущения!T28</f>
        <v>1.25</v>
      </c>
      <c r="U42" s="45">
        <f>Допущения!U28</f>
        <v>1.25</v>
      </c>
    </row>
    <row r="43" spans="1:21">
      <c r="A43" t="s">
        <v>136</v>
      </c>
      <c r="B43" s="3" t="s">
        <v>134</v>
      </c>
      <c r="F43" s="45">
        <f>F28</f>
        <v>0.85</v>
      </c>
      <c r="G43" s="45">
        <f t="shared" ref="G43:U43" si="13">G28</f>
        <v>0.86699999999999999</v>
      </c>
      <c r="H43" s="45">
        <f t="shared" si="13"/>
        <v>0.88434000000000013</v>
      </c>
      <c r="I43" s="45">
        <f t="shared" si="13"/>
        <v>0.90202680000000013</v>
      </c>
      <c r="J43" s="45">
        <f t="shared" si="13"/>
        <v>0.92006733600000035</v>
      </c>
      <c r="K43" s="45">
        <f t="shared" si="13"/>
        <v>0.93846868272000028</v>
      </c>
      <c r="L43" s="45">
        <f t="shared" si="13"/>
        <v>0.95723805637440029</v>
      </c>
      <c r="M43" s="45">
        <f t="shared" si="13"/>
        <v>0.97638281750188827</v>
      </c>
      <c r="N43" s="45">
        <f t="shared" si="13"/>
        <v>0.99591047385192621</v>
      </c>
      <c r="O43" s="45">
        <f t="shared" si="13"/>
        <v>1.0158286833289645</v>
      </c>
      <c r="P43" s="45">
        <f t="shared" si="13"/>
        <v>1.0361452569955438</v>
      </c>
      <c r="Q43" s="45">
        <f t="shared" si="13"/>
        <v>1.056868162135455</v>
      </c>
      <c r="R43" s="45">
        <f t="shared" si="13"/>
        <v>1.078005525378164</v>
      </c>
      <c r="S43" s="45">
        <f t="shared" si="13"/>
        <v>1.0995656358857273</v>
      </c>
      <c r="T43" s="84">
        <f t="shared" si="13"/>
        <v>1.1215569486034418</v>
      </c>
      <c r="U43" s="45">
        <f t="shared" si="13"/>
        <v>1.1439880875755108</v>
      </c>
    </row>
    <row r="44" spans="1:21">
      <c r="A44" s="29" t="s">
        <v>139</v>
      </c>
      <c r="B44" s="40" t="s">
        <v>31</v>
      </c>
      <c r="F44" s="44">
        <f>F42*F43*1000</f>
        <v>1062.5</v>
      </c>
      <c r="G44" s="44">
        <f t="shared" ref="G44:U44" si="14">G42*G43*1000</f>
        <v>1083.75</v>
      </c>
      <c r="H44" s="44">
        <f t="shared" si="14"/>
        <v>1105.4250000000002</v>
      </c>
      <c r="I44" s="44">
        <f t="shared" si="14"/>
        <v>1127.5335000000002</v>
      </c>
      <c r="J44" s="44">
        <f t="shared" si="14"/>
        <v>1150.0841700000003</v>
      </c>
      <c r="K44" s="44">
        <f t="shared" si="14"/>
        <v>1173.0858534000004</v>
      </c>
      <c r="L44" s="44">
        <f t="shared" si="14"/>
        <v>1196.5475704680005</v>
      </c>
      <c r="M44" s="44">
        <f t="shared" si="14"/>
        <v>1220.4785218773604</v>
      </c>
      <c r="N44" s="44">
        <f t="shared" si="14"/>
        <v>1244.8880923149077</v>
      </c>
      <c r="O44" s="44">
        <f t="shared" si="14"/>
        <v>1269.7858541612054</v>
      </c>
      <c r="P44" s="44">
        <f t="shared" si="14"/>
        <v>1295.18157124443</v>
      </c>
      <c r="Q44" s="44">
        <f t="shared" si="14"/>
        <v>1321.0852026693187</v>
      </c>
      <c r="R44" s="44">
        <f t="shared" si="14"/>
        <v>1347.506906722705</v>
      </c>
      <c r="S44" s="44">
        <f t="shared" si="14"/>
        <v>1374.4570448571592</v>
      </c>
      <c r="T44" s="83">
        <f t="shared" si="14"/>
        <v>1401.9461857543024</v>
      </c>
      <c r="U44" s="44">
        <f t="shared" si="14"/>
        <v>1429.9851094693886</v>
      </c>
    </row>
    <row r="45" spans="1:21">
      <c r="A45" s="29" t="s">
        <v>62</v>
      </c>
      <c r="B45" s="40" t="s">
        <v>31</v>
      </c>
      <c r="C45" s="29"/>
      <c r="D45" s="29"/>
      <c r="E45" s="29"/>
      <c r="F45" s="46">
        <f>Допущения!F32</f>
        <v>610.5</v>
      </c>
      <c r="G45" s="46">
        <f>Допущения!G32</f>
        <v>621.18375000000003</v>
      </c>
      <c r="H45" s="46">
        <f>Допущения!H32</f>
        <v>632.05446562500003</v>
      </c>
      <c r="I45" s="46">
        <f>Допущения!I32</f>
        <v>643.11541877343757</v>
      </c>
      <c r="J45" s="46">
        <f>Допущения!J32</f>
        <v>652.76215005503911</v>
      </c>
      <c r="K45" s="46">
        <f>Допущения!K32</f>
        <v>662.55358230586467</v>
      </c>
      <c r="L45" s="46">
        <f>Допущения!L32</f>
        <v>672.49188604045253</v>
      </c>
      <c r="M45" s="46">
        <f>Допущения!M32</f>
        <v>682.57926433105922</v>
      </c>
      <c r="N45" s="46">
        <f>Допущения!N32</f>
        <v>691.11150513519738</v>
      </c>
      <c r="O45" s="46">
        <f>Допущения!O32</f>
        <v>699.75039894938732</v>
      </c>
      <c r="P45" s="46">
        <f>Допущения!P32</f>
        <v>708.49727893625459</v>
      </c>
      <c r="Q45" s="46">
        <f>Допущения!Q32</f>
        <v>717.35349492295779</v>
      </c>
      <c r="R45" s="46">
        <f>Допущения!R32</f>
        <v>726.32041360949472</v>
      </c>
      <c r="S45" s="46">
        <f>Допущения!S32</f>
        <v>735.39941877961337</v>
      </c>
      <c r="T45" s="85">
        <f>Допущения!T32</f>
        <v>744.59191151435846</v>
      </c>
      <c r="U45" s="46">
        <f>Допущения!U32</f>
        <v>753.89931040828787</v>
      </c>
    </row>
    <row r="46" spans="1:21">
      <c r="A46" s="47" t="s">
        <v>141</v>
      </c>
      <c r="B46" s="47" t="s">
        <v>31</v>
      </c>
      <c r="C46" s="47"/>
      <c r="D46" s="47"/>
      <c r="E46" s="47"/>
      <c r="F46" s="48">
        <f>F35+F38+F41+F44+F45</f>
        <v>6310.0349999999999</v>
      </c>
      <c r="G46" s="48">
        <f t="shared" ref="G46:U46" si="15">G35+G38+G41+G44+G45</f>
        <v>6396.4292754374992</v>
      </c>
      <c r="H46" s="48">
        <f t="shared" si="15"/>
        <v>6484.2066603535995</v>
      </c>
      <c r="I46" s="48">
        <f t="shared" si="15"/>
        <v>6573.3914265282947</v>
      </c>
      <c r="J46" s="48">
        <f t="shared" si="15"/>
        <v>6659.1849260610361</v>
      </c>
      <c r="K46" s="48">
        <f t="shared" si="15"/>
        <v>6746.278937287364</v>
      </c>
      <c r="L46" s="48">
        <f t="shared" si="15"/>
        <v>6834.6952666134393</v>
      </c>
      <c r="M46" s="48">
        <f t="shared" si="15"/>
        <v>6924.4561087405582</v>
      </c>
      <c r="N46" s="48">
        <f t="shared" si="15"/>
        <v>7010.4647093454569</v>
      </c>
      <c r="O46" s="48">
        <f t="shared" si="15"/>
        <v>7097.7226238523381</v>
      </c>
      <c r="P46" s="48">
        <f t="shared" si="15"/>
        <v>7186.2503437402956</v>
      </c>
      <c r="Q46" s="48">
        <f t="shared" si="15"/>
        <v>7276.0687245823556</v>
      </c>
      <c r="R46" s="48">
        <f t="shared" si="15"/>
        <v>7367.1989928341645</v>
      </c>
      <c r="S46" s="48">
        <f t="shared" si="15"/>
        <v>7459.6627527528753</v>
      </c>
      <c r="T46" s="86">
        <f t="shared" si="15"/>
        <v>7553.4819934487605</v>
      </c>
      <c r="U46" s="48">
        <f t="shared" si="15"/>
        <v>7648.6790960721628</v>
      </c>
    </row>
    <row r="48" spans="1:21" s="100" customFormat="1">
      <c r="A48" s="47" t="s">
        <v>142</v>
      </c>
      <c r="B48" s="47" t="s">
        <v>93</v>
      </c>
      <c r="C48" s="47"/>
      <c r="D48" s="47"/>
      <c r="E48" s="47"/>
      <c r="F48" s="48">
        <f>F31*F5/1000</f>
        <v>0</v>
      </c>
      <c r="G48" s="48">
        <f t="shared" ref="G48:U48" si="16">G31*G5/1000</f>
        <v>1321.0658509042967</v>
      </c>
      <c r="H48" s="48">
        <f t="shared" si="16"/>
        <v>2673.5863583629621</v>
      </c>
      <c r="I48" s="48">
        <f t="shared" si="16"/>
        <v>4058.2428198014609</v>
      </c>
      <c r="J48" s="48">
        <f t="shared" si="16"/>
        <v>5472.7839628271458</v>
      </c>
      <c r="K48" s="48">
        <f t="shared" si="16"/>
        <v>6919.2755651461785</v>
      </c>
      <c r="L48" s="48">
        <f t="shared" si="16"/>
        <v>8398.3697091386366</v>
      </c>
      <c r="M48" s="48">
        <f t="shared" si="16"/>
        <v>9910.7321210275695</v>
      </c>
      <c r="N48" s="48">
        <f t="shared" si="16"/>
        <v>11450.785487324636</v>
      </c>
      <c r="O48" s="48">
        <f t="shared" si="16"/>
        <v>11576.642546347321</v>
      </c>
      <c r="P48" s="48">
        <f t="shared" si="16"/>
        <v>11704.146976924521</v>
      </c>
      <c r="Q48" s="48">
        <f t="shared" si="16"/>
        <v>11833.324007464733</v>
      </c>
      <c r="R48" s="48">
        <f t="shared" si="16"/>
        <v>11964.199298144484</v>
      </c>
      <c r="S48" s="48">
        <f t="shared" si="16"/>
        <v>12096.798948811651</v>
      </c>
      <c r="T48" s="86">
        <f t="shared" si="16"/>
        <v>12231.149507039027</v>
      </c>
      <c r="U48" s="48">
        <f t="shared" si="16"/>
        <v>12367.277976331043</v>
      </c>
    </row>
    <row r="49" spans="1:21" s="100" customFormat="1">
      <c r="A49" s="47" t="s">
        <v>143</v>
      </c>
      <c r="B49" s="47" t="s">
        <v>93</v>
      </c>
      <c r="C49" s="47"/>
      <c r="D49" s="47"/>
      <c r="E49" s="47"/>
      <c r="F49" s="48">
        <f>F46*F6/1000</f>
        <v>0</v>
      </c>
      <c r="G49" s="48">
        <f t="shared" ref="G49:U49" si="17">G46*G6/1000</f>
        <v>319.82146377187496</v>
      </c>
      <c r="H49" s="48">
        <f t="shared" si="17"/>
        <v>648.42066603536</v>
      </c>
      <c r="I49" s="48">
        <f t="shared" si="17"/>
        <v>986.00871397924425</v>
      </c>
      <c r="J49" s="48">
        <f t="shared" si="17"/>
        <v>1331.8369852122073</v>
      </c>
      <c r="K49" s="48">
        <f t="shared" si="17"/>
        <v>1686.569734321841</v>
      </c>
      <c r="L49" s="48">
        <f t="shared" si="17"/>
        <v>2050.4085799840318</v>
      </c>
      <c r="M49" s="48">
        <f t="shared" si="17"/>
        <v>2423.5596380591955</v>
      </c>
      <c r="N49" s="48">
        <f t="shared" si="17"/>
        <v>2804.1858837381828</v>
      </c>
      <c r="O49" s="48">
        <f t="shared" si="17"/>
        <v>3193.9751807335524</v>
      </c>
      <c r="P49" s="48">
        <f t="shared" si="17"/>
        <v>3233.8126546831331</v>
      </c>
      <c r="Q49" s="48">
        <f t="shared" si="17"/>
        <v>3274.23092606206</v>
      </c>
      <c r="R49" s="48">
        <f t="shared" si="17"/>
        <v>3315.239546775374</v>
      </c>
      <c r="S49" s="48">
        <f t="shared" si="17"/>
        <v>3356.848238738794</v>
      </c>
      <c r="T49" s="86">
        <f t="shared" si="17"/>
        <v>3399.0668970519419</v>
      </c>
      <c r="U49" s="48">
        <f t="shared" si="17"/>
        <v>3441.9055932324732</v>
      </c>
    </row>
    <row r="50" spans="1:21"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</row>
    <row r="51" spans="1:21" s="99" customFormat="1" ht="15.75">
      <c r="A51" s="97" t="s">
        <v>144</v>
      </c>
      <c r="B51" s="67" t="s">
        <v>93</v>
      </c>
      <c r="C51" s="109"/>
      <c r="D51" s="109"/>
      <c r="E51" s="109"/>
      <c r="F51" s="51">
        <f>SUM(F48:F49)</f>
        <v>0</v>
      </c>
      <c r="G51" s="107">
        <f t="shared" ref="G51:U51" si="18">SUM(G48:G49)</f>
        <v>1640.8873146761716</v>
      </c>
      <c r="H51" s="51">
        <f t="shared" si="18"/>
        <v>3322.0070243983218</v>
      </c>
      <c r="I51" s="51">
        <f t="shared" si="18"/>
        <v>5044.2515337807054</v>
      </c>
      <c r="J51" s="51">
        <f t="shared" si="18"/>
        <v>6804.6209480393536</v>
      </c>
      <c r="K51" s="51">
        <f t="shared" si="18"/>
        <v>8605.8452994680192</v>
      </c>
      <c r="L51" s="51">
        <f t="shared" si="18"/>
        <v>10448.778289122669</v>
      </c>
      <c r="M51" s="51">
        <f t="shared" si="18"/>
        <v>12334.291759086766</v>
      </c>
      <c r="N51" s="51">
        <f t="shared" si="18"/>
        <v>14254.971371062818</v>
      </c>
      <c r="O51" s="51">
        <f t="shared" si="18"/>
        <v>14770.617727080873</v>
      </c>
      <c r="P51" s="51">
        <f t="shared" si="18"/>
        <v>14937.959631607655</v>
      </c>
      <c r="Q51" s="51">
        <f t="shared" si="18"/>
        <v>15107.554933526793</v>
      </c>
      <c r="R51" s="51">
        <f t="shared" si="18"/>
        <v>15279.438844919858</v>
      </c>
      <c r="S51" s="51">
        <f t="shared" si="18"/>
        <v>15453.647187550445</v>
      </c>
      <c r="T51" s="87">
        <f t="shared" si="18"/>
        <v>15630.216404090968</v>
      </c>
      <c r="U51" s="51">
        <f t="shared" si="18"/>
        <v>15809.183569563516</v>
      </c>
    </row>
    <row r="53" spans="1:21">
      <c r="A53" s="2" t="s">
        <v>145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s="100" customFormat="1">
      <c r="A54" s="29" t="s">
        <v>146</v>
      </c>
      <c r="B54" s="29" t="s">
        <v>93</v>
      </c>
      <c r="C54" s="29"/>
      <c r="D54" s="29"/>
      <c r="E54" s="29"/>
      <c r="F54" s="52">
        <f>Допущения!F50</f>
        <v>305.25</v>
      </c>
      <c r="G54" s="52">
        <f>Допущения!G50</f>
        <v>310.59187500000002</v>
      </c>
      <c r="H54" s="52">
        <f>Допущения!H50</f>
        <v>316.02723281250002</v>
      </c>
      <c r="I54" s="52">
        <f>Допущения!I50</f>
        <v>321.55770938671878</v>
      </c>
      <c r="J54" s="52">
        <f>Допущения!J50</f>
        <v>326.38107502751956</v>
      </c>
      <c r="K54" s="52">
        <f>Допущения!K50</f>
        <v>331.27679115293233</v>
      </c>
      <c r="L54" s="52">
        <f>Допущения!L50</f>
        <v>336.24594302022626</v>
      </c>
      <c r="M54" s="52">
        <f>Допущения!M50</f>
        <v>341.28963216552961</v>
      </c>
      <c r="N54" s="52">
        <f>Допущения!N50</f>
        <v>345.55575256759869</v>
      </c>
      <c r="O54" s="52">
        <f>Допущения!O50</f>
        <v>349.87519947469366</v>
      </c>
      <c r="P54" s="52">
        <f>Допущения!P50</f>
        <v>354.24863946812729</v>
      </c>
      <c r="Q54" s="52">
        <f>Допущения!Q50</f>
        <v>358.6767474614789</v>
      </c>
      <c r="R54" s="52">
        <f>Допущения!R50</f>
        <v>363.16020680474736</v>
      </c>
      <c r="S54" s="52">
        <f>Допущения!S50</f>
        <v>367.69970938980669</v>
      </c>
      <c r="T54" s="88">
        <f>Допущения!T50</f>
        <v>372.29595575717923</v>
      </c>
      <c r="U54" s="52">
        <f>Допущения!U50</f>
        <v>376.94965520414394</v>
      </c>
    </row>
    <row r="55" spans="1:21">
      <c r="A55" t="s">
        <v>148</v>
      </c>
      <c r="B55" t="s">
        <v>128</v>
      </c>
      <c r="F55" s="39">
        <f>Допущения!F53</f>
        <v>5</v>
      </c>
      <c r="G55" s="39">
        <f>Допущения!G53</f>
        <v>5</v>
      </c>
      <c r="H55" s="39">
        <f>Допущения!H53</f>
        <v>5</v>
      </c>
      <c r="I55" s="39">
        <f>Допущения!I53</f>
        <v>5</v>
      </c>
      <c r="J55" s="39">
        <f>Допущения!J53</f>
        <v>6</v>
      </c>
      <c r="K55" s="39">
        <f>Допущения!K53</f>
        <v>6</v>
      </c>
      <c r="L55" s="39">
        <f>Допущения!L53</f>
        <v>6</v>
      </c>
      <c r="M55" s="39">
        <f>Допущения!M53</f>
        <v>6</v>
      </c>
      <c r="N55" s="39">
        <f>Допущения!N53</f>
        <v>7</v>
      </c>
      <c r="O55" s="39">
        <f>Допущения!O53</f>
        <v>7</v>
      </c>
      <c r="P55" s="39">
        <f>Допущения!P53</f>
        <v>7</v>
      </c>
      <c r="Q55" s="39">
        <f>Допущения!Q53</f>
        <v>7</v>
      </c>
      <c r="R55" s="39">
        <f>Допущения!R53</f>
        <v>8</v>
      </c>
      <c r="S55" s="39">
        <f>Допущения!S53</f>
        <v>8</v>
      </c>
      <c r="T55" s="79">
        <f>Допущения!T53</f>
        <v>8</v>
      </c>
      <c r="U55" s="39">
        <f>Допущения!U53</f>
        <v>8</v>
      </c>
    </row>
    <row r="56" spans="1:21">
      <c r="A56" t="s">
        <v>149</v>
      </c>
      <c r="B56" t="s">
        <v>151</v>
      </c>
      <c r="F56" s="39">
        <f>Допущения!F52</f>
        <v>367.2</v>
      </c>
      <c r="G56" s="39">
        <f>Допущения!G52</f>
        <v>374.54399999999998</v>
      </c>
      <c r="H56" s="39">
        <f>Допущения!H52</f>
        <v>382.03487999999999</v>
      </c>
      <c r="I56" s="39">
        <f>Допущения!I52</f>
        <v>389.6755776</v>
      </c>
      <c r="J56" s="39">
        <f>Допущения!J52</f>
        <v>397.46908915199998</v>
      </c>
      <c r="K56" s="39">
        <f>Допущения!K52</f>
        <v>405.41847093503998</v>
      </c>
      <c r="L56" s="39">
        <f>Допущения!L52</f>
        <v>413.52684035374079</v>
      </c>
      <c r="M56" s="39">
        <f>Допущения!M52</f>
        <v>421.79737716081564</v>
      </c>
      <c r="N56" s="39">
        <f>Допущения!N52</f>
        <v>430.23332470403199</v>
      </c>
      <c r="O56" s="39">
        <f>Допущения!O52</f>
        <v>438.83799119811266</v>
      </c>
      <c r="P56" s="39">
        <f>Допущения!P52</f>
        <v>447.61475102207493</v>
      </c>
      <c r="Q56" s="39">
        <f>Допущения!Q52</f>
        <v>456.56704604251644</v>
      </c>
      <c r="R56" s="39">
        <f>Допущения!R52</f>
        <v>465.69838696336677</v>
      </c>
      <c r="S56" s="39">
        <f>Допущения!S52</f>
        <v>475.01235470263413</v>
      </c>
      <c r="T56" s="79">
        <f>Допущения!T52</f>
        <v>484.51260179668679</v>
      </c>
      <c r="U56" s="39">
        <f>Допущения!U52</f>
        <v>494.20285383262052</v>
      </c>
    </row>
    <row r="57" spans="1:21" s="100" customFormat="1">
      <c r="A57" s="29" t="s">
        <v>147</v>
      </c>
      <c r="B57" s="29" t="s">
        <v>93</v>
      </c>
      <c r="C57" s="29"/>
      <c r="D57" s="29"/>
      <c r="E57" s="29"/>
      <c r="F57" s="42">
        <f>F55*F56</f>
        <v>1836</v>
      </c>
      <c r="G57" s="42">
        <f t="shared" ref="G57:U57" si="19">G55*G56</f>
        <v>1872.7199999999998</v>
      </c>
      <c r="H57" s="42">
        <f t="shared" si="19"/>
        <v>1910.1743999999999</v>
      </c>
      <c r="I57" s="42">
        <f t="shared" si="19"/>
        <v>1948.377888</v>
      </c>
      <c r="J57" s="42">
        <f t="shared" si="19"/>
        <v>2384.814534912</v>
      </c>
      <c r="K57" s="42">
        <f t="shared" si="19"/>
        <v>2432.5108256102399</v>
      </c>
      <c r="L57" s="42">
        <f t="shared" si="19"/>
        <v>2481.161042122445</v>
      </c>
      <c r="M57" s="42">
        <f t="shared" si="19"/>
        <v>2530.784262964894</v>
      </c>
      <c r="N57" s="42">
        <f t="shared" si="19"/>
        <v>3011.633272928224</v>
      </c>
      <c r="O57" s="42">
        <f t="shared" si="19"/>
        <v>3071.8659383867885</v>
      </c>
      <c r="P57" s="42">
        <f t="shared" si="19"/>
        <v>3133.3032571545245</v>
      </c>
      <c r="Q57" s="42">
        <f t="shared" si="19"/>
        <v>3195.9693222976152</v>
      </c>
      <c r="R57" s="42">
        <f t="shared" si="19"/>
        <v>3725.5870957069342</v>
      </c>
      <c r="S57" s="42">
        <f t="shared" si="19"/>
        <v>3800.098837621073</v>
      </c>
      <c r="T57" s="81">
        <f t="shared" si="19"/>
        <v>3876.1008143734944</v>
      </c>
      <c r="U57" s="42">
        <f t="shared" si="19"/>
        <v>3953.6228306609642</v>
      </c>
    </row>
    <row r="58" spans="1:21" s="100" customFormat="1">
      <c r="A58" s="29" t="s">
        <v>62</v>
      </c>
      <c r="B58" s="29" t="s">
        <v>93</v>
      </c>
      <c r="C58" s="29"/>
      <c r="D58" s="29"/>
      <c r="E58" s="29"/>
      <c r="F58" s="52">
        <f>(F54+F57)*Допущения!$E$55</f>
        <v>107.0625</v>
      </c>
      <c r="G58" s="52">
        <f>(G54+G57)*Допущения!$E$55</f>
        <v>109.16559375</v>
      </c>
      <c r="H58" s="52">
        <f>(H54+H57)*Допущения!$E$55</f>
        <v>111.31008164062501</v>
      </c>
      <c r="I58" s="52">
        <f>(I54+I57)*Допущения!$E$55</f>
        <v>113.49677986933594</v>
      </c>
      <c r="J58" s="52">
        <f>(J54+J57)*Допущения!$E$55</f>
        <v>135.559780496976</v>
      </c>
      <c r="K58" s="52">
        <f>(K54+K57)*Допущения!$E$55</f>
        <v>138.1893808381586</v>
      </c>
      <c r="L58" s="52">
        <f>(L54+L57)*Допущения!$E$55</f>
        <v>140.87034925713357</v>
      </c>
      <c r="M58" s="52">
        <f>(M54+M57)*Допущения!$E$55</f>
        <v>143.60369475652121</v>
      </c>
      <c r="N58" s="52">
        <f>(N54+N57)*Допущения!$E$55</f>
        <v>167.85945127479113</v>
      </c>
      <c r="O58" s="52">
        <f>(O54+O57)*Допущения!$E$55</f>
        <v>171.08705689307411</v>
      </c>
      <c r="P58" s="52">
        <f>(P54+P57)*Допущения!$E$55</f>
        <v>174.3775948311326</v>
      </c>
      <c r="Q58" s="52">
        <f>(Q54+Q57)*Допущения!$E$55</f>
        <v>177.73230348795471</v>
      </c>
      <c r="R58" s="52">
        <f>(R54+R57)*Допущения!$E$55</f>
        <v>204.43736512558408</v>
      </c>
      <c r="S58" s="52">
        <f>(S54+S57)*Допущения!$E$55</f>
        <v>208.38992735054399</v>
      </c>
      <c r="T58" s="52">
        <f>(T54+T57)*Допущения!$E$55</f>
        <v>212.41983850653369</v>
      </c>
      <c r="U58" s="52">
        <f>(U54+U57)*Допущения!$E$55</f>
        <v>216.52862429325543</v>
      </c>
    </row>
    <row r="60" spans="1:21" s="99" customFormat="1" ht="15.75">
      <c r="A60" s="97" t="s">
        <v>150</v>
      </c>
      <c r="B60" s="67" t="s">
        <v>93</v>
      </c>
      <c r="C60" s="109"/>
      <c r="D60" s="109"/>
      <c r="E60" s="109"/>
      <c r="F60" s="51">
        <f>F54+F57+F58</f>
        <v>2248.3125</v>
      </c>
      <c r="G60" s="51">
        <f t="shared" ref="G60:U60" si="20">G54+G57+G58</f>
        <v>2292.4774687499998</v>
      </c>
      <c r="H60" s="51">
        <f t="shared" si="20"/>
        <v>2337.511714453125</v>
      </c>
      <c r="I60" s="51">
        <f t="shared" si="20"/>
        <v>2383.4323772560547</v>
      </c>
      <c r="J60" s="51">
        <f t="shared" si="20"/>
        <v>2846.7553904364959</v>
      </c>
      <c r="K60" s="51">
        <f t="shared" si="20"/>
        <v>2901.9769976013308</v>
      </c>
      <c r="L60" s="51">
        <f t="shared" si="20"/>
        <v>2958.2773343998047</v>
      </c>
      <c r="M60" s="51">
        <f t="shared" si="20"/>
        <v>3015.677589886945</v>
      </c>
      <c r="N60" s="51">
        <f t="shared" si="20"/>
        <v>3525.0484767706139</v>
      </c>
      <c r="O60" s="51">
        <f t="shared" si="20"/>
        <v>3592.8281947545561</v>
      </c>
      <c r="P60" s="51">
        <f t="shared" si="20"/>
        <v>3661.9294914537845</v>
      </c>
      <c r="Q60" s="51">
        <f t="shared" si="20"/>
        <v>3732.3783732470488</v>
      </c>
      <c r="R60" s="51">
        <f t="shared" si="20"/>
        <v>4293.1846676372652</v>
      </c>
      <c r="S60" s="51">
        <f t="shared" si="20"/>
        <v>4376.1884743614237</v>
      </c>
      <c r="T60" s="51">
        <f t="shared" si="20"/>
        <v>4460.8166086372075</v>
      </c>
      <c r="U60" s="51">
        <f t="shared" si="20"/>
        <v>4547.1011101583636</v>
      </c>
    </row>
    <row r="62" spans="1:21">
      <c r="A62" s="2" t="s">
        <v>152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s="100" customFormat="1">
      <c r="A63" s="47" t="s">
        <v>153</v>
      </c>
      <c r="B63" s="47" t="s">
        <v>93</v>
      </c>
      <c r="C63" s="47"/>
      <c r="D63" s="47"/>
      <c r="E63" s="47"/>
      <c r="F63" s="48">
        <f>SUM(F64)</f>
        <v>0</v>
      </c>
      <c r="G63" s="48">
        <f t="shared" ref="G63:U63" si="21">SUM(G64)</f>
        <v>799.37663215429677</v>
      </c>
      <c r="H63" s="48">
        <f t="shared" si="21"/>
        <v>1610.7638982067115</v>
      </c>
      <c r="I63" s="48">
        <f t="shared" si="21"/>
        <v>2434.297142987984</v>
      </c>
      <c r="J63" s="48">
        <f t="shared" si="21"/>
        <v>3270.1130670329071</v>
      </c>
      <c r="K63" s="48">
        <f t="shared" si="21"/>
        <v>4118.3497393112384</v>
      </c>
      <c r="L63" s="48">
        <f t="shared" si="21"/>
        <v>4979.1466100733751</v>
      </c>
      <c r="M63" s="48">
        <f t="shared" si="21"/>
        <v>5852.6445238118085</v>
      </c>
      <c r="N63" s="48">
        <f t="shared" si="21"/>
        <v>6738.9857323393653</v>
      </c>
      <c r="O63" s="48">
        <f t="shared" si="21"/>
        <v>6789.6123626535637</v>
      </c>
      <c r="P63" s="48">
        <f t="shared" si="21"/>
        <v>6840.6193255279968</v>
      </c>
      <c r="Q63" s="48">
        <f t="shared" si="21"/>
        <v>6892.0094782110245</v>
      </c>
      <c r="R63" s="48">
        <f t="shared" si="21"/>
        <v>6943.7856994160848</v>
      </c>
      <c r="S63" s="48">
        <f t="shared" si="21"/>
        <v>6995.9508894829469</v>
      </c>
      <c r="T63" s="86">
        <f t="shared" si="21"/>
        <v>7048.5079705401868</v>
      </c>
      <c r="U63" s="48">
        <f t="shared" si="21"/>
        <v>7101.4598866688684</v>
      </c>
    </row>
    <row r="64" spans="1:21">
      <c r="A64" t="s">
        <v>154</v>
      </c>
      <c r="B64" t="s">
        <v>93</v>
      </c>
      <c r="F64" s="18">
        <f>F20*F5/1000</f>
        <v>0</v>
      </c>
      <c r="G64" s="18">
        <f t="shared" ref="G64:U64" si="22">G20*G5/1000</f>
        <v>799.37663215429677</v>
      </c>
      <c r="H64" s="18">
        <f t="shared" si="22"/>
        <v>1610.7638982067115</v>
      </c>
      <c r="I64" s="18">
        <f t="shared" si="22"/>
        <v>2434.297142987984</v>
      </c>
      <c r="J64" s="18">
        <f t="shared" si="22"/>
        <v>3270.1130670329071</v>
      </c>
      <c r="K64" s="18">
        <f t="shared" si="22"/>
        <v>4118.3497393112384</v>
      </c>
      <c r="L64" s="18">
        <f t="shared" si="22"/>
        <v>4979.1466100733751</v>
      </c>
      <c r="M64" s="18">
        <f t="shared" si="22"/>
        <v>5852.6445238118085</v>
      </c>
      <c r="N64" s="18">
        <f t="shared" si="22"/>
        <v>6738.9857323393653</v>
      </c>
      <c r="O64" s="18">
        <f t="shared" si="22"/>
        <v>6789.6123626535637</v>
      </c>
      <c r="P64" s="18">
        <f t="shared" si="22"/>
        <v>6840.6193255279968</v>
      </c>
      <c r="Q64" s="18">
        <f t="shared" si="22"/>
        <v>6892.0094782110245</v>
      </c>
      <c r="R64" s="18">
        <f t="shared" si="22"/>
        <v>6943.7856994160848</v>
      </c>
      <c r="S64" s="18">
        <f t="shared" si="22"/>
        <v>6995.9508894829469</v>
      </c>
      <c r="T64" s="80">
        <f t="shared" si="22"/>
        <v>7048.5079705401868</v>
      </c>
      <c r="U64" s="18">
        <f t="shared" si="22"/>
        <v>7101.4598866688684</v>
      </c>
    </row>
    <row r="66" spans="1:21" s="100" customFormat="1">
      <c r="A66" s="47" t="s">
        <v>155</v>
      </c>
      <c r="B66" s="47" t="s">
        <v>93</v>
      </c>
      <c r="C66" s="47"/>
      <c r="D66" s="47"/>
      <c r="E66" s="47"/>
      <c r="F66" s="48">
        <f>SUM(F67)</f>
        <v>0</v>
      </c>
      <c r="G66" s="48">
        <f t="shared" ref="G66:U66" si="23">SUM(G67)</f>
        <v>142.111401271875</v>
      </c>
      <c r="H66" s="48">
        <f t="shared" si="23"/>
        <v>286.35802634785983</v>
      </c>
      <c r="I66" s="48">
        <f t="shared" si="23"/>
        <v>432.76393653119709</v>
      </c>
      <c r="J66" s="48">
        <f t="shared" si="23"/>
        <v>581.35343413918349</v>
      </c>
      <c r="K66" s="48">
        <f t="shared" si="23"/>
        <v>732.15106476644257</v>
      </c>
      <c r="L66" s="48">
        <f t="shared" si="23"/>
        <v>885.18161956860047</v>
      </c>
      <c r="M66" s="48">
        <f t="shared" si="23"/>
        <v>1040.4701375665443</v>
      </c>
      <c r="N66" s="48">
        <f t="shared" si="23"/>
        <v>1198.0419079714434</v>
      </c>
      <c r="O66" s="48">
        <f t="shared" si="23"/>
        <v>1357.9224725307133</v>
      </c>
      <c r="P66" s="48">
        <f t="shared" si="23"/>
        <v>1368.1238651056001</v>
      </c>
      <c r="Q66" s="48">
        <f t="shared" si="23"/>
        <v>1378.4018956422053</v>
      </c>
      <c r="R66" s="48">
        <f t="shared" si="23"/>
        <v>1388.7571398832174</v>
      </c>
      <c r="S66" s="48">
        <f t="shared" si="23"/>
        <v>1399.1901778965901</v>
      </c>
      <c r="T66" s="86">
        <f t="shared" si="23"/>
        <v>1409.7015941080376</v>
      </c>
      <c r="U66" s="48">
        <f t="shared" si="23"/>
        <v>1420.2919773337742</v>
      </c>
    </row>
    <row r="67" spans="1:21">
      <c r="A67" t="s">
        <v>154</v>
      </c>
      <c r="B67" t="s">
        <v>93</v>
      </c>
      <c r="F67" s="18">
        <f>F35*F6/1000</f>
        <v>0</v>
      </c>
      <c r="G67" s="18">
        <f t="shared" ref="G67:U67" si="24">G35*G6/1000</f>
        <v>142.111401271875</v>
      </c>
      <c r="H67" s="18">
        <f t="shared" si="24"/>
        <v>286.35802634785983</v>
      </c>
      <c r="I67" s="18">
        <f t="shared" si="24"/>
        <v>432.76393653119709</v>
      </c>
      <c r="J67" s="18">
        <f t="shared" si="24"/>
        <v>581.35343413918349</v>
      </c>
      <c r="K67" s="18">
        <f t="shared" si="24"/>
        <v>732.15106476644257</v>
      </c>
      <c r="L67" s="18">
        <f t="shared" si="24"/>
        <v>885.18161956860047</v>
      </c>
      <c r="M67" s="18">
        <f t="shared" si="24"/>
        <v>1040.4701375665443</v>
      </c>
      <c r="N67" s="18">
        <f t="shared" si="24"/>
        <v>1198.0419079714434</v>
      </c>
      <c r="O67" s="18">
        <f t="shared" si="24"/>
        <v>1357.9224725307133</v>
      </c>
      <c r="P67" s="18">
        <f t="shared" si="24"/>
        <v>1368.1238651056001</v>
      </c>
      <c r="Q67" s="18">
        <f t="shared" si="24"/>
        <v>1378.4018956422053</v>
      </c>
      <c r="R67" s="18">
        <f t="shared" si="24"/>
        <v>1388.7571398832174</v>
      </c>
      <c r="S67" s="18">
        <f t="shared" si="24"/>
        <v>1399.1901778965901</v>
      </c>
      <c r="T67" s="80">
        <f t="shared" si="24"/>
        <v>1409.7015941080376</v>
      </c>
      <c r="U67" s="18">
        <f t="shared" si="24"/>
        <v>1420.2919773337742</v>
      </c>
    </row>
    <row r="69" spans="1:21" s="100" customFormat="1">
      <c r="A69" s="47" t="s">
        <v>156</v>
      </c>
      <c r="B69" s="47" t="s">
        <v>93</v>
      </c>
      <c r="C69" s="47"/>
      <c r="D69" s="47"/>
      <c r="E69" s="47"/>
      <c r="F69" s="48">
        <f>F63+F66</f>
        <v>0</v>
      </c>
      <c r="G69" s="48">
        <f t="shared" ref="G69:U69" si="25">G63+G66</f>
        <v>941.4880334261718</v>
      </c>
      <c r="H69" s="48">
        <f t="shared" si="25"/>
        <v>1897.1219245545713</v>
      </c>
      <c r="I69" s="48">
        <f t="shared" si="25"/>
        <v>2867.061079519181</v>
      </c>
      <c r="J69" s="48">
        <f t="shared" si="25"/>
        <v>3851.4665011720908</v>
      </c>
      <c r="K69" s="48">
        <f t="shared" si="25"/>
        <v>4850.5008040776811</v>
      </c>
      <c r="L69" s="48">
        <f t="shared" si="25"/>
        <v>5864.3282296419757</v>
      </c>
      <c r="M69" s="48">
        <f t="shared" si="25"/>
        <v>6893.114661378353</v>
      </c>
      <c r="N69" s="48">
        <f t="shared" si="25"/>
        <v>7937.0276403108091</v>
      </c>
      <c r="O69" s="48">
        <f t="shared" si="25"/>
        <v>8147.5348351842767</v>
      </c>
      <c r="P69" s="48">
        <f t="shared" si="25"/>
        <v>8208.7431906335969</v>
      </c>
      <c r="Q69" s="48">
        <f t="shared" si="25"/>
        <v>8270.4113738532305</v>
      </c>
      <c r="R69" s="48">
        <f t="shared" si="25"/>
        <v>8332.5428392993017</v>
      </c>
      <c r="S69" s="48">
        <f t="shared" si="25"/>
        <v>8395.1410673795363</v>
      </c>
      <c r="T69" s="86">
        <f t="shared" si="25"/>
        <v>8458.2095646482248</v>
      </c>
      <c r="U69" s="48">
        <f t="shared" si="25"/>
        <v>8521.7518640026428</v>
      </c>
    </row>
    <row r="71" spans="1:21">
      <c r="A71" t="s">
        <v>157</v>
      </c>
      <c r="B71" t="s">
        <v>159</v>
      </c>
      <c r="F71" s="41">
        <f>Допущения!F67</f>
        <v>5</v>
      </c>
      <c r="G71" s="41">
        <f>Допущения!G67</f>
        <v>5</v>
      </c>
      <c r="H71" s="41">
        <f>Допущения!H67</f>
        <v>5</v>
      </c>
      <c r="I71" s="41">
        <f>Допущения!I67</f>
        <v>5</v>
      </c>
      <c r="J71" s="41">
        <f>Допущения!J67</f>
        <v>5</v>
      </c>
      <c r="K71" s="41">
        <f>Допущения!K67</f>
        <v>5</v>
      </c>
      <c r="L71" s="41">
        <f>Допущения!L67</f>
        <v>5</v>
      </c>
      <c r="M71" s="41">
        <f>Допущения!M67</f>
        <v>5</v>
      </c>
      <c r="N71" s="41">
        <f>Допущения!N67</f>
        <v>5</v>
      </c>
      <c r="O71" s="41">
        <f>Допущения!O67</f>
        <v>5</v>
      </c>
      <c r="P71" s="41">
        <f>Допущения!P67</f>
        <v>5</v>
      </c>
      <c r="Q71" s="41">
        <f>Допущения!Q67</f>
        <v>5</v>
      </c>
      <c r="R71" s="41">
        <f>Допущения!R67</f>
        <v>5</v>
      </c>
      <c r="S71" s="41">
        <f>Допущения!S67</f>
        <v>5</v>
      </c>
      <c r="T71" s="58">
        <f>Допущения!T67</f>
        <v>5</v>
      </c>
      <c r="U71" s="41">
        <f>Допущения!U67</f>
        <v>5</v>
      </c>
    </row>
    <row r="72" spans="1:21">
      <c r="A72" t="s">
        <v>158</v>
      </c>
      <c r="B72" t="s">
        <v>159</v>
      </c>
      <c r="F72" s="41">
        <f>Допущения!F66</f>
        <v>7</v>
      </c>
      <c r="G72" s="41">
        <f>Допущения!G66</f>
        <v>7</v>
      </c>
      <c r="H72" s="41">
        <f>Допущения!H66</f>
        <v>7</v>
      </c>
      <c r="I72" s="41">
        <f>Допущения!I66</f>
        <v>7</v>
      </c>
      <c r="J72" s="41">
        <f>Допущения!J66</f>
        <v>7</v>
      </c>
      <c r="K72" s="41">
        <f>Допущения!K66</f>
        <v>7</v>
      </c>
      <c r="L72" s="41">
        <f>Допущения!L66</f>
        <v>7</v>
      </c>
      <c r="M72" s="41">
        <f>Допущения!M66</f>
        <v>7</v>
      </c>
      <c r="N72" s="41">
        <f>Допущения!N66</f>
        <v>7</v>
      </c>
      <c r="O72" s="41">
        <f>Допущения!O66</f>
        <v>7</v>
      </c>
      <c r="P72" s="41">
        <f>Допущения!P66</f>
        <v>7</v>
      </c>
      <c r="Q72" s="41">
        <f>Допущения!Q66</f>
        <v>7</v>
      </c>
      <c r="R72" s="41">
        <f>Допущения!R66</f>
        <v>7</v>
      </c>
      <c r="S72" s="41">
        <f>Допущения!S66</f>
        <v>7</v>
      </c>
      <c r="T72" s="58">
        <f>Допущения!T66</f>
        <v>7</v>
      </c>
      <c r="U72" s="41">
        <f>Допущения!U66</f>
        <v>7</v>
      </c>
    </row>
    <row r="73" spans="1:21">
      <c r="A73" t="s">
        <v>67</v>
      </c>
      <c r="B73" t="s">
        <v>159</v>
      </c>
      <c r="F73" s="41">
        <f>Допущения!F68</f>
        <v>15</v>
      </c>
      <c r="G73" s="41">
        <f>Допущения!G68</f>
        <v>15</v>
      </c>
      <c r="H73" s="41">
        <f>Допущения!H68</f>
        <v>15</v>
      </c>
      <c r="I73" s="41">
        <f>Допущения!I68</f>
        <v>15</v>
      </c>
      <c r="J73" s="41">
        <f>Допущения!J68</f>
        <v>15</v>
      </c>
      <c r="K73" s="41">
        <f>Допущения!K68</f>
        <v>15</v>
      </c>
      <c r="L73" s="41">
        <f>Допущения!L68</f>
        <v>15</v>
      </c>
      <c r="M73" s="41">
        <f>Допущения!M68</f>
        <v>15</v>
      </c>
      <c r="N73" s="41">
        <f>Допущения!N68</f>
        <v>15</v>
      </c>
      <c r="O73" s="41">
        <f>Допущения!O68</f>
        <v>15</v>
      </c>
      <c r="P73" s="41">
        <f>Допущения!P68</f>
        <v>15</v>
      </c>
      <c r="Q73" s="41">
        <f>Допущения!Q68</f>
        <v>15</v>
      </c>
      <c r="R73" s="41">
        <f>Допущения!R68</f>
        <v>15</v>
      </c>
      <c r="S73" s="41">
        <f>Допущения!S68</f>
        <v>15</v>
      </c>
      <c r="T73" s="58">
        <f>Допущения!T68</f>
        <v>15</v>
      </c>
      <c r="U73" s="41">
        <f>Допущения!U68</f>
        <v>15</v>
      </c>
    </row>
    <row r="75" spans="1:21" s="99" customFormat="1" ht="15.75">
      <c r="A75" s="101" t="s">
        <v>160</v>
      </c>
      <c r="B75" s="75" t="s">
        <v>93</v>
      </c>
      <c r="C75" s="110"/>
      <c r="D75" s="110"/>
      <c r="E75" s="126">
        <f>Допущения!C101</f>
        <v>0</v>
      </c>
      <c r="F75" s="54">
        <f>F71/90*F69</f>
        <v>0</v>
      </c>
      <c r="G75" s="106">
        <f t="shared" ref="G75:U75" si="26">G71/90*G69</f>
        <v>52.304890745898433</v>
      </c>
      <c r="H75" s="54">
        <f t="shared" si="26"/>
        <v>105.39566247525396</v>
      </c>
      <c r="I75" s="54">
        <f t="shared" si="26"/>
        <v>159.28117108439895</v>
      </c>
      <c r="J75" s="54">
        <f t="shared" si="26"/>
        <v>213.97036117622724</v>
      </c>
      <c r="K75" s="54">
        <f t="shared" si="26"/>
        <v>269.47226689320451</v>
      </c>
      <c r="L75" s="54">
        <f t="shared" si="26"/>
        <v>325.79601275788752</v>
      </c>
      <c r="M75" s="54">
        <f t="shared" si="26"/>
        <v>382.95081452101959</v>
      </c>
      <c r="N75" s="54">
        <f t="shared" si="26"/>
        <v>440.94598001726717</v>
      </c>
      <c r="O75" s="54">
        <f t="shared" si="26"/>
        <v>452.64082417690423</v>
      </c>
      <c r="P75" s="54">
        <f t="shared" si="26"/>
        <v>456.04128836853312</v>
      </c>
      <c r="Q75" s="54">
        <f t="shared" si="26"/>
        <v>459.4672985474017</v>
      </c>
      <c r="R75" s="54">
        <f t="shared" si="26"/>
        <v>462.91904662773896</v>
      </c>
      <c r="S75" s="54">
        <f t="shared" si="26"/>
        <v>466.39672596552975</v>
      </c>
      <c r="T75" s="89">
        <f t="shared" si="26"/>
        <v>469.9005313693458</v>
      </c>
      <c r="U75" s="54">
        <f t="shared" si="26"/>
        <v>473.43065911125791</v>
      </c>
    </row>
    <row r="76" spans="1:21" s="99" customFormat="1" ht="15.75">
      <c r="A76" s="101" t="s">
        <v>161</v>
      </c>
      <c r="B76" s="75" t="s">
        <v>93</v>
      </c>
      <c r="C76" s="110"/>
      <c r="D76" s="110"/>
      <c r="E76" s="126">
        <f>Допущения!C93</f>
        <v>0</v>
      </c>
      <c r="F76" s="54">
        <f>F72/90*F69</f>
        <v>0</v>
      </c>
      <c r="G76" s="106">
        <f t="shared" ref="G76:U76" si="27">G72/90*G69</f>
        <v>73.226847044257809</v>
      </c>
      <c r="H76" s="54">
        <f t="shared" si="27"/>
        <v>147.55392746535554</v>
      </c>
      <c r="I76" s="54">
        <f t="shared" si="27"/>
        <v>222.99363951815852</v>
      </c>
      <c r="J76" s="54">
        <f t="shared" si="27"/>
        <v>299.55850564671817</v>
      </c>
      <c r="K76" s="54">
        <f t="shared" si="27"/>
        <v>377.26117365048634</v>
      </c>
      <c r="L76" s="54">
        <f t="shared" si="27"/>
        <v>456.11441786104257</v>
      </c>
      <c r="M76" s="54">
        <f t="shared" si="27"/>
        <v>536.13114032942747</v>
      </c>
      <c r="N76" s="54">
        <f t="shared" si="27"/>
        <v>617.32437202417407</v>
      </c>
      <c r="O76" s="54">
        <f t="shared" si="27"/>
        <v>633.69715384766596</v>
      </c>
      <c r="P76" s="54">
        <f t="shared" si="27"/>
        <v>638.4578037159464</v>
      </c>
      <c r="Q76" s="54">
        <f t="shared" si="27"/>
        <v>643.25421796636238</v>
      </c>
      <c r="R76" s="54">
        <f t="shared" si="27"/>
        <v>648.08666527883463</v>
      </c>
      <c r="S76" s="54">
        <f t="shared" si="27"/>
        <v>652.95541635174175</v>
      </c>
      <c r="T76" s="89">
        <f t="shared" si="27"/>
        <v>657.86074391708416</v>
      </c>
      <c r="U76" s="54">
        <f t="shared" si="27"/>
        <v>662.80292275576107</v>
      </c>
    </row>
    <row r="77" spans="1:21" s="99" customFormat="1" ht="15.75">
      <c r="A77" s="101" t="s">
        <v>89</v>
      </c>
      <c r="B77" s="75" t="s">
        <v>93</v>
      </c>
      <c r="C77" s="110"/>
      <c r="D77" s="110"/>
      <c r="E77" s="126">
        <f>Допущения!C94</f>
        <v>150</v>
      </c>
      <c r="F77" s="57">
        <f>Допущения!C94</f>
        <v>150</v>
      </c>
      <c r="G77" s="106">
        <f>G73/90*G69</f>
        <v>156.9146722376953</v>
      </c>
      <c r="H77" s="54">
        <f t="shared" ref="H77:U77" si="28">H73/90*H69</f>
        <v>316.18698742576186</v>
      </c>
      <c r="I77" s="54">
        <f t="shared" si="28"/>
        <v>477.84351325319682</v>
      </c>
      <c r="J77" s="54">
        <f t="shared" si="28"/>
        <v>641.91108352868173</v>
      </c>
      <c r="K77" s="54">
        <f t="shared" si="28"/>
        <v>808.41680067961352</v>
      </c>
      <c r="L77" s="54">
        <f t="shared" si="28"/>
        <v>977.38803827366257</v>
      </c>
      <c r="M77" s="54">
        <f t="shared" si="28"/>
        <v>1148.8524435630588</v>
      </c>
      <c r="N77" s="54">
        <f t="shared" si="28"/>
        <v>1322.8379400518015</v>
      </c>
      <c r="O77" s="54">
        <f t="shared" si="28"/>
        <v>1357.9224725307126</v>
      </c>
      <c r="P77" s="54">
        <f t="shared" si="28"/>
        <v>1368.1238651055994</v>
      </c>
      <c r="Q77" s="54">
        <f t="shared" si="28"/>
        <v>1378.4018956422051</v>
      </c>
      <c r="R77" s="54">
        <f t="shared" si="28"/>
        <v>1388.757139883217</v>
      </c>
      <c r="S77" s="54">
        <f t="shared" si="28"/>
        <v>1399.1901778965894</v>
      </c>
      <c r="T77" s="89">
        <f t="shared" si="28"/>
        <v>1409.7015941080374</v>
      </c>
      <c r="U77" s="54">
        <f t="shared" si="28"/>
        <v>1420.2919773337737</v>
      </c>
    </row>
    <row r="79" spans="1:21">
      <c r="A79" s="55" t="s">
        <v>162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28" t="s">
        <v>163</v>
      </c>
      <c r="B80" s="56" t="s">
        <v>71</v>
      </c>
      <c r="E80" s="58">
        <f>Допущения!E71</f>
        <v>12.5</v>
      </c>
      <c r="F80" s="12">
        <f>E80+F83</f>
        <v>13.125</v>
      </c>
      <c r="G80" s="12">
        <f t="shared" ref="G80:U80" si="29">F80+G83</f>
        <v>13.78125</v>
      </c>
      <c r="H80" s="12">
        <f t="shared" si="29"/>
        <v>14.4703125</v>
      </c>
      <c r="I80" s="12">
        <f t="shared" si="29"/>
        <v>15.193828125</v>
      </c>
      <c r="J80" s="12">
        <f t="shared" si="29"/>
        <v>15.953519531249999</v>
      </c>
      <c r="K80" s="12">
        <f t="shared" si="29"/>
        <v>16.751195507812497</v>
      </c>
      <c r="L80" s="12">
        <f t="shared" si="29"/>
        <v>17.58875528320312</v>
      </c>
      <c r="M80" s="12">
        <f t="shared" si="29"/>
        <v>18.468193047363275</v>
      </c>
      <c r="N80" s="12">
        <f t="shared" si="29"/>
        <v>19.39160269973144</v>
      </c>
      <c r="O80" s="12">
        <f t="shared" si="29"/>
        <v>20.361182834718011</v>
      </c>
      <c r="P80" s="12">
        <f t="shared" si="29"/>
        <v>21.379241976453912</v>
      </c>
      <c r="Q80" s="12">
        <f t="shared" si="29"/>
        <v>22.448204075276607</v>
      </c>
      <c r="R80" s="12">
        <f t="shared" si="29"/>
        <v>23.570614279040438</v>
      </c>
      <c r="S80" s="12">
        <f t="shared" si="29"/>
        <v>24.749144992992459</v>
      </c>
      <c r="T80" s="90">
        <f t="shared" si="29"/>
        <v>25.986602242642082</v>
      </c>
      <c r="U80" s="12">
        <f t="shared" si="29"/>
        <v>27.285932354774186</v>
      </c>
    </row>
    <row r="81" spans="1:21">
      <c r="A81" s="28" t="s">
        <v>164</v>
      </c>
      <c r="B81" s="56" t="s">
        <v>71</v>
      </c>
      <c r="E81" s="58">
        <f>E80</f>
        <v>12.5</v>
      </c>
      <c r="F81" s="12">
        <f>E81+F83-F84</f>
        <v>12.083333333333334</v>
      </c>
      <c r="G81" s="12">
        <f t="shared" ref="G81:U81" si="30">F81+G83-G84</f>
        <v>11.645833333333334</v>
      </c>
      <c r="H81" s="12">
        <f t="shared" si="30"/>
        <v>11.186458333333334</v>
      </c>
      <c r="I81" s="12">
        <f t="shared" si="30"/>
        <v>10.704114583333334</v>
      </c>
      <c r="J81" s="12">
        <f t="shared" si="30"/>
        <v>10.197653645833334</v>
      </c>
      <c r="K81" s="12">
        <f t="shared" si="30"/>
        <v>9.6658696614583341</v>
      </c>
      <c r="L81" s="12">
        <f t="shared" si="30"/>
        <v>9.1074964778645846</v>
      </c>
      <c r="M81" s="12">
        <f t="shared" si="30"/>
        <v>8.5212046350911486</v>
      </c>
      <c r="N81" s="12">
        <f t="shared" si="30"/>
        <v>7.9055982001790399</v>
      </c>
      <c r="O81" s="12">
        <f t="shared" si="30"/>
        <v>7.259211443521326</v>
      </c>
      <c r="P81" s="12">
        <f t="shared" si="30"/>
        <v>6.5805053490307266</v>
      </c>
      <c r="Q81" s="12">
        <f t="shared" si="30"/>
        <v>5.8678639498155967</v>
      </c>
      <c r="R81" s="12">
        <f t="shared" si="30"/>
        <v>5.1195904806397099</v>
      </c>
      <c r="S81" s="12">
        <f t="shared" si="30"/>
        <v>4.3339033380050278</v>
      </c>
      <c r="T81" s="90">
        <f t="shared" si="30"/>
        <v>3.5089318382386123</v>
      </c>
      <c r="U81" s="12">
        <f t="shared" si="30"/>
        <v>2.6427117634838759</v>
      </c>
    </row>
    <row r="82" spans="1:21">
      <c r="A82" s="28" t="s">
        <v>165</v>
      </c>
      <c r="B82" s="56" t="s">
        <v>71</v>
      </c>
      <c r="F82" s="59">
        <v>0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59">
        <v>0</v>
      </c>
      <c r="M82" s="59">
        <v>0</v>
      </c>
      <c r="N82" s="59">
        <v>0</v>
      </c>
      <c r="O82" s="59">
        <v>0</v>
      </c>
      <c r="P82" s="59">
        <v>0</v>
      </c>
      <c r="Q82" s="59">
        <v>0</v>
      </c>
      <c r="R82" s="59">
        <v>0</v>
      </c>
      <c r="S82" s="59">
        <v>0</v>
      </c>
      <c r="T82" s="91">
        <v>0</v>
      </c>
      <c r="U82" s="59">
        <v>0</v>
      </c>
    </row>
    <row r="83" spans="1:21">
      <c r="A83" s="28" t="s">
        <v>170</v>
      </c>
      <c r="B83" s="56" t="s">
        <v>71</v>
      </c>
      <c r="C83" s="61" t="s">
        <v>224</v>
      </c>
      <c r="D83" s="41">
        <f>Допущения!E73</f>
        <v>5</v>
      </c>
      <c r="F83" s="60">
        <f>$E$80/$D83/4-F82</f>
        <v>0.625</v>
      </c>
      <c r="G83" s="60">
        <f t="shared" ref="G83:U83" si="31">F80/$D83/4-G82</f>
        <v>0.65625</v>
      </c>
      <c r="H83" s="60">
        <f t="shared" si="31"/>
        <v>0.68906250000000002</v>
      </c>
      <c r="I83" s="60">
        <f t="shared" si="31"/>
        <v>0.723515625</v>
      </c>
      <c r="J83" s="60">
        <f t="shared" si="31"/>
        <v>0.75969140624999998</v>
      </c>
      <c r="K83" s="60">
        <f t="shared" si="31"/>
        <v>0.79767597656249989</v>
      </c>
      <c r="L83" s="60">
        <f t="shared" si="31"/>
        <v>0.83755977539062487</v>
      </c>
      <c r="M83" s="60">
        <f t="shared" si="31"/>
        <v>0.87943776416015607</v>
      </c>
      <c r="N83" s="60">
        <f t="shared" si="31"/>
        <v>0.92340965236816375</v>
      </c>
      <c r="O83" s="60">
        <f t="shared" si="31"/>
        <v>0.96958013498657203</v>
      </c>
      <c r="P83" s="60">
        <f t="shared" si="31"/>
        <v>1.0180591417359006</v>
      </c>
      <c r="Q83" s="60">
        <f t="shared" si="31"/>
        <v>1.0689620988226956</v>
      </c>
      <c r="R83" s="60">
        <f t="shared" si="31"/>
        <v>1.1224102037638304</v>
      </c>
      <c r="S83" s="60">
        <f t="shared" si="31"/>
        <v>1.1785307139520218</v>
      </c>
      <c r="T83" s="60">
        <f t="shared" si="31"/>
        <v>1.237457249649623</v>
      </c>
      <c r="U83" s="60">
        <f t="shared" si="31"/>
        <v>1.2993301121321041</v>
      </c>
    </row>
    <row r="84" spans="1:21">
      <c r="A84" s="28" t="s">
        <v>166</v>
      </c>
      <c r="B84" s="56" t="s">
        <v>71</v>
      </c>
      <c r="C84" s="61" t="s">
        <v>168</v>
      </c>
      <c r="D84" s="62">
        <f>Допущения!E72</f>
        <v>3</v>
      </c>
      <c r="F84" s="60">
        <f t="shared" ref="F84" si="32">E80/$D84/4</f>
        <v>1.0416666666666667</v>
      </c>
      <c r="G84" s="60">
        <f t="shared" ref="G84" si="33">F80/$D84/4</f>
        <v>1.09375</v>
      </c>
      <c r="H84" s="60">
        <f t="shared" ref="H84" si="34">G80/$D84/4</f>
        <v>1.1484375</v>
      </c>
      <c r="I84" s="60">
        <f t="shared" ref="I84" si="35">H80/$D84/4</f>
        <v>1.205859375</v>
      </c>
      <c r="J84" s="60">
        <f t="shared" ref="J84" si="36">I80/$D84/4</f>
        <v>1.26615234375</v>
      </c>
      <c r="K84" s="60">
        <f t="shared" ref="K84" si="37">J80/$D84/4</f>
        <v>1.3294599609375</v>
      </c>
      <c r="L84" s="60">
        <f t="shared" ref="L84" si="38">K80/$D84/4</f>
        <v>1.3959329589843747</v>
      </c>
      <c r="M84" s="60">
        <f t="shared" ref="M84" si="39">L80/$D84/4</f>
        <v>1.4657296069335934</v>
      </c>
      <c r="N84" s="60">
        <f t="shared" ref="N84" si="40">M80/$D84/4</f>
        <v>1.5390160872802729</v>
      </c>
      <c r="O84" s="60">
        <f t="shared" ref="O84" si="41">N80/$D84/4</f>
        <v>1.6159668916442866</v>
      </c>
      <c r="P84" s="60">
        <f t="shared" ref="P84" si="42">O80/$D84/4</f>
        <v>1.6967652362265009</v>
      </c>
      <c r="Q84" s="60">
        <f t="shared" ref="Q84" si="43">P80/$D84/4</f>
        <v>1.7816034980378259</v>
      </c>
      <c r="R84" s="60">
        <f t="shared" ref="R84" si="44">Q80/$D84/4</f>
        <v>1.8706836729397172</v>
      </c>
      <c r="S84" s="60">
        <f t="shared" ref="S84" si="45">R80/$D84/4</f>
        <v>1.9642178565867032</v>
      </c>
      <c r="T84" s="92">
        <f t="shared" ref="T84" si="46">S80/$D84/4</f>
        <v>2.0624287494160383</v>
      </c>
      <c r="U84" s="60">
        <f>T80/$D84/4</f>
        <v>2.1655501868868403</v>
      </c>
    </row>
    <row r="86" spans="1:21">
      <c r="A86" s="64" t="s">
        <v>86</v>
      </c>
      <c r="B86" s="53" t="s">
        <v>71</v>
      </c>
      <c r="C86" s="53"/>
      <c r="D86" s="53"/>
      <c r="E86" s="53"/>
      <c r="F86" s="65">
        <f>Допущения!F89</f>
        <v>4</v>
      </c>
      <c r="G86" s="65">
        <f>Допущения!G89</f>
        <v>5</v>
      </c>
      <c r="H86" s="65">
        <f>Допущения!H89</f>
        <v>0</v>
      </c>
      <c r="I86" s="65">
        <f>Допущения!I89</f>
        <v>0</v>
      </c>
      <c r="J86" s="65">
        <f>Допущения!J89</f>
        <v>0</v>
      </c>
      <c r="K86" s="65">
        <f>Допущения!K89</f>
        <v>0</v>
      </c>
      <c r="L86" s="65">
        <f>Допущения!L89</f>
        <v>0</v>
      </c>
      <c r="M86" s="65">
        <f>Допущения!M89</f>
        <v>0</v>
      </c>
      <c r="N86" s="65">
        <f>Допущения!N89</f>
        <v>0</v>
      </c>
      <c r="O86" s="65">
        <f>Допущения!O89</f>
        <v>0</v>
      </c>
      <c r="P86" s="65">
        <f>Допущения!P89</f>
        <v>0</v>
      </c>
      <c r="Q86" s="65">
        <f>Допущения!Q89</f>
        <v>0</v>
      </c>
      <c r="R86" s="65">
        <f>Допущения!R89</f>
        <v>0</v>
      </c>
      <c r="S86" s="65">
        <f>Допущения!S89</f>
        <v>0</v>
      </c>
      <c r="T86" s="93">
        <f>Допущения!T89</f>
        <v>0</v>
      </c>
      <c r="U86" s="65">
        <f>Допущения!U89</f>
        <v>0</v>
      </c>
    </row>
    <row r="87" spans="1:21">
      <c r="A87" s="64" t="s">
        <v>169</v>
      </c>
      <c r="B87" s="53" t="s">
        <v>71</v>
      </c>
      <c r="C87" s="53"/>
      <c r="D87" s="53"/>
      <c r="E87" s="53"/>
      <c r="F87" s="76">
        <f>F83</f>
        <v>0.625</v>
      </c>
      <c r="G87" s="76">
        <f t="shared" ref="G87:U87" si="47">G83</f>
        <v>0.65625</v>
      </c>
      <c r="H87" s="76">
        <f t="shared" si="47"/>
        <v>0.68906250000000002</v>
      </c>
      <c r="I87" s="76">
        <f t="shared" si="47"/>
        <v>0.723515625</v>
      </c>
      <c r="J87" s="76">
        <f t="shared" si="47"/>
        <v>0.75969140624999998</v>
      </c>
      <c r="K87" s="76">
        <f t="shared" si="47"/>
        <v>0.79767597656249989</v>
      </c>
      <c r="L87" s="76">
        <f t="shared" si="47"/>
        <v>0.83755977539062487</v>
      </c>
      <c r="M87" s="76">
        <f t="shared" si="47"/>
        <v>0.87943776416015607</v>
      </c>
      <c r="N87" s="76">
        <f t="shared" si="47"/>
        <v>0.92340965236816375</v>
      </c>
      <c r="O87" s="76">
        <f t="shared" si="47"/>
        <v>0.96958013498657203</v>
      </c>
      <c r="P87" s="76">
        <f t="shared" si="47"/>
        <v>1.0180591417359006</v>
      </c>
      <c r="Q87" s="76">
        <f t="shared" si="47"/>
        <v>1.0689620988226956</v>
      </c>
      <c r="R87" s="76">
        <f t="shared" si="47"/>
        <v>1.1224102037638304</v>
      </c>
      <c r="S87" s="76">
        <f t="shared" si="47"/>
        <v>1.1785307139520218</v>
      </c>
      <c r="T87" s="94">
        <f t="shared" si="47"/>
        <v>1.237457249649623</v>
      </c>
      <c r="U87" s="66">
        <f t="shared" si="47"/>
        <v>1.2993301121321041</v>
      </c>
    </row>
    <row r="88" spans="1:21" s="99" customFormat="1" ht="15.75">
      <c r="A88" s="112" t="s">
        <v>171</v>
      </c>
      <c r="B88" s="67" t="s">
        <v>71</v>
      </c>
      <c r="C88" s="109"/>
      <c r="D88" s="109"/>
      <c r="E88" s="109"/>
      <c r="F88" s="68">
        <f>F87</f>
        <v>0.625</v>
      </c>
      <c r="G88" s="68">
        <f t="shared" ref="G88:U88" si="48">G87</f>
        <v>0.65625</v>
      </c>
      <c r="H88" s="68">
        <f t="shared" si="48"/>
        <v>0.68906250000000002</v>
      </c>
      <c r="I88" s="68">
        <f t="shared" si="48"/>
        <v>0.723515625</v>
      </c>
      <c r="J88" s="68">
        <f t="shared" si="48"/>
        <v>0.75969140624999998</v>
      </c>
      <c r="K88" s="68">
        <f t="shared" si="48"/>
        <v>0.79767597656249989</v>
      </c>
      <c r="L88" s="68">
        <f t="shared" si="48"/>
        <v>0.83755977539062487</v>
      </c>
      <c r="M88" s="68">
        <f t="shared" si="48"/>
        <v>0.87943776416015607</v>
      </c>
      <c r="N88" s="68">
        <f t="shared" si="48"/>
        <v>0.92340965236816375</v>
      </c>
      <c r="O88" s="68">
        <f t="shared" si="48"/>
        <v>0.96958013498657203</v>
      </c>
      <c r="P88" s="68">
        <f t="shared" si="48"/>
        <v>1.0180591417359006</v>
      </c>
      <c r="Q88" s="68">
        <f t="shared" si="48"/>
        <v>1.0689620988226956</v>
      </c>
      <c r="R88" s="68">
        <f t="shared" si="48"/>
        <v>1.1224102037638304</v>
      </c>
      <c r="S88" s="68">
        <f t="shared" si="48"/>
        <v>1.1785307139520218</v>
      </c>
      <c r="T88" s="68">
        <f t="shared" si="48"/>
        <v>1.237457249649623</v>
      </c>
      <c r="U88" s="68">
        <f t="shared" si="48"/>
        <v>1.2993301121321041</v>
      </c>
    </row>
    <row r="89" spans="1:21" s="99" customFormat="1" ht="15.75">
      <c r="A89" s="112" t="s">
        <v>172</v>
      </c>
      <c r="B89" s="67" t="s">
        <v>71</v>
      </c>
      <c r="C89" s="109"/>
      <c r="D89" s="109"/>
      <c r="E89" s="109"/>
      <c r="F89" s="68">
        <f>F84</f>
        <v>1.0416666666666667</v>
      </c>
      <c r="G89" s="105">
        <f t="shared" ref="G89:U89" si="49">G84</f>
        <v>1.09375</v>
      </c>
      <c r="H89" s="68">
        <f t="shared" si="49"/>
        <v>1.1484375</v>
      </c>
      <c r="I89" s="68">
        <f t="shared" si="49"/>
        <v>1.205859375</v>
      </c>
      <c r="J89" s="68">
        <f t="shared" si="49"/>
        <v>1.26615234375</v>
      </c>
      <c r="K89" s="68">
        <f t="shared" si="49"/>
        <v>1.3294599609375</v>
      </c>
      <c r="L89" s="68">
        <f t="shared" si="49"/>
        <v>1.3959329589843747</v>
      </c>
      <c r="M89" s="68">
        <f t="shared" si="49"/>
        <v>1.4657296069335934</v>
      </c>
      <c r="N89" s="68">
        <f t="shared" si="49"/>
        <v>1.5390160872802729</v>
      </c>
      <c r="O89" s="68">
        <f t="shared" si="49"/>
        <v>1.6159668916442866</v>
      </c>
      <c r="P89" s="68">
        <f t="shared" si="49"/>
        <v>1.6967652362265009</v>
      </c>
      <c r="Q89" s="68">
        <f t="shared" si="49"/>
        <v>1.7816034980378259</v>
      </c>
      <c r="R89" s="68">
        <f t="shared" si="49"/>
        <v>1.8706836729397172</v>
      </c>
      <c r="S89" s="68">
        <f t="shared" si="49"/>
        <v>1.9642178565867032</v>
      </c>
      <c r="T89" s="95">
        <f t="shared" si="49"/>
        <v>2.0624287494160383</v>
      </c>
      <c r="U89" s="68">
        <f t="shared" si="49"/>
        <v>2.1655501868868403</v>
      </c>
    </row>
    <row r="90" spans="1:21" s="99" customFormat="1" ht="15.75">
      <c r="A90" s="112" t="s">
        <v>173</v>
      </c>
      <c r="B90" s="67" t="s">
        <v>71</v>
      </c>
      <c r="C90" s="109"/>
      <c r="D90" s="109"/>
      <c r="E90" s="109"/>
      <c r="F90" s="68">
        <f>F81</f>
        <v>12.083333333333334</v>
      </c>
      <c r="G90" s="105">
        <f t="shared" ref="G90:U90" si="50">G81</f>
        <v>11.645833333333334</v>
      </c>
      <c r="H90" s="68">
        <f t="shared" si="50"/>
        <v>11.186458333333334</v>
      </c>
      <c r="I90" s="68">
        <f t="shared" si="50"/>
        <v>10.704114583333334</v>
      </c>
      <c r="J90" s="68">
        <f t="shared" si="50"/>
        <v>10.197653645833334</v>
      </c>
      <c r="K90" s="68">
        <f t="shared" si="50"/>
        <v>9.6658696614583341</v>
      </c>
      <c r="L90" s="68">
        <f t="shared" si="50"/>
        <v>9.1074964778645846</v>
      </c>
      <c r="M90" s="68">
        <f t="shared" si="50"/>
        <v>8.5212046350911486</v>
      </c>
      <c r="N90" s="68">
        <f t="shared" si="50"/>
        <v>7.9055982001790399</v>
      </c>
      <c r="O90" s="68">
        <f t="shared" si="50"/>
        <v>7.259211443521326</v>
      </c>
      <c r="P90" s="68">
        <f t="shared" si="50"/>
        <v>6.5805053490307266</v>
      </c>
      <c r="Q90" s="68">
        <f t="shared" si="50"/>
        <v>5.8678639498155967</v>
      </c>
      <c r="R90" s="68">
        <f t="shared" si="50"/>
        <v>5.1195904806397099</v>
      </c>
      <c r="S90" s="68">
        <f t="shared" si="50"/>
        <v>4.3339033380050278</v>
      </c>
      <c r="T90" s="95">
        <f t="shared" si="50"/>
        <v>3.5089318382386123</v>
      </c>
      <c r="U90" s="68">
        <f t="shared" si="50"/>
        <v>2.6427117634838759</v>
      </c>
    </row>
    <row r="92" spans="1:21" s="100" customFormat="1">
      <c r="A92" s="70" t="s">
        <v>174</v>
      </c>
      <c r="B92" s="2"/>
      <c r="C92" s="2"/>
      <c r="D92" s="2"/>
      <c r="E92" s="2"/>
      <c r="F92" s="2">
        <v>1</v>
      </c>
      <c r="G92" s="2">
        <v>2</v>
      </c>
      <c r="H92" s="2">
        <v>3</v>
      </c>
      <c r="I92" s="2">
        <v>4</v>
      </c>
      <c r="J92" s="2">
        <v>5</v>
      </c>
      <c r="K92" s="2">
        <v>6</v>
      </c>
      <c r="L92" s="2">
        <v>7</v>
      </c>
      <c r="M92" s="2">
        <v>8</v>
      </c>
      <c r="N92" s="2">
        <v>9</v>
      </c>
      <c r="O92" s="2">
        <v>10</v>
      </c>
      <c r="P92" s="2">
        <v>11</v>
      </c>
      <c r="Q92" s="2">
        <v>12</v>
      </c>
      <c r="R92" s="2">
        <v>13</v>
      </c>
      <c r="S92" s="2">
        <v>14</v>
      </c>
      <c r="T92" s="2">
        <v>15</v>
      </c>
      <c r="U92" s="2">
        <v>16</v>
      </c>
    </row>
    <row r="93" spans="1:21">
      <c r="A93" s="63" t="s">
        <v>175</v>
      </c>
      <c r="B93" s="28"/>
      <c r="T93" s="139"/>
    </row>
    <row r="94" spans="1:21">
      <c r="A94" s="28" t="s">
        <v>81</v>
      </c>
      <c r="B94" s="56" t="s">
        <v>71</v>
      </c>
      <c r="F94" s="45">
        <f>Допущения!F84</f>
        <v>11.875</v>
      </c>
      <c r="G94" s="45">
        <f>Допущения!G84</f>
        <v>11.137795340391495</v>
      </c>
      <c r="H94" s="45">
        <f>Допущения!H84</f>
        <v>10.38492508176631</v>
      </c>
      <c r="I94" s="45">
        <f>Допущения!I84</f>
        <v>9.616056330145339</v>
      </c>
      <c r="J94" s="45">
        <f>Допущения!J84</f>
        <v>8.8308491175524235</v>
      </c>
      <c r="K94" s="45">
        <f>Допущения!K84</f>
        <v>8.0289562516919073</v>
      </c>
      <c r="L94" s="45">
        <f>Допущения!L84</f>
        <v>7.210023162431856</v>
      </c>
      <c r="M94" s="45">
        <f>Допущения!M84</f>
        <v>6.3736877450250287</v>
      </c>
      <c r="N94" s="45">
        <f>Допущения!N84</f>
        <v>5.5195801999983063</v>
      </c>
      <c r="O94" s="45">
        <f>Допущения!O84</f>
        <v>4.6473228696397655</v>
      </c>
      <c r="P94" s="45">
        <f>Допущения!P84</f>
        <v>3.756530071011106</v>
      </c>
      <c r="Q94" s="45">
        <f>Допущения!Q84</f>
        <v>2.8468079254115874</v>
      </c>
      <c r="R94" s="45">
        <f>Допущения!R84</f>
        <v>1.917754184218079</v>
      </c>
      <c r="S94" s="45">
        <f>Допущения!S84</f>
        <v>0.96895805102420851</v>
      </c>
      <c r="T94" s="45">
        <f>Допущения!T84</f>
        <v>-3.1752378504279477E-14</v>
      </c>
      <c r="U94" s="45">
        <f>Допущения!U84</f>
        <v>0</v>
      </c>
    </row>
    <row r="95" spans="1:21">
      <c r="A95" s="28" t="s">
        <v>176</v>
      </c>
      <c r="B95" s="56" t="s">
        <v>71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</row>
    <row r="96" spans="1:21">
      <c r="A96" s="28" t="s">
        <v>222</v>
      </c>
      <c r="B96" s="56" t="s">
        <v>71</v>
      </c>
      <c r="F96" s="72">
        <v>0</v>
      </c>
      <c r="G96" s="137">
        <f>Допущения!$E$85*(F92&lt;=Допущения!$E$86*4)</f>
        <v>0.98954840960850465</v>
      </c>
      <c r="H96" s="137">
        <f>Допущения!$E$85*(G92&lt;=Допущения!$E$86*4)</f>
        <v>0.98954840960850465</v>
      </c>
      <c r="I96" s="137">
        <f>Допущения!$E$85*(H92&lt;=Допущения!$E$86*4)</f>
        <v>0.98954840960850465</v>
      </c>
      <c r="J96" s="137">
        <f>Допущения!$E$85*(I92&lt;=Допущения!$E$86*4)</f>
        <v>0.98954840960850465</v>
      </c>
      <c r="K96" s="137">
        <f>Допущения!$E$85*(J92&lt;=Допущения!$E$86*4)</f>
        <v>0.98954840960850465</v>
      </c>
      <c r="L96" s="137">
        <f>Допущения!$E$85*(K92&lt;=Допущения!$E$86*4)</f>
        <v>0.98954840960850465</v>
      </c>
      <c r="M96" s="137">
        <f>Допущения!$E$85*(L92&lt;=Допущения!$E$86*4)</f>
        <v>0.98954840960850465</v>
      </c>
      <c r="N96" s="137">
        <f>Допущения!$E$85*(M92&lt;=Допущения!$E$86*4)</f>
        <v>0.98954840960850465</v>
      </c>
      <c r="O96" s="137">
        <f>Допущения!$E$85*(N92&lt;=Допущения!$E$86*4)</f>
        <v>0.98954840960850465</v>
      </c>
      <c r="P96" s="137">
        <f>Допущения!$E$85*(O92&lt;=Допущения!$E$86*4)</f>
        <v>0.98954840960850465</v>
      </c>
      <c r="Q96" s="137">
        <f>Допущения!$E$85*(P92&lt;=Допущения!$E$86*4)</f>
        <v>0.98954840960850465</v>
      </c>
      <c r="R96" s="137">
        <f>Допущения!$E$85*(Q92&lt;=Допущения!$E$86*4)</f>
        <v>0.98954840960850465</v>
      </c>
      <c r="S96" s="137">
        <f>Допущения!$E$85*(R92&lt;=Допущения!$E$86*4)</f>
        <v>0.98954840960850465</v>
      </c>
      <c r="T96" s="137">
        <f>Допущения!$E$85*(S92&lt;=Допущения!$E$86*4)</f>
        <v>0.98954840960850465</v>
      </c>
      <c r="U96" s="137">
        <f>Допущения!$E$85*(T92&lt;=Допущения!$E$86*4)</f>
        <v>0</v>
      </c>
    </row>
    <row r="97" spans="1:21">
      <c r="A97" s="28" t="s">
        <v>177</v>
      </c>
      <c r="B97" s="28" t="s">
        <v>18</v>
      </c>
      <c r="F97" s="73">
        <f>Допущения!$E$82 * (F92&lt;=Допущения!$E$86*4 + 1)</f>
        <v>8.5000000000000006E-2</v>
      </c>
      <c r="G97" s="73">
        <f>Допущения!$E$82 * (G92&lt;=Допущения!$E$86*4 + 1)</f>
        <v>8.5000000000000006E-2</v>
      </c>
      <c r="H97" s="73">
        <f>Допущения!$E$82 * (H92&lt;=Допущения!$E$86*4 + 1)</f>
        <v>8.5000000000000006E-2</v>
      </c>
      <c r="I97" s="73">
        <f>Допущения!$E$82 * (I92&lt;=Допущения!$E$86*4 + 1)</f>
        <v>8.5000000000000006E-2</v>
      </c>
      <c r="J97" s="73">
        <f>Допущения!$E$82 * (J92&lt;=Допущения!$E$86*4 + 1)</f>
        <v>8.5000000000000006E-2</v>
      </c>
      <c r="K97" s="73">
        <f>Допущения!$E$82 * (K92&lt;=Допущения!$E$86*4 + 1)</f>
        <v>8.5000000000000006E-2</v>
      </c>
      <c r="L97" s="73">
        <f>Допущения!$E$82 * (L92&lt;=Допущения!$E$86*4 + 1)</f>
        <v>8.5000000000000006E-2</v>
      </c>
      <c r="M97" s="73">
        <f>Допущения!$E$82 * (M92&lt;=Допущения!$E$86*4 + 1)</f>
        <v>8.5000000000000006E-2</v>
      </c>
      <c r="N97" s="73">
        <f>Допущения!$E$82 * (N92&lt;=Допущения!$E$86*4 + 1)</f>
        <v>8.5000000000000006E-2</v>
      </c>
      <c r="O97" s="73">
        <f>Допущения!$E$82 * (O92&lt;=Допущения!$E$86*4 + 1)</f>
        <v>8.5000000000000006E-2</v>
      </c>
      <c r="P97" s="73">
        <f>Допущения!$E$82 * (P92&lt;=Допущения!$E$86*4 + 1)</f>
        <v>8.5000000000000006E-2</v>
      </c>
      <c r="Q97" s="73">
        <f>Допущения!$E$82 * (Q92&lt;=Допущения!$E$86*4 + 1)</f>
        <v>8.5000000000000006E-2</v>
      </c>
      <c r="R97" s="73">
        <f>Допущения!$E$82 * (R92&lt;=Допущения!$E$86*4 + 1)</f>
        <v>8.5000000000000006E-2</v>
      </c>
      <c r="S97" s="73">
        <f>Допущения!$E$82 * (S92&lt;=Допущения!$E$86*4 + 1)</f>
        <v>8.5000000000000006E-2</v>
      </c>
      <c r="T97" s="73">
        <f>Допущения!$E$82 * (T92&lt;=Допущения!$E$86*4 + 1)</f>
        <v>8.5000000000000006E-2</v>
      </c>
      <c r="U97" s="73">
        <f>Допущения!$E$82 * (U92&lt;=Допущения!$E$86*4 + 1)</f>
        <v>0</v>
      </c>
    </row>
    <row r="98" spans="1:21">
      <c r="A98" s="28" t="s">
        <v>178</v>
      </c>
      <c r="B98" s="56" t="s">
        <v>71</v>
      </c>
      <c r="F98" s="12">
        <v>0</v>
      </c>
      <c r="G98" s="12">
        <f>F94*G97/4</f>
        <v>0.25234375000000003</v>
      </c>
      <c r="H98" s="12">
        <f t="shared" ref="H98:T98" si="51">G94*H97/4</f>
        <v>0.23667815098331929</v>
      </c>
      <c r="I98" s="12">
        <f t="shared" si="51"/>
        <v>0.22067965798753411</v>
      </c>
      <c r="J98" s="12">
        <f t="shared" si="51"/>
        <v>0.20434119701558848</v>
      </c>
      <c r="K98" s="12">
        <f t="shared" si="51"/>
        <v>0.18765554374798901</v>
      </c>
      <c r="L98" s="12">
        <f t="shared" si="51"/>
        <v>0.17061532034845303</v>
      </c>
      <c r="M98" s="12">
        <f t="shared" si="51"/>
        <v>0.15321299220167695</v>
      </c>
      <c r="N98" s="12">
        <f t="shared" si="51"/>
        <v>0.13544086458178187</v>
      </c>
      <c r="O98" s="12">
        <f t="shared" si="51"/>
        <v>0.11729107924996401</v>
      </c>
      <c r="P98" s="12">
        <f t="shared" si="51"/>
        <v>9.8755610979845018E-2</v>
      </c>
      <c r="Q98" s="12">
        <f t="shared" si="51"/>
        <v>7.9826264008986014E-2</v>
      </c>
      <c r="R98" s="12">
        <f t="shared" si="51"/>
        <v>6.049466841499624E-2</v>
      </c>
      <c r="S98" s="12">
        <f t="shared" si="51"/>
        <v>4.0752276414634178E-2</v>
      </c>
      <c r="T98" s="12">
        <f t="shared" si="51"/>
        <v>2.0590358584264432E-2</v>
      </c>
      <c r="U98" s="12">
        <f>T94*U97/4</f>
        <v>0</v>
      </c>
    </row>
    <row r="99" spans="1:21">
      <c r="A99" s="28" t="s">
        <v>223</v>
      </c>
      <c r="B99" s="56" t="s">
        <v>71</v>
      </c>
      <c r="F99" s="12">
        <f>(F96-F98)*(F94&gt;0)</f>
        <v>0</v>
      </c>
      <c r="G99" s="12">
        <f>(G96-G98)*(F92&lt;=Допущения!$E$86*4)</f>
        <v>0.73720465960850468</v>
      </c>
      <c r="H99" s="12">
        <f>(H96-H98)*(G92&lt;=Допущения!$E$86*4)</f>
        <v>0.75287025862518542</v>
      </c>
      <c r="I99" s="12">
        <f>(I96-I98)*(H92&lt;=Допущения!$E$86*4)</f>
        <v>0.76886875162097057</v>
      </c>
      <c r="J99" s="12">
        <f>(J96-J98)*(I92&lt;=Допущения!$E$86*4)</f>
        <v>0.78520721259291615</v>
      </c>
      <c r="K99" s="12">
        <f>(K96-K98)*(J92&lt;=Допущения!$E$86*4)</f>
        <v>0.80189286586051567</v>
      </c>
      <c r="L99" s="12">
        <f>(L96-L98)*(K92&lt;=Допущения!$E$86*4)</f>
        <v>0.81893308926005159</v>
      </c>
      <c r="M99" s="12">
        <f>(M96-M98)*(L92&lt;=Допущения!$E$86*4)</f>
        <v>0.83633541740682771</v>
      </c>
      <c r="N99" s="12">
        <f>(N96-N98)*(M92&lt;=Допущения!$E$86*4)</f>
        <v>0.85410754502672281</v>
      </c>
      <c r="O99" s="12">
        <f>(O96-O98)*(N92&lt;=Допущения!$E$86*4)</f>
        <v>0.87225733035854058</v>
      </c>
      <c r="P99" s="12">
        <f>(P96-P98)*(O92&lt;=Допущения!$E$86*4)</f>
        <v>0.89079279862865968</v>
      </c>
      <c r="Q99" s="12">
        <f>(Q96-Q98)*(P92&lt;=Допущения!$E$86*4)</f>
        <v>0.90972214559951858</v>
      </c>
      <c r="R99" s="12">
        <f>(R96-R98)*(Q92&lt;=Допущения!$E$86*4)</f>
        <v>0.92905374119350836</v>
      </c>
      <c r="S99" s="12">
        <f>(S96-S98)*(R92&lt;=Допущения!$E$86*4)</f>
        <v>0.94879613319387046</v>
      </c>
      <c r="T99" s="12">
        <f>(T96-T98)*(S92&lt;=Допущения!$E$86*4)</f>
        <v>0.96895805102424026</v>
      </c>
      <c r="U99" s="12">
        <f>(U96-U98)*(T92&lt;=Допущения!$E$86*4)</f>
        <v>0</v>
      </c>
    </row>
    <row r="101" spans="1:21" s="99" customFormat="1" ht="15.75">
      <c r="A101" s="112" t="s">
        <v>179</v>
      </c>
      <c r="B101" s="67" t="s">
        <v>71</v>
      </c>
      <c r="C101" s="109"/>
      <c r="D101" s="109"/>
      <c r="E101" s="109"/>
      <c r="F101" s="77">
        <f>F94</f>
        <v>11.875</v>
      </c>
      <c r="G101" s="103">
        <f t="shared" ref="G101:U101" si="52">G94</f>
        <v>11.137795340391495</v>
      </c>
      <c r="H101" s="77">
        <f t="shared" si="52"/>
        <v>10.38492508176631</v>
      </c>
      <c r="I101" s="77">
        <f t="shared" si="52"/>
        <v>9.616056330145339</v>
      </c>
      <c r="J101" s="77">
        <f t="shared" si="52"/>
        <v>8.8308491175524235</v>
      </c>
      <c r="K101" s="77">
        <f t="shared" si="52"/>
        <v>8.0289562516919073</v>
      </c>
      <c r="L101" s="77">
        <f t="shared" si="52"/>
        <v>7.210023162431856</v>
      </c>
      <c r="M101" s="77">
        <f t="shared" si="52"/>
        <v>6.3736877450250287</v>
      </c>
      <c r="N101" s="77">
        <f t="shared" si="52"/>
        <v>5.5195801999983063</v>
      </c>
      <c r="O101" s="77">
        <f t="shared" si="52"/>
        <v>4.6473228696397655</v>
      </c>
      <c r="P101" s="77">
        <f t="shared" si="52"/>
        <v>3.756530071011106</v>
      </c>
      <c r="Q101" s="77">
        <f t="shared" si="52"/>
        <v>2.8468079254115874</v>
      </c>
      <c r="R101" s="77">
        <f t="shared" si="52"/>
        <v>1.917754184218079</v>
      </c>
      <c r="S101" s="77">
        <f t="shared" si="52"/>
        <v>0.96895805102420851</v>
      </c>
      <c r="T101" s="96">
        <f t="shared" si="52"/>
        <v>-3.1752378504279477E-14</v>
      </c>
      <c r="U101" s="77">
        <f t="shared" si="52"/>
        <v>0</v>
      </c>
    </row>
    <row r="102" spans="1:21" s="99" customFormat="1" ht="15.75">
      <c r="A102" s="112" t="s">
        <v>180</v>
      </c>
      <c r="B102" s="67" t="s">
        <v>71</v>
      </c>
      <c r="C102" s="109"/>
      <c r="D102" s="109"/>
      <c r="E102" s="109"/>
      <c r="F102" s="67">
        <v>0</v>
      </c>
      <c r="G102" s="104">
        <v>0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0</v>
      </c>
      <c r="N102" s="67">
        <v>0</v>
      </c>
      <c r="O102" s="67">
        <v>0</v>
      </c>
      <c r="P102" s="67">
        <v>0</v>
      </c>
      <c r="Q102" s="67">
        <v>0</v>
      </c>
      <c r="R102" s="67">
        <v>0</v>
      </c>
      <c r="S102" s="67">
        <v>0</v>
      </c>
      <c r="T102" s="97">
        <v>0</v>
      </c>
      <c r="U102" s="67">
        <v>0</v>
      </c>
    </row>
    <row r="103" spans="1:21">
      <c r="C103" s="14"/>
      <c r="D103" s="14"/>
      <c r="E103" s="14"/>
    </row>
    <row r="104" spans="1:21" s="99" customFormat="1" ht="15.75">
      <c r="A104" s="112" t="s">
        <v>181</v>
      </c>
      <c r="B104" s="67" t="s">
        <v>71</v>
      </c>
      <c r="C104" s="109"/>
      <c r="D104" s="109"/>
      <c r="E104" s="109"/>
      <c r="F104" s="77">
        <f>F94</f>
        <v>11.875</v>
      </c>
      <c r="G104" s="104">
        <f t="shared" ref="G104:T104" si="53">G95</f>
        <v>0</v>
      </c>
      <c r="H104" s="67">
        <f t="shared" si="53"/>
        <v>0</v>
      </c>
      <c r="I104" s="67">
        <f t="shared" si="53"/>
        <v>0</v>
      </c>
      <c r="J104" s="67">
        <f t="shared" si="53"/>
        <v>0</v>
      </c>
      <c r="K104" s="67">
        <f t="shared" si="53"/>
        <v>0</v>
      </c>
      <c r="L104" s="67">
        <f t="shared" si="53"/>
        <v>0</v>
      </c>
      <c r="M104" s="67">
        <f t="shared" si="53"/>
        <v>0</v>
      </c>
      <c r="N104" s="67">
        <f t="shared" si="53"/>
        <v>0</v>
      </c>
      <c r="O104" s="67">
        <f t="shared" si="53"/>
        <v>0</v>
      </c>
      <c r="P104" s="67">
        <f t="shared" si="53"/>
        <v>0</v>
      </c>
      <c r="Q104" s="67">
        <f t="shared" si="53"/>
        <v>0</v>
      </c>
      <c r="R104" s="67">
        <f t="shared" si="53"/>
        <v>0</v>
      </c>
      <c r="S104" s="67">
        <f t="shared" si="53"/>
        <v>0</v>
      </c>
      <c r="T104" s="97">
        <f t="shared" si="53"/>
        <v>0</v>
      </c>
      <c r="U104" s="67">
        <f>U95</f>
        <v>0</v>
      </c>
    </row>
    <row r="105" spans="1:21" s="99" customFormat="1" ht="15.75">
      <c r="A105" s="112" t="s">
        <v>182</v>
      </c>
      <c r="B105" s="67" t="s">
        <v>71</v>
      </c>
      <c r="C105" s="109"/>
      <c r="D105" s="109"/>
      <c r="E105" s="109"/>
      <c r="F105" s="69">
        <f>F99</f>
        <v>0</v>
      </c>
      <c r="G105" s="69">
        <f t="shared" ref="G105:U105" si="54">G99</f>
        <v>0.73720465960850468</v>
      </c>
      <c r="H105" s="69">
        <f t="shared" si="54"/>
        <v>0.75287025862518542</v>
      </c>
      <c r="I105" s="69">
        <f t="shared" si="54"/>
        <v>0.76886875162097057</v>
      </c>
      <c r="J105" s="69">
        <f t="shared" si="54"/>
        <v>0.78520721259291615</v>
      </c>
      <c r="K105" s="69">
        <f t="shared" si="54"/>
        <v>0.80189286586051567</v>
      </c>
      <c r="L105" s="69">
        <f t="shared" si="54"/>
        <v>0.81893308926005159</v>
      </c>
      <c r="M105" s="69">
        <f t="shared" si="54"/>
        <v>0.83633541740682771</v>
      </c>
      <c r="N105" s="69">
        <f t="shared" si="54"/>
        <v>0.85410754502672281</v>
      </c>
      <c r="O105" s="69">
        <f t="shared" si="54"/>
        <v>0.87225733035854058</v>
      </c>
      <c r="P105" s="69">
        <f t="shared" si="54"/>
        <v>0.89079279862865968</v>
      </c>
      <c r="Q105" s="69">
        <f t="shared" si="54"/>
        <v>0.90972214559951858</v>
      </c>
      <c r="R105" s="69">
        <f t="shared" si="54"/>
        <v>0.92905374119350836</v>
      </c>
      <c r="S105" s="69">
        <f t="shared" si="54"/>
        <v>0.94879613319387046</v>
      </c>
      <c r="T105" s="69">
        <f t="shared" si="54"/>
        <v>0.96895805102424026</v>
      </c>
      <c r="U105" s="69">
        <f t="shared" si="54"/>
        <v>0</v>
      </c>
    </row>
    <row r="106" spans="1:21">
      <c r="C106" s="14"/>
      <c r="D106" s="14"/>
      <c r="E106" s="14"/>
    </row>
    <row r="107" spans="1:21" s="99" customFormat="1" ht="15.75">
      <c r="A107" s="112" t="s">
        <v>183</v>
      </c>
      <c r="B107" s="67" t="s">
        <v>71</v>
      </c>
      <c r="C107" s="109"/>
      <c r="D107" s="109"/>
      <c r="E107" s="109"/>
      <c r="F107" s="68">
        <f>F98</f>
        <v>0</v>
      </c>
      <c r="G107" s="68">
        <f t="shared" ref="G107:U107" si="55">G98</f>
        <v>0.25234375000000003</v>
      </c>
      <c r="H107" s="68">
        <f t="shared" si="55"/>
        <v>0.23667815098331929</v>
      </c>
      <c r="I107" s="68">
        <f t="shared" si="55"/>
        <v>0.22067965798753411</v>
      </c>
      <c r="J107" s="68">
        <f t="shared" si="55"/>
        <v>0.20434119701558848</v>
      </c>
      <c r="K107" s="68">
        <f t="shared" si="55"/>
        <v>0.18765554374798901</v>
      </c>
      <c r="L107" s="68">
        <f t="shared" si="55"/>
        <v>0.17061532034845303</v>
      </c>
      <c r="M107" s="68">
        <f t="shared" si="55"/>
        <v>0.15321299220167695</v>
      </c>
      <c r="N107" s="68">
        <f t="shared" si="55"/>
        <v>0.13544086458178187</v>
      </c>
      <c r="O107" s="68">
        <f t="shared" si="55"/>
        <v>0.11729107924996401</v>
      </c>
      <c r="P107" s="68">
        <f t="shared" si="55"/>
        <v>9.8755610979845018E-2</v>
      </c>
      <c r="Q107" s="68">
        <f t="shared" si="55"/>
        <v>7.9826264008986014E-2</v>
      </c>
      <c r="R107" s="68">
        <f t="shared" si="55"/>
        <v>6.049466841499624E-2</v>
      </c>
      <c r="S107" s="68">
        <f t="shared" si="55"/>
        <v>4.0752276414634178E-2</v>
      </c>
      <c r="T107" s="68">
        <f t="shared" si="55"/>
        <v>2.0590358584264432E-2</v>
      </c>
      <c r="U107" s="68">
        <f t="shared" si="55"/>
        <v>0</v>
      </c>
    </row>
    <row r="109" spans="1:21">
      <c r="A109" s="2" t="s">
        <v>209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30" t="s">
        <v>210</v>
      </c>
      <c r="B110" t="s">
        <v>93</v>
      </c>
      <c r="F110" s="18">
        <f>Допущения!F52*Допущения!F53</f>
        <v>1836</v>
      </c>
      <c r="G110" s="18">
        <f>Допущения!G52*Допущения!G53</f>
        <v>1872.7199999999998</v>
      </c>
      <c r="H110" s="18">
        <f>Допущения!H52*Допущения!H53</f>
        <v>1910.1743999999999</v>
      </c>
      <c r="I110" s="18">
        <f>Допущения!I52*Допущения!I53</f>
        <v>1948.377888</v>
      </c>
      <c r="J110" s="18">
        <f>Допущения!J52*Допущения!J53</f>
        <v>2384.814534912</v>
      </c>
      <c r="K110" s="18">
        <f>Допущения!K52*Допущения!K53</f>
        <v>2432.5108256102399</v>
      </c>
      <c r="L110" s="18">
        <f>Допущения!L52*Допущения!L53</f>
        <v>2481.161042122445</v>
      </c>
      <c r="M110" s="18">
        <f>Допущения!M52*Допущения!M53</f>
        <v>2530.784262964894</v>
      </c>
      <c r="N110" s="18">
        <f>Допущения!N52*Допущения!N53</f>
        <v>3011.633272928224</v>
      </c>
      <c r="O110" s="18">
        <f>Допущения!O52*Допущения!O53</f>
        <v>3071.8659383867885</v>
      </c>
      <c r="P110" s="18">
        <f>Допущения!P52*Допущения!P53</f>
        <v>3133.3032571545245</v>
      </c>
      <c r="Q110" s="18">
        <f>Допущения!Q52*Допущения!Q53</f>
        <v>3195.9693222976152</v>
      </c>
      <c r="R110" s="18">
        <f>Допущения!R52*Допущения!R53</f>
        <v>3725.5870957069342</v>
      </c>
      <c r="S110" s="18">
        <f>Допущения!S52*Допущения!S53</f>
        <v>3800.098837621073</v>
      </c>
      <c r="T110" s="18">
        <f>Допущения!T52*Допущения!T53</f>
        <v>3876.1008143734944</v>
      </c>
      <c r="U110" s="18">
        <f>Допущения!U52*Допущения!U53</f>
        <v>3953.6228306609642</v>
      </c>
    </row>
    <row r="111" spans="1:21">
      <c r="A111" s="30" t="s">
        <v>211</v>
      </c>
      <c r="B111" t="s">
        <v>93</v>
      </c>
      <c r="F111" s="18">
        <f>Допущения!F44*Допущения!F59</f>
        <v>214.20000000000002</v>
      </c>
      <c r="G111" s="18">
        <f>Допущения!G44*Допущения!G59</f>
        <v>218.48400000000001</v>
      </c>
      <c r="H111" s="18">
        <f>Допущения!H44*Допущения!H59</f>
        <v>445.70735999999999</v>
      </c>
      <c r="I111" s="18">
        <f>Допущения!I44*Допущения!I59</f>
        <v>681.93226079999999</v>
      </c>
      <c r="J111" s="18">
        <f>Допущения!J44*Допущения!J59</f>
        <v>695.57090601600009</v>
      </c>
      <c r="K111" s="18">
        <f>Допущения!K44*Допущения!K59</f>
        <v>945.97643218176017</v>
      </c>
      <c r="L111" s="18">
        <f>Допущения!L44*Допущения!L59</f>
        <v>1206.1199510317442</v>
      </c>
      <c r="M111" s="18">
        <f>Допущения!M44*Допущения!M59</f>
        <v>1230.2423500523792</v>
      </c>
      <c r="N111" s="18">
        <f>Допущения!N44*Допущения!N59</f>
        <v>1505.816636464112</v>
      </c>
      <c r="O111" s="18">
        <f>Допущения!O44*Допущения!O59</f>
        <v>1535.9329691933945</v>
      </c>
      <c r="P111" s="18">
        <f>Допущения!P44*Допущения!P59</f>
        <v>1566.651628577262</v>
      </c>
      <c r="Q111" s="18">
        <f>Допущения!Q44*Допущения!Q59</f>
        <v>1597.9846611488074</v>
      </c>
      <c r="R111" s="18">
        <f>Допущения!R44*Допущения!R59</f>
        <v>1629.9443543717837</v>
      </c>
      <c r="S111" s="18">
        <f>Допущения!S44*Допущения!S59</f>
        <v>1662.5432414592194</v>
      </c>
      <c r="T111" s="18">
        <f>Допущения!T44*Допущения!T59</f>
        <v>1695.794106288404</v>
      </c>
      <c r="U111" s="18">
        <f>Допущения!U44*Допущения!U59</f>
        <v>1729.7099884141721</v>
      </c>
    </row>
    <row r="112" spans="1:21">
      <c r="A112" s="30" t="s">
        <v>212</v>
      </c>
      <c r="B112" t="s">
        <v>93</v>
      </c>
      <c r="F112" s="18">
        <f>Допущения!F45*Допущения!F63</f>
        <v>918</v>
      </c>
      <c r="G112" s="18">
        <f>Допущения!G45*Допущения!G63</f>
        <v>936.36</v>
      </c>
      <c r="H112" s="18">
        <f>Допущения!H45*Допущения!H63</f>
        <v>1910.1744000000003</v>
      </c>
      <c r="I112" s="18">
        <f>Допущения!I45*Допущения!I63</f>
        <v>2922.5668320000004</v>
      </c>
      <c r="J112" s="18">
        <f>Допущения!J45*Допущения!J63</f>
        <v>3477.854530080001</v>
      </c>
      <c r="K112" s="18">
        <f>Допущения!K45*Допущения!K63</f>
        <v>4560.9577980192016</v>
      </c>
      <c r="L112" s="18">
        <f>Допущения!L45*Допущения!L63</f>
        <v>5685.9940548639379</v>
      </c>
      <c r="M112" s="18">
        <f>Допущения!M45*Допущения!M63</f>
        <v>6854.207378863257</v>
      </c>
      <c r="N112" s="18">
        <f>Допущения!N45*Допущения!N63</f>
        <v>7529.0831823205617</v>
      </c>
      <c r="O112" s="18">
        <f>Допущения!O45*Допущения!O63</f>
        <v>8228.2123349646135</v>
      </c>
      <c r="P112" s="18">
        <f>Допущения!P45*Допущения!P63</f>
        <v>8392.7765816639057</v>
      </c>
      <c r="Q112" s="18">
        <f>Допущения!Q45*Допущения!Q63</f>
        <v>8560.6321132971843</v>
      </c>
      <c r="R112" s="18">
        <f>Допущения!R45*Допущения!R63</f>
        <v>8731.8447555631283</v>
      </c>
      <c r="S112" s="18">
        <f>Допущения!S45*Допущения!S63</f>
        <v>8906.4816506743919</v>
      </c>
      <c r="T112" s="18">
        <f>Допущения!T45*Допущения!T63</f>
        <v>9084.6112836878783</v>
      </c>
      <c r="U112" s="18">
        <f>Допущения!U45*Допущения!U63</f>
        <v>9266.3035093616381</v>
      </c>
    </row>
    <row r="113" spans="1:21">
      <c r="A113" s="30" t="s">
        <v>213</v>
      </c>
      <c r="B113" t="s">
        <v>93</v>
      </c>
      <c r="F113" s="18">
        <f>SUM(F110:F112)</f>
        <v>2968.2</v>
      </c>
      <c r="G113" s="18">
        <f t="shared" ref="G113:U113" si="56">SUM(G110:G112)</f>
        <v>3027.5639999999999</v>
      </c>
      <c r="H113" s="18">
        <f t="shared" si="56"/>
        <v>4266.0561600000001</v>
      </c>
      <c r="I113" s="18">
        <f t="shared" si="56"/>
        <v>5552.8769808000006</v>
      </c>
      <c r="J113" s="18">
        <f t="shared" si="56"/>
        <v>6558.2399710080008</v>
      </c>
      <c r="K113" s="18">
        <f t="shared" si="56"/>
        <v>7939.4450558112021</v>
      </c>
      <c r="L113" s="18">
        <f t="shared" si="56"/>
        <v>9373.2750480181276</v>
      </c>
      <c r="M113" s="18">
        <f t="shared" si="56"/>
        <v>10615.23399188053</v>
      </c>
      <c r="N113" s="18">
        <f t="shared" si="56"/>
        <v>12046.533091712898</v>
      </c>
      <c r="O113" s="18">
        <f t="shared" si="56"/>
        <v>12836.011242544797</v>
      </c>
      <c r="P113" s="18">
        <f t="shared" si="56"/>
        <v>13092.731467395693</v>
      </c>
      <c r="Q113" s="18">
        <f t="shared" si="56"/>
        <v>13354.586096743607</v>
      </c>
      <c r="R113" s="18">
        <f t="shared" si="56"/>
        <v>14087.376205641845</v>
      </c>
      <c r="S113" s="18">
        <f t="shared" si="56"/>
        <v>14369.123729754683</v>
      </c>
      <c r="T113" s="18">
        <f t="shared" si="56"/>
        <v>14656.506204349776</v>
      </c>
      <c r="U113" s="18">
        <f t="shared" si="56"/>
        <v>14949.636328436774</v>
      </c>
    </row>
    <row r="114" spans="1:21">
      <c r="A114" s="30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s="100" customFormat="1">
      <c r="A115" s="128" t="s">
        <v>217</v>
      </c>
      <c r="B115" s="29" t="s">
        <v>93</v>
      </c>
      <c r="C115" s="29"/>
      <c r="D115" s="29"/>
      <c r="E115" s="29"/>
      <c r="F115" s="42">
        <f t="shared" ref="F115:U115" si="57">F51+F60-F113</f>
        <v>-719.88749999999982</v>
      </c>
      <c r="G115" s="42">
        <f t="shared" si="57"/>
        <v>905.80078342617162</v>
      </c>
      <c r="H115" s="42">
        <f t="shared" si="57"/>
        <v>1393.4625788514468</v>
      </c>
      <c r="I115" s="42">
        <f t="shared" si="57"/>
        <v>1874.8069302367594</v>
      </c>
      <c r="J115" s="42">
        <f t="shared" si="57"/>
        <v>3093.1363674678487</v>
      </c>
      <c r="K115" s="42">
        <f t="shared" si="57"/>
        <v>3568.3772412581475</v>
      </c>
      <c r="L115" s="42">
        <f t="shared" si="57"/>
        <v>4033.7805755043464</v>
      </c>
      <c r="M115" s="42">
        <f t="shared" si="57"/>
        <v>4734.7353570931809</v>
      </c>
      <c r="N115" s="42">
        <f t="shared" si="57"/>
        <v>5733.4867561205338</v>
      </c>
      <c r="O115" s="42">
        <f t="shared" si="57"/>
        <v>5527.4346792906308</v>
      </c>
      <c r="P115" s="42">
        <f t="shared" si="57"/>
        <v>5507.1576556657456</v>
      </c>
      <c r="Q115" s="42">
        <f t="shared" si="57"/>
        <v>5485.3472100302333</v>
      </c>
      <c r="R115" s="42">
        <f t="shared" si="57"/>
        <v>5485.2473069152766</v>
      </c>
      <c r="S115" s="42">
        <f t="shared" si="57"/>
        <v>5460.7119321571845</v>
      </c>
      <c r="T115" s="42">
        <f t="shared" si="57"/>
        <v>5434.5268083784013</v>
      </c>
      <c r="U115" s="42">
        <f t="shared" si="57"/>
        <v>5406.6483512851064</v>
      </c>
    </row>
    <row r="116" spans="1:21">
      <c r="A116" s="28" t="s">
        <v>214</v>
      </c>
      <c r="B116" s="28" t="s">
        <v>18</v>
      </c>
      <c r="F116" s="73">
        <f>Допущения!F76</f>
        <v>0.2</v>
      </c>
      <c r="G116" s="73">
        <f>Допущения!G76</f>
        <v>0.2</v>
      </c>
      <c r="H116" s="73">
        <f>Допущения!H76</f>
        <v>0.2</v>
      </c>
      <c r="I116" s="73">
        <f>Допущения!I76</f>
        <v>0.2</v>
      </c>
      <c r="J116" s="73">
        <f>Допущения!J76</f>
        <v>0.2</v>
      </c>
      <c r="K116" s="73">
        <f>Допущения!K76</f>
        <v>0.2</v>
      </c>
      <c r="L116" s="73">
        <f>Допущения!L76</f>
        <v>0.2</v>
      </c>
      <c r="M116" s="73">
        <f>Допущения!M76</f>
        <v>0.2</v>
      </c>
      <c r="N116" s="73">
        <f>Допущения!N76</f>
        <v>0.2</v>
      </c>
      <c r="O116" s="73">
        <f>Допущения!O76</f>
        <v>0.2</v>
      </c>
      <c r="P116" s="73">
        <f>Допущения!P76</f>
        <v>0.2</v>
      </c>
      <c r="Q116" s="73">
        <f>Допущения!Q76</f>
        <v>0.2</v>
      </c>
      <c r="R116" s="73">
        <f>Допущения!R76</f>
        <v>0.2</v>
      </c>
      <c r="S116" s="73">
        <f>Допущения!S76</f>
        <v>0.2</v>
      </c>
      <c r="T116" s="73">
        <f>Допущения!T76</f>
        <v>0.2</v>
      </c>
      <c r="U116" s="73">
        <f>Допущения!U76</f>
        <v>0.2</v>
      </c>
    </row>
    <row r="118" spans="1:21">
      <c r="A118" s="30" t="s">
        <v>215</v>
      </c>
      <c r="B118" t="s">
        <v>93</v>
      </c>
      <c r="F118" s="18">
        <f t="shared" ref="F118:U118" si="58">F15*F116</f>
        <v>0</v>
      </c>
      <c r="G118" s="18">
        <f t="shared" si="58"/>
        <v>538.35925000000009</v>
      </c>
      <c r="H118" s="18">
        <f t="shared" si="58"/>
        <v>1095.5610737500001</v>
      </c>
      <c r="I118" s="18">
        <f t="shared" si="58"/>
        <v>1672.1000888109384</v>
      </c>
      <c r="J118" s="18">
        <f t="shared" si="58"/>
        <v>2262.9087868574693</v>
      </c>
      <c r="K118" s="18">
        <f t="shared" si="58"/>
        <v>2871.0655233254138</v>
      </c>
      <c r="L118" s="18">
        <f t="shared" si="58"/>
        <v>3496.9578074103538</v>
      </c>
      <c r="M118" s="18">
        <f t="shared" si="58"/>
        <v>4140.9808702750943</v>
      </c>
      <c r="N118" s="18">
        <f t="shared" si="58"/>
        <v>4791.7064356040373</v>
      </c>
      <c r="O118" s="18">
        <f t="shared" si="58"/>
        <v>4991.5528458389645</v>
      </c>
      <c r="P118" s="18">
        <f t="shared" si="58"/>
        <v>5053.9472564119515</v>
      </c>
      <c r="Q118" s="18">
        <f t="shared" si="58"/>
        <v>5117.1215971171005</v>
      </c>
      <c r="R118" s="18">
        <f t="shared" si="58"/>
        <v>5181.0856170810648</v>
      </c>
      <c r="S118" s="18">
        <f t="shared" si="58"/>
        <v>5245.8491872945779</v>
      </c>
      <c r="T118" s="18">
        <f t="shared" si="58"/>
        <v>5311.4223021357602</v>
      </c>
      <c r="U118" s="18">
        <f t="shared" si="58"/>
        <v>5377.8150809124563</v>
      </c>
    </row>
    <row r="119" spans="1:21">
      <c r="A119" s="30" t="s">
        <v>216</v>
      </c>
      <c r="B119" t="s">
        <v>93</v>
      </c>
      <c r="F119" s="18">
        <f>-F115*F116</f>
        <v>143.97749999999996</v>
      </c>
      <c r="G119" s="18">
        <f t="shared" ref="G119:U119" si="59">-G115*G116</f>
        <v>-181.16015668523434</v>
      </c>
      <c r="H119" s="18">
        <f t="shared" si="59"/>
        <v>-278.69251577028939</v>
      </c>
      <c r="I119" s="18">
        <f t="shared" si="59"/>
        <v>-374.96138604735188</v>
      </c>
      <c r="J119" s="18">
        <f t="shared" si="59"/>
        <v>-618.62727349356976</v>
      </c>
      <c r="K119" s="18">
        <f t="shared" si="59"/>
        <v>-713.67544825162952</v>
      </c>
      <c r="L119" s="18">
        <f t="shared" si="59"/>
        <v>-806.75611510086935</v>
      </c>
      <c r="M119" s="18">
        <f t="shared" si="59"/>
        <v>-946.94707141863626</v>
      </c>
      <c r="N119" s="18">
        <f t="shared" si="59"/>
        <v>-1146.6973512241068</v>
      </c>
      <c r="O119" s="18">
        <f t="shared" si="59"/>
        <v>-1105.4869358581261</v>
      </c>
      <c r="P119" s="18">
        <f t="shared" si="59"/>
        <v>-1101.4315311331491</v>
      </c>
      <c r="Q119" s="18">
        <f t="shared" si="59"/>
        <v>-1097.0694420060468</v>
      </c>
      <c r="R119" s="18">
        <f t="shared" si="59"/>
        <v>-1097.0494613830554</v>
      </c>
      <c r="S119" s="18">
        <f t="shared" si="59"/>
        <v>-1092.142386431437</v>
      </c>
      <c r="T119" s="18">
        <f t="shared" si="59"/>
        <v>-1086.9053616756803</v>
      </c>
      <c r="U119" s="18">
        <f t="shared" si="59"/>
        <v>-1081.3296702570212</v>
      </c>
    </row>
    <row r="120" spans="1:21">
      <c r="A120" t="s">
        <v>218</v>
      </c>
      <c r="B120" t="s">
        <v>93</v>
      </c>
      <c r="F120" s="18">
        <f>-F88*1000*F116</f>
        <v>-125</v>
      </c>
      <c r="G120" s="18">
        <f t="shared" ref="G120:U120" si="60">-G88*1000*G116</f>
        <v>-131.25</v>
      </c>
      <c r="H120" s="18">
        <f t="shared" si="60"/>
        <v>-137.8125</v>
      </c>
      <c r="I120" s="18">
        <f t="shared" si="60"/>
        <v>-144.703125</v>
      </c>
      <c r="J120" s="18">
        <f t="shared" si="60"/>
        <v>-151.93828125000002</v>
      </c>
      <c r="K120" s="18">
        <f t="shared" si="60"/>
        <v>-159.53519531249998</v>
      </c>
      <c r="L120" s="18">
        <f t="shared" si="60"/>
        <v>-167.51195507812497</v>
      </c>
      <c r="M120" s="18">
        <f t="shared" si="60"/>
        <v>-175.88755283203125</v>
      </c>
      <c r="N120" s="18">
        <f t="shared" si="60"/>
        <v>-184.68193047363275</v>
      </c>
      <c r="O120" s="18">
        <f t="shared" si="60"/>
        <v>-193.91602699731442</v>
      </c>
      <c r="P120" s="18">
        <f t="shared" si="60"/>
        <v>-203.61182834718014</v>
      </c>
      <c r="Q120" s="18">
        <f t="shared" si="60"/>
        <v>-213.79241976453909</v>
      </c>
      <c r="R120" s="18">
        <f t="shared" si="60"/>
        <v>-224.4820407527661</v>
      </c>
      <c r="S120" s="18">
        <f t="shared" si="60"/>
        <v>-235.70614279040439</v>
      </c>
      <c r="T120" s="18">
        <f t="shared" si="60"/>
        <v>-247.49144992992461</v>
      </c>
      <c r="U120" s="18">
        <f t="shared" si="60"/>
        <v>-259.86602242642084</v>
      </c>
    </row>
    <row r="121" spans="1:21">
      <c r="A121" t="s">
        <v>219</v>
      </c>
      <c r="B121" t="s">
        <v>93</v>
      </c>
      <c r="F121" s="18">
        <v>0</v>
      </c>
      <c r="G121" s="18">
        <v>0</v>
      </c>
      <c r="H121" s="18">
        <f>-F120</f>
        <v>125</v>
      </c>
      <c r="I121" s="18">
        <f t="shared" ref="I121:U121" si="61">-G120</f>
        <v>131.25</v>
      </c>
      <c r="J121" s="18">
        <f t="shared" si="61"/>
        <v>137.8125</v>
      </c>
      <c r="K121" s="18">
        <f t="shared" si="61"/>
        <v>144.703125</v>
      </c>
      <c r="L121" s="18">
        <f t="shared" si="61"/>
        <v>151.93828125000002</v>
      </c>
      <c r="M121" s="18">
        <f t="shared" si="61"/>
        <v>159.53519531249998</v>
      </c>
      <c r="N121" s="18">
        <f t="shared" si="61"/>
        <v>167.51195507812497</v>
      </c>
      <c r="O121" s="18">
        <f t="shared" si="61"/>
        <v>175.88755283203125</v>
      </c>
      <c r="P121" s="18">
        <f t="shared" si="61"/>
        <v>184.68193047363275</v>
      </c>
      <c r="Q121" s="18">
        <f t="shared" si="61"/>
        <v>193.91602699731442</v>
      </c>
      <c r="R121" s="18">
        <f t="shared" si="61"/>
        <v>203.61182834718014</v>
      </c>
      <c r="S121" s="18">
        <f t="shared" si="61"/>
        <v>213.79241976453909</v>
      </c>
      <c r="T121" s="18">
        <f t="shared" si="61"/>
        <v>224.4820407527661</v>
      </c>
      <c r="U121" s="18">
        <f t="shared" si="61"/>
        <v>235.70614279040439</v>
      </c>
    </row>
    <row r="122" spans="1:21" s="100" customFormat="1">
      <c r="A122" s="29" t="s">
        <v>220</v>
      </c>
      <c r="B122" s="29" t="s">
        <v>93</v>
      </c>
      <c r="C122" s="29"/>
      <c r="D122" s="29"/>
      <c r="E122" s="29"/>
      <c r="F122" s="129">
        <f>SUM(F118:F121)</f>
        <v>18.977499999999964</v>
      </c>
      <c r="G122" s="129">
        <f t="shared" ref="G122:U122" si="62">SUM(G118:G121)</f>
        <v>225.94909331476572</v>
      </c>
      <c r="H122" s="129">
        <f t="shared" si="62"/>
        <v>804.05605797971066</v>
      </c>
      <c r="I122" s="129">
        <f t="shared" si="62"/>
        <v>1283.6855777635865</v>
      </c>
      <c r="J122" s="129">
        <f t="shared" si="62"/>
        <v>1630.1557321138996</v>
      </c>
      <c r="K122" s="129">
        <f t="shared" si="62"/>
        <v>2142.5580047612843</v>
      </c>
      <c r="L122" s="129">
        <f t="shared" si="62"/>
        <v>2674.628018481359</v>
      </c>
      <c r="M122" s="129">
        <f t="shared" si="62"/>
        <v>3177.6814413369266</v>
      </c>
      <c r="N122" s="129">
        <f t="shared" si="62"/>
        <v>3627.8391089844231</v>
      </c>
      <c r="O122" s="129">
        <f t="shared" si="62"/>
        <v>3868.037435815555</v>
      </c>
      <c r="P122" s="129">
        <f t="shared" si="62"/>
        <v>3933.5858274052548</v>
      </c>
      <c r="Q122" s="129">
        <f t="shared" si="62"/>
        <v>4000.1757623438289</v>
      </c>
      <c r="R122" s="129">
        <f t="shared" si="62"/>
        <v>4063.1659432924239</v>
      </c>
      <c r="S122" s="129">
        <f t="shared" si="62"/>
        <v>4131.7930778372756</v>
      </c>
      <c r="T122" s="129">
        <f t="shared" si="62"/>
        <v>4201.5075312829213</v>
      </c>
      <c r="U122" s="129">
        <f t="shared" si="62"/>
        <v>4272.3255310194181</v>
      </c>
    </row>
    <row r="123" spans="1:21" s="99" customFormat="1" ht="15.75">
      <c r="A123" s="130" t="s">
        <v>221</v>
      </c>
      <c r="B123" s="130" t="s">
        <v>93</v>
      </c>
      <c r="C123" s="130"/>
      <c r="D123" s="130"/>
      <c r="E123" s="131">
        <f>Допущения!C95</f>
        <v>0</v>
      </c>
      <c r="F123" s="51">
        <f>MAX(E123-F122,0)</f>
        <v>0</v>
      </c>
      <c r="G123" s="51">
        <f t="shared" ref="G123:U123" si="63">MAX(F123-G122,0)</f>
        <v>0</v>
      </c>
      <c r="H123" s="51">
        <f t="shared" si="63"/>
        <v>0</v>
      </c>
      <c r="I123" s="51">
        <f t="shared" si="63"/>
        <v>0</v>
      </c>
      <c r="J123" s="51">
        <f t="shared" si="63"/>
        <v>0</v>
      </c>
      <c r="K123" s="51">
        <f t="shared" si="63"/>
        <v>0</v>
      </c>
      <c r="L123" s="51">
        <f t="shared" si="63"/>
        <v>0</v>
      </c>
      <c r="M123" s="51">
        <f t="shared" si="63"/>
        <v>0</v>
      </c>
      <c r="N123" s="51">
        <f t="shared" si="63"/>
        <v>0</v>
      </c>
      <c r="O123" s="51">
        <f t="shared" si="63"/>
        <v>0</v>
      </c>
      <c r="P123" s="51">
        <f t="shared" si="63"/>
        <v>0</v>
      </c>
      <c r="Q123" s="51">
        <f t="shared" si="63"/>
        <v>0</v>
      </c>
      <c r="R123" s="51">
        <f t="shared" si="63"/>
        <v>0</v>
      </c>
      <c r="S123" s="51">
        <f t="shared" si="63"/>
        <v>0</v>
      </c>
      <c r="T123" s="51">
        <f t="shared" si="63"/>
        <v>0</v>
      </c>
      <c r="U123" s="51">
        <f t="shared" si="63"/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8"/>
  <sheetViews>
    <sheetView showGridLines="0" topLeftCell="I1" zoomScale="70" zoomScaleNormal="70" workbookViewId="0">
      <pane ySplit="2" topLeftCell="A18" activePane="bottomLeft" state="frozen"/>
      <selection pane="bottomLeft" activeCell="AB54" sqref="AB54"/>
    </sheetView>
  </sheetViews>
  <sheetFormatPr defaultRowHeight="15"/>
  <cols>
    <col min="1" max="1" width="47.85546875" customWidth="1"/>
    <col min="2" max="2" width="11.85546875" customWidth="1"/>
    <col min="3" max="3" width="26" customWidth="1"/>
    <col min="4" max="4" width="7.7109375" customWidth="1"/>
    <col min="6" max="6" width="9.28515625" bestFit="1" customWidth="1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4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3" spans="1:21" ht="21">
      <c r="A3" s="124" t="s">
        <v>184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s="29" customFormat="1">
      <c r="A4" s="122" t="s">
        <v>185</v>
      </c>
      <c r="B4" s="122" t="s">
        <v>93</v>
      </c>
      <c r="C4" s="122"/>
      <c r="D4" s="122"/>
      <c r="E4" s="118"/>
      <c r="F4" s="118">
        <f>Расчет!F15</f>
        <v>0</v>
      </c>
      <c r="G4" s="118">
        <f>Расчет!G15</f>
        <v>2691.7962500000003</v>
      </c>
      <c r="H4" s="118">
        <f>Расчет!H15</f>
        <v>5477.8053687500005</v>
      </c>
      <c r="I4" s="118">
        <f>Расчет!I15</f>
        <v>8360.5004440546909</v>
      </c>
      <c r="J4" s="118">
        <f>Расчет!J15</f>
        <v>11314.543934287345</v>
      </c>
      <c r="K4" s="118">
        <f>Расчет!K15</f>
        <v>14355.327616627068</v>
      </c>
      <c r="L4" s="118">
        <f>Расчет!L15</f>
        <v>17484.789037051767</v>
      </c>
      <c r="M4" s="118">
        <f>Расчет!M15</f>
        <v>20704.90435137547</v>
      </c>
      <c r="N4" s="118">
        <f>Расчет!N15</f>
        <v>23958.532178020185</v>
      </c>
      <c r="O4" s="118">
        <f>Расчет!O15</f>
        <v>24957.764229194821</v>
      </c>
      <c r="P4" s="118">
        <f>Расчет!P15</f>
        <v>25269.736282059755</v>
      </c>
      <c r="Q4" s="118">
        <f>Расчет!Q15</f>
        <v>25585.607985585502</v>
      </c>
      <c r="R4" s="118">
        <f>Расчет!R15</f>
        <v>25905.428085405321</v>
      </c>
      <c r="S4" s="118">
        <f>Расчет!S15</f>
        <v>26229.245936472886</v>
      </c>
      <c r="T4" s="118">
        <f>Расчет!T15</f>
        <v>26557.111510678798</v>
      </c>
      <c r="U4" s="118">
        <f>Расчет!U15</f>
        <v>26889.075404562282</v>
      </c>
    </row>
    <row r="5" spans="1:21">
      <c r="A5" t="s">
        <v>189</v>
      </c>
      <c r="B5" t="s">
        <v>93</v>
      </c>
      <c r="E5" s="116"/>
      <c r="F5" s="119">
        <f>-Расчет!F51</f>
        <v>0</v>
      </c>
      <c r="G5" s="119">
        <f>-Расчет!G51</f>
        <v>-1640.8873146761716</v>
      </c>
      <c r="H5" s="119">
        <f>-Расчет!H51</f>
        <v>-3322.0070243983218</v>
      </c>
      <c r="I5" s="119">
        <f>-Расчет!I51</f>
        <v>-5044.2515337807054</v>
      </c>
      <c r="J5" s="119">
        <f>-Расчет!J51</f>
        <v>-6804.6209480393536</v>
      </c>
      <c r="K5" s="119">
        <f>-Расчет!K51</f>
        <v>-8605.8452994680192</v>
      </c>
      <c r="L5" s="119">
        <f>-Расчет!L51</f>
        <v>-10448.778289122669</v>
      </c>
      <c r="M5" s="119">
        <f>-Расчет!M51</f>
        <v>-12334.291759086766</v>
      </c>
      <c r="N5" s="119">
        <f>-Расчет!N51</f>
        <v>-14254.971371062818</v>
      </c>
      <c r="O5" s="119">
        <f>-Расчет!O51</f>
        <v>-14770.617727080873</v>
      </c>
      <c r="P5" s="119">
        <f>-Расчет!P51</f>
        <v>-14937.959631607655</v>
      </c>
      <c r="Q5" s="119">
        <f>-Расчет!Q51</f>
        <v>-15107.554933526793</v>
      </c>
      <c r="R5" s="119">
        <f>-Расчет!R51</f>
        <v>-15279.438844919858</v>
      </c>
      <c r="S5" s="119">
        <f>-Расчет!S51</f>
        <v>-15453.647187550445</v>
      </c>
      <c r="T5" s="119">
        <f>-Расчет!T51</f>
        <v>-15630.216404090968</v>
      </c>
      <c r="U5" s="119">
        <f>-Расчет!U51</f>
        <v>-15809.183569563516</v>
      </c>
    </row>
    <row r="6" spans="1:21">
      <c r="A6" t="s">
        <v>190</v>
      </c>
      <c r="B6" t="s">
        <v>93</v>
      </c>
      <c r="E6" s="116"/>
      <c r="F6" s="120">
        <f>-Расчет!F60</f>
        <v>-2248.3125</v>
      </c>
      <c r="G6" s="120">
        <f>-Расчет!G60</f>
        <v>-2292.4774687499998</v>
      </c>
      <c r="H6" s="120">
        <f>-Расчет!H60</f>
        <v>-2337.511714453125</v>
      </c>
      <c r="I6" s="120">
        <f>-Расчет!I60</f>
        <v>-2383.4323772560547</v>
      </c>
      <c r="J6" s="120">
        <f>-Расчет!J60</f>
        <v>-2846.7553904364959</v>
      </c>
      <c r="K6" s="120">
        <f>-Расчет!K60</f>
        <v>-2901.9769976013308</v>
      </c>
      <c r="L6" s="120">
        <f>-Расчет!L60</f>
        <v>-2958.2773343998047</v>
      </c>
      <c r="M6" s="120">
        <f>-Расчет!M60</f>
        <v>-3015.677589886945</v>
      </c>
      <c r="N6" s="120">
        <f>-Расчет!N60</f>
        <v>-3525.0484767706139</v>
      </c>
      <c r="O6" s="120">
        <f>-Расчет!O60</f>
        <v>-3592.8281947545561</v>
      </c>
      <c r="P6" s="120">
        <f>-Расчет!P60</f>
        <v>-3661.9294914537845</v>
      </c>
      <c r="Q6" s="120">
        <f>-Расчет!Q60</f>
        <v>-3732.3783732470488</v>
      </c>
      <c r="R6" s="120">
        <f>-Расчет!R60</f>
        <v>-4293.1846676372652</v>
      </c>
      <c r="S6" s="120">
        <f>-Расчет!S60</f>
        <v>-4376.1884743614237</v>
      </c>
      <c r="T6" s="120">
        <f>-Расчет!T60</f>
        <v>-4460.8166086372075</v>
      </c>
      <c r="U6" s="120">
        <f>-Расчет!U60</f>
        <v>-4547.1011101583636</v>
      </c>
    </row>
    <row r="7" spans="1:21" s="29" customFormat="1">
      <c r="A7" s="122" t="s">
        <v>186</v>
      </c>
      <c r="B7" s="122" t="s">
        <v>93</v>
      </c>
      <c r="C7" s="122"/>
      <c r="D7" s="122"/>
      <c r="E7" s="118"/>
      <c r="F7" s="118">
        <f>SUM(F4:F6)</f>
        <v>-2248.3125</v>
      </c>
      <c r="G7" s="118">
        <f t="shared" ref="G7:U7" si="0">SUM(G4:G6)</f>
        <v>-1241.5685334261711</v>
      </c>
      <c r="H7" s="118">
        <f t="shared" si="0"/>
        <v>-181.71337010144634</v>
      </c>
      <c r="I7" s="118">
        <f t="shared" si="0"/>
        <v>932.81653301793085</v>
      </c>
      <c r="J7" s="118">
        <f t="shared" si="0"/>
        <v>1663.1675958114956</v>
      </c>
      <c r="K7" s="118">
        <f t="shared" si="0"/>
        <v>2847.5053195577179</v>
      </c>
      <c r="L7" s="118">
        <f t="shared" si="0"/>
        <v>4077.7334135292936</v>
      </c>
      <c r="M7" s="118">
        <f t="shared" si="0"/>
        <v>5354.9350024017585</v>
      </c>
      <c r="N7" s="118">
        <f t="shared" si="0"/>
        <v>6178.5123301867525</v>
      </c>
      <c r="O7" s="118">
        <f t="shared" si="0"/>
        <v>6594.3183073593918</v>
      </c>
      <c r="P7" s="118">
        <f t="shared" si="0"/>
        <v>6669.8471589983164</v>
      </c>
      <c r="Q7" s="118">
        <f t="shared" si="0"/>
        <v>6745.6746788116598</v>
      </c>
      <c r="R7" s="118">
        <f t="shared" si="0"/>
        <v>6332.8045728481984</v>
      </c>
      <c r="S7" s="118">
        <f t="shared" si="0"/>
        <v>6399.4102745610171</v>
      </c>
      <c r="T7" s="118">
        <f t="shared" si="0"/>
        <v>6466.0784979506225</v>
      </c>
      <c r="U7" s="118">
        <f t="shared" si="0"/>
        <v>6532.7907248404017</v>
      </c>
    </row>
    <row r="8" spans="1:21">
      <c r="A8" t="s">
        <v>172</v>
      </c>
      <c r="B8" t="s">
        <v>93</v>
      </c>
      <c r="E8" s="117"/>
      <c r="F8" s="119">
        <f>-Расчет!F89*1000</f>
        <v>-1041.6666666666667</v>
      </c>
      <c r="G8" s="119">
        <f>-Расчет!G89*1000</f>
        <v>-1093.75</v>
      </c>
      <c r="H8" s="119">
        <f>-Расчет!H89*1000</f>
        <v>-1148.4375</v>
      </c>
      <c r="I8" s="119">
        <f>-Расчет!I89*1000</f>
        <v>-1205.859375</v>
      </c>
      <c r="J8" s="119">
        <f>-Расчет!J89*1000</f>
        <v>-1266.15234375</v>
      </c>
      <c r="K8" s="119">
        <f>-Расчет!K89*1000</f>
        <v>-1329.4599609375</v>
      </c>
      <c r="L8" s="119">
        <f>-Расчет!L89*1000</f>
        <v>-1395.9329589843746</v>
      </c>
      <c r="M8" s="119">
        <f>-Расчет!M89*1000</f>
        <v>-1465.7296069335935</v>
      </c>
      <c r="N8" s="119">
        <f>-Расчет!N89*1000</f>
        <v>-1539.016087280273</v>
      </c>
      <c r="O8" s="119">
        <f>-Расчет!O89*1000</f>
        <v>-1615.9668916442865</v>
      </c>
      <c r="P8" s="119">
        <f>-Расчет!P89*1000</f>
        <v>-1696.765236226501</v>
      </c>
      <c r="Q8" s="119">
        <f>-Расчет!Q89*1000</f>
        <v>-1781.6034980378258</v>
      </c>
      <c r="R8" s="119">
        <f>-Расчет!R89*1000</f>
        <v>-1870.6836729397171</v>
      </c>
      <c r="S8" s="119">
        <f>-Расчет!S89*1000</f>
        <v>-1964.2178565867032</v>
      </c>
      <c r="T8" s="119">
        <f>-Расчет!T89*1000</f>
        <v>-2062.428749416038</v>
      </c>
      <c r="U8" s="119">
        <f>-Расчет!U89*1000</f>
        <v>-2165.5501868868405</v>
      </c>
    </row>
    <row r="9" spans="1:21">
      <c r="A9" t="s">
        <v>191</v>
      </c>
      <c r="B9" t="s">
        <v>93</v>
      </c>
      <c r="E9" s="116"/>
      <c r="F9" s="119">
        <f>SUM(F7:F8)</f>
        <v>-3289.979166666667</v>
      </c>
      <c r="G9" s="119">
        <f t="shared" ref="G9:U9" si="1">SUM(G7:G8)</f>
        <v>-2335.3185334261711</v>
      </c>
      <c r="H9" s="119">
        <f t="shared" si="1"/>
        <v>-1330.1508701014463</v>
      </c>
      <c r="I9" s="119">
        <f t="shared" si="1"/>
        <v>-273.04284198206915</v>
      </c>
      <c r="J9" s="119">
        <f t="shared" si="1"/>
        <v>397.01525206149563</v>
      </c>
      <c r="K9" s="119">
        <f t="shared" si="1"/>
        <v>1518.0453586202179</v>
      </c>
      <c r="L9" s="119">
        <f t="shared" si="1"/>
        <v>2681.8004545449189</v>
      </c>
      <c r="M9" s="119">
        <f t="shared" si="1"/>
        <v>3889.2053954681651</v>
      </c>
      <c r="N9" s="119">
        <f t="shared" si="1"/>
        <v>4639.4962429064799</v>
      </c>
      <c r="O9" s="119">
        <f t="shared" si="1"/>
        <v>4978.3514157151058</v>
      </c>
      <c r="P9" s="119">
        <f t="shared" si="1"/>
        <v>4973.0819227718157</v>
      </c>
      <c r="Q9" s="119">
        <f t="shared" si="1"/>
        <v>4964.0711807738335</v>
      </c>
      <c r="R9" s="119">
        <f t="shared" si="1"/>
        <v>4462.1208999084811</v>
      </c>
      <c r="S9" s="119">
        <f t="shared" si="1"/>
        <v>4435.1924179743137</v>
      </c>
      <c r="T9" s="119">
        <f t="shared" si="1"/>
        <v>4403.6497485345844</v>
      </c>
      <c r="U9" s="119">
        <f t="shared" si="1"/>
        <v>4367.2405379535612</v>
      </c>
    </row>
    <row r="10" spans="1:21">
      <c r="A10" t="s">
        <v>187</v>
      </c>
      <c r="B10" t="s">
        <v>93</v>
      </c>
      <c r="E10" s="117"/>
      <c r="F10" s="119">
        <f>-Расчет!F107*1000</f>
        <v>0</v>
      </c>
      <c r="G10" s="119">
        <f>-Расчет!G107*1000</f>
        <v>-252.34375000000003</v>
      </c>
      <c r="H10" s="119">
        <f>-Расчет!H107*1000</f>
        <v>-236.67815098331928</v>
      </c>
      <c r="I10" s="119">
        <f>-Расчет!I107*1000</f>
        <v>-220.67965798753411</v>
      </c>
      <c r="J10" s="119">
        <f>-Расчет!J107*1000</f>
        <v>-204.34119701558848</v>
      </c>
      <c r="K10" s="119">
        <f>-Расчет!K107*1000</f>
        <v>-187.65554374798901</v>
      </c>
      <c r="L10" s="119">
        <f>-Расчет!L107*1000</f>
        <v>-170.61532034845303</v>
      </c>
      <c r="M10" s="119">
        <f>-Расчет!M107*1000</f>
        <v>-153.21299220167694</v>
      </c>
      <c r="N10" s="119">
        <f>-Расчет!N107*1000</f>
        <v>-135.44086458178188</v>
      </c>
      <c r="O10" s="119">
        <f>-Расчет!O107*1000</f>
        <v>-117.29107924996401</v>
      </c>
      <c r="P10" s="119">
        <f>-Расчет!P107*1000</f>
        <v>-98.755610979845017</v>
      </c>
      <c r="Q10" s="119">
        <f>-Расчет!Q107*1000</f>
        <v>-79.826264008986016</v>
      </c>
      <c r="R10" s="119">
        <f>-Расчет!R107*1000</f>
        <v>-60.494668414996241</v>
      </c>
      <c r="S10" s="119">
        <f>-Расчет!S107*1000</f>
        <v>-40.752276414634181</v>
      </c>
      <c r="T10" s="119">
        <f>-Расчет!T107*1000</f>
        <v>-20.590358584264433</v>
      </c>
      <c r="U10" s="119">
        <f>-Расчет!U107*1000</f>
        <v>0</v>
      </c>
    </row>
    <row r="11" spans="1:21">
      <c r="A11" t="s">
        <v>248</v>
      </c>
      <c r="B11" t="s">
        <v>93</v>
      </c>
      <c r="E11" s="116"/>
      <c r="F11" s="119">
        <f>SUM(F9:F10)</f>
        <v>-3289.979166666667</v>
      </c>
      <c r="G11" s="119">
        <f t="shared" ref="G11:U11" si="2">SUM(G9:G10)</f>
        <v>-2587.6622834261711</v>
      </c>
      <c r="H11" s="119">
        <f t="shared" si="2"/>
        <v>-1566.8290210847656</v>
      </c>
      <c r="I11" s="119">
        <f t="shared" si="2"/>
        <v>-493.72249996960329</v>
      </c>
      <c r="J11" s="119">
        <f t="shared" si="2"/>
        <v>192.67405504590715</v>
      </c>
      <c r="K11" s="119">
        <f t="shared" si="2"/>
        <v>1330.389814872229</v>
      </c>
      <c r="L11" s="119">
        <f t="shared" si="2"/>
        <v>2511.1851341964657</v>
      </c>
      <c r="M11" s="119">
        <f t="shared" si="2"/>
        <v>3735.9924032664881</v>
      </c>
      <c r="N11" s="119">
        <f t="shared" si="2"/>
        <v>4504.0553783246978</v>
      </c>
      <c r="O11" s="119">
        <f t="shared" si="2"/>
        <v>4861.0603364651415</v>
      </c>
      <c r="P11" s="119">
        <f t="shared" si="2"/>
        <v>4874.3263117919705</v>
      </c>
      <c r="Q11" s="119">
        <f t="shared" si="2"/>
        <v>4884.2449167648474</v>
      </c>
      <c r="R11" s="119">
        <f t="shared" si="2"/>
        <v>4401.6262314934847</v>
      </c>
      <c r="S11" s="119">
        <f t="shared" si="2"/>
        <v>4394.4401415596794</v>
      </c>
      <c r="T11" s="119">
        <f t="shared" si="2"/>
        <v>4383.0593899503201</v>
      </c>
      <c r="U11" s="119">
        <f t="shared" si="2"/>
        <v>4367.2405379535612</v>
      </c>
    </row>
    <row r="12" spans="1:21">
      <c r="A12" t="s">
        <v>76</v>
      </c>
      <c r="B12" t="s">
        <v>93</v>
      </c>
      <c r="E12" s="117"/>
      <c r="F12" s="120">
        <f>-IF(E47&gt;0,100%,50%)*Допущения!F77*MAX(Отчетность!F11,0)</f>
        <v>0</v>
      </c>
      <c r="G12" s="120">
        <f>-IF(F47&gt;0,100%,50%)*Допущения!G77*MAX(Отчетность!G11,0)</f>
        <v>0</v>
      </c>
      <c r="H12" s="120">
        <f>-IF(G47&gt;0,100%,50%)*Допущения!H77*MAX(Отчетность!H11,0)</f>
        <v>0</v>
      </c>
      <c r="I12" s="120">
        <f>-IF(H47&gt;0,100%,50%)*Допущения!I77*MAX(Отчетность!I11,0)</f>
        <v>0</v>
      </c>
      <c r="J12" s="120">
        <f>-IF(I47&gt;0,100%,50%)*Допущения!J77*MAX(Отчетность!J11,0)</f>
        <v>-19.267405504590716</v>
      </c>
      <c r="K12" s="120">
        <f>-IF(J47&gt;0,100%,50%)*Допущения!K77*MAX(Отчетность!K11,0)</f>
        <v>-133.03898148722291</v>
      </c>
      <c r="L12" s="120">
        <f>-IF(K47&gt;0,100%,50%)*Допущения!L77*MAX(Отчетность!L11,0)</f>
        <v>-251.11851341964658</v>
      </c>
      <c r="M12" s="120">
        <f>-IF(L47&gt;0,100%,50%)*Допущения!M77*MAX(Отчетность!M11,0)</f>
        <v>-373.59924032664884</v>
      </c>
      <c r="N12" s="120">
        <f>-IF(M47&gt;0,100%,50%)*Допущения!N77*MAX(Отчетность!N11,0)</f>
        <v>-450.4055378324698</v>
      </c>
      <c r="O12" s="120">
        <f>-IF(N47&gt;0,100%,50%)*Допущения!O77*MAX(Отчетность!O11,0)</f>
        <v>-972.21206729302833</v>
      </c>
      <c r="P12" s="120">
        <f>-IF(O47&gt;0,100%,50%)*Допущения!P77*MAX(Отчетность!P11,0)</f>
        <v>-974.86526235839415</v>
      </c>
      <c r="Q12" s="120">
        <f>-IF(P47&gt;0,100%,50%)*Допущения!Q77*MAX(Отчетность!Q11,0)</f>
        <v>-976.84898335296953</v>
      </c>
      <c r="R12" s="120">
        <f>-IF(Q47&gt;0,100%,50%)*Допущения!R77*MAX(Отчетность!R11,0)</f>
        <v>-880.32524629869704</v>
      </c>
      <c r="S12" s="120">
        <f>-IF(R47&gt;0,100%,50%)*Допущения!S77*MAX(Отчетность!S11,0)</f>
        <v>-878.88802831193595</v>
      </c>
      <c r="T12" s="120">
        <f>-IF(S47&gt;0,100%,50%)*Допущения!T77*MAX(Отчетность!T11,0)</f>
        <v>-876.61187799006404</v>
      </c>
      <c r="U12" s="120">
        <f>-IF(T47&gt;0,100%,50%)*Допущения!U77*MAX(Отчетность!U11,0)</f>
        <v>-873.44810759071231</v>
      </c>
    </row>
    <row r="13" spans="1:21" s="29" customFormat="1">
      <c r="A13" s="121" t="s">
        <v>188</v>
      </c>
      <c r="B13" s="121" t="s">
        <v>93</v>
      </c>
      <c r="C13" s="121"/>
      <c r="D13" s="121"/>
      <c r="E13" s="115"/>
      <c r="F13" s="125">
        <f>SUM(F11:F12)</f>
        <v>-3289.979166666667</v>
      </c>
      <c r="G13" s="125">
        <f t="shared" ref="G13:U13" si="3">SUM(G11:G12)</f>
        <v>-2587.6622834261711</v>
      </c>
      <c r="H13" s="125">
        <f t="shared" si="3"/>
        <v>-1566.8290210847656</v>
      </c>
      <c r="I13" s="125">
        <f t="shared" si="3"/>
        <v>-493.72249996960329</v>
      </c>
      <c r="J13" s="125">
        <f t="shared" si="3"/>
        <v>173.40664954131643</v>
      </c>
      <c r="K13" s="125">
        <f t="shared" si="3"/>
        <v>1197.3508333850061</v>
      </c>
      <c r="L13" s="125">
        <f t="shared" si="3"/>
        <v>2260.066620776819</v>
      </c>
      <c r="M13" s="125">
        <f t="shared" si="3"/>
        <v>3362.3931629398394</v>
      </c>
      <c r="N13" s="125">
        <f t="shared" si="3"/>
        <v>4053.6498404922281</v>
      </c>
      <c r="O13" s="125">
        <f t="shared" si="3"/>
        <v>3888.8482691721133</v>
      </c>
      <c r="P13" s="125">
        <f t="shared" si="3"/>
        <v>3899.4610494335766</v>
      </c>
      <c r="Q13" s="125">
        <f t="shared" si="3"/>
        <v>3907.3959334118781</v>
      </c>
      <c r="R13" s="125">
        <f t="shared" si="3"/>
        <v>3521.3009851947877</v>
      </c>
      <c r="S13" s="125">
        <f t="shared" si="3"/>
        <v>3515.5521132477434</v>
      </c>
      <c r="T13" s="125">
        <f t="shared" si="3"/>
        <v>3506.4475119602562</v>
      </c>
      <c r="U13" s="125">
        <f t="shared" si="3"/>
        <v>3493.7924303628488</v>
      </c>
    </row>
    <row r="16" spans="1:21" ht="21">
      <c r="A16" s="124" t="s">
        <v>192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t="s">
        <v>188</v>
      </c>
      <c r="B17" t="s">
        <v>93</v>
      </c>
      <c r="F17" s="18">
        <f>F13</f>
        <v>-3289.979166666667</v>
      </c>
      <c r="G17" s="18">
        <f t="shared" ref="G17:U17" si="4">G13</f>
        <v>-2587.6622834261711</v>
      </c>
      <c r="H17" s="18">
        <f t="shared" si="4"/>
        <v>-1566.8290210847656</v>
      </c>
      <c r="I17" s="18">
        <f t="shared" si="4"/>
        <v>-493.72249996960329</v>
      </c>
      <c r="J17" s="18">
        <f t="shared" si="4"/>
        <v>173.40664954131643</v>
      </c>
      <c r="K17" s="18">
        <f t="shared" si="4"/>
        <v>1197.3508333850061</v>
      </c>
      <c r="L17" s="18">
        <f t="shared" si="4"/>
        <v>2260.066620776819</v>
      </c>
      <c r="M17" s="18">
        <f t="shared" si="4"/>
        <v>3362.3931629398394</v>
      </c>
      <c r="N17" s="18">
        <f t="shared" si="4"/>
        <v>4053.6498404922281</v>
      </c>
      <c r="O17" s="18">
        <f t="shared" si="4"/>
        <v>3888.8482691721133</v>
      </c>
      <c r="P17" s="18">
        <f t="shared" si="4"/>
        <v>3899.4610494335766</v>
      </c>
      <c r="Q17" s="18">
        <f t="shared" si="4"/>
        <v>3907.3959334118781</v>
      </c>
      <c r="R17" s="18">
        <f t="shared" si="4"/>
        <v>3521.3009851947877</v>
      </c>
      <c r="S17" s="18">
        <f t="shared" si="4"/>
        <v>3515.5521132477434</v>
      </c>
      <c r="T17" s="18">
        <f t="shared" si="4"/>
        <v>3506.4475119602562</v>
      </c>
      <c r="U17" s="18">
        <f t="shared" si="4"/>
        <v>3493.7924303628488</v>
      </c>
    </row>
    <row r="18" spans="1:21">
      <c r="A18" t="s">
        <v>172</v>
      </c>
      <c r="B18" t="s">
        <v>93</v>
      </c>
      <c r="F18" s="18">
        <f>-F8</f>
        <v>1041.6666666666667</v>
      </c>
      <c r="G18" s="18">
        <f t="shared" ref="G18:U18" si="5">-G8</f>
        <v>1093.75</v>
      </c>
      <c r="H18" s="18">
        <f t="shared" si="5"/>
        <v>1148.4375</v>
      </c>
      <c r="I18" s="18">
        <f t="shared" si="5"/>
        <v>1205.859375</v>
      </c>
      <c r="J18" s="18">
        <f t="shared" si="5"/>
        <v>1266.15234375</v>
      </c>
      <c r="K18" s="18">
        <f t="shared" si="5"/>
        <v>1329.4599609375</v>
      </c>
      <c r="L18" s="18">
        <f t="shared" si="5"/>
        <v>1395.9329589843746</v>
      </c>
      <c r="M18" s="18">
        <f t="shared" si="5"/>
        <v>1465.7296069335935</v>
      </c>
      <c r="N18" s="18">
        <f t="shared" si="5"/>
        <v>1539.016087280273</v>
      </c>
      <c r="O18" s="18">
        <f t="shared" si="5"/>
        <v>1615.9668916442865</v>
      </c>
      <c r="P18" s="18">
        <f t="shared" si="5"/>
        <v>1696.765236226501</v>
      </c>
      <c r="Q18" s="18">
        <f t="shared" si="5"/>
        <v>1781.6034980378258</v>
      </c>
      <c r="R18" s="18">
        <f t="shared" si="5"/>
        <v>1870.6836729397171</v>
      </c>
      <c r="S18" s="18">
        <f t="shared" si="5"/>
        <v>1964.2178565867032</v>
      </c>
      <c r="T18" s="18">
        <f t="shared" si="5"/>
        <v>2062.428749416038</v>
      </c>
      <c r="U18" s="18">
        <f t="shared" si="5"/>
        <v>2165.5501868868405</v>
      </c>
    </row>
    <row r="19" spans="1:21">
      <c r="A19" t="s">
        <v>193</v>
      </c>
      <c r="B19" t="s">
        <v>93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</row>
    <row r="20" spans="1:21">
      <c r="A20" t="s">
        <v>194</v>
      </c>
      <c r="B20" t="s">
        <v>93</v>
      </c>
      <c r="F20" s="18">
        <f>SUM(F21:F24)</f>
        <v>0</v>
      </c>
      <c r="G20" s="18">
        <f t="shared" ref="G20:U20" si="6">SUM(G21:G24)</f>
        <v>-27.836628536054675</v>
      </c>
      <c r="H20" s="18">
        <f t="shared" si="6"/>
        <v>-180.50862387980877</v>
      </c>
      <c r="I20" s="18">
        <f t="shared" si="6"/>
        <v>-183.21072927109293</v>
      </c>
      <c r="J20" s="18">
        <f t="shared" si="6"/>
        <v>-185.94324631221627</v>
      </c>
      <c r="K20" s="18">
        <f t="shared" si="6"/>
        <v>-188.70647943772269</v>
      </c>
      <c r="L20" s="18">
        <f t="shared" si="6"/>
        <v>-191.50073593992227</v>
      </c>
      <c r="M20" s="18">
        <f t="shared" si="6"/>
        <v>-194.3263259946491</v>
      </c>
      <c r="N20" s="18">
        <f t="shared" si="6"/>
        <v>-197.1835626872417</v>
      </c>
      <c r="O20" s="18">
        <f t="shared" si="6"/>
        <v>-39.762470142765949</v>
      </c>
      <c r="P20" s="18">
        <f t="shared" si="6"/>
        <v>-11.561578251538322</v>
      </c>
      <c r="Q20" s="18">
        <f t="shared" si="6"/>
        <v>-11.648434608153082</v>
      </c>
      <c r="R20" s="18">
        <f t="shared" si="6"/>
        <v>-11.735943473146847</v>
      </c>
      <c r="S20" s="18">
        <f t="shared" si="6"/>
        <v>-11.824109748488752</v>
      </c>
      <c r="T20" s="18">
        <f t="shared" si="6"/>
        <v>-11.912938372974395</v>
      </c>
      <c r="U20" s="18">
        <f t="shared" si="6"/>
        <v>-12.002434322501131</v>
      </c>
    </row>
    <row r="21" spans="1:21" s="34" customFormat="1">
      <c r="A21" s="34" t="s">
        <v>195</v>
      </c>
      <c r="B21" s="34" t="s">
        <v>93</v>
      </c>
      <c r="F21" s="127">
        <f>-(Расчет!F76-Расчет!E76)</f>
        <v>0</v>
      </c>
      <c r="G21" s="127">
        <f>-(Расчет!G76-Расчет!F76)</f>
        <v>-73.226847044257809</v>
      </c>
      <c r="H21" s="127">
        <f>-(Расчет!H76-Расчет!G76)</f>
        <v>-74.327080421097733</v>
      </c>
      <c r="I21" s="127">
        <f>-(Расчет!I76-Расчет!H76)</f>
        <v>-75.439712052802975</v>
      </c>
      <c r="J21" s="127">
        <f>-(Расчет!J76-Расчет!I76)</f>
        <v>-76.564866128559657</v>
      </c>
      <c r="K21" s="127">
        <f>-(Расчет!K76-Расчет!J76)</f>
        <v>-77.702668003768167</v>
      </c>
      <c r="L21" s="127">
        <f>-(Расчет!L76-Расчет!K76)</f>
        <v>-78.853244210556227</v>
      </c>
      <c r="M21" s="127">
        <f>-(Расчет!M76-Расчет!L76)</f>
        <v>-80.016722468384899</v>
      </c>
      <c r="N21" s="127">
        <f>-(Расчет!N76-Расчет!M76)</f>
        <v>-81.193231694746601</v>
      </c>
      <c r="O21" s="127">
        <f>-(Расчет!O76-Расчет!N76)</f>
        <v>-16.372781823491891</v>
      </c>
      <c r="P21" s="127">
        <f>-(Расчет!P76-Расчет!O76)</f>
        <v>-4.7606498682804386</v>
      </c>
      <c r="Q21" s="127">
        <f>-(Расчет!Q76-Расчет!P76)</f>
        <v>-4.7964142504159781</v>
      </c>
      <c r="R21" s="127">
        <f>-(Расчет!R76-Расчет!Q76)</f>
        <v>-4.8324473124722545</v>
      </c>
      <c r="S21" s="127">
        <f>-(Расчет!S76-Расчет!R76)</f>
        <v>-4.8687510729071164</v>
      </c>
      <c r="T21" s="127">
        <f>-(Расчет!T76-Расчет!S76)</f>
        <v>-4.905327565342418</v>
      </c>
      <c r="U21" s="127">
        <f>-(Расчет!U76-Расчет!T76)</f>
        <v>-4.9421788386769094</v>
      </c>
    </row>
    <row r="22" spans="1:21" s="34" customFormat="1">
      <c r="A22" s="34" t="s">
        <v>196</v>
      </c>
      <c r="B22" s="34" t="s">
        <v>93</v>
      </c>
      <c r="F22" s="127">
        <f>Расчет!F75-Расчет!E75</f>
        <v>0</v>
      </c>
      <c r="G22" s="127">
        <f>Расчет!G75-Расчет!F75</f>
        <v>52.304890745898433</v>
      </c>
      <c r="H22" s="127">
        <f>Расчет!H75-Расчет!G75</f>
        <v>53.090771729355524</v>
      </c>
      <c r="I22" s="127">
        <f>Расчет!I75-Расчет!H75</f>
        <v>53.885508609144992</v>
      </c>
      <c r="J22" s="127">
        <f>Расчет!J75-Расчет!I75</f>
        <v>54.689190091828294</v>
      </c>
      <c r="K22" s="127">
        <f>Расчет!K75-Расчет!J75</f>
        <v>55.501905716977262</v>
      </c>
      <c r="L22" s="127">
        <f>Расчет!L75-Расчет!K75</f>
        <v>56.323745864683019</v>
      </c>
      <c r="M22" s="127">
        <f>Расчет!M75-Расчет!L75</f>
        <v>57.15480176313207</v>
      </c>
      <c r="N22" s="127">
        <f>Расчет!N75-Расчет!M75</f>
        <v>57.99516549624758</v>
      </c>
      <c r="O22" s="127">
        <f>Расчет!O75-Расчет!N75</f>
        <v>11.694844159637057</v>
      </c>
      <c r="P22" s="127">
        <f>Расчет!P75-Расчет!O75</f>
        <v>3.4004641916288847</v>
      </c>
      <c r="Q22" s="127">
        <f>Расчет!Q75-Расчет!P75</f>
        <v>3.4260101788685802</v>
      </c>
      <c r="R22" s="127">
        <f>Расчет!R75-Расчет!Q75</f>
        <v>3.4517480803372678</v>
      </c>
      <c r="S22" s="127">
        <f>Расчет!S75-Расчет!R75</f>
        <v>3.4776793377907893</v>
      </c>
      <c r="T22" s="127">
        <f>Расчет!T75-Расчет!S75</f>
        <v>3.5038054038160453</v>
      </c>
      <c r="U22" s="127">
        <f>Расчет!U75-Расчет!T75</f>
        <v>3.5301277419121107</v>
      </c>
    </row>
    <row r="23" spans="1:21" s="34" customFormat="1">
      <c r="A23" s="34" t="s">
        <v>197</v>
      </c>
      <c r="B23" s="34" t="s">
        <v>93</v>
      </c>
      <c r="F23" s="127">
        <f>-(Расчет!F77-Расчет!E77)</f>
        <v>0</v>
      </c>
      <c r="G23" s="127">
        <f>-(Расчет!G77-Расчет!F77)</f>
        <v>-6.9146722376952994</v>
      </c>
      <c r="H23" s="127">
        <f>-(Расчет!H77-Расчет!G77)</f>
        <v>-159.27231518806656</v>
      </c>
      <c r="I23" s="127">
        <f>-(Расчет!I77-Расчет!H77)</f>
        <v>-161.65652582743496</v>
      </c>
      <c r="J23" s="127">
        <f>-(Расчет!J77-Расчет!I77)</f>
        <v>-164.06757027548491</v>
      </c>
      <c r="K23" s="127">
        <f>-(Расчет!K77-Расчет!J77)</f>
        <v>-166.50571715093179</v>
      </c>
      <c r="L23" s="127">
        <f>-(Расчет!L77-Расчет!K77)</f>
        <v>-168.97123759404906</v>
      </c>
      <c r="M23" s="127">
        <f>-(Расчет!M77-Расчет!L77)</f>
        <v>-171.46440528939627</v>
      </c>
      <c r="N23" s="127">
        <f>-(Расчет!N77-Расчет!M77)</f>
        <v>-173.98549648874268</v>
      </c>
      <c r="O23" s="127">
        <f>-(Расчет!O77-Расчет!N77)</f>
        <v>-35.084532478911115</v>
      </c>
      <c r="P23" s="127">
        <f>-(Расчет!P77-Расчет!O77)</f>
        <v>-10.201392574886768</v>
      </c>
      <c r="Q23" s="127">
        <f>-(Расчет!Q77-Расчет!P77)</f>
        <v>-10.278030536605684</v>
      </c>
      <c r="R23" s="127">
        <f>-(Расчет!R77-Расчет!Q77)</f>
        <v>-10.35524424101186</v>
      </c>
      <c r="S23" s="127">
        <f>-(Расчет!S77-Расчет!R77)</f>
        <v>-10.433038013372425</v>
      </c>
      <c r="T23" s="127">
        <f>-(Расчет!T77-Расчет!S77)</f>
        <v>-10.511416211448022</v>
      </c>
      <c r="U23" s="127">
        <f>-(Расчет!U77-Расчет!T77)</f>
        <v>-10.590383225736332</v>
      </c>
    </row>
    <row r="24" spans="1:21" s="34" customFormat="1">
      <c r="A24" s="34" t="s">
        <v>198</v>
      </c>
      <c r="B24" s="34" t="s">
        <v>93</v>
      </c>
      <c r="F24" s="127">
        <f>-(Расчет!F123-Расчет!E123)</f>
        <v>0</v>
      </c>
      <c r="G24" s="127">
        <f>-(Расчет!G123-Расчет!F123)</f>
        <v>0</v>
      </c>
      <c r="H24" s="127">
        <f>-(Расчет!H123-Расчет!G123)</f>
        <v>0</v>
      </c>
      <c r="I24" s="127">
        <f>-(Расчет!I123-Расчет!H123)</f>
        <v>0</v>
      </c>
      <c r="J24" s="132">
        <f>-(Расчет!J123-Расчет!I123)</f>
        <v>0</v>
      </c>
      <c r="K24" s="132">
        <f>-(Расчет!K123-Расчет!J123)</f>
        <v>0</v>
      </c>
      <c r="L24" s="132">
        <f>-(Расчет!L123-Расчет!K123)</f>
        <v>0</v>
      </c>
      <c r="M24" s="132">
        <f>-(Расчет!M123-Расчет!L123)</f>
        <v>0</v>
      </c>
      <c r="N24" s="132">
        <f>-(Расчет!N123-Расчет!M123)</f>
        <v>0</v>
      </c>
      <c r="O24" s="132">
        <f>-(Расчет!O123-Расчет!N123)</f>
        <v>0</v>
      </c>
      <c r="P24" s="132">
        <f>-(Расчет!P123-Расчет!O123)</f>
        <v>0</v>
      </c>
      <c r="Q24" s="132">
        <f>-(Расчет!Q123-Расчет!P123)</f>
        <v>0</v>
      </c>
      <c r="R24" s="132">
        <f>-(Расчет!R123-Расчет!Q123)</f>
        <v>0</v>
      </c>
      <c r="S24" s="132">
        <f>-(Расчет!S123-Расчет!R123)</f>
        <v>0</v>
      </c>
      <c r="T24" s="132">
        <f>-(Расчет!T123-Расчет!S123)</f>
        <v>0</v>
      </c>
      <c r="U24" s="132">
        <f>-(Расчет!U123-Расчет!T123)</f>
        <v>0</v>
      </c>
    </row>
    <row r="25" spans="1:21" s="40" customFormat="1">
      <c r="A25" s="122" t="s">
        <v>199</v>
      </c>
      <c r="B25" s="122" t="s">
        <v>93</v>
      </c>
      <c r="C25" s="122"/>
      <c r="D25" s="122"/>
      <c r="E25" s="114"/>
      <c r="F25" s="48">
        <f>F17+F18+F19+F20</f>
        <v>-2248.3125</v>
      </c>
      <c r="G25" s="48">
        <f t="shared" ref="G25:U25" si="7">G17+G18+G19+G20</f>
        <v>-1521.7489119622257</v>
      </c>
      <c r="H25" s="48">
        <f t="shared" si="7"/>
        <v>-598.90014496457434</v>
      </c>
      <c r="I25" s="48">
        <f t="shared" si="7"/>
        <v>528.92614575930384</v>
      </c>
      <c r="J25" s="48">
        <f t="shared" si="7"/>
        <v>1253.6157469791001</v>
      </c>
      <c r="K25" s="48">
        <f t="shared" si="7"/>
        <v>2338.104314884783</v>
      </c>
      <c r="L25" s="48">
        <f t="shared" si="7"/>
        <v>3464.4988438212713</v>
      </c>
      <c r="M25" s="48">
        <f t="shared" si="7"/>
        <v>4633.796443878784</v>
      </c>
      <c r="N25" s="48">
        <f t="shared" si="7"/>
        <v>5395.4823650852595</v>
      </c>
      <c r="O25" s="48">
        <f t="shared" si="7"/>
        <v>5465.0526906736341</v>
      </c>
      <c r="P25" s="48">
        <f t="shared" si="7"/>
        <v>5584.6647074085395</v>
      </c>
      <c r="Q25" s="48">
        <f t="shared" si="7"/>
        <v>5677.3509968415501</v>
      </c>
      <c r="R25" s="48">
        <f t="shared" si="7"/>
        <v>5380.2487146613576</v>
      </c>
      <c r="S25" s="48">
        <f t="shared" si="7"/>
        <v>5467.945860085958</v>
      </c>
      <c r="T25" s="48">
        <f t="shared" si="7"/>
        <v>5556.9633230033196</v>
      </c>
      <c r="U25" s="48">
        <f t="shared" si="7"/>
        <v>5647.3401829271879</v>
      </c>
    </row>
    <row r="26" spans="1:21">
      <c r="A26" s="113"/>
    </row>
    <row r="27" spans="1:21" s="113" customFormat="1">
      <c r="A27" s="113" t="s">
        <v>200</v>
      </c>
      <c r="B27" t="s">
        <v>93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</row>
    <row r="28" spans="1:21">
      <c r="A28" t="s">
        <v>201</v>
      </c>
      <c r="B28" t="s">
        <v>93</v>
      </c>
      <c r="F28" s="133">
        <f>-Расчет!F88 * 1000 - Расчет!E80*1000</f>
        <v>-13125</v>
      </c>
      <c r="G28" s="133">
        <f>-Расчет!G88 * 1000</f>
        <v>-656.25</v>
      </c>
      <c r="H28" s="133">
        <f>-Расчет!H88 * 1000</f>
        <v>-689.0625</v>
      </c>
      <c r="I28" s="133">
        <f>-Расчет!I88 * 1000</f>
        <v>-723.515625</v>
      </c>
      <c r="J28" s="133">
        <f>-Расчет!J88 * 1000</f>
        <v>-759.69140625</v>
      </c>
      <c r="K28" s="133">
        <f>-Расчет!K88 * 1000</f>
        <v>-797.67597656249984</v>
      </c>
      <c r="L28" s="133">
        <f>-Расчет!L88 * 1000</f>
        <v>-837.55977539062485</v>
      </c>
      <c r="M28" s="133">
        <f>-Расчет!M88 * 1000</f>
        <v>-879.43776416015612</v>
      </c>
      <c r="N28" s="133">
        <f>-Расчет!N88 * 1000</f>
        <v>-923.40965236816373</v>
      </c>
      <c r="O28" s="133">
        <f>-Расчет!O88 * 1000</f>
        <v>-969.58013498657203</v>
      </c>
      <c r="P28" s="133">
        <f>-Расчет!P88 * 1000</f>
        <v>-1018.0591417359007</v>
      </c>
      <c r="Q28" s="133">
        <f>-Расчет!Q88 * 1000</f>
        <v>-1068.9620988226955</v>
      </c>
      <c r="R28" s="133">
        <f>-Расчет!R88 * 1000</f>
        <v>-1122.4102037638304</v>
      </c>
      <c r="S28" s="133">
        <f>-Расчет!S88 * 1000</f>
        <v>-1178.5307139520219</v>
      </c>
      <c r="T28" s="133">
        <f>-Расчет!T88 * 1000</f>
        <v>-1237.457249649623</v>
      </c>
      <c r="U28" s="133">
        <f>-Расчет!U88 * 1000</f>
        <v>-1299.3301121321042</v>
      </c>
    </row>
    <row r="29" spans="1:21" s="40" customFormat="1">
      <c r="A29" s="122" t="s">
        <v>202</v>
      </c>
      <c r="B29" s="122" t="s">
        <v>93</v>
      </c>
      <c r="C29" s="122"/>
      <c r="D29" s="122"/>
      <c r="E29" s="122"/>
      <c r="F29" s="48">
        <f>F27+F28</f>
        <v>-13125</v>
      </c>
      <c r="G29" s="48">
        <f t="shared" ref="G29:U29" si="8">G27+G28</f>
        <v>-656.25</v>
      </c>
      <c r="H29" s="48">
        <f t="shared" si="8"/>
        <v>-689.0625</v>
      </c>
      <c r="I29" s="48">
        <f t="shared" si="8"/>
        <v>-723.515625</v>
      </c>
      <c r="J29" s="48">
        <f t="shared" si="8"/>
        <v>-759.69140625</v>
      </c>
      <c r="K29" s="48">
        <f t="shared" si="8"/>
        <v>-797.67597656249984</v>
      </c>
      <c r="L29" s="48">
        <f t="shared" si="8"/>
        <v>-837.55977539062485</v>
      </c>
      <c r="M29" s="48">
        <f t="shared" si="8"/>
        <v>-879.43776416015612</v>
      </c>
      <c r="N29" s="48">
        <f t="shared" si="8"/>
        <v>-923.40965236816373</v>
      </c>
      <c r="O29" s="48">
        <f t="shared" si="8"/>
        <v>-969.58013498657203</v>
      </c>
      <c r="P29" s="48">
        <f t="shared" si="8"/>
        <v>-1018.0591417359007</v>
      </c>
      <c r="Q29" s="48">
        <f t="shared" si="8"/>
        <v>-1068.9620988226955</v>
      </c>
      <c r="R29" s="48">
        <f t="shared" si="8"/>
        <v>-1122.4102037638304</v>
      </c>
      <c r="S29" s="48">
        <f t="shared" si="8"/>
        <v>-1178.5307139520219</v>
      </c>
      <c r="T29" s="48">
        <f t="shared" si="8"/>
        <v>-1237.457249649623</v>
      </c>
      <c r="U29" s="48">
        <f t="shared" si="8"/>
        <v>-1299.3301121321042</v>
      </c>
    </row>
    <row r="31" spans="1:21">
      <c r="A31" t="s">
        <v>203</v>
      </c>
      <c r="B31" t="s">
        <v>93</v>
      </c>
      <c r="F31" s="18">
        <f>Расчет!F104*1000</f>
        <v>11875</v>
      </c>
      <c r="G31" s="18">
        <f>Расчет!G104</f>
        <v>0</v>
      </c>
      <c r="H31" s="18">
        <f>Расчет!H104</f>
        <v>0</v>
      </c>
      <c r="I31" s="18">
        <f>Расчет!I104</f>
        <v>0</v>
      </c>
      <c r="J31" s="18">
        <f>Расчет!J104</f>
        <v>0</v>
      </c>
      <c r="K31" s="18">
        <f>Расчет!K104</f>
        <v>0</v>
      </c>
      <c r="L31" s="18">
        <f>Расчет!L104</f>
        <v>0</v>
      </c>
      <c r="M31" s="18">
        <f>Расчет!M104</f>
        <v>0</v>
      </c>
      <c r="N31" s="18">
        <f>Расчет!N104</f>
        <v>0</v>
      </c>
      <c r="O31" s="18">
        <f>Расчет!O104</f>
        <v>0</v>
      </c>
      <c r="P31" s="18">
        <f>Расчет!P104</f>
        <v>0</v>
      </c>
      <c r="Q31" s="18">
        <f>Расчет!Q104</f>
        <v>0</v>
      </c>
      <c r="R31" s="18">
        <f>Расчет!R104</f>
        <v>0</v>
      </c>
      <c r="S31" s="18">
        <f>Расчет!S104</f>
        <v>0</v>
      </c>
      <c r="T31" s="18">
        <f>Расчет!T104</f>
        <v>0</v>
      </c>
      <c r="U31" s="18">
        <f>Расчет!U104</f>
        <v>0</v>
      </c>
    </row>
    <row r="32" spans="1:21">
      <c r="A32" t="s">
        <v>204</v>
      </c>
      <c r="B32" t="s">
        <v>93</v>
      </c>
      <c r="F32" s="18">
        <f>-Расчет!F105*1000</f>
        <v>0</v>
      </c>
      <c r="G32" s="18">
        <f>-Расчет!G105*1000</f>
        <v>-737.2046596085047</v>
      </c>
      <c r="H32" s="18">
        <f>-Расчет!H105*1000</f>
        <v>-752.87025862518544</v>
      </c>
      <c r="I32" s="18">
        <f>-Расчет!I105*1000</f>
        <v>-768.86875162097056</v>
      </c>
      <c r="J32" s="18">
        <f>-Расчет!J105*1000</f>
        <v>-785.20721259291611</v>
      </c>
      <c r="K32" s="18">
        <f>-Расчет!K105*1000</f>
        <v>-801.89286586051571</v>
      </c>
      <c r="L32" s="18">
        <f>-Расчет!L105*1000</f>
        <v>-818.93308926005159</v>
      </c>
      <c r="M32" s="18">
        <f>-Расчет!M105*1000</f>
        <v>-836.33541740682767</v>
      </c>
      <c r="N32" s="18">
        <f>-Расчет!N105*1000</f>
        <v>-854.10754502672285</v>
      </c>
      <c r="O32" s="18">
        <f>-Расчет!O105*1000</f>
        <v>-872.25733035854057</v>
      </c>
      <c r="P32" s="18">
        <f>-Расчет!P105*1000</f>
        <v>-890.79279862865963</v>
      </c>
      <c r="Q32" s="18">
        <f>-Расчет!Q105*1000</f>
        <v>-909.72214559951863</v>
      </c>
      <c r="R32" s="18">
        <f>-Расчет!R105*1000</f>
        <v>-929.05374119350836</v>
      </c>
      <c r="S32" s="18">
        <f>-Расчет!S105*1000</f>
        <v>-948.79613319387045</v>
      </c>
      <c r="T32" s="18">
        <f>-Расчет!T105*1000</f>
        <v>-968.95805102424026</v>
      </c>
      <c r="U32" s="18">
        <f>-Расчет!U105*1000</f>
        <v>0</v>
      </c>
    </row>
    <row r="33" spans="1:21">
      <c r="A33" t="s">
        <v>205</v>
      </c>
      <c r="B33" t="s">
        <v>93</v>
      </c>
      <c r="F33" s="133">
        <f>Расчет!F86*1000</f>
        <v>4000</v>
      </c>
      <c r="G33" s="133">
        <f>Расчет!G86*1000</f>
        <v>5000</v>
      </c>
      <c r="H33" s="133">
        <f>Расчет!H86*1000</f>
        <v>0</v>
      </c>
      <c r="I33" s="133">
        <f>Расчет!I86*1000</f>
        <v>0</v>
      </c>
      <c r="J33" s="133">
        <f>Расчет!J86*1000</f>
        <v>0</v>
      </c>
      <c r="K33" s="133">
        <f>Расчет!K86*1000</f>
        <v>0</v>
      </c>
      <c r="L33" s="133">
        <f>Расчет!L86*1000</f>
        <v>0</v>
      </c>
      <c r="M33" s="133">
        <f>Расчет!M86*1000</f>
        <v>0</v>
      </c>
      <c r="N33" s="133">
        <f>Расчет!N86*1000</f>
        <v>0</v>
      </c>
      <c r="O33" s="133">
        <f>Расчет!O86*1000</f>
        <v>0</v>
      </c>
      <c r="P33" s="133">
        <f>Расчет!P86*1000</f>
        <v>0</v>
      </c>
      <c r="Q33" s="133">
        <f>Расчет!Q86*1000</f>
        <v>0</v>
      </c>
      <c r="R33" s="133">
        <f>Расчет!R86*1000</f>
        <v>0</v>
      </c>
      <c r="S33" s="133">
        <f>Расчет!S86*1000</f>
        <v>0</v>
      </c>
      <c r="T33" s="133">
        <f>Расчет!T86*1000</f>
        <v>0</v>
      </c>
      <c r="U33" s="133">
        <f>Расчет!U86*1000</f>
        <v>0</v>
      </c>
    </row>
    <row r="34" spans="1:21" s="40" customFormat="1">
      <c r="A34" s="122" t="s">
        <v>206</v>
      </c>
      <c r="B34" s="122" t="s">
        <v>93</v>
      </c>
      <c r="C34" s="122"/>
      <c r="D34" s="122"/>
      <c r="E34" s="122"/>
      <c r="F34" s="48">
        <f>SUM(F31:F33)</f>
        <v>15875</v>
      </c>
      <c r="G34" s="48">
        <f t="shared" ref="G34:U34" si="9">SUM(G31:G33)</f>
        <v>4262.7953403914953</v>
      </c>
      <c r="H34" s="48">
        <f t="shared" si="9"/>
        <v>-752.87025862518544</v>
      </c>
      <c r="I34" s="48">
        <f t="shared" si="9"/>
        <v>-768.86875162097056</v>
      </c>
      <c r="J34" s="48">
        <f t="shared" si="9"/>
        <v>-785.20721259291611</v>
      </c>
      <c r="K34" s="48">
        <f t="shared" si="9"/>
        <v>-801.89286586051571</v>
      </c>
      <c r="L34" s="48">
        <f t="shared" si="9"/>
        <v>-818.93308926005159</v>
      </c>
      <c r="M34" s="48">
        <f t="shared" si="9"/>
        <v>-836.33541740682767</v>
      </c>
      <c r="N34" s="48">
        <f t="shared" si="9"/>
        <v>-854.10754502672285</v>
      </c>
      <c r="O34" s="48">
        <f t="shared" si="9"/>
        <v>-872.25733035854057</v>
      </c>
      <c r="P34" s="48">
        <f t="shared" si="9"/>
        <v>-890.79279862865963</v>
      </c>
      <c r="Q34" s="48">
        <f t="shared" si="9"/>
        <v>-909.72214559951863</v>
      </c>
      <c r="R34" s="48">
        <f t="shared" si="9"/>
        <v>-929.05374119350836</v>
      </c>
      <c r="S34" s="48">
        <f t="shared" si="9"/>
        <v>-948.79613319387045</v>
      </c>
      <c r="T34" s="48">
        <f t="shared" si="9"/>
        <v>-968.95805102424026</v>
      </c>
      <c r="U34" s="48">
        <f t="shared" si="9"/>
        <v>0</v>
      </c>
    </row>
    <row r="36" spans="1:21" s="29" customFormat="1">
      <c r="A36" s="122" t="s">
        <v>207</v>
      </c>
      <c r="B36" s="122" t="s">
        <v>93</v>
      </c>
      <c r="C36" s="122"/>
      <c r="D36" s="122"/>
      <c r="E36" s="122"/>
      <c r="F36" s="48">
        <f>F25+F29+F34</f>
        <v>501.6875</v>
      </c>
      <c r="G36" s="48">
        <f t="shared" ref="G36:U36" si="10">G25+G29+G34</f>
        <v>2084.7964284292693</v>
      </c>
      <c r="H36" s="48">
        <f t="shared" si="10"/>
        <v>-2040.8329035897598</v>
      </c>
      <c r="I36" s="48">
        <f t="shared" si="10"/>
        <v>-963.45823086166672</v>
      </c>
      <c r="J36" s="48">
        <f t="shared" si="10"/>
        <v>-291.28287186381601</v>
      </c>
      <c r="K36" s="48">
        <f t="shared" si="10"/>
        <v>738.53547246176754</v>
      </c>
      <c r="L36" s="48">
        <f t="shared" si="10"/>
        <v>1808.0059791705949</v>
      </c>
      <c r="M36" s="48">
        <f t="shared" si="10"/>
        <v>2918.0232623118004</v>
      </c>
      <c r="N36" s="48">
        <f t="shared" si="10"/>
        <v>3617.9651676903732</v>
      </c>
      <c r="O36" s="48">
        <f t="shared" si="10"/>
        <v>3623.2152253285212</v>
      </c>
      <c r="P36" s="48">
        <f t="shared" si="10"/>
        <v>3675.812767043979</v>
      </c>
      <c r="Q36" s="48">
        <f t="shared" si="10"/>
        <v>3698.6667524193363</v>
      </c>
      <c r="R36" s="48">
        <f t="shared" si="10"/>
        <v>3328.7847697040188</v>
      </c>
      <c r="S36" s="48">
        <f t="shared" si="10"/>
        <v>3340.6190129400657</v>
      </c>
      <c r="T36" s="48">
        <f t="shared" si="10"/>
        <v>3350.5480223294562</v>
      </c>
      <c r="U36" s="48">
        <f t="shared" si="10"/>
        <v>4348.0100707950842</v>
      </c>
    </row>
    <row r="39" spans="1:21" ht="21">
      <c r="A39" s="124" t="s">
        <v>208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t="s">
        <v>74</v>
      </c>
      <c r="B40" t="s">
        <v>93</v>
      </c>
      <c r="E40" s="134">
        <f>Допущения!C92</f>
        <v>0</v>
      </c>
      <c r="F40" s="18">
        <f>Расчет!F90*1000</f>
        <v>12083.333333333334</v>
      </c>
      <c r="G40" s="18">
        <f>Расчет!G90*1000</f>
        <v>11645.833333333334</v>
      </c>
      <c r="H40" s="18">
        <f>Расчет!H90*1000</f>
        <v>11186.458333333334</v>
      </c>
      <c r="I40" s="18">
        <f>Расчет!I90*1000</f>
        <v>10704.114583333334</v>
      </c>
      <c r="J40" s="18">
        <f>Расчет!J90*1000</f>
        <v>10197.653645833334</v>
      </c>
      <c r="K40" s="18">
        <f>Расчет!K90*1000</f>
        <v>9665.869661458335</v>
      </c>
      <c r="L40" s="18">
        <f>Расчет!L90*1000</f>
        <v>9107.4964778645844</v>
      </c>
      <c r="M40" s="18">
        <f>Расчет!M90*1000</f>
        <v>8521.2046350911478</v>
      </c>
      <c r="N40" s="18">
        <f>Расчет!N90*1000</f>
        <v>7905.5982001790398</v>
      </c>
      <c r="O40" s="18">
        <f>Расчет!O90*1000</f>
        <v>7259.2114435213261</v>
      </c>
      <c r="P40" s="18">
        <f>Расчет!P90*1000</f>
        <v>6580.5053490307264</v>
      </c>
      <c r="Q40" s="18">
        <f>Расчет!Q90*1000</f>
        <v>5867.8639498155962</v>
      </c>
      <c r="R40" s="18">
        <f>Расчет!R90*1000</f>
        <v>5119.5904806397102</v>
      </c>
      <c r="S40" s="18">
        <f>Расчет!S90*1000</f>
        <v>4333.9033380050278</v>
      </c>
      <c r="T40" s="18">
        <f>Расчет!T90*1000</f>
        <v>3508.9318382386123</v>
      </c>
      <c r="U40" s="18">
        <f>Расчет!U90*1000</f>
        <v>2642.711763483876</v>
      </c>
    </row>
    <row r="41" spans="1:21">
      <c r="A41" t="s">
        <v>88</v>
      </c>
      <c r="B41" t="s">
        <v>93</v>
      </c>
      <c r="E41" s="134">
        <f>Допущения!C93</f>
        <v>0</v>
      </c>
      <c r="F41" s="18">
        <f>Расчет!F76</f>
        <v>0</v>
      </c>
      <c r="G41" s="18">
        <f>Расчет!G76</f>
        <v>73.226847044257809</v>
      </c>
      <c r="H41" s="18">
        <f>Расчет!H76</f>
        <v>147.55392746535554</v>
      </c>
      <c r="I41" s="18">
        <f>Расчет!I76</f>
        <v>222.99363951815852</v>
      </c>
      <c r="J41" s="18">
        <f>Расчет!J76</f>
        <v>299.55850564671817</v>
      </c>
      <c r="K41" s="18">
        <f>Расчет!K76</f>
        <v>377.26117365048634</v>
      </c>
      <c r="L41" s="18">
        <f>Расчет!L76</f>
        <v>456.11441786104257</v>
      </c>
      <c r="M41" s="18">
        <f>Расчет!M76</f>
        <v>536.13114032942747</v>
      </c>
      <c r="N41" s="18">
        <f>Расчет!N76</f>
        <v>617.32437202417407</v>
      </c>
      <c r="O41" s="18">
        <f>Расчет!O76</f>
        <v>633.69715384766596</v>
      </c>
      <c r="P41" s="18">
        <f>Расчет!P76</f>
        <v>638.4578037159464</v>
      </c>
      <c r="Q41" s="18">
        <f>Расчет!Q76</f>
        <v>643.25421796636238</v>
      </c>
      <c r="R41" s="18">
        <f>Расчет!R76</f>
        <v>648.08666527883463</v>
      </c>
      <c r="S41" s="18">
        <f>Расчет!S76</f>
        <v>652.95541635174175</v>
      </c>
      <c r="T41" s="18">
        <f>Расчет!T76</f>
        <v>657.86074391708416</v>
      </c>
      <c r="U41" s="18">
        <f>Расчет!U76</f>
        <v>662.80292275576107</v>
      </c>
    </row>
    <row r="42" spans="1:21">
      <c r="A42" t="s">
        <v>89</v>
      </c>
      <c r="B42" t="s">
        <v>93</v>
      </c>
      <c r="E42" s="134">
        <f>Допущения!C94</f>
        <v>150</v>
      </c>
      <c r="F42" s="18">
        <f>Расчет!F77</f>
        <v>150</v>
      </c>
      <c r="G42" s="18">
        <f>Расчет!G77</f>
        <v>156.9146722376953</v>
      </c>
      <c r="H42" s="18">
        <f>Расчет!H77</f>
        <v>316.18698742576186</v>
      </c>
      <c r="I42" s="18">
        <f>Расчет!I77</f>
        <v>477.84351325319682</v>
      </c>
      <c r="J42" s="18">
        <f>Расчет!J77</f>
        <v>641.91108352868173</v>
      </c>
      <c r="K42" s="18">
        <f>Расчет!K77</f>
        <v>808.41680067961352</v>
      </c>
      <c r="L42" s="18">
        <f>Расчет!L77</f>
        <v>977.38803827366257</v>
      </c>
      <c r="M42" s="18">
        <f>Расчет!M77</f>
        <v>1148.8524435630588</v>
      </c>
      <c r="N42" s="18">
        <f>Расчет!N77</f>
        <v>1322.8379400518015</v>
      </c>
      <c r="O42" s="18">
        <f>Расчет!O77</f>
        <v>1357.9224725307126</v>
      </c>
      <c r="P42" s="18">
        <f>Расчет!P77</f>
        <v>1368.1238651055994</v>
      </c>
      <c r="Q42" s="18">
        <f>Расчет!Q77</f>
        <v>1378.4018956422051</v>
      </c>
      <c r="R42" s="18">
        <f>Расчет!R77</f>
        <v>1388.757139883217</v>
      </c>
      <c r="S42" s="18">
        <f>Расчет!S77</f>
        <v>1399.1901778965894</v>
      </c>
      <c r="T42" s="18">
        <f>Расчет!T77</f>
        <v>1409.7015941080374</v>
      </c>
      <c r="U42" s="18">
        <f>Расчет!U77</f>
        <v>1420.2919773337737</v>
      </c>
    </row>
    <row r="43" spans="1:21">
      <c r="A43" t="s">
        <v>90</v>
      </c>
      <c r="B43" t="s">
        <v>93</v>
      </c>
      <c r="E43" s="134">
        <f>Допущения!C95</f>
        <v>0</v>
      </c>
      <c r="F43" s="18">
        <f>Расчет!F123</f>
        <v>0</v>
      </c>
      <c r="G43" s="18">
        <f>Расчет!G123</f>
        <v>0</v>
      </c>
      <c r="H43" s="18">
        <f>Расчет!H123</f>
        <v>0</v>
      </c>
      <c r="I43" s="18">
        <f>Расчет!I123</f>
        <v>0</v>
      </c>
      <c r="J43" s="18">
        <f>Расчет!J123</f>
        <v>0</v>
      </c>
      <c r="K43" s="18">
        <f>Расчет!K123</f>
        <v>0</v>
      </c>
      <c r="L43" s="18">
        <f>Расчет!L123</f>
        <v>0</v>
      </c>
      <c r="M43" s="18">
        <f>Расчет!M123</f>
        <v>0</v>
      </c>
      <c r="N43" s="18">
        <f>Расчет!N123</f>
        <v>0</v>
      </c>
      <c r="O43" s="18">
        <f>Расчет!O123</f>
        <v>0</v>
      </c>
      <c r="P43" s="18">
        <f>Расчет!P123</f>
        <v>0</v>
      </c>
      <c r="Q43" s="18">
        <f>Расчет!Q123</f>
        <v>0</v>
      </c>
      <c r="R43" s="18">
        <f>Расчет!R123</f>
        <v>0</v>
      </c>
      <c r="S43" s="18">
        <f>Расчет!S123</f>
        <v>0</v>
      </c>
      <c r="T43" s="18">
        <f>Расчет!T123</f>
        <v>0</v>
      </c>
      <c r="U43" s="18">
        <f>Расчет!U123</f>
        <v>0</v>
      </c>
    </row>
    <row r="44" spans="1:21">
      <c r="A44" t="s">
        <v>91</v>
      </c>
      <c r="B44" t="s">
        <v>93</v>
      </c>
      <c r="E44" s="134">
        <f>Допущения!C96</f>
        <v>1850</v>
      </c>
      <c r="F44" s="133">
        <f>E44+F23+F21+F22+F24+F31+F32+F33+F29+F18+F17</f>
        <v>2351.6875</v>
      </c>
      <c r="G44" s="133">
        <f t="shared" ref="G44:U44" si="11">F44+G23+G21+G22+G24+G31+G32+G33+G29+G18+G17</f>
        <v>4436.4839284292702</v>
      </c>
      <c r="H44" s="133">
        <f t="shared" si="11"/>
        <v>2395.6510248395107</v>
      </c>
      <c r="I44" s="133">
        <f t="shared" si="11"/>
        <v>1432.1927939778438</v>
      </c>
      <c r="J44" s="133">
        <f t="shared" si="11"/>
        <v>1140.9099221140277</v>
      </c>
      <c r="K44" s="133">
        <f t="shared" si="11"/>
        <v>1879.4453945757955</v>
      </c>
      <c r="L44" s="133">
        <f t="shared" si="11"/>
        <v>3687.4513737463908</v>
      </c>
      <c r="M44" s="133">
        <f t="shared" si="11"/>
        <v>6605.4746360581903</v>
      </c>
      <c r="N44" s="133">
        <f t="shared" si="11"/>
        <v>10223.439803748563</v>
      </c>
      <c r="O44" s="133">
        <f t="shared" si="11"/>
        <v>13846.655029077083</v>
      </c>
      <c r="P44" s="133">
        <f t="shared" si="11"/>
        <v>17522.467796121062</v>
      </c>
      <c r="Q44" s="133">
        <f t="shared" si="11"/>
        <v>21221.134548540394</v>
      </c>
      <c r="R44" s="133">
        <f t="shared" si="11"/>
        <v>24549.919318244414</v>
      </c>
      <c r="S44" s="133">
        <f t="shared" si="11"/>
        <v>27890.538331184478</v>
      </c>
      <c r="T44" s="133">
        <f t="shared" si="11"/>
        <v>31241.086353513936</v>
      </c>
      <c r="U44" s="133">
        <f t="shared" si="11"/>
        <v>35589.09642430902</v>
      </c>
    </row>
    <row r="45" spans="1:21" s="29" customFormat="1">
      <c r="A45" s="33" t="s">
        <v>92</v>
      </c>
      <c r="B45" s="33" t="s">
        <v>93</v>
      </c>
      <c r="C45" s="123"/>
      <c r="D45" s="123"/>
      <c r="E45" s="135">
        <f>SUM(E40:E44)</f>
        <v>2000</v>
      </c>
      <c r="F45" s="135">
        <f t="shared" ref="F45:U45" si="12">SUM(F40:F44)</f>
        <v>14585.020833333334</v>
      </c>
      <c r="G45" s="135">
        <f t="shared" si="12"/>
        <v>16312.458781044557</v>
      </c>
      <c r="H45" s="135">
        <f t="shared" si="12"/>
        <v>14045.850273063963</v>
      </c>
      <c r="I45" s="135">
        <f t="shared" si="12"/>
        <v>12837.144530082534</v>
      </c>
      <c r="J45" s="135">
        <f t="shared" si="12"/>
        <v>12280.033157122762</v>
      </c>
      <c r="K45" s="135">
        <f t="shared" si="12"/>
        <v>12730.99303036423</v>
      </c>
      <c r="L45" s="135">
        <f t="shared" si="12"/>
        <v>14228.450307745681</v>
      </c>
      <c r="M45" s="135">
        <f t="shared" si="12"/>
        <v>16811.662855041825</v>
      </c>
      <c r="N45" s="135">
        <f t="shared" si="12"/>
        <v>20069.200316003578</v>
      </c>
      <c r="O45" s="135">
        <f t="shared" si="12"/>
        <v>23097.486098976788</v>
      </c>
      <c r="P45" s="135">
        <f t="shared" si="12"/>
        <v>26109.554813973336</v>
      </c>
      <c r="Q45" s="135">
        <f t="shared" si="12"/>
        <v>29110.654611964557</v>
      </c>
      <c r="R45" s="135">
        <f t="shared" si="12"/>
        <v>31706.353604046177</v>
      </c>
      <c r="S45" s="135">
        <f t="shared" si="12"/>
        <v>34276.587263437839</v>
      </c>
      <c r="T45" s="135">
        <f t="shared" si="12"/>
        <v>36817.580529777668</v>
      </c>
      <c r="U45" s="135">
        <f t="shared" si="12"/>
        <v>40314.903087882427</v>
      </c>
    </row>
    <row r="46" spans="1:21">
      <c r="A46" t="s">
        <v>94</v>
      </c>
      <c r="B46" t="s">
        <v>93</v>
      </c>
      <c r="E46" s="134">
        <f>Допущения!C98</f>
        <v>2000</v>
      </c>
      <c r="F46" s="18">
        <f>E46+F33</f>
        <v>6000</v>
      </c>
      <c r="G46" s="18">
        <f t="shared" ref="G46:U46" si="13">F46+G33</f>
        <v>11000</v>
      </c>
      <c r="H46" s="18">
        <f t="shared" si="13"/>
        <v>11000</v>
      </c>
      <c r="I46" s="18">
        <f t="shared" si="13"/>
        <v>11000</v>
      </c>
      <c r="J46" s="18">
        <f t="shared" si="13"/>
        <v>11000</v>
      </c>
      <c r="K46" s="18">
        <f t="shared" si="13"/>
        <v>11000</v>
      </c>
      <c r="L46" s="18">
        <f t="shared" si="13"/>
        <v>11000</v>
      </c>
      <c r="M46" s="18">
        <f t="shared" si="13"/>
        <v>11000</v>
      </c>
      <c r="N46" s="18">
        <f t="shared" si="13"/>
        <v>11000</v>
      </c>
      <c r="O46" s="18">
        <f t="shared" si="13"/>
        <v>11000</v>
      </c>
      <c r="P46" s="18">
        <f t="shared" si="13"/>
        <v>11000</v>
      </c>
      <c r="Q46" s="18">
        <f t="shared" si="13"/>
        <v>11000</v>
      </c>
      <c r="R46" s="18">
        <f t="shared" si="13"/>
        <v>11000</v>
      </c>
      <c r="S46" s="18">
        <f t="shared" si="13"/>
        <v>11000</v>
      </c>
      <c r="T46" s="18">
        <f t="shared" si="13"/>
        <v>11000</v>
      </c>
      <c r="U46" s="18">
        <f t="shared" si="13"/>
        <v>11000</v>
      </c>
    </row>
    <row r="47" spans="1:21">
      <c r="A47" t="s">
        <v>95</v>
      </c>
      <c r="B47" t="s">
        <v>93</v>
      </c>
      <c r="E47" s="134">
        <f>Допущения!C99</f>
        <v>0</v>
      </c>
      <c r="F47" s="18">
        <f>E47+F13</f>
        <v>-3289.979166666667</v>
      </c>
      <c r="G47" s="18">
        <f t="shared" ref="G47:U47" si="14">F47+G13</f>
        <v>-5877.6414500928386</v>
      </c>
      <c r="H47" s="18">
        <f t="shared" si="14"/>
        <v>-7444.4704711776039</v>
      </c>
      <c r="I47" s="18">
        <f t="shared" si="14"/>
        <v>-7938.1929711472076</v>
      </c>
      <c r="J47" s="18">
        <f t="shared" si="14"/>
        <v>-7764.7863216058913</v>
      </c>
      <c r="K47" s="18">
        <f t="shared" si="14"/>
        <v>-6567.4354882208854</v>
      </c>
      <c r="L47" s="18">
        <f t="shared" si="14"/>
        <v>-4307.3688674440664</v>
      </c>
      <c r="M47" s="18">
        <f t="shared" si="14"/>
        <v>-944.975704504227</v>
      </c>
      <c r="N47" s="18">
        <f t="shared" si="14"/>
        <v>3108.6741359880011</v>
      </c>
      <c r="O47" s="18">
        <f t="shared" si="14"/>
        <v>6997.5224051601144</v>
      </c>
      <c r="P47" s="18">
        <f t="shared" si="14"/>
        <v>10896.98345459369</v>
      </c>
      <c r="Q47" s="18">
        <f t="shared" si="14"/>
        <v>14804.379388005567</v>
      </c>
      <c r="R47" s="18">
        <f t="shared" si="14"/>
        <v>18325.680373200354</v>
      </c>
      <c r="S47" s="18">
        <f t="shared" si="14"/>
        <v>21841.232486448098</v>
      </c>
      <c r="T47" s="18">
        <f t="shared" si="14"/>
        <v>25347.679998408355</v>
      </c>
      <c r="U47" s="18">
        <f t="shared" si="14"/>
        <v>28841.472428771205</v>
      </c>
    </row>
    <row r="48" spans="1:21">
      <c r="A48" t="s">
        <v>78</v>
      </c>
      <c r="B48" t="s">
        <v>93</v>
      </c>
      <c r="E48" s="134">
        <f>Допущения!C100</f>
        <v>0</v>
      </c>
      <c r="F48" s="18">
        <f>(Расчет!F101+Расчет!F102)*1000</f>
        <v>11875</v>
      </c>
      <c r="G48" s="18">
        <f>(Расчет!G101+Расчет!G102)*1000</f>
        <v>11137.795340391494</v>
      </c>
      <c r="H48" s="18">
        <f>(Расчет!H101+Расчет!H102)*1000</f>
        <v>10384.925081766311</v>
      </c>
      <c r="I48" s="18">
        <f>(Расчет!I101+Расчет!I102)*1000</f>
        <v>9616.0563301453385</v>
      </c>
      <c r="J48" s="18">
        <f>(Расчет!J101+Расчет!J102)*1000</f>
        <v>8830.8491175524232</v>
      </c>
      <c r="K48" s="18">
        <f>(Расчет!K101+Расчет!K102)*1000</f>
        <v>8028.9562516919077</v>
      </c>
      <c r="L48" s="18">
        <f>(Расчет!L101+Расчет!L102)*1000</f>
        <v>7210.0231624318558</v>
      </c>
      <c r="M48" s="18">
        <f>(Расчет!M101+Расчет!M102)*1000</f>
        <v>6373.6877450250286</v>
      </c>
      <c r="N48" s="18">
        <f>(Расчет!N101+Расчет!N102)*1000</f>
        <v>5519.5801999983059</v>
      </c>
      <c r="O48" s="18">
        <f>(Расчет!O101+Расчет!O102)*1000</f>
        <v>4647.3228696397655</v>
      </c>
      <c r="P48" s="18">
        <f>(Расчет!P101+Расчет!P102)*1000</f>
        <v>3756.530071011106</v>
      </c>
      <c r="Q48" s="18">
        <f>(Расчет!Q101+Расчет!Q102)*1000</f>
        <v>2846.8079254115873</v>
      </c>
      <c r="R48" s="18">
        <f>(Расчет!R101+Расчет!R102)*1000</f>
        <v>1917.754184218079</v>
      </c>
      <c r="S48" s="18">
        <f>(Расчет!S101+Расчет!S102)*1000</f>
        <v>968.95805102420854</v>
      </c>
      <c r="T48" s="18">
        <f>(Расчет!T101+Расчет!T102)*1000</f>
        <v>-3.1752378504279477E-11</v>
      </c>
      <c r="U48" s="18">
        <f>(Расчет!U101+Расчет!U102)*1000</f>
        <v>0</v>
      </c>
    </row>
    <row r="49" spans="1:21">
      <c r="A49" t="s">
        <v>96</v>
      </c>
      <c r="B49" t="s">
        <v>93</v>
      </c>
      <c r="E49" s="134">
        <f>Допущения!C101</f>
        <v>0</v>
      </c>
      <c r="F49" s="133">
        <f>Расчет!F75</f>
        <v>0</v>
      </c>
      <c r="G49" s="133">
        <f>Расчет!G75</f>
        <v>52.304890745898433</v>
      </c>
      <c r="H49" s="133">
        <f>Расчет!H75</f>
        <v>105.39566247525396</v>
      </c>
      <c r="I49" s="133">
        <f>Расчет!I75</f>
        <v>159.28117108439895</v>
      </c>
      <c r="J49" s="133">
        <f>Расчет!J75</f>
        <v>213.97036117622724</v>
      </c>
      <c r="K49" s="133">
        <f>Расчет!K75</f>
        <v>269.47226689320451</v>
      </c>
      <c r="L49" s="133">
        <f>Расчет!L75</f>
        <v>325.79601275788752</v>
      </c>
      <c r="M49" s="133">
        <f>Расчет!M75</f>
        <v>382.95081452101959</v>
      </c>
      <c r="N49" s="133">
        <f>Расчет!N75</f>
        <v>440.94598001726717</v>
      </c>
      <c r="O49" s="133">
        <f>Расчет!O75</f>
        <v>452.64082417690423</v>
      </c>
      <c r="P49" s="133">
        <f>Расчет!P75</f>
        <v>456.04128836853312</v>
      </c>
      <c r="Q49" s="133">
        <f>Расчет!Q75</f>
        <v>459.4672985474017</v>
      </c>
      <c r="R49" s="133">
        <f>Расчет!R75</f>
        <v>462.91904662773896</v>
      </c>
      <c r="S49" s="133">
        <f>Расчет!S75</f>
        <v>466.39672596552975</v>
      </c>
      <c r="T49" s="133">
        <f>Расчет!T75</f>
        <v>469.9005313693458</v>
      </c>
      <c r="U49" s="133">
        <f>Расчет!U75</f>
        <v>473.43065911125791</v>
      </c>
    </row>
    <row r="50" spans="1:21" s="29" customFormat="1">
      <c r="A50" s="33" t="s">
        <v>97</v>
      </c>
      <c r="B50" s="33" t="s">
        <v>93</v>
      </c>
      <c r="C50" s="123"/>
      <c r="D50" s="123"/>
      <c r="E50" s="135">
        <f>SUM(E46:E49)</f>
        <v>2000</v>
      </c>
      <c r="F50" s="135">
        <f t="shared" ref="F50:U50" si="15">SUM(F46:F49)</f>
        <v>14585.020833333332</v>
      </c>
      <c r="G50" s="135">
        <f t="shared" si="15"/>
        <v>16312.458781044554</v>
      </c>
      <c r="H50" s="135">
        <f t="shared" si="15"/>
        <v>14045.850273063959</v>
      </c>
      <c r="I50" s="135">
        <f t="shared" si="15"/>
        <v>12837.144530082531</v>
      </c>
      <c r="J50" s="135">
        <f t="shared" si="15"/>
        <v>12280.033157122758</v>
      </c>
      <c r="K50" s="135">
        <f t="shared" si="15"/>
        <v>12730.993030364227</v>
      </c>
      <c r="L50" s="135">
        <f t="shared" si="15"/>
        <v>14228.450307745677</v>
      </c>
      <c r="M50" s="135">
        <f t="shared" si="15"/>
        <v>16811.662855041821</v>
      </c>
      <c r="N50" s="135">
        <f t="shared" si="15"/>
        <v>20069.200316003575</v>
      </c>
      <c r="O50" s="135">
        <f t="shared" si="15"/>
        <v>23097.486098976788</v>
      </c>
      <c r="P50" s="135">
        <f t="shared" si="15"/>
        <v>26109.554813973329</v>
      </c>
      <c r="Q50" s="135">
        <f t="shared" si="15"/>
        <v>29110.654611964557</v>
      </c>
      <c r="R50" s="135">
        <f t="shared" si="15"/>
        <v>31706.353604046173</v>
      </c>
      <c r="S50" s="135">
        <f t="shared" si="15"/>
        <v>34276.587263437839</v>
      </c>
      <c r="T50" s="135">
        <f t="shared" si="15"/>
        <v>36817.580529777675</v>
      </c>
      <c r="U50" s="135">
        <f t="shared" si="15"/>
        <v>40314.903087882456</v>
      </c>
    </row>
    <row r="51" spans="1:21">
      <c r="A51" s="34" t="s">
        <v>98</v>
      </c>
      <c r="E51" s="136">
        <f>E45-E50</f>
        <v>0</v>
      </c>
      <c r="F51" s="136">
        <f>F45-F50</f>
        <v>0</v>
      </c>
      <c r="G51" s="136">
        <f t="shared" ref="G51:U51" si="16">G45-G50</f>
        <v>0</v>
      </c>
      <c r="H51" s="136">
        <f t="shared" si="16"/>
        <v>0</v>
      </c>
      <c r="I51" s="136">
        <f t="shared" si="16"/>
        <v>0</v>
      </c>
      <c r="J51" s="136">
        <f t="shared" si="16"/>
        <v>0</v>
      </c>
      <c r="K51" s="136">
        <f t="shared" si="16"/>
        <v>0</v>
      </c>
      <c r="L51" s="136">
        <f t="shared" si="16"/>
        <v>0</v>
      </c>
      <c r="M51" s="136">
        <f t="shared" si="16"/>
        <v>0</v>
      </c>
      <c r="N51" s="136">
        <f t="shared" si="16"/>
        <v>0</v>
      </c>
      <c r="O51" s="136">
        <f t="shared" si="16"/>
        <v>0</v>
      </c>
      <c r="P51" s="136">
        <f t="shared" si="16"/>
        <v>0</v>
      </c>
      <c r="Q51" s="136">
        <f t="shared" si="16"/>
        <v>0</v>
      </c>
      <c r="R51" s="136">
        <f t="shared" si="16"/>
        <v>0</v>
      </c>
      <c r="S51" s="136">
        <f t="shared" si="16"/>
        <v>0</v>
      </c>
      <c r="T51" s="136">
        <f t="shared" si="16"/>
        <v>0</v>
      </c>
      <c r="U51" s="136">
        <f t="shared" si="16"/>
        <v>0</v>
      </c>
    </row>
    <row r="54" spans="1:21" ht="21">
      <c r="A54" s="124" t="s">
        <v>254</v>
      </c>
      <c r="B54" s="1"/>
      <c r="C54" s="1"/>
      <c r="D54" s="1"/>
      <c r="E54" s="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</row>
    <row r="55" spans="1:21">
      <c r="A55" t="s">
        <v>255</v>
      </c>
      <c r="B55" t="s">
        <v>128</v>
      </c>
      <c r="F55" s="12">
        <f>F48/F40</f>
        <v>0.98275862068965514</v>
      </c>
      <c r="G55" s="12">
        <f t="shared" ref="G55:U55" si="17">G48/G40</f>
        <v>0.95637598629479736</v>
      </c>
      <c r="H55" s="12">
        <f t="shared" si="17"/>
        <v>0.92834789817447227</v>
      </c>
      <c r="I55" s="12">
        <f t="shared" si="17"/>
        <v>0.89835140078917519</v>
      </c>
      <c r="J55" s="12">
        <f t="shared" si="17"/>
        <v>0.86596872420359416</v>
      </c>
      <c r="K55" s="12">
        <f t="shared" si="17"/>
        <v>0.83065016733119712</v>
      </c>
      <c r="L55" s="12">
        <f t="shared" si="17"/>
        <v>0.79165807859004245</v>
      </c>
      <c r="M55" s="12">
        <f t="shared" si="17"/>
        <v>0.74797965991540249</v>
      </c>
      <c r="N55" s="12">
        <f t="shared" si="17"/>
        <v>0.69818628018222617</v>
      </c>
      <c r="O55" s="12">
        <f t="shared" si="17"/>
        <v>0.64019665301076067</v>
      </c>
      <c r="P55" s="12">
        <f t="shared" si="17"/>
        <v>0.57085738431386934</v>
      </c>
      <c r="Q55" s="12">
        <f t="shared" si="17"/>
        <v>0.48515233989040446</v>
      </c>
      <c r="R55" s="12">
        <f t="shared" si="17"/>
        <v>0.37459132551134228</v>
      </c>
      <c r="S55" s="12">
        <f t="shared" si="17"/>
        <v>0.22357629495960032</v>
      </c>
      <c r="T55" s="12">
        <f t="shared" si="17"/>
        <v>-9.049015474811361E-15</v>
      </c>
      <c r="U55" s="12">
        <f t="shared" si="17"/>
        <v>0</v>
      </c>
    </row>
    <row r="56" spans="1:21">
      <c r="A56" t="s">
        <v>258</v>
      </c>
      <c r="B56" t="s">
        <v>128</v>
      </c>
      <c r="C56" t="s">
        <v>262</v>
      </c>
      <c r="F56" s="18"/>
      <c r="G56" s="18"/>
      <c r="H56" s="18"/>
      <c r="I56" s="162">
        <f>I48/SUM(F7:I7)</f>
        <v>-3.5110756639624046</v>
      </c>
      <c r="J56" s="162">
        <f>J48/SUM(G7:J7)</f>
        <v>7.5303422531493007</v>
      </c>
      <c r="K56" s="162">
        <f t="shared" ref="K56:U56" si="18">K48/SUM(H7:K7)</f>
        <v>1.5259023060342325</v>
      </c>
      <c r="L56" s="162">
        <f t="shared" si="18"/>
        <v>0.75725810297655582</v>
      </c>
      <c r="M56" s="162">
        <f t="shared" si="18"/>
        <v>0.45711337000100966</v>
      </c>
      <c r="N56" s="162">
        <f t="shared" si="18"/>
        <v>0.29902346138613461</v>
      </c>
      <c r="O56" s="162">
        <f t="shared" si="18"/>
        <v>0.20928702653552991</v>
      </c>
      <c r="P56" s="162">
        <f t="shared" si="18"/>
        <v>0.15148756864091131</v>
      </c>
      <c r="Q56" s="162">
        <f t="shared" si="18"/>
        <v>0.10870511721157347</v>
      </c>
      <c r="R56" s="162">
        <f t="shared" si="18"/>
        <v>7.2800366278576181E-2</v>
      </c>
      <c r="S56" s="162">
        <f t="shared" si="18"/>
        <v>3.7057052497088273E-2</v>
      </c>
      <c r="T56" s="162">
        <f t="shared" si="18"/>
        <v>-1.2238828877177307E-15</v>
      </c>
      <c r="U56" s="162">
        <f t="shared" si="18"/>
        <v>0</v>
      </c>
    </row>
    <row r="57" spans="1:21">
      <c r="A57" t="s">
        <v>257</v>
      </c>
      <c r="B57" t="s">
        <v>128</v>
      </c>
      <c r="C57" t="s">
        <v>262</v>
      </c>
      <c r="F57" s="4"/>
      <c r="G57" s="4"/>
      <c r="H57" s="4"/>
      <c r="I57" s="13">
        <f>MAX(I48-I44,0)/SUM(F7:I7)</f>
        <v>-2.9881443195115631</v>
      </c>
      <c r="J57" s="13">
        <f t="shared" ref="J57:U57" si="19">MAX(J48-J44,0)/SUM(G7:J7)</f>
        <v>6.5574525480748509</v>
      </c>
      <c r="K57" s="13">
        <f t="shared" si="19"/>
        <v>1.1687139029906497</v>
      </c>
      <c r="L57" s="13">
        <f t="shared" si="19"/>
        <v>0.36997052162020705</v>
      </c>
      <c r="M57" s="13">
        <f t="shared" si="19"/>
        <v>0</v>
      </c>
      <c r="N57" s="13">
        <f t="shared" si="19"/>
        <v>0</v>
      </c>
      <c r="O57" s="13">
        <f t="shared" si="19"/>
        <v>0</v>
      </c>
      <c r="P57" s="13">
        <f t="shared" si="19"/>
        <v>0</v>
      </c>
      <c r="Q57" s="13">
        <f t="shared" si="19"/>
        <v>0</v>
      </c>
      <c r="R57" s="13">
        <f t="shared" si="19"/>
        <v>0</v>
      </c>
      <c r="S57" s="13">
        <f t="shared" si="19"/>
        <v>0</v>
      </c>
      <c r="T57" s="13">
        <f t="shared" si="19"/>
        <v>0</v>
      </c>
      <c r="U57" s="13">
        <f t="shared" si="19"/>
        <v>0</v>
      </c>
    </row>
    <row r="58" spans="1:21">
      <c r="A58" t="s">
        <v>256</v>
      </c>
      <c r="B58" t="s">
        <v>128</v>
      </c>
      <c r="C58" t="s">
        <v>263</v>
      </c>
      <c r="F58" s="4"/>
      <c r="G58" s="13">
        <f>G9/-G10</f>
        <v>-9.2545130736393144</v>
      </c>
      <c r="H58" s="13">
        <f t="shared" ref="H58:T58" si="20">H9/-H10</f>
        <v>-5.6200830730471329</v>
      </c>
      <c r="I58" s="13">
        <f t="shared" si="20"/>
        <v>-1.2372814262630993</v>
      </c>
      <c r="J58" s="13">
        <f t="shared" si="20"/>
        <v>1.9429036232532626</v>
      </c>
      <c r="K58" s="13">
        <f t="shared" si="20"/>
        <v>8.0895311073722862</v>
      </c>
      <c r="L58" s="13">
        <f t="shared" si="20"/>
        <v>15.718403535320238</v>
      </c>
      <c r="M58" s="13">
        <f t="shared" si="20"/>
        <v>25.384305466397628</v>
      </c>
      <c r="N58" s="13">
        <f t="shared" si="20"/>
        <v>34.254774267961501</v>
      </c>
      <c r="O58" s="13">
        <f t="shared" si="20"/>
        <v>42.444416468412989</v>
      </c>
      <c r="P58" s="13">
        <f t="shared" si="20"/>
        <v>50.357461955116349</v>
      </c>
      <c r="Q58" s="13">
        <f t="shared" si="20"/>
        <v>62.185938956319312</v>
      </c>
      <c r="R58" s="13">
        <f t="shared" si="20"/>
        <v>73.76056463849217</v>
      </c>
      <c r="S58" s="13">
        <f t="shared" si="20"/>
        <v>108.83299801091925</v>
      </c>
      <c r="T58" s="13">
        <f t="shared" si="20"/>
        <v>213.86950258845624</v>
      </c>
      <c r="U58" s="13"/>
    </row>
    <row r="59" spans="1:21">
      <c r="A59" t="s">
        <v>259</v>
      </c>
      <c r="B59" t="s">
        <v>128</v>
      </c>
      <c r="C59" t="s">
        <v>262</v>
      </c>
      <c r="F59" s="4"/>
      <c r="G59" s="4"/>
      <c r="H59" s="4"/>
      <c r="I59" s="162">
        <f>I60/I61</f>
        <v>0.85925997422485723</v>
      </c>
      <c r="J59" s="162">
        <f t="shared" ref="J59:U59" si="21">J60/J61</f>
        <v>0.69410855342463917</v>
      </c>
      <c r="K59" s="162">
        <f t="shared" si="21"/>
        <v>0.35398851915058988</v>
      </c>
      <c r="L59" s="162">
        <f t="shared" si="21"/>
        <v>1.3263610795499019</v>
      </c>
      <c r="M59" s="162">
        <f t="shared" si="21"/>
        <v>2.3069804852010862</v>
      </c>
      <c r="N59" s="162">
        <f t="shared" si="21"/>
        <v>3.2946148448734967</v>
      </c>
      <c r="O59" s="162">
        <f t="shared" si="21"/>
        <v>4.0234017654669065</v>
      </c>
      <c r="P59" s="162">
        <f t="shared" si="21"/>
        <v>4.4952853968630562</v>
      </c>
      <c r="Q59" s="162">
        <f t="shared" si="21"/>
        <v>4.6925075545987189</v>
      </c>
      <c r="R59" s="162">
        <f t="shared" si="21"/>
        <v>4.6194488757159053</v>
      </c>
      <c r="S59" s="162">
        <f t="shared" si="21"/>
        <v>4.5480536287415152</v>
      </c>
      <c r="T59" s="162">
        <f t="shared" si="21"/>
        <v>4.4658785826406362</v>
      </c>
      <c r="U59" s="162">
        <f t="shared" si="21"/>
        <v>5.8399053333338271</v>
      </c>
    </row>
    <row r="60" spans="1:21">
      <c r="A60" t="s">
        <v>260</v>
      </c>
      <c r="B60" t="s">
        <v>93</v>
      </c>
      <c r="C60" t="s">
        <v>262</v>
      </c>
      <c r="F60" s="4"/>
      <c r="G60" s="4"/>
      <c r="H60" s="4"/>
      <c r="I60" s="18">
        <f>SUM(F25:I25)+SUM(F29:I29)+SUM(F31:I31)+SUM(F33:I33)+(-SUM(F10:I10))</f>
        <v>2550.8380228033566</v>
      </c>
      <c r="J60" s="18">
        <f t="shared" ref="J60:U60" si="22">SUM(G25:J25)+SUM(G29:J29)+SUM(G31:J31)+SUM(G33:J33)+(-SUM(G10:J10))</f>
        <v>2747.4160605480461</v>
      </c>
      <c r="K60" s="18">
        <f t="shared" si="22"/>
        <v>1401.1551045805436</v>
      </c>
      <c r="L60" s="18">
        <f t="shared" si="22"/>
        <v>5249.9939873408985</v>
      </c>
      <c r="M60" s="18">
        <f t="shared" si="22"/>
        <v>9131.4754805143639</v>
      </c>
      <c r="N60" s="18">
        <f t="shared" si="22"/>
        <v>13040.723520068555</v>
      </c>
      <c r="O60" s="18">
        <f t="shared" si="22"/>
        <v>15925.403272935306</v>
      </c>
      <c r="P60" s="18">
        <f t="shared" si="22"/>
        <v>17793.210060808691</v>
      </c>
      <c r="Q60" s="18">
        <f t="shared" si="22"/>
        <v>18573.853550916225</v>
      </c>
      <c r="R60" s="18">
        <f t="shared" si="22"/>
        <v>18284.673152929874</v>
      </c>
      <c r="S60" s="18">
        <f t="shared" si="22"/>
        <v>18002.076940541418</v>
      </c>
      <c r="T60" s="18">
        <f t="shared" si="22"/>
        <v>17676.8121958269</v>
      </c>
      <c r="U60" s="18">
        <f t="shared" si="22"/>
        <v>17336.607104594139</v>
      </c>
    </row>
    <row r="61" spans="1:21">
      <c r="A61" t="s">
        <v>261</v>
      </c>
      <c r="B61" t="s">
        <v>93</v>
      </c>
      <c r="C61" t="s">
        <v>262</v>
      </c>
      <c r="F61" s="4"/>
      <c r="G61" s="4"/>
      <c r="H61" s="4"/>
      <c r="I61" s="18">
        <f>(-SUM(F32:I32))+(-SUM(F10:I10))</f>
        <v>2968.6452288255141</v>
      </c>
      <c r="J61" s="18">
        <f t="shared" ref="J61:U61" si="23">(-SUM(G32:J32))+(-SUM(G10:J10))</f>
        <v>3958.1936384340188</v>
      </c>
      <c r="K61" s="18">
        <f t="shared" si="23"/>
        <v>3958.1936384340183</v>
      </c>
      <c r="L61" s="18">
        <f t="shared" si="23"/>
        <v>3958.1936384340183</v>
      </c>
      <c r="M61" s="18">
        <f t="shared" si="23"/>
        <v>3958.1936384340183</v>
      </c>
      <c r="N61" s="18">
        <f t="shared" si="23"/>
        <v>3958.1936384340188</v>
      </c>
      <c r="O61" s="18">
        <f t="shared" si="23"/>
        <v>3958.1936384340179</v>
      </c>
      <c r="P61" s="18">
        <f t="shared" si="23"/>
        <v>3958.1936384340188</v>
      </c>
      <c r="Q61" s="18">
        <f t="shared" si="23"/>
        <v>3958.1936384340188</v>
      </c>
      <c r="R61" s="18">
        <f t="shared" si="23"/>
        <v>3958.1936384340183</v>
      </c>
      <c r="S61" s="18">
        <f t="shared" si="23"/>
        <v>3958.1936384340183</v>
      </c>
      <c r="T61" s="18">
        <f t="shared" si="23"/>
        <v>3958.1936384340188</v>
      </c>
      <c r="U61" s="18">
        <f t="shared" si="23"/>
        <v>2968.6452288255141</v>
      </c>
    </row>
    <row r="62" spans="1:21"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6:21"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6:21"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6:21"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</row>
    <row r="68" spans="6:21"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</sheetData>
  <conditionalFormatting sqref="E51:U51">
    <cfRule type="cellIs" dxfId="5" priority="1" operator="equal">
      <formula>0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1"/>
  <sheetViews>
    <sheetView showGridLines="0" zoomScale="85" zoomScaleNormal="85" workbookViewId="0">
      <pane ySplit="1" topLeftCell="A55" activePane="bottomLeft" state="frozen"/>
      <selection pane="bottomLeft" activeCell="B84" sqref="B84"/>
    </sheetView>
  </sheetViews>
  <sheetFormatPr defaultRowHeight="15"/>
  <cols>
    <col min="1" max="1" width="42.85546875" style="3" customWidth="1"/>
    <col min="2" max="2" width="10.7109375" style="3" customWidth="1"/>
    <col min="3" max="3" width="26.28515625" style="3" customWidth="1"/>
    <col min="4" max="16384" width="9.140625" style="3"/>
  </cols>
  <sheetData>
    <row r="1" spans="1:9">
      <c r="B1" s="3" t="s">
        <v>0</v>
      </c>
      <c r="C1" s="3" t="s">
        <v>10</v>
      </c>
      <c r="D1" s="3" t="s">
        <v>20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</row>
    <row r="2" spans="1:9" ht="21">
      <c r="A2" s="124" t="s">
        <v>184</v>
      </c>
      <c r="B2" s="1"/>
      <c r="C2" s="1"/>
      <c r="D2" s="1"/>
      <c r="E2" s="1"/>
      <c r="F2" s="1"/>
      <c r="G2" s="1"/>
      <c r="H2" s="1"/>
      <c r="I2" s="1"/>
    </row>
    <row r="3" spans="1:9">
      <c r="A3" s="122" t="s">
        <v>185</v>
      </c>
      <c r="B3" s="122" t="s">
        <v>93</v>
      </c>
      <c r="C3" s="122"/>
      <c r="D3" s="122"/>
      <c r="E3" s="114"/>
      <c r="F3" s="118">
        <f>SUMIF(Отчетность!$F$1:$U$1,'Годовая отчетность'!F$1,Отчетность!$F4:$U4)</f>
        <v>16530.10206280469</v>
      </c>
      <c r="G3" s="118">
        <f>SUMIF(Отчетность!$F$1:$U$1,'Годовая отчетность'!G$1,Отчетность!$F4:$U4)</f>
        <v>63859.564939341653</v>
      </c>
      <c r="H3" s="118">
        <f>SUMIF(Отчетность!$F$1:$U$1,'Годовая отчетность'!H$1,Отчетность!$F4:$U4)</f>
        <v>99771.64067486026</v>
      </c>
      <c r="I3" s="118">
        <f>SUMIF(Отчетность!$F$1:$U$1,'Годовая отчетность'!I$1,Отчетность!$F4:$U4)</f>
        <v>105580.86093711929</v>
      </c>
    </row>
    <row r="4" spans="1:9">
      <c r="A4" s="3" t="s">
        <v>189</v>
      </c>
      <c r="B4" s="3" t="s">
        <v>93</v>
      </c>
      <c r="E4" s="145"/>
      <c r="F4" s="146">
        <f>SUMIF(Отчетность!$F$1:$U$1,'Годовая отчетность'!F$1,Отчетность!$F5:$U5)</f>
        <v>-10007.145872855199</v>
      </c>
      <c r="G4" s="16">
        <f>SUMIF(Отчетность!$F$1:$U$1,'Годовая отчетность'!G$1,Отчетность!$F5:$U5)</f>
        <v>-38193.536295716811</v>
      </c>
      <c r="H4" s="16">
        <f>SUMIF(Отчетность!$F$1:$U$1,'Годовая отчетность'!H$1,Отчетность!$F5:$U5)</f>
        <v>-59071.10366327814</v>
      </c>
      <c r="I4" s="16">
        <f>SUMIF(Отчетность!$F$1:$U$1,'Годовая отчетность'!I$1,Отчетность!$F5:$U5)</f>
        <v>-62172.486006124789</v>
      </c>
    </row>
    <row r="5" spans="1:9">
      <c r="A5" s="3" t="s">
        <v>190</v>
      </c>
      <c r="B5" s="3" t="s">
        <v>93</v>
      </c>
      <c r="E5" s="145"/>
      <c r="F5" s="147">
        <f>SUMIF(Отчетность!$F$1:$U$1,'Годовая отчетность'!F$1,Отчетность!$F6:$U6)</f>
        <v>-9261.7340604591791</v>
      </c>
      <c r="G5" s="16">
        <f>SUMIF(Отчетность!$F$1:$U$1,'Годовая отчетность'!G$1,Отчетность!$F6:$U6)</f>
        <v>-11722.687312324577</v>
      </c>
      <c r="H5" s="16">
        <f>SUMIF(Отчетность!$F$1:$U$1,'Годовая отчетность'!H$1,Отчетность!$F6:$U6)</f>
        <v>-14512.184536226003</v>
      </c>
      <c r="I5" s="16">
        <f>SUMIF(Отчетность!$F$1:$U$1,'Годовая отчетность'!I$1,Отчетность!$F6:$U6)</f>
        <v>-17677.290860794259</v>
      </c>
    </row>
    <row r="6" spans="1:9">
      <c r="A6" s="122" t="s">
        <v>186</v>
      </c>
      <c r="B6" s="122" t="s">
        <v>93</v>
      </c>
      <c r="C6" s="122"/>
      <c r="D6" s="122"/>
      <c r="E6" s="114"/>
      <c r="F6" s="118">
        <f>SUMIF(Отчетность!$F$1:$U$1,'Годовая отчетность'!F$1,Отчетность!$F7:$U7)</f>
        <v>-2738.7778705096866</v>
      </c>
      <c r="G6" s="48">
        <f>SUMIF(Отчетность!$F$1:$U$1,'Годовая отчетность'!G$1,Отчетность!$F7:$U7)</f>
        <v>13943.341331300266</v>
      </c>
      <c r="H6" s="48">
        <f>SUMIF(Отчетность!$F$1:$U$1,'Годовая отчетность'!H$1,Отчетность!$F7:$U7)</f>
        <v>26188.352475356121</v>
      </c>
      <c r="I6" s="48">
        <f>SUMIF(Отчетность!$F$1:$U$1,'Годовая отчетность'!I$1,Отчетность!$F7:$U7)</f>
        <v>25731.084070200239</v>
      </c>
    </row>
    <row r="7" spans="1:9">
      <c r="A7" s="3" t="s">
        <v>172</v>
      </c>
      <c r="B7" s="3" t="s">
        <v>93</v>
      </c>
      <c r="E7" s="145"/>
      <c r="F7" s="147">
        <f>SUMIF(Отчетность!$F$1:$U$1,'Годовая отчетность'!F$1,Отчетность!$F8:$U8)</f>
        <v>-4489.713541666667</v>
      </c>
      <c r="G7" s="16">
        <f>SUMIF(Отчетность!$F$1:$U$1,'Годовая отчетность'!G$1,Отчетность!$F8:$U8)</f>
        <v>-5457.2748706054681</v>
      </c>
      <c r="H7" s="16">
        <f>SUMIF(Отчетность!$F$1:$U$1,'Годовая отчетность'!H$1,Отчетность!$F8:$U8)</f>
        <v>-6633.3517131888857</v>
      </c>
      <c r="I7" s="16">
        <f>SUMIF(Отчетность!$F$1:$U$1,'Годовая отчетность'!I$1,Отчетность!$F8:$U8)</f>
        <v>-8062.8804658292984</v>
      </c>
    </row>
    <row r="8" spans="1:9">
      <c r="A8" s="3" t="s">
        <v>191</v>
      </c>
      <c r="B8" s="3" t="s">
        <v>93</v>
      </c>
      <c r="E8" s="145"/>
      <c r="F8" s="147">
        <f>SUMIF(Отчетность!$F$1:$U$1,'Годовая отчетность'!F$1,Отчетность!$F9:$U9)</f>
        <v>-7228.4914121763541</v>
      </c>
      <c r="G8" s="16">
        <f>SUMIF(Отчетность!$F$1:$U$1,'Годовая отчетность'!G$1,Отчетность!$F9:$U9)</f>
        <v>8486.0664606947976</v>
      </c>
      <c r="H8" s="16">
        <f>SUMIF(Отчетность!$F$1:$U$1,'Годовая отчетность'!H$1,Отчетность!$F9:$U9)</f>
        <v>19555.000762167234</v>
      </c>
      <c r="I8" s="16">
        <f>SUMIF(Отчетность!$F$1:$U$1,'Годовая отчетность'!I$1,Отчетность!$F9:$U9)</f>
        <v>17668.203604370941</v>
      </c>
    </row>
    <row r="9" spans="1:9">
      <c r="A9" s="3" t="s">
        <v>187</v>
      </c>
      <c r="B9" s="3" t="s">
        <v>93</v>
      </c>
      <c r="E9" s="145"/>
      <c r="F9" s="147">
        <f>SUMIF(Отчетность!$F$1:$U$1,'Годовая отчетность'!F$1,Отчетность!$F10:$U10)</f>
        <v>-709.7015589708534</v>
      </c>
      <c r="G9" s="16">
        <f>SUMIF(Отчетность!$F$1:$U$1,'Годовая отчетность'!G$1,Отчетность!$F10:$U10)</f>
        <v>-715.82505331370737</v>
      </c>
      <c r="H9" s="16">
        <f>SUMIF(Отчетность!$F$1:$U$1,'Годовая отчетность'!H$1,Отчетность!$F10:$U10)</f>
        <v>-431.31381882057696</v>
      </c>
      <c r="I9" s="16">
        <f>SUMIF(Отчетность!$F$1:$U$1,'Годовая отчетность'!I$1,Отчетность!$F10:$U10)</f>
        <v>-121.83730341389486</v>
      </c>
    </row>
    <row r="10" spans="1:9">
      <c r="A10" s="3" t="s">
        <v>248</v>
      </c>
      <c r="B10" s="3" t="s">
        <v>93</v>
      </c>
      <c r="E10" s="145"/>
      <c r="F10" s="147">
        <f>SUMIF(Отчетность!$F$1:$U$1,'Годовая отчетность'!F$1,Отчетность!$F11:$U11)</f>
        <v>-7938.1929711472076</v>
      </c>
      <c r="G10" s="16">
        <f>SUMIF(Отчетность!$F$1:$U$1,'Годовая отчетность'!G$1,Отчетность!$F11:$U11)</f>
        <v>7770.2414073810905</v>
      </c>
      <c r="H10" s="16">
        <f>SUMIF(Отчетность!$F$1:$U$1,'Годовая отчетность'!H$1,Отчетность!$F11:$U11)</f>
        <v>19123.686943346656</v>
      </c>
      <c r="I10" s="16">
        <f>SUMIF(Отчетность!$F$1:$U$1,'Годовая отчетность'!I$1,Отчетность!$F11:$U11)</f>
        <v>17546.366300957045</v>
      </c>
    </row>
    <row r="11" spans="1:9">
      <c r="A11" s="3" t="s">
        <v>76</v>
      </c>
      <c r="B11" s="3" t="s">
        <v>93</v>
      </c>
      <c r="E11" s="145"/>
      <c r="F11" s="147">
        <f>SUMIF(Отчетность!$F$1:$U$1,'Годовая отчетность'!F$1,Отчетность!$F12:$U12)</f>
        <v>0</v>
      </c>
      <c r="G11" s="16">
        <f>SUMIF(Отчетность!$F$1:$U$1,'Годовая отчетность'!G$1,Отчетность!$F12:$U12)</f>
        <v>-777.02414073810905</v>
      </c>
      <c r="H11" s="16">
        <f>SUMIF(Отчетность!$F$1:$U$1,'Годовая отчетность'!H$1,Отчетность!$F12:$U12)</f>
        <v>-3374.331850836862</v>
      </c>
      <c r="I11" s="16">
        <f>SUMIF(Отчетность!$F$1:$U$1,'Годовая отчетность'!I$1,Отчетность!$F12:$U12)</f>
        <v>-3509.2732601914095</v>
      </c>
    </row>
    <row r="12" spans="1:9">
      <c r="A12" s="121" t="s">
        <v>188</v>
      </c>
      <c r="B12" s="121" t="s">
        <v>93</v>
      </c>
      <c r="C12" s="143"/>
      <c r="D12" s="143"/>
      <c r="E12" s="144"/>
      <c r="F12" s="148">
        <f>SUMIF(Отчетность!$F$1:$U$1,'Годовая отчетность'!F$1,Отчетность!$F13:$U13)</f>
        <v>-7938.1929711472076</v>
      </c>
      <c r="G12" s="149">
        <f>SUMIF(Отчетность!$F$1:$U$1,'Годовая отчетность'!G$1,Отчетность!$F13:$U13)</f>
        <v>6993.2172666429815</v>
      </c>
      <c r="H12" s="149">
        <f>SUMIF(Отчетность!$F$1:$U$1,'Годовая отчетность'!H$1,Отчетность!$F13:$U13)</f>
        <v>15749.355092509795</v>
      </c>
      <c r="I12" s="149">
        <f>SUMIF(Отчетность!$F$1:$U$1,'Годовая отчетность'!I$1,Отчетность!$F13:$U13)</f>
        <v>14037.093040765634</v>
      </c>
    </row>
    <row r="15" spans="1:9" ht="21">
      <c r="A15" s="124" t="s">
        <v>192</v>
      </c>
      <c r="B15" s="1"/>
      <c r="C15" s="1"/>
      <c r="D15" s="1"/>
      <c r="E15" s="1"/>
      <c r="F15" s="1"/>
      <c r="G15" s="1"/>
      <c r="H15" s="1"/>
      <c r="I15" s="1"/>
    </row>
    <row r="16" spans="1:9">
      <c r="A16" s="3" t="s">
        <v>188</v>
      </c>
      <c r="B16" s="3" t="s">
        <v>93</v>
      </c>
      <c r="E16" s="145"/>
      <c r="F16" s="147">
        <f>SUMIF(Отчетность!$F$1:$U$1,'Годовая отчетность'!F$1,Отчетность!$F17:$U17)</f>
        <v>-7938.1929711472076</v>
      </c>
      <c r="G16" s="147">
        <f>SUMIF(Отчетность!$F$1:$U$1,'Годовая отчетность'!G$1,Отчетность!$F17:$U17)</f>
        <v>6993.2172666429815</v>
      </c>
      <c r="H16" s="147">
        <f>SUMIF(Отчетность!$F$1:$U$1,'Годовая отчетность'!H$1,Отчетность!$F17:$U17)</f>
        <v>15749.355092509795</v>
      </c>
      <c r="I16" s="147">
        <f>SUMIF(Отчетность!$F$1:$U$1,'Годовая отчетность'!I$1,Отчетность!$F17:$U17)</f>
        <v>14037.093040765634</v>
      </c>
    </row>
    <row r="17" spans="1:9">
      <c r="A17" s="3" t="s">
        <v>172</v>
      </c>
      <c r="B17" s="3" t="s">
        <v>93</v>
      </c>
      <c r="E17" s="145"/>
      <c r="F17" s="147">
        <f>SUMIF(Отчетность!$F$1:$U$1,'Годовая отчетность'!F$1,Отчетность!$F18:$U18)</f>
        <v>4489.713541666667</v>
      </c>
      <c r="G17" s="16">
        <f>SUMIF(Отчетность!$F$1:$U$1,'Годовая отчетность'!G$1,Отчетность!$F18:$U18)</f>
        <v>5457.2748706054681</v>
      </c>
      <c r="H17" s="16">
        <f>SUMIF(Отчетность!$F$1:$U$1,'Годовая отчетность'!H$1,Отчетность!$F18:$U18)</f>
        <v>6633.3517131888857</v>
      </c>
      <c r="I17" s="16">
        <f>SUMIF(Отчетность!$F$1:$U$1,'Годовая отчетность'!I$1,Отчетность!$F18:$U18)</f>
        <v>8062.8804658292984</v>
      </c>
    </row>
    <row r="18" spans="1:9">
      <c r="A18" s="3" t="s">
        <v>193</v>
      </c>
      <c r="B18" s="3" t="s">
        <v>93</v>
      </c>
      <c r="E18" s="145"/>
      <c r="F18" s="147">
        <f>SUMIF(Отчетность!$F$1:$U$1,'Годовая отчетность'!F$1,Отчетность!$F19:$U19)</f>
        <v>0</v>
      </c>
      <c r="G18" s="16">
        <f>SUMIF(Отчетность!$F$1:$U$1,'Годовая отчетность'!G$1,Отчетность!$F19:$U19)</f>
        <v>0</v>
      </c>
      <c r="H18" s="16">
        <f>SUMIF(Отчетность!$F$1:$U$1,'Годовая отчетность'!H$1,Отчетность!$F19:$U19)</f>
        <v>0</v>
      </c>
      <c r="I18" s="16">
        <f>SUMIF(Отчетность!$F$1:$U$1,'Годовая отчетность'!I$1,Отчетность!$F19:$U19)</f>
        <v>0</v>
      </c>
    </row>
    <row r="19" spans="1:9">
      <c r="A19" s="3" t="s">
        <v>194</v>
      </c>
      <c r="B19" s="3" t="s">
        <v>93</v>
      </c>
      <c r="E19" s="145"/>
      <c r="F19" s="147">
        <f>SUMIF(Отчетность!$F$1:$U$1,'Годовая отчетность'!F$1,Отчетность!$F20:$U20)</f>
        <v>-391.55598168695639</v>
      </c>
      <c r="G19" s="16">
        <f>SUMIF(Отчетность!$F$1:$U$1,'Годовая отчетность'!G$1,Отчетность!$F20:$U20)</f>
        <v>-760.47678768451033</v>
      </c>
      <c r="H19" s="16">
        <f>SUMIF(Отчетность!$F$1:$U$1,'Годовая отчетность'!H$1,Отчетность!$F20:$U20)</f>
        <v>-260.15604568969906</v>
      </c>
      <c r="I19" s="16">
        <f>SUMIF(Отчетность!$F$1:$U$1,'Годовая отчетность'!I$1,Отчетность!$F20:$U20)</f>
        <v>-47.475425917111124</v>
      </c>
    </row>
    <row r="20" spans="1:9">
      <c r="A20" s="141" t="s">
        <v>195</v>
      </c>
      <c r="B20" s="141" t="s">
        <v>93</v>
      </c>
      <c r="E20" s="145"/>
      <c r="F20" s="147">
        <f>SUMIF(Отчетность!$F$1:$U$1,'Годовая отчетность'!F$1,Отчетность!$F21:$U21)</f>
        <v>-222.99363951815852</v>
      </c>
      <c r="G20" s="16">
        <f>SUMIF(Отчетность!$F$1:$U$1,'Годовая отчетность'!G$1,Отчетность!$F21:$U21)</f>
        <v>-313.13750081126898</v>
      </c>
      <c r="H20" s="16">
        <f>SUMIF(Отчетность!$F$1:$U$1,'Годовая отчетность'!H$1,Отчетность!$F21:$U21)</f>
        <v>-107.12307763693491</v>
      </c>
      <c r="I20" s="16">
        <f>SUMIF(Отчетность!$F$1:$U$1,'Годовая отчетность'!I$1,Отчетность!$F21:$U21)</f>
        <v>-19.548704789398698</v>
      </c>
    </row>
    <row r="21" spans="1:9">
      <c r="A21" s="141" t="s">
        <v>196</v>
      </c>
      <c r="B21" s="141" t="s">
        <v>93</v>
      </c>
      <c r="E21" s="145"/>
      <c r="F21" s="147">
        <f>SUMIF(Отчетность!$F$1:$U$1,'Годовая отчетность'!F$1,Отчетность!$F22:$U22)</f>
        <v>159.28117108439895</v>
      </c>
      <c r="G21" s="16">
        <f>SUMIF(Отчетность!$F$1:$U$1,'Годовая отчетность'!G$1,Отчетность!$F22:$U22)</f>
        <v>223.66964343662065</v>
      </c>
      <c r="H21" s="16">
        <f>SUMIF(Отчетность!$F$1:$U$1,'Годовая отчетность'!H$1,Отчетность!$F22:$U22)</f>
        <v>76.516484026382102</v>
      </c>
      <c r="I21" s="16">
        <f>SUMIF(Отчетность!$F$1:$U$1,'Годовая отчетность'!I$1,Отчетность!$F22:$U22)</f>
        <v>13.963360563856213</v>
      </c>
    </row>
    <row r="22" spans="1:9">
      <c r="A22" s="141" t="s">
        <v>197</v>
      </c>
      <c r="B22" s="141" t="s">
        <v>93</v>
      </c>
      <c r="E22" s="145"/>
      <c r="F22" s="147">
        <f>SUMIF(Отчетность!$F$1:$U$1,'Годовая отчетность'!F$1,Отчетность!$F23:$U23)</f>
        <v>-327.84351325319682</v>
      </c>
      <c r="G22" s="16">
        <f>SUMIF(Отчетность!$F$1:$U$1,'Годовая отчетность'!G$1,Отчетность!$F23:$U23)</f>
        <v>-671.00893030986208</v>
      </c>
      <c r="H22" s="16">
        <f>SUMIF(Отчетность!$F$1:$U$1,'Годовая отчетность'!H$1,Отчетность!$F23:$U23)</f>
        <v>-229.54945207914625</v>
      </c>
      <c r="I22" s="16">
        <f>SUMIF(Отчетность!$F$1:$U$1,'Годовая отчетность'!I$1,Отчетность!$F23:$U23)</f>
        <v>-41.890081691568639</v>
      </c>
    </row>
    <row r="23" spans="1:9">
      <c r="A23" s="141" t="s">
        <v>198</v>
      </c>
      <c r="B23" s="141" t="s">
        <v>93</v>
      </c>
      <c r="E23" s="145"/>
      <c r="F23" s="147">
        <f>SUMIF(Отчетность!$F$1:$U$1,'Годовая отчетность'!F$1,Отчетность!$F24:$U24)</f>
        <v>0</v>
      </c>
      <c r="G23" s="16">
        <f>SUMIF(Отчетность!$F$1:$U$1,'Годовая отчетность'!G$1,Отчетность!$F24:$U24)</f>
        <v>0</v>
      </c>
      <c r="H23" s="16">
        <f>SUMIF(Отчетность!$F$1:$U$1,'Годовая отчетность'!H$1,Отчетность!$F24:$U24)</f>
        <v>0</v>
      </c>
      <c r="I23" s="16">
        <f>SUMIF(Отчетность!$F$1:$U$1,'Годовая отчетность'!I$1,Отчетность!$F24:$U24)</f>
        <v>0</v>
      </c>
    </row>
    <row r="24" spans="1:9" s="40" customFormat="1">
      <c r="A24" s="122" t="s">
        <v>199</v>
      </c>
      <c r="B24" s="122" t="s">
        <v>93</v>
      </c>
      <c r="C24" s="122"/>
      <c r="D24" s="122"/>
      <c r="E24" s="114"/>
      <c r="F24" s="118">
        <f>SUMIF(Отчетность!$F$1:$U$1,'Годовая отчетность'!F$1,Отчетность!$F25:$U25)</f>
        <v>-3840.0354111674969</v>
      </c>
      <c r="G24" s="48">
        <f>SUMIF(Отчетность!$F$1:$U$1,'Годовая отчетность'!G$1,Отчетность!$F25:$U25)</f>
        <v>11690.015349563939</v>
      </c>
      <c r="H24" s="48">
        <f>SUMIF(Отчетность!$F$1:$U$1,'Годовая отчетность'!H$1,Отчетность!$F25:$U25)</f>
        <v>22122.55076000898</v>
      </c>
      <c r="I24" s="48">
        <f>SUMIF(Отчетность!$F$1:$U$1,'Годовая отчетность'!I$1,Отчетность!$F25:$U25)</f>
        <v>22052.498080677826</v>
      </c>
    </row>
    <row r="25" spans="1:9">
      <c r="A25" s="56"/>
    </row>
    <row r="26" spans="1:9">
      <c r="A26" s="56" t="s">
        <v>200</v>
      </c>
      <c r="B26" s="3" t="s">
        <v>93</v>
      </c>
      <c r="E26" s="145"/>
      <c r="F26" s="147">
        <f>SUMIF(Отчетность!$F$1:$U$1,'Годовая отчетность'!F$1,Отчетность!$F27:$U27)</f>
        <v>0</v>
      </c>
      <c r="G26" s="16">
        <f>SUMIF(Отчетность!$F$1:$U$1,'Годовая отчетность'!G$1,Отчетность!$F27:$U27)</f>
        <v>0</v>
      </c>
      <c r="H26" s="16">
        <f>SUMIF(Отчетность!$F$1:$U$1,'Годовая отчетность'!H$1,Отчетность!$F27:$U27)</f>
        <v>0</v>
      </c>
      <c r="I26" s="16">
        <f>SUMIF(Отчетность!$F$1:$U$1,'Годовая отчетность'!I$1,Отчетность!$F27:$U27)</f>
        <v>0</v>
      </c>
    </row>
    <row r="27" spans="1:9">
      <c r="A27" s="3" t="s">
        <v>201</v>
      </c>
      <c r="B27" s="3" t="s">
        <v>93</v>
      </c>
      <c r="E27" s="145"/>
      <c r="F27" s="147">
        <f>SUMIF(Отчетность!$F$1:$U$1,'Годовая отчетность'!F$1,Отчетность!$F28:$U28)</f>
        <v>-15193.828125</v>
      </c>
      <c r="G27" s="16">
        <f>SUMIF(Отчетность!$F$1:$U$1,'Годовая отчетность'!G$1,Отчетность!$F28:$U28)</f>
        <v>-3274.364922363281</v>
      </c>
      <c r="H27" s="16">
        <f>SUMIF(Отчетность!$F$1:$U$1,'Годовая отчетность'!H$1,Отчетность!$F28:$U28)</f>
        <v>-3980.0110279133314</v>
      </c>
      <c r="I27" s="16">
        <f>SUMIF(Отчетность!$F$1:$U$1,'Годовая отчетность'!I$1,Отчетность!$F28:$U28)</f>
        <v>-4837.7282794975799</v>
      </c>
    </row>
    <row r="28" spans="1:9" s="40" customFormat="1">
      <c r="A28" s="122" t="s">
        <v>202</v>
      </c>
      <c r="B28" s="122" t="s">
        <v>93</v>
      </c>
      <c r="C28" s="122"/>
      <c r="D28" s="122"/>
      <c r="E28" s="114"/>
      <c r="F28" s="118">
        <f>SUMIF(Отчетность!$F$1:$U$1,'Годовая отчетность'!F$1,Отчетность!$F29:$U29)</f>
        <v>-15193.828125</v>
      </c>
      <c r="G28" s="48">
        <f>SUMIF(Отчетность!$F$1:$U$1,'Годовая отчетность'!G$1,Отчетность!$F29:$U29)</f>
        <v>-3274.364922363281</v>
      </c>
      <c r="H28" s="48">
        <f>SUMIF(Отчетность!$F$1:$U$1,'Годовая отчетность'!H$1,Отчетность!$F29:$U29)</f>
        <v>-3980.0110279133314</v>
      </c>
      <c r="I28" s="48">
        <f>SUMIF(Отчетность!$F$1:$U$1,'Годовая отчетность'!I$1,Отчетность!$F29:$U29)</f>
        <v>-4837.7282794975799</v>
      </c>
    </row>
    <row r="30" spans="1:9">
      <c r="A30" s="3" t="s">
        <v>203</v>
      </c>
      <c r="B30" s="3" t="s">
        <v>93</v>
      </c>
      <c r="E30" s="145"/>
      <c r="F30" s="147">
        <f>SUMIF(Отчетность!$F$1:$U$1,'Годовая отчетность'!F$1,Отчетность!$F31:$U31)</f>
        <v>11875</v>
      </c>
      <c r="G30" s="16">
        <f>SUMIF(Отчетность!$F$1:$U$1,'Годовая отчетность'!G$1,Отчетность!$F31:$U31)</f>
        <v>0</v>
      </c>
      <c r="H30" s="16">
        <f>SUMIF(Отчетность!$F$1:$U$1,'Годовая отчетность'!H$1,Отчетность!$F31:$U31)</f>
        <v>0</v>
      </c>
      <c r="I30" s="16">
        <f>SUMIF(Отчетность!$F$1:$U$1,'Годовая отчетность'!I$1,Отчетность!$F31:$U31)</f>
        <v>0</v>
      </c>
    </row>
    <row r="31" spans="1:9">
      <c r="A31" s="3" t="s">
        <v>204</v>
      </c>
      <c r="B31" s="3" t="s">
        <v>93</v>
      </c>
      <c r="E31" s="145"/>
      <c r="F31" s="147">
        <f>SUMIF(Отчетность!$F$1:$U$1,'Годовая отчетность'!F$1,Отчетность!$F32:$U32)</f>
        <v>-2258.9436698546606</v>
      </c>
      <c r="G31" s="16">
        <f>SUMIF(Отчетность!$F$1:$U$1,'Годовая отчетность'!G$1,Отчетность!$F32:$U32)</f>
        <v>-3242.3685851203109</v>
      </c>
      <c r="H31" s="16">
        <f>SUMIF(Отчетность!$F$1:$U$1,'Годовая отчетность'!H$1,Отчетность!$F32:$U32)</f>
        <v>-3526.8798196134417</v>
      </c>
      <c r="I31" s="16">
        <f>SUMIF(Отчетность!$F$1:$U$1,'Годовая отчетность'!I$1,Отчетность!$F32:$U32)</f>
        <v>-2846.8079254116192</v>
      </c>
    </row>
    <row r="32" spans="1:9">
      <c r="A32" s="3" t="s">
        <v>205</v>
      </c>
      <c r="B32" s="3" t="s">
        <v>93</v>
      </c>
      <c r="E32" s="145"/>
      <c r="F32" s="147">
        <f>SUMIF(Отчетность!$F$1:$U$1,'Годовая отчетность'!F$1,Отчетность!$F33:$U33)</f>
        <v>9000</v>
      </c>
      <c r="G32" s="16">
        <f>SUMIF(Отчетность!$F$1:$U$1,'Годовая отчетность'!G$1,Отчетность!$F33:$U33)</f>
        <v>0</v>
      </c>
      <c r="H32" s="16">
        <f>SUMIF(Отчетность!$F$1:$U$1,'Годовая отчетность'!H$1,Отчетность!$F33:$U33)</f>
        <v>0</v>
      </c>
      <c r="I32" s="16">
        <f>SUMIF(Отчетность!$F$1:$U$1,'Годовая отчетность'!I$1,Отчетность!$F33:$U33)</f>
        <v>0</v>
      </c>
    </row>
    <row r="33" spans="1:9" s="40" customFormat="1">
      <c r="A33" s="122" t="s">
        <v>206</v>
      </c>
      <c r="B33" s="122" t="s">
        <v>93</v>
      </c>
      <c r="C33" s="122"/>
      <c r="D33" s="122"/>
      <c r="E33" s="114"/>
      <c r="F33" s="118">
        <f>SUMIF(Отчетность!$F$1:$U$1,'Годовая отчетность'!F$1,Отчетность!$F34:$U34)</f>
        <v>18616.056330145337</v>
      </c>
      <c r="G33" s="48">
        <f>SUMIF(Отчетность!$F$1:$U$1,'Годовая отчетность'!G$1,Отчетность!$F34:$U34)</f>
        <v>-3242.3685851203109</v>
      </c>
      <c r="H33" s="48">
        <f>SUMIF(Отчетность!$F$1:$U$1,'Годовая отчетность'!H$1,Отчетность!$F34:$U34)</f>
        <v>-3526.8798196134417</v>
      </c>
      <c r="I33" s="48">
        <f>SUMIF(Отчетность!$F$1:$U$1,'Годовая отчетность'!I$1,Отчетность!$F34:$U34)</f>
        <v>-2846.8079254116192</v>
      </c>
    </row>
    <row r="35" spans="1:9" s="40" customFormat="1">
      <c r="A35" s="121" t="s">
        <v>207</v>
      </c>
      <c r="B35" s="121" t="s">
        <v>93</v>
      </c>
      <c r="C35" s="121"/>
      <c r="D35" s="121"/>
      <c r="E35" s="115"/>
      <c r="F35" s="125">
        <f>SUMIF(Отчетность!$F$1:$U$1,'Годовая отчетность'!F$1,Отчетность!$F36:$U36)</f>
        <v>-417.80720602215717</v>
      </c>
      <c r="G35" s="150">
        <f>SUMIF(Отчетность!$F$1:$U$1,'Годовая отчетность'!G$1,Отчетность!$F36:$U36)</f>
        <v>5173.2818420803469</v>
      </c>
      <c r="H35" s="150">
        <f>SUMIF(Отчетность!$F$1:$U$1,'Годовая отчетность'!H$1,Отчетность!$F36:$U36)</f>
        <v>14615.65991248221</v>
      </c>
      <c r="I35" s="150">
        <f>SUMIF(Отчетность!$F$1:$U$1,'Годовая отчетность'!I$1,Отчетность!$F36:$U36)</f>
        <v>14367.961875768626</v>
      </c>
    </row>
    <row r="38" spans="1:9" ht="21">
      <c r="A38" s="124" t="s">
        <v>208</v>
      </c>
      <c r="B38" s="1"/>
      <c r="C38" s="1"/>
      <c r="D38" s="1"/>
      <c r="E38" s="1"/>
      <c r="F38" s="1"/>
      <c r="G38" s="1"/>
      <c r="H38" s="1"/>
      <c r="I38" s="1"/>
    </row>
    <row r="39" spans="1:9">
      <c r="A39" s="3" t="s">
        <v>74</v>
      </c>
      <c r="B39" s="3" t="s">
        <v>93</v>
      </c>
      <c r="E39" s="16">
        <f>SUMIFS(Отчетность!$E40:$U40,Отчетность!$E$1:$U$1,'Годовая отчетность'!E$1,Отчетность!$E$2:$U$2,Отчетность!$E$2)</f>
        <v>0</v>
      </c>
      <c r="F39" s="16">
        <f>SUMIFS(Отчетность!$E40:$U40,Отчетность!$E$1:$U$1,'Годовая отчетность'!F$1,Отчетность!$E$2:$U$2,Отчетность!$E$2)</f>
        <v>10704.114583333334</v>
      </c>
      <c r="G39" s="16">
        <f>SUMIFS(Отчетность!$E40:$U40,Отчетность!$E$1:$U$1,'Годовая отчетность'!G$1,Отчетность!$E$2:$U$2,Отчетность!$E$2)</f>
        <v>8521.2046350911478</v>
      </c>
      <c r="H39" s="16">
        <f>SUMIFS(Отчетность!$E40:$U40,Отчетность!$E$1:$U$1,'Годовая отчетность'!H$1,Отчетность!$E$2:$U$2,Отчетность!$E$2)</f>
        <v>5867.8639498155962</v>
      </c>
      <c r="I39" s="16">
        <f>SUMIFS(Отчетность!$E40:$U40,Отчетность!$E$1:$U$1,'Годовая отчетность'!I$1,Отчетность!$E$2:$U$2,Отчетность!$E$2)</f>
        <v>2642.711763483876</v>
      </c>
    </row>
    <row r="40" spans="1:9">
      <c r="A40" s="3" t="s">
        <v>88</v>
      </c>
      <c r="B40" s="3" t="s">
        <v>93</v>
      </c>
      <c r="E40" s="16">
        <f>SUMIFS(Отчетность!$E41:$U41,Отчетность!$E$1:$U$1,'Годовая отчетность'!E$1,Отчетность!$E$2:$U$2,Отчетность!$E$2)</f>
        <v>0</v>
      </c>
      <c r="F40" s="16">
        <f>SUMIFS(Отчетность!$E41:$U41,Отчетность!$E$1:$U$1,'Годовая отчетность'!F$1,Отчетность!$E$2:$U$2,Отчетность!$E$2)</f>
        <v>222.99363951815852</v>
      </c>
      <c r="G40" s="16">
        <f>SUMIFS(Отчетность!$E41:$U41,Отчетность!$E$1:$U$1,'Годовая отчетность'!G$1,Отчетность!$E$2:$U$2,Отчетность!$E$2)</f>
        <v>536.13114032942747</v>
      </c>
      <c r="H40" s="16">
        <f>SUMIFS(Отчетность!$E41:$U41,Отчетность!$E$1:$U$1,'Годовая отчетность'!H$1,Отчетность!$E$2:$U$2,Отчетность!$E$2)</f>
        <v>643.25421796636238</v>
      </c>
      <c r="I40" s="16">
        <f>SUMIFS(Отчетность!$E41:$U41,Отчетность!$E$1:$U$1,'Годовая отчетность'!I$1,Отчетность!$E$2:$U$2,Отчетность!$E$2)</f>
        <v>662.80292275576107</v>
      </c>
    </row>
    <row r="41" spans="1:9">
      <c r="A41" s="3" t="s">
        <v>89</v>
      </c>
      <c r="B41" s="3" t="s">
        <v>93</v>
      </c>
      <c r="E41" s="16">
        <f>SUMIFS(Отчетность!$E42:$U42,Отчетность!$E$1:$U$1,'Годовая отчетность'!E$1,Отчетность!$E$2:$U$2,Отчетность!$E$2)</f>
        <v>150</v>
      </c>
      <c r="F41" s="16">
        <f>SUMIFS(Отчетность!$E42:$U42,Отчетность!$E$1:$U$1,'Годовая отчетность'!F$1,Отчетность!$E$2:$U$2,Отчетность!$E$2)</f>
        <v>477.84351325319682</v>
      </c>
      <c r="G41" s="16">
        <f>SUMIFS(Отчетность!$E42:$U42,Отчетность!$E$1:$U$1,'Годовая отчетность'!G$1,Отчетность!$E$2:$U$2,Отчетность!$E$2)</f>
        <v>1148.8524435630588</v>
      </c>
      <c r="H41" s="16">
        <f>SUMIFS(Отчетность!$E42:$U42,Отчетность!$E$1:$U$1,'Годовая отчетность'!H$1,Отчетность!$E$2:$U$2,Отчетность!$E$2)</f>
        <v>1378.4018956422051</v>
      </c>
      <c r="I41" s="16">
        <f>SUMIFS(Отчетность!$E42:$U42,Отчетность!$E$1:$U$1,'Годовая отчетность'!I$1,Отчетность!$E$2:$U$2,Отчетность!$E$2)</f>
        <v>1420.2919773337737</v>
      </c>
    </row>
    <row r="42" spans="1:9">
      <c r="A42" s="3" t="s">
        <v>90</v>
      </c>
      <c r="B42" s="3" t="s">
        <v>93</v>
      </c>
      <c r="E42" s="16">
        <f>SUMIFS(Отчетность!$E43:$U43,Отчетность!$E$1:$U$1,'Годовая отчетность'!E$1,Отчетность!$E$2:$U$2,Отчетность!$E$2)</f>
        <v>0</v>
      </c>
      <c r="F42" s="16">
        <f>SUMIFS(Отчетность!$E43:$U43,Отчетность!$E$1:$U$1,'Годовая отчетность'!F$1,Отчетность!$E$2:$U$2,Отчетность!$E$2)</f>
        <v>0</v>
      </c>
      <c r="G42" s="16">
        <f>SUMIFS(Отчетность!$E43:$U43,Отчетность!$E$1:$U$1,'Годовая отчетность'!G$1,Отчетность!$E$2:$U$2,Отчетность!$E$2)</f>
        <v>0</v>
      </c>
      <c r="H42" s="16">
        <f>SUMIFS(Отчетность!$E43:$U43,Отчетность!$E$1:$U$1,'Годовая отчетность'!H$1,Отчетность!$E$2:$U$2,Отчетность!$E$2)</f>
        <v>0</v>
      </c>
      <c r="I42" s="16">
        <f>SUMIFS(Отчетность!$E43:$U43,Отчетность!$E$1:$U$1,'Годовая отчетность'!I$1,Отчетность!$E$2:$U$2,Отчетность!$E$2)</f>
        <v>0</v>
      </c>
    </row>
    <row r="43" spans="1:9">
      <c r="A43" s="3" t="s">
        <v>91</v>
      </c>
      <c r="B43" s="3" t="s">
        <v>93</v>
      </c>
      <c r="E43" s="151">
        <f>SUMIFS(Отчетность!$E44:$U44,Отчетность!$E$1:$U$1,'Годовая отчетность'!E$1,Отчетность!$E$2:$U$2,Отчетность!$E$2)</f>
        <v>1850</v>
      </c>
      <c r="F43" s="16">
        <f>SUMIFS(Отчетность!$E44:$U44,Отчетность!$E$1:$U$1,'Годовая отчетность'!F$1,Отчетность!$E$2:$U$2,Отчетность!$E$2)</f>
        <v>1432.1927939778438</v>
      </c>
      <c r="G43" s="16">
        <f>SUMIFS(Отчетность!$E44:$U44,Отчетность!$E$1:$U$1,'Годовая отчетность'!G$1,Отчетность!$E$2:$U$2,Отчетность!$E$2)</f>
        <v>6605.4746360581903</v>
      </c>
      <c r="H43" s="16">
        <f>SUMIFS(Отчетность!$E44:$U44,Отчетность!$E$1:$U$1,'Годовая отчетность'!H$1,Отчетность!$E$2:$U$2,Отчетность!$E$2)</f>
        <v>21221.134548540394</v>
      </c>
      <c r="I43" s="16">
        <f>SUMIFS(Отчетность!$E44:$U44,Отчетность!$E$1:$U$1,'Годовая отчетность'!I$1,Отчетность!$E$2:$U$2,Отчетность!$E$2)</f>
        <v>35589.09642430902</v>
      </c>
    </row>
    <row r="44" spans="1:9" s="40" customFormat="1">
      <c r="A44" s="142" t="s">
        <v>92</v>
      </c>
      <c r="B44" s="142" t="s">
        <v>93</v>
      </c>
      <c r="C44" s="140"/>
      <c r="D44" s="140"/>
      <c r="E44" s="152">
        <f>SUMIFS(Отчетность!$E45:$U45,Отчетность!$E$1:$U$1,'Годовая отчетность'!E$1,Отчетность!$E$2:$U$2,Отчетность!$E$2)</f>
        <v>2000</v>
      </c>
      <c r="F44" s="152">
        <f>SUMIFS(Отчетность!$E45:$U45,Отчетность!$E$1:$U$1,'Годовая отчетность'!F$1,Отчетность!$E$2:$U$2,Отчетность!$E$2)</f>
        <v>12837.144530082534</v>
      </c>
      <c r="G44" s="152">
        <f>SUMIFS(Отчетность!$E45:$U45,Отчетность!$E$1:$U$1,'Годовая отчетность'!G$1,Отчетность!$E$2:$U$2,Отчетность!$E$2)</f>
        <v>16811.662855041825</v>
      </c>
      <c r="H44" s="152">
        <f>SUMIFS(Отчетность!$E45:$U45,Отчетность!$E$1:$U$1,'Годовая отчетность'!H$1,Отчетность!$E$2:$U$2,Отчетность!$E$2)</f>
        <v>29110.654611964557</v>
      </c>
      <c r="I44" s="152">
        <f>SUMIFS(Отчетность!$E45:$U45,Отчетность!$E$1:$U$1,'Годовая отчетность'!I$1,Отчетность!$E$2:$U$2,Отчетность!$E$2)</f>
        <v>40314.903087882427</v>
      </c>
    </row>
    <row r="45" spans="1:9">
      <c r="A45" s="3" t="s">
        <v>94</v>
      </c>
      <c r="B45" s="3" t="s">
        <v>93</v>
      </c>
      <c r="E45" s="153">
        <f>SUMIFS(Отчетность!$E46:$U46,Отчетность!$E$1:$U$1,'Годовая отчетность'!E$1,Отчетность!$E$2:$U$2,Отчетность!$E$2)</f>
        <v>2000</v>
      </c>
      <c r="F45" s="16">
        <f>SUMIFS(Отчетность!$E46:$U46,Отчетность!$E$1:$U$1,'Годовая отчетность'!F$1,Отчетность!$E$2:$U$2,Отчетность!$E$2)</f>
        <v>11000</v>
      </c>
      <c r="G45" s="16">
        <f>SUMIFS(Отчетность!$E46:$U46,Отчетность!$E$1:$U$1,'Годовая отчетность'!G$1,Отчетность!$E$2:$U$2,Отчетность!$E$2)</f>
        <v>11000</v>
      </c>
      <c r="H45" s="16">
        <f>SUMIFS(Отчетность!$E46:$U46,Отчетность!$E$1:$U$1,'Годовая отчетность'!H$1,Отчетность!$E$2:$U$2,Отчетность!$E$2)</f>
        <v>11000</v>
      </c>
      <c r="I45" s="16">
        <f>SUMIFS(Отчетность!$E46:$U46,Отчетность!$E$1:$U$1,'Годовая отчетность'!I$1,Отчетность!$E$2:$U$2,Отчетность!$E$2)</f>
        <v>11000</v>
      </c>
    </row>
    <row r="46" spans="1:9">
      <c r="A46" s="3" t="s">
        <v>95</v>
      </c>
      <c r="B46" s="3" t="s">
        <v>93</v>
      </c>
      <c r="E46" s="16">
        <f>SUMIFS(Отчетность!$E47:$U47,Отчетность!$E$1:$U$1,'Годовая отчетность'!E$1,Отчетность!$E$2:$U$2,Отчетность!$E$2)</f>
        <v>0</v>
      </c>
      <c r="F46" s="16">
        <f>SUMIFS(Отчетность!$E47:$U47,Отчетность!$E$1:$U$1,'Годовая отчетность'!F$1,Отчетность!$E$2:$U$2,Отчетность!$E$2)</f>
        <v>-7938.1929711472076</v>
      </c>
      <c r="G46" s="16">
        <f>SUMIFS(Отчетность!$E47:$U47,Отчетность!$E$1:$U$1,'Годовая отчетность'!G$1,Отчетность!$E$2:$U$2,Отчетность!$E$2)</f>
        <v>-944.975704504227</v>
      </c>
      <c r="H46" s="16">
        <f>SUMIFS(Отчетность!$E47:$U47,Отчетность!$E$1:$U$1,'Годовая отчетность'!H$1,Отчетность!$E$2:$U$2,Отчетность!$E$2)</f>
        <v>14804.379388005567</v>
      </c>
      <c r="I46" s="16">
        <f>SUMIFS(Отчетность!$E47:$U47,Отчетность!$E$1:$U$1,'Годовая отчетность'!I$1,Отчетность!$E$2:$U$2,Отчетность!$E$2)</f>
        <v>28841.472428771205</v>
      </c>
    </row>
    <row r="47" spans="1:9">
      <c r="A47" s="3" t="s">
        <v>78</v>
      </c>
      <c r="B47" s="3" t="s">
        <v>93</v>
      </c>
      <c r="E47" s="16">
        <f>SUMIFS(Отчетность!$E48:$U48,Отчетность!$E$1:$U$1,'Годовая отчетность'!E$1,Отчетность!$E$2:$U$2,Отчетность!$E$2)</f>
        <v>0</v>
      </c>
      <c r="F47" s="16">
        <f>SUMIFS(Отчетность!$E48:$U48,Отчетность!$E$1:$U$1,'Годовая отчетность'!F$1,Отчетность!$E$2:$U$2,Отчетность!$E$2)</f>
        <v>9616.0563301453385</v>
      </c>
      <c r="G47" s="16">
        <f>SUMIFS(Отчетность!$E48:$U48,Отчетность!$E$1:$U$1,'Годовая отчетность'!G$1,Отчетность!$E$2:$U$2,Отчетность!$E$2)</f>
        <v>6373.6877450250286</v>
      </c>
      <c r="H47" s="16">
        <f>SUMIFS(Отчетность!$E48:$U48,Отчетность!$E$1:$U$1,'Годовая отчетность'!H$1,Отчетность!$E$2:$U$2,Отчетность!$E$2)</f>
        <v>2846.8079254115873</v>
      </c>
      <c r="I47" s="16">
        <f>SUMIFS(Отчетность!$E48:$U48,Отчетность!$E$1:$U$1,'Годовая отчетность'!I$1,Отчетность!$E$2:$U$2,Отчетность!$E$2)</f>
        <v>0</v>
      </c>
    </row>
    <row r="48" spans="1:9">
      <c r="A48" s="3" t="s">
        <v>96</v>
      </c>
      <c r="B48" s="3" t="s">
        <v>93</v>
      </c>
      <c r="E48" s="151">
        <f>SUMIFS(Отчетность!$E49:$U49,Отчетность!$E$1:$U$1,'Годовая отчетность'!E$1,Отчетность!$E$2:$U$2,Отчетность!$E$2)</f>
        <v>0</v>
      </c>
      <c r="F48" s="16">
        <f>SUMIFS(Отчетность!$E49:$U49,Отчетность!$E$1:$U$1,'Годовая отчетность'!F$1,Отчетность!$E$2:$U$2,Отчетность!$E$2)</f>
        <v>159.28117108439895</v>
      </c>
      <c r="G48" s="16">
        <f>SUMIFS(Отчетность!$E49:$U49,Отчетность!$E$1:$U$1,'Годовая отчетность'!G$1,Отчетность!$E$2:$U$2,Отчетность!$E$2)</f>
        <v>382.95081452101959</v>
      </c>
      <c r="H48" s="16">
        <f>SUMIFS(Отчетность!$E49:$U49,Отчетность!$E$1:$U$1,'Годовая отчетность'!H$1,Отчетность!$E$2:$U$2,Отчетность!$E$2)</f>
        <v>459.4672985474017</v>
      </c>
      <c r="I48" s="16">
        <f>SUMIFS(Отчетность!$E49:$U49,Отчетность!$E$1:$U$1,'Годовая отчетность'!I$1,Отчетность!$E$2:$U$2,Отчетность!$E$2)</f>
        <v>473.43065911125791</v>
      </c>
    </row>
    <row r="49" spans="1:9" s="40" customFormat="1">
      <c r="A49" s="142" t="s">
        <v>97</v>
      </c>
      <c r="B49" s="142" t="s">
        <v>93</v>
      </c>
      <c r="C49" s="140"/>
      <c r="D49" s="140"/>
      <c r="E49" s="152">
        <f>SUMIFS(Отчетность!$E50:$U50,Отчетность!$E$1:$U$1,'Годовая отчетность'!E$1,Отчетность!$E$2:$U$2,Отчетность!$E$2)</f>
        <v>2000</v>
      </c>
      <c r="F49" s="152">
        <f>SUMIFS(Отчетность!$E50:$U50,Отчетность!$E$1:$U$1,'Годовая отчетность'!F$1,Отчетность!$E$2:$U$2,Отчетность!$E$2)</f>
        <v>12837.144530082531</v>
      </c>
      <c r="G49" s="152">
        <f>SUMIFS(Отчетность!$E50:$U50,Отчетность!$E$1:$U$1,'Годовая отчетность'!G$1,Отчетность!$E$2:$U$2,Отчетность!$E$2)</f>
        <v>16811.662855041821</v>
      </c>
      <c r="H49" s="152">
        <f>SUMIFS(Отчетность!$E50:$U50,Отчетность!$E$1:$U$1,'Годовая отчетность'!H$1,Отчетность!$E$2:$U$2,Отчетность!$E$2)</f>
        <v>29110.654611964557</v>
      </c>
      <c r="I49" s="152">
        <f>SUMIFS(Отчетность!$E50:$U50,Отчетность!$E$1:$U$1,'Годовая отчетность'!I$1,Отчетность!$E$2:$U$2,Отчетность!$E$2)</f>
        <v>40314.903087882456</v>
      </c>
    </row>
    <row r="50" spans="1:9">
      <c r="A50" s="141" t="s">
        <v>98</v>
      </c>
      <c r="E50" s="154">
        <f>E44-E49</f>
        <v>0</v>
      </c>
      <c r="F50" s="154">
        <f t="shared" ref="F50:I50" si="0">F44-F49</f>
        <v>0</v>
      </c>
      <c r="G50" s="154">
        <f t="shared" si="0"/>
        <v>0</v>
      </c>
      <c r="H50" s="154">
        <f t="shared" si="0"/>
        <v>0</v>
      </c>
      <c r="I50" s="154">
        <f t="shared" si="0"/>
        <v>0</v>
      </c>
    </row>
    <row r="52" spans="1:9" ht="21">
      <c r="A52" s="124" t="s">
        <v>225</v>
      </c>
      <c r="B52" s="1"/>
      <c r="C52" s="1"/>
      <c r="D52" s="1"/>
      <c r="E52" s="1"/>
      <c r="F52" s="1"/>
      <c r="G52" s="1"/>
      <c r="H52" s="1"/>
      <c r="I52" s="1"/>
    </row>
    <row r="53" spans="1:9">
      <c r="A53" s="143" t="s">
        <v>226</v>
      </c>
      <c r="B53" s="143"/>
      <c r="C53" s="143"/>
      <c r="D53" s="143"/>
      <c r="E53" s="143"/>
      <c r="F53" s="143"/>
      <c r="G53" s="143"/>
      <c r="H53" s="143"/>
      <c r="I53" s="144"/>
    </row>
    <row r="54" spans="1:9">
      <c r="A54" s="3" t="s">
        <v>227</v>
      </c>
      <c r="B54" s="3" t="s">
        <v>18</v>
      </c>
      <c r="E54" s="145"/>
      <c r="F54" s="155">
        <f>F12/F3</f>
        <v>-0.48022649472984086</v>
      </c>
      <c r="G54" s="155">
        <f t="shared" ref="G54:I54" si="1">G12/G3</f>
        <v>0.10950931584462931</v>
      </c>
      <c r="H54" s="155">
        <f t="shared" si="1"/>
        <v>0.15785402531200637</v>
      </c>
      <c r="I54" s="155">
        <f t="shared" si="1"/>
        <v>0.13295111364100065</v>
      </c>
    </row>
    <row r="55" spans="1:9">
      <c r="A55" s="3" t="s">
        <v>228</v>
      </c>
      <c r="B55" s="3" t="s">
        <v>18</v>
      </c>
      <c r="E55" s="145"/>
      <c r="F55" s="156">
        <f>F12/AVERAGE(E44:F44)</f>
        <v>-1.0700432222726417</v>
      </c>
      <c r="G55" s="156">
        <f t="shared" ref="G55:H55" si="2">G12/AVERAGE(F44:G44)</f>
        <v>0.4717368341872446</v>
      </c>
      <c r="H55" s="156">
        <f t="shared" si="2"/>
        <v>0.68591290515010139</v>
      </c>
      <c r="I55" s="156">
        <f>I12/AVERAGE(H44:I44)</f>
        <v>0.40437825797390964</v>
      </c>
    </row>
    <row r="56" spans="1:9">
      <c r="A56" s="3" t="s">
        <v>229</v>
      </c>
      <c r="B56" s="3" t="s">
        <v>18</v>
      </c>
      <c r="E56" s="145"/>
      <c r="F56" s="156">
        <f>F12/AVERAGE(E45:F45)</f>
        <v>-1.2212604570995704</v>
      </c>
      <c r="G56" s="156">
        <f t="shared" ref="G56:I56" si="3">G12/AVERAGE(F45:G45)</f>
        <v>0.63574702424027107</v>
      </c>
      <c r="H56" s="156">
        <f t="shared" si="3"/>
        <v>1.4317595538645269</v>
      </c>
      <c r="I56" s="156">
        <f t="shared" si="3"/>
        <v>1.2760993673423304</v>
      </c>
    </row>
    <row r="58" spans="1:9">
      <c r="A58" s="143" t="s">
        <v>230</v>
      </c>
      <c r="B58" s="143"/>
      <c r="C58" s="143"/>
      <c r="D58" s="143"/>
      <c r="E58" s="143"/>
      <c r="F58" s="157">
        <f>PRODUCT(F59:F63)</f>
        <v>-1.2212604570995704</v>
      </c>
      <c r="G58" s="157">
        <f t="shared" ref="G58:I58" si="4">PRODUCT(G59:G63)</f>
        <v>0.63574702424027107</v>
      </c>
      <c r="H58" s="157">
        <f t="shared" si="4"/>
        <v>1.4317595538645271</v>
      </c>
      <c r="I58" s="157">
        <f t="shared" si="4"/>
        <v>1.2760993673423304</v>
      </c>
    </row>
    <row r="59" spans="1:9">
      <c r="A59" s="3" t="s">
        <v>231</v>
      </c>
      <c r="B59" s="3" t="s">
        <v>18</v>
      </c>
      <c r="E59" s="145"/>
      <c r="F59" s="156">
        <f>F12/F10</f>
        <v>1</v>
      </c>
      <c r="G59" s="156">
        <f t="shared" ref="G59:I59" si="5">G12/G10</f>
        <v>0.9</v>
      </c>
      <c r="H59" s="156">
        <f t="shared" si="5"/>
        <v>0.82355223337250727</v>
      </c>
      <c r="I59" s="156">
        <f t="shared" si="5"/>
        <v>0.79999999999999993</v>
      </c>
    </row>
    <row r="60" spans="1:9">
      <c r="A60" s="3" t="s">
        <v>232</v>
      </c>
      <c r="B60" s="3" t="s">
        <v>18</v>
      </c>
      <c r="E60" s="145"/>
      <c r="F60" s="156">
        <f>F10/F8</f>
        <v>1.098181144377562</v>
      </c>
      <c r="G60" s="156">
        <f t="shared" ref="G60:I60" si="6">G10/G8</f>
        <v>0.91564701306203311</v>
      </c>
      <c r="H60" s="156">
        <f t="shared" si="6"/>
        <v>0.97794355397546018</v>
      </c>
      <c r="I60" s="156">
        <f t="shared" si="6"/>
        <v>0.99310414877810471</v>
      </c>
    </row>
    <row r="61" spans="1:9">
      <c r="A61" s="3" t="s">
        <v>233</v>
      </c>
      <c r="B61" s="3" t="s">
        <v>18</v>
      </c>
      <c r="E61" s="145"/>
      <c r="F61" s="156">
        <f>F8/F3</f>
        <v>-0.4372926062230183</v>
      </c>
      <c r="G61" s="156">
        <f t="shared" ref="G61:I61" si="7">G8/G3</f>
        <v>0.13288638074430142</v>
      </c>
      <c r="H61" s="156">
        <f t="shared" si="7"/>
        <v>0.19599758638723641</v>
      </c>
      <c r="I61" s="156">
        <f t="shared" si="7"/>
        <v>0.16734286354127742</v>
      </c>
    </row>
    <row r="62" spans="1:9">
      <c r="A62" s="3" t="s">
        <v>234</v>
      </c>
      <c r="B62" s="3" t="s">
        <v>128</v>
      </c>
      <c r="E62" s="145"/>
      <c r="F62" s="156">
        <f>F3/AVERAGE(E44:F44)</f>
        <v>2.2282053031551534</v>
      </c>
      <c r="G62" s="156">
        <f t="shared" ref="G62:I62" si="8">G3/AVERAGE(F44:G44)</f>
        <v>4.3077324568125324</v>
      </c>
      <c r="H62" s="156">
        <f t="shared" si="8"/>
        <v>4.3452354401122193</v>
      </c>
      <c r="I62" s="156">
        <f t="shared" si="8"/>
        <v>3.0415560043056593</v>
      </c>
    </row>
    <row r="63" spans="1:9">
      <c r="A63" s="3" t="s">
        <v>235</v>
      </c>
      <c r="B63" s="3" t="s">
        <v>128</v>
      </c>
      <c r="E63" s="145"/>
      <c r="F63" s="156">
        <f>AVERAGE(E44:F44)/AVERAGE(E45:F45)</f>
        <v>1.1413188100063487</v>
      </c>
      <c r="G63" s="156">
        <f t="shared" ref="G63:I63" si="9">AVERAGE(F44:G44)/AVERAGE(F45:G45)</f>
        <v>1.3476730629601983</v>
      </c>
      <c r="H63" s="156">
        <f t="shared" si="9"/>
        <v>2.0873780666821085</v>
      </c>
      <c r="I63" s="156">
        <f t="shared" si="9"/>
        <v>3.1557071681748625</v>
      </c>
    </row>
    <row r="65" spans="1:10">
      <c r="A65" s="143" t="s">
        <v>236</v>
      </c>
      <c r="B65" s="143"/>
      <c r="C65" s="143"/>
      <c r="D65" s="143"/>
      <c r="E65" s="143"/>
      <c r="F65" s="143"/>
      <c r="G65" s="143"/>
      <c r="H65" s="143"/>
      <c r="I65" s="144"/>
    </row>
    <row r="66" spans="1:10">
      <c r="A66" s="3" t="s">
        <v>237</v>
      </c>
      <c r="B66" s="3" t="s">
        <v>128</v>
      </c>
      <c r="E66" s="145"/>
      <c r="F66" s="158">
        <f>IFERROR(F43/F47,"Inf")</f>
        <v>0.14893764603770759</v>
      </c>
      <c r="G66" s="158">
        <f t="shared" ref="G66:I66" si="10">IFERROR(G43/G47,"Inf")</f>
        <v>1.0363662137691139</v>
      </c>
      <c r="H66" s="158">
        <f t="shared" si="10"/>
        <v>7.4543612019319054</v>
      </c>
      <c r="I66" s="158" t="str">
        <f t="shared" si="10"/>
        <v>Inf</v>
      </c>
      <c r="J66" s="3" t="s">
        <v>249</v>
      </c>
    </row>
    <row r="67" spans="1:10">
      <c r="A67" s="3" t="s">
        <v>238</v>
      </c>
      <c r="B67" s="3" t="s">
        <v>128</v>
      </c>
      <c r="E67" s="145"/>
      <c r="F67" s="158">
        <f>IFERROR((F43+F40)/F47,"Inf")</f>
        <v>0.17212736455246885</v>
      </c>
      <c r="G67" s="158">
        <f t="shared" ref="G67:I67" si="11">IFERROR((G43+G40)/G47,"Inf")</f>
        <v>1.1204825310060078</v>
      </c>
      <c r="H67" s="158">
        <f t="shared" si="11"/>
        <v>7.6803175132883732</v>
      </c>
      <c r="I67" s="158" t="str">
        <f t="shared" si="11"/>
        <v>Inf</v>
      </c>
      <c r="J67" s="3" t="s">
        <v>250</v>
      </c>
    </row>
    <row r="68" spans="1:10">
      <c r="A68" s="3" t="s">
        <v>239</v>
      </c>
      <c r="B68" s="3" t="s">
        <v>128</v>
      </c>
      <c r="E68" s="145"/>
      <c r="F68" s="158">
        <f>IFERROR((F43+F41+F40)/F47,"Inf")</f>
        <v>0.22181961851267151</v>
      </c>
      <c r="G68" s="158">
        <f t="shared" ref="G68:I68" si="12">IFERROR((G43+G41+G40)/G47,"Inf")</f>
        <v>1.300731782227923</v>
      </c>
      <c r="H68" s="158">
        <f t="shared" si="12"/>
        <v>8.1645096090522333</v>
      </c>
      <c r="I68" s="158" t="str">
        <f t="shared" si="12"/>
        <v>Inf</v>
      </c>
    </row>
    <row r="70" spans="1:10">
      <c r="A70" s="143" t="s">
        <v>240</v>
      </c>
      <c r="B70" s="143"/>
      <c r="C70" s="143"/>
      <c r="D70" s="143"/>
      <c r="E70" s="143"/>
      <c r="F70" s="143"/>
      <c r="G70" s="143"/>
      <c r="H70" s="143"/>
      <c r="I70" s="144"/>
    </row>
    <row r="71" spans="1:10">
      <c r="A71" s="3" t="s">
        <v>241</v>
      </c>
      <c r="B71" s="3" t="s">
        <v>128</v>
      </c>
      <c r="E71" s="145"/>
      <c r="F71" s="159">
        <f>F3/AVERAGE(E44:F44)</f>
        <v>2.2282053031551534</v>
      </c>
      <c r="G71" s="159">
        <f t="shared" ref="G71:I71" si="13">G3/AVERAGE(F44:G44)</f>
        <v>4.3077324568125324</v>
      </c>
      <c r="H71" s="159">
        <f t="shared" si="13"/>
        <v>4.3452354401122193</v>
      </c>
      <c r="I71" s="159">
        <f t="shared" si="13"/>
        <v>3.0415560043056593</v>
      </c>
    </row>
    <row r="72" spans="1:10">
      <c r="A72" s="3" t="s">
        <v>242</v>
      </c>
      <c r="B72" s="3" t="s">
        <v>128</v>
      </c>
      <c r="E72" s="145"/>
      <c r="F72" s="159">
        <f>F3/AVERAGE(E39:F39)</f>
        <v>3.0885510303752941</v>
      </c>
      <c r="G72" s="159">
        <f t="shared" ref="G72:I72" si="14">G3/AVERAGE(F39:G39)</f>
        <v>6.6432774627889843</v>
      </c>
      <c r="H72" s="159">
        <f t="shared" si="14"/>
        <v>13.867699647983418</v>
      </c>
      <c r="I72" s="159">
        <f t="shared" si="14"/>
        <v>24.811684777594568</v>
      </c>
    </row>
    <row r="73" spans="1:10">
      <c r="A73" s="3" t="s">
        <v>253</v>
      </c>
      <c r="B73" s="3" t="s">
        <v>128</v>
      </c>
      <c r="E73" s="98"/>
      <c r="F73" s="160">
        <f>F3/AVERAGE(E41:F41)</f>
        <v>52.656758296835122</v>
      </c>
      <c r="G73" s="160">
        <f t="shared" ref="G73:I73" si="15">G3/AVERAGE(F41:G41)</f>
        <v>78.514444782080375</v>
      </c>
      <c r="H73" s="160">
        <f t="shared" si="15"/>
        <v>78.956549111107719</v>
      </c>
      <c r="I73" s="160">
        <f t="shared" si="15"/>
        <v>75.450096172791021</v>
      </c>
    </row>
    <row r="74" spans="1:10">
      <c r="A74" s="3" t="s">
        <v>252</v>
      </c>
      <c r="B74" s="3" t="s">
        <v>128</v>
      </c>
      <c r="E74" s="98"/>
      <c r="F74" s="160">
        <f>F3/AVERAGE(E40:F40)</f>
        <v>148.25626505332349</v>
      </c>
      <c r="G74" s="160">
        <f t="shared" ref="G74:I74" si="16">G3/AVERAGE(F40:G40)</f>
        <v>168.24523881874367</v>
      </c>
      <c r="H74" s="160">
        <f t="shared" si="16"/>
        <v>169.19260523808796</v>
      </c>
      <c r="I74" s="160">
        <f t="shared" si="16"/>
        <v>161.67877751312361</v>
      </c>
    </row>
    <row r="75" spans="1:10">
      <c r="A75" s="3" t="s">
        <v>251</v>
      </c>
      <c r="B75" s="3" t="s">
        <v>128</v>
      </c>
      <c r="E75" s="98"/>
      <c r="F75" s="160">
        <f>F3/AVERAGE(E48:F48)</f>
        <v>207.55877107465287</v>
      </c>
      <c r="G75" s="160">
        <f t="shared" ref="G75:I75" si="17">G3/AVERAGE(F48:G48)</f>
        <v>235.54333434624112</v>
      </c>
      <c r="H75" s="160">
        <f t="shared" si="17"/>
        <v>236.8696473333232</v>
      </c>
      <c r="I75" s="160">
        <f t="shared" si="17"/>
        <v>226.35028851837305</v>
      </c>
    </row>
    <row r="77" spans="1:10">
      <c r="A77" s="143" t="s">
        <v>243</v>
      </c>
      <c r="B77" s="143"/>
      <c r="C77" s="143"/>
      <c r="D77" s="143"/>
      <c r="E77" s="143"/>
      <c r="F77" s="143"/>
      <c r="G77" s="143"/>
      <c r="H77" s="143"/>
      <c r="I77" s="144"/>
    </row>
    <row r="78" spans="1:10">
      <c r="A78" s="3" t="s">
        <v>244</v>
      </c>
      <c r="B78" s="3" t="s">
        <v>128</v>
      </c>
      <c r="E78" s="145"/>
      <c r="F78" s="159">
        <f>F47/(F45+F46)</f>
        <v>3.1406474149183441</v>
      </c>
      <c r="G78" s="159">
        <f t="shared" ref="G78:I78" si="18">G47/(G45+G46)</f>
        <v>0.63388088956484889</v>
      </c>
      <c r="H78" s="159">
        <f t="shared" si="18"/>
        <v>0.11032266587798059</v>
      </c>
      <c r="I78" s="159">
        <f t="shared" si="18"/>
        <v>0</v>
      </c>
    </row>
    <row r="79" spans="1:10">
      <c r="A79" s="3" t="s">
        <v>245</v>
      </c>
      <c r="B79" s="3" t="s">
        <v>128</v>
      </c>
      <c r="E79" s="145"/>
      <c r="F79" s="159">
        <f>F47/F6</f>
        <v>-3.5110756639624046</v>
      </c>
      <c r="G79" s="159">
        <f t="shared" ref="G79:I79" si="19">G47/G6</f>
        <v>0.45711337000100966</v>
      </c>
      <c r="H79" s="159">
        <f t="shared" si="19"/>
        <v>0.10870511721157347</v>
      </c>
      <c r="I79" s="159">
        <f t="shared" si="19"/>
        <v>0</v>
      </c>
    </row>
    <row r="80" spans="1:10">
      <c r="A80" s="3" t="s">
        <v>246</v>
      </c>
      <c r="B80" s="3" t="s">
        <v>128</v>
      </c>
      <c r="E80" s="145"/>
      <c r="F80" s="159">
        <f>MAX(F47-F43,0)/F6</f>
        <v>-2.9881443195115631</v>
      </c>
      <c r="G80" s="159">
        <f t="shared" ref="G80:I80" si="20">MAX(G47-G43,0)/G6</f>
        <v>0</v>
      </c>
      <c r="H80" s="159">
        <f t="shared" si="20"/>
        <v>0</v>
      </c>
      <c r="I80" s="159">
        <f t="shared" si="20"/>
        <v>0</v>
      </c>
    </row>
    <row r="81" spans="1:9">
      <c r="A81" s="3" t="s">
        <v>247</v>
      </c>
      <c r="B81" s="3" t="s">
        <v>128</v>
      </c>
      <c r="E81" s="145"/>
      <c r="F81" s="159">
        <f>F10/-F9</f>
        <v>-11.185255084768977</v>
      </c>
      <c r="G81" s="159">
        <f t="shared" ref="G81:I81" si="21">G10/-G9</f>
        <v>10.854944754183974</v>
      </c>
      <c r="H81" s="159">
        <f t="shared" si="21"/>
        <v>44.338219896687228</v>
      </c>
      <c r="I81" s="159">
        <f t="shared" si="21"/>
        <v>144.0147295557756</v>
      </c>
    </row>
  </sheetData>
  <conditionalFormatting sqref="E50:I50">
    <cfRule type="cellIs" dxfId="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0"/>
  <sheetViews>
    <sheetView showGridLines="0" zoomScale="85" zoomScaleNormal="85" workbookViewId="0">
      <pane ySplit="2" topLeftCell="A57" activePane="bottomLeft" state="frozen"/>
      <selection pane="bottomLeft" activeCell="C79" sqref="C79"/>
    </sheetView>
  </sheetViews>
  <sheetFormatPr defaultRowHeight="15"/>
  <cols>
    <col min="1" max="1" width="53.28515625" customWidth="1"/>
    <col min="3" max="3" width="26.7109375" customWidth="1"/>
    <col min="6" max="6" width="9.140625" customWidth="1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4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3" spans="1:21" ht="21">
      <c r="A3" s="124" t="s">
        <v>294</v>
      </c>
      <c r="B3" s="1"/>
      <c r="C3" s="1"/>
      <c r="D3" s="1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</row>
    <row r="4" spans="1:21" s="29" customFormat="1">
      <c r="A4" s="47" t="s">
        <v>268</v>
      </c>
      <c r="B4" s="47" t="s">
        <v>93</v>
      </c>
      <c r="C4" s="47"/>
      <c r="D4" s="47"/>
      <c r="E4" s="47"/>
      <c r="F4" s="48">
        <f>SUM(F5:F7)</f>
        <v>-15373.3125</v>
      </c>
      <c r="G4" s="48">
        <f t="shared" ref="G4:U4" si="0">SUM(G5:G7)</f>
        <v>-1976.1239119622257</v>
      </c>
      <c r="H4" s="48">
        <f t="shared" si="0"/>
        <v>-1098.620124177919</v>
      </c>
      <c r="I4" s="48">
        <f t="shared" si="0"/>
        <v>-18.045752850668805</v>
      </c>
      <c r="J4" s="48">
        <f t="shared" si="0"/>
        <v>657.39729834157083</v>
      </c>
      <c r="K4" s="48">
        <f t="shared" si="0"/>
        <v>1690.5527733206745</v>
      </c>
      <c r="L4" s="48">
        <f t="shared" si="0"/>
        <v>2763.4313247094087</v>
      </c>
      <c r="M4" s="48">
        <f t="shared" si="0"/>
        <v>3876.9290734799697</v>
      </c>
      <c r="N4" s="48">
        <f t="shared" si="0"/>
        <v>4580.4254043825213</v>
      </c>
      <c r="O4" s="48">
        <f t="shared" si="0"/>
        <v>4589.3054190870325</v>
      </c>
      <c r="P4" s="48">
        <f t="shared" si="0"/>
        <v>4645.6100544565143</v>
      </c>
      <c r="Q4" s="48">
        <f t="shared" si="0"/>
        <v>4672.2499092260441</v>
      </c>
      <c r="R4" s="48">
        <f t="shared" si="0"/>
        <v>4306.2342456295246</v>
      </c>
      <c r="S4" s="48">
        <f t="shared" si="0"/>
        <v>4322.0169672656439</v>
      </c>
      <c r="T4" s="48">
        <f t="shared" si="0"/>
        <v>4335.9783602211082</v>
      </c>
      <c r="U4" s="48">
        <f t="shared" si="0"/>
        <v>4348.0100707950842</v>
      </c>
    </row>
    <row r="5" spans="1:21">
      <c r="A5" t="s">
        <v>264</v>
      </c>
      <c r="B5" t="s">
        <v>93</v>
      </c>
      <c r="F5" s="18">
        <f>Отчетность!F25</f>
        <v>-2248.3125</v>
      </c>
      <c r="G5" s="18">
        <f>Отчетность!G25</f>
        <v>-1521.7489119622257</v>
      </c>
      <c r="H5" s="18">
        <f>Отчетность!H25</f>
        <v>-598.90014496457434</v>
      </c>
      <c r="I5" s="18">
        <f>Отчетность!I25</f>
        <v>528.92614575930384</v>
      </c>
      <c r="J5" s="18">
        <f>Отчетность!J25</f>
        <v>1253.6157469791001</v>
      </c>
      <c r="K5" s="18">
        <f>Отчетность!K25</f>
        <v>2338.104314884783</v>
      </c>
      <c r="L5" s="18">
        <f>Отчетность!L25</f>
        <v>3464.4988438212713</v>
      </c>
      <c r="M5" s="18">
        <f>Отчетность!M25</f>
        <v>4633.796443878784</v>
      </c>
      <c r="N5" s="18">
        <f>Отчетность!N25</f>
        <v>5395.4823650852595</v>
      </c>
      <c r="O5" s="18">
        <f>Отчетность!O25</f>
        <v>5465.0526906736341</v>
      </c>
      <c r="P5" s="18">
        <f>Отчетность!P25</f>
        <v>5584.6647074085395</v>
      </c>
      <c r="Q5" s="18">
        <f>Отчетность!Q25</f>
        <v>5677.3509968415501</v>
      </c>
      <c r="R5" s="18">
        <f>Отчетность!R25</f>
        <v>5380.2487146613576</v>
      </c>
      <c r="S5" s="18">
        <f>Отчетность!S25</f>
        <v>5467.945860085958</v>
      </c>
      <c r="T5" s="18">
        <f>Отчетность!T25</f>
        <v>5556.9633230033196</v>
      </c>
      <c r="U5" s="18">
        <f>Отчетность!U25</f>
        <v>5647.3401829271879</v>
      </c>
    </row>
    <row r="6" spans="1:21">
      <c r="A6" t="s">
        <v>265</v>
      </c>
      <c r="B6" t="s">
        <v>93</v>
      </c>
      <c r="F6" s="18">
        <f>-Отчетность!F10*(1-Допущения!F76)</f>
        <v>0</v>
      </c>
      <c r="G6" s="18">
        <f>-Отчетность!G10*(1-Допущения!G76)</f>
        <v>201.87500000000003</v>
      </c>
      <c r="H6" s="18">
        <f>-Отчетность!H10*(1-Допущения!H76)</f>
        <v>189.34252078665543</v>
      </c>
      <c r="I6" s="18">
        <f>-Отчетность!I10*(1-Допущения!I76)</f>
        <v>176.5437263900273</v>
      </c>
      <c r="J6" s="18">
        <f>-Отчетность!J10*(1-Допущения!J76)</f>
        <v>163.47295761247079</v>
      </c>
      <c r="K6" s="18">
        <f>-Отчетность!K10*(1-Допущения!K76)</f>
        <v>150.12443499839122</v>
      </c>
      <c r="L6" s="18">
        <f>-Отчетность!L10*(1-Допущения!L76)</f>
        <v>136.49225627876243</v>
      </c>
      <c r="M6" s="18">
        <f>-Отчетность!M10*(1-Допущения!M76)</f>
        <v>122.57039376134156</v>
      </c>
      <c r="N6" s="18">
        <f>-Отчетность!N10*(1-Допущения!N76)</f>
        <v>108.35269166542551</v>
      </c>
      <c r="O6" s="18">
        <f>-Отчетность!O10*(1-Допущения!O76)</f>
        <v>93.832863399971217</v>
      </c>
      <c r="P6" s="18">
        <f>-Отчетность!P10*(1-Допущения!P76)</f>
        <v>79.004488783876013</v>
      </c>
      <c r="Q6" s="18">
        <f>-Отчетность!Q10*(1-Допущения!Q76)</f>
        <v>63.861011207188817</v>
      </c>
      <c r="R6" s="18">
        <f>-Отчетность!R10*(1-Допущения!R76)</f>
        <v>48.395734731996995</v>
      </c>
      <c r="S6" s="18">
        <f>-Отчетность!S10*(1-Допущения!S76)</f>
        <v>32.601821131707347</v>
      </c>
      <c r="T6" s="18">
        <f>-Отчетность!T10*(1-Допущения!T76)</f>
        <v>16.472286867411547</v>
      </c>
      <c r="U6" s="18">
        <f>-Отчетность!U10*(1-Допущения!U76)</f>
        <v>0</v>
      </c>
    </row>
    <row r="7" spans="1:21">
      <c r="A7" t="s">
        <v>266</v>
      </c>
      <c r="B7" t="s">
        <v>93</v>
      </c>
      <c r="F7" s="18">
        <f>Отчетность!F29</f>
        <v>-13125</v>
      </c>
      <c r="G7" s="18">
        <f>Отчетность!G29</f>
        <v>-656.25</v>
      </c>
      <c r="H7" s="18">
        <f>Отчетность!H29</f>
        <v>-689.0625</v>
      </c>
      <c r="I7" s="18">
        <f>Отчетность!I29</f>
        <v>-723.515625</v>
      </c>
      <c r="J7" s="18">
        <f>Отчетность!J29</f>
        <v>-759.69140625</v>
      </c>
      <c r="K7" s="18">
        <f>Отчетность!K29</f>
        <v>-797.67597656249984</v>
      </c>
      <c r="L7" s="18">
        <f>Отчетность!L29</f>
        <v>-837.55977539062485</v>
      </c>
      <c r="M7" s="18">
        <f>Отчетность!M29</f>
        <v>-879.43776416015612</v>
      </c>
      <c r="N7" s="18">
        <f>Отчетность!N29</f>
        <v>-923.40965236816373</v>
      </c>
      <c r="O7" s="18">
        <f>Отчетность!O29</f>
        <v>-969.58013498657203</v>
      </c>
      <c r="P7" s="18">
        <f>Отчетность!P29</f>
        <v>-1018.0591417359007</v>
      </c>
      <c r="Q7" s="18">
        <f>Отчетность!Q29</f>
        <v>-1068.9620988226955</v>
      </c>
      <c r="R7" s="18">
        <f>Отчетность!R29</f>
        <v>-1122.4102037638304</v>
      </c>
      <c r="S7" s="18">
        <f>Отчетность!S29</f>
        <v>-1178.5307139520219</v>
      </c>
      <c r="T7" s="18">
        <f>Отчетность!T29</f>
        <v>-1237.457249649623</v>
      </c>
      <c r="U7" s="18">
        <f>Отчетность!U29</f>
        <v>-1299.3301121321042</v>
      </c>
    </row>
    <row r="9" spans="1:21">
      <c r="A9" t="s">
        <v>267</v>
      </c>
      <c r="B9" t="s">
        <v>128</v>
      </c>
      <c r="E9" s="4">
        <v>1</v>
      </c>
      <c r="F9" s="12">
        <f>E9/(1+F21/4)</f>
        <v>0.97916954322717975</v>
      </c>
      <c r="G9" s="12">
        <f t="shared" ref="G9:U9" si="1">F9/(1+G21/4)</f>
        <v>0.95599098721887543</v>
      </c>
      <c r="H9" s="12">
        <f t="shared" si="1"/>
        <v>0.93461980499777286</v>
      </c>
      <c r="I9" s="12">
        <f t="shared" si="1"/>
        <v>0.91400471481955581</v>
      </c>
      <c r="J9" s="12">
        <f t="shared" si="1"/>
        <v>0.89330952374001205</v>
      </c>
      <c r="K9" s="12">
        <f t="shared" si="1"/>
        <v>0.87136752833722886</v>
      </c>
      <c r="L9" s="12">
        <f t="shared" si="1"/>
        <v>0.84757439980793592</v>
      </c>
      <c r="M9" s="12">
        <f t="shared" si="1"/>
        <v>0.82202829748805084</v>
      </c>
      <c r="N9" s="12">
        <f t="shared" si="1"/>
        <v>0.79535813753061468</v>
      </c>
      <c r="O9" s="12">
        <f t="shared" si="1"/>
        <v>0.76825428762664472</v>
      </c>
      <c r="P9" s="12">
        <f t="shared" si="1"/>
        <v>0.74110606589834516</v>
      </c>
      <c r="Q9" s="12">
        <f t="shared" si="1"/>
        <v>0.71417130979691534</v>
      </c>
      <c r="R9" s="12">
        <f t="shared" si="1"/>
        <v>0.68763662520327373</v>
      </c>
      <c r="S9" s="12">
        <f t="shared" si="1"/>
        <v>0.66160838972521241</v>
      </c>
      <c r="T9" s="12">
        <f t="shared" si="1"/>
        <v>0.63616191319731963</v>
      </c>
      <c r="U9" s="12">
        <f t="shared" si="1"/>
        <v>0.61169414730511495</v>
      </c>
    </row>
    <row r="10" spans="1:21" s="29" customFormat="1">
      <c r="A10" s="166" t="s">
        <v>280</v>
      </c>
      <c r="B10" s="166" t="s">
        <v>93</v>
      </c>
      <c r="C10" s="166"/>
      <c r="D10" s="166"/>
      <c r="E10" s="166"/>
      <c r="F10" s="150">
        <f>F4*F9</f>
        <v>-15053.079378513692</v>
      </c>
      <c r="G10" s="150">
        <f t="shared" ref="G10:U10" si="2">G4*G9</f>
        <v>-1889.1566494635942</v>
      </c>
      <c r="H10" s="150">
        <f t="shared" si="2"/>
        <v>-1026.7921262257958</v>
      </c>
      <c r="I10" s="150">
        <f t="shared" si="2"/>
        <v>-16.493903187979729</v>
      </c>
      <c r="J10" s="150">
        <f t="shared" si="2"/>
        <v>587.25926748947927</v>
      </c>
      <c r="K10" s="150">
        <f t="shared" si="2"/>
        <v>1473.0927916120836</v>
      </c>
      <c r="L10" s="150">
        <f t="shared" si="2"/>
        <v>2342.2136464510263</v>
      </c>
      <c r="M10" s="150">
        <f t="shared" si="2"/>
        <v>3186.9454057546659</v>
      </c>
      <c r="N10" s="150">
        <f t="shared" si="2"/>
        <v>3643.0786187275949</v>
      </c>
      <c r="O10" s="150">
        <f t="shared" si="2"/>
        <v>3525.7535654418084</v>
      </c>
      <c r="P10" s="150">
        <f t="shared" si="2"/>
        <v>3442.8897911560643</v>
      </c>
      <c r="Q10" s="150">
        <f t="shared" si="2"/>
        <v>3336.7868373704828</v>
      </c>
      <c r="R10" s="150">
        <f t="shared" si="2"/>
        <v>2961.1243839994518</v>
      </c>
      <c r="S10" s="150">
        <f t="shared" si="2"/>
        <v>2859.4826860776689</v>
      </c>
      <c r="T10" s="150">
        <f t="shared" si="2"/>
        <v>2758.384289220437</v>
      </c>
      <c r="U10" s="150">
        <f t="shared" si="2"/>
        <v>2659.6523127290516</v>
      </c>
    </row>
    <row r="12" spans="1:21" s="29" customFormat="1">
      <c r="A12" s="47" t="s">
        <v>269</v>
      </c>
      <c r="B12" s="47" t="s">
        <v>93</v>
      </c>
      <c r="C12" s="47"/>
      <c r="D12" s="47"/>
      <c r="E12" s="47"/>
      <c r="F12" s="48">
        <f>SUM(F13:F16)</f>
        <v>-3498.3125</v>
      </c>
      <c r="G12" s="48">
        <f t="shared" ref="G12:U12" si="3">SUM(G13:G16)</f>
        <v>-2915.2035715707307</v>
      </c>
      <c r="H12" s="48">
        <f t="shared" si="3"/>
        <v>-2040.8329035897598</v>
      </c>
      <c r="I12" s="48">
        <f t="shared" si="3"/>
        <v>-963.45823086166672</v>
      </c>
      <c r="J12" s="48">
        <f t="shared" si="3"/>
        <v>-291.28287186381601</v>
      </c>
      <c r="K12" s="48">
        <f t="shared" si="3"/>
        <v>738.53547246176754</v>
      </c>
      <c r="L12" s="48">
        <f t="shared" si="3"/>
        <v>1808.0059791705949</v>
      </c>
      <c r="M12" s="48">
        <f t="shared" si="3"/>
        <v>2918.0232623118004</v>
      </c>
      <c r="N12" s="48">
        <f t="shared" si="3"/>
        <v>3617.9651676903732</v>
      </c>
      <c r="O12" s="48">
        <f t="shared" si="3"/>
        <v>3623.2152253285212</v>
      </c>
      <c r="P12" s="48">
        <f t="shared" si="3"/>
        <v>3675.812767043979</v>
      </c>
      <c r="Q12" s="48">
        <f t="shared" si="3"/>
        <v>3698.6667524193363</v>
      </c>
      <c r="R12" s="48">
        <f t="shared" si="3"/>
        <v>3328.7847697040188</v>
      </c>
      <c r="S12" s="48">
        <f t="shared" si="3"/>
        <v>3340.6190129400657</v>
      </c>
      <c r="T12" s="48">
        <f t="shared" si="3"/>
        <v>3350.5480223294562</v>
      </c>
      <c r="U12" s="48">
        <f t="shared" si="3"/>
        <v>4348.0100707950842</v>
      </c>
    </row>
    <row r="13" spans="1:21">
      <c r="A13" t="s">
        <v>264</v>
      </c>
      <c r="B13" t="s">
        <v>93</v>
      </c>
      <c r="F13" s="18">
        <f>F5</f>
        <v>-2248.3125</v>
      </c>
      <c r="G13" s="18">
        <f t="shared" ref="G13:U13" si="4">G5</f>
        <v>-1521.7489119622257</v>
      </c>
      <c r="H13" s="18">
        <f t="shared" si="4"/>
        <v>-598.90014496457434</v>
      </c>
      <c r="I13" s="18">
        <f t="shared" si="4"/>
        <v>528.92614575930384</v>
      </c>
      <c r="J13" s="18">
        <f t="shared" si="4"/>
        <v>1253.6157469791001</v>
      </c>
      <c r="K13" s="18">
        <f t="shared" si="4"/>
        <v>2338.104314884783</v>
      </c>
      <c r="L13" s="18">
        <f t="shared" si="4"/>
        <v>3464.4988438212713</v>
      </c>
      <c r="M13" s="18">
        <f t="shared" si="4"/>
        <v>4633.796443878784</v>
      </c>
      <c r="N13" s="18">
        <f t="shared" si="4"/>
        <v>5395.4823650852595</v>
      </c>
      <c r="O13" s="18">
        <f t="shared" si="4"/>
        <v>5465.0526906736341</v>
      </c>
      <c r="P13" s="18">
        <f t="shared" si="4"/>
        <v>5584.6647074085395</v>
      </c>
      <c r="Q13" s="18">
        <f t="shared" si="4"/>
        <v>5677.3509968415501</v>
      </c>
      <c r="R13" s="18">
        <f t="shared" si="4"/>
        <v>5380.2487146613576</v>
      </c>
      <c r="S13" s="18">
        <f t="shared" si="4"/>
        <v>5467.945860085958</v>
      </c>
      <c r="T13" s="18">
        <f t="shared" si="4"/>
        <v>5556.9633230033196</v>
      </c>
      <c r="U13" s="18">
        <f t="shared" si="4"/>
        <v>5647.3401829271879</v>
      </c>
    </row>
    <row r="14" spans="1:21">
      <c r="A14" t="s">
        <v>266</v>
      </c>
      <c r="B14" t="s">
        <v>93</v>
      </c>
      <c r="F14" s="18">
        <f>F7</f>
        <v>-13125</v>
      </c>
      <c r="G14" s="18">
        <f t="shared" ref="G14:U14" si="5">G7</f>
        <v>-656.25</v>
      </c>
      <c r="H14" s="18">
        <f t="shared" si="5"/>
        <v>-689.0625</v>
      </c>
      <c r="I14" s="18">
        <f t="shared" si="5"/>
        <v>-723.515625</v>
      </c>
      <c r="J14" s="18">
        <f t="shared" si="5"/>
        <v>-759.69140625</v>
      </c>
      <c r="K14" s="18">
        <f t="shared" si="5"/>
        <v>-797.67597656249984</v>
      </c>
      <c r="L14" s="18">
        <f t="shared" si="5"/>
        <v>-837.55977539062485</v>
      </c>
      <c r="M14" s="18">
        <f t="shared" si="5"/>
        <v>-879.43776416015612</v>
      </c>
      <c r="N14" s="18">
        <f t="shared" si="5"/>
        <v>-923.40965236816373</v>
      </c>
      <c r="O14" s="18">
        <f t="shared" si="5"/>
        <v>-969.58013498657203</v>
      </c>
      <c r="P14" s="18">
        <f t="shared" si="5"/>
        <v>-1018.0591417359007</v>
      </c>
      <c r="Q14" s="18">
        <f t="shared" si="5"/>
        <v>-1068.9620988226955</v>
      </c>
      <c r="R14" s="18">
        <f t="shared" si="5"/>
        <v>-1122.4102037638304</v>
      </c>
      <c r="S14" s="18">
        <f t="shared" si="5"/>
        <v>-1178.5307139520219</v>
      </c>
      <c r="T14" s="18">
        <f t="shared" si="5"/>
        <v>-1237.457249649623</v>
      </c>
      <c r="U14" s="18">
        <f t="shared" si="5"/>
        <v>-1299.3301121321042</v>
      </c>
    </row>
    <row r="15" spans="1:21">
      <c r="A15" t="s">
        <v>270</v>
      </c>
      <c r="B15" t="s">
        <v>93</v>
      </c>
      <c r="F15" s="18">
        <f>Отчетность!F31</f>
        <v>11875</v>
      </c>
      <c r="G15" s="18">
        <f>Отчетность!G31</f>
        <v>0</v>
      </c>
      <c r="H15" s="18">
        <f>Отчетность!H31</f>
        <v>0</v>
      </c>
      <c r="I15" s="18">
        <f>Отчетность!I31</f>
        <v>0</v>
      </c>
      <c r="J15" s="18">
        <f>Отчетность!J31</f>
        <v>0</v>
      </c>
      <c r="K15" s="18">
        <f>Отчетность!K31</f>
        <v>0</v>
      </c>
      <c r="L15" s="18">
        <f>Отчетность!L31</f>
        <v>0</v>
      </c>
      <c r="M15" s="18">
        <f>Отчетность!M31</f>
        <v>0</v>
      </c>
      <c r="N15" s="18">
        <f>Отчетность!N31</f>
        <v>0</v>
      </c>
      <c r="O15" s="18">
        <f>Отчетность!O31</f>
        <v>0</v>
      </c>
      <c r="P15" s="18">
        <f>Отчетность!P31</f>
        <v>0</v>
      </c>
      <c r="Q15" s="18">
        <f>Отчетность!Q31</f>
        <v>0</v>
      </c>
      <c r="R15" s="18">
        <f>Отчетность!R31</f>
        <v>0</v>
      </c>
      <c r="S15" s="18">
        <f>Отчетность!S31</f>
        <v>0</v>
      </c>
      <c r="T15" s="18">
        <f>Отчетность!T31</f>
        <v>0</v>
      </c>
      <c r="U15" s="18">
        <f>Отчетность!U31</f>
        <v>0</v>
      </c>
    </row>
    <row r="16" spans="1:21">
      <c r="A16" t="s">
        <v>271</v>
      </c>
      <c r="B16" t="s">
        <v>93</v>
      </c>
      <c r="F16" s="18">
        <f>Отчетность!F32</f>
        <v>0</v>
      </c>
      <c r="G16" s="18">
        <f>Отчетность!G32</f>
        <v>-737.2046596085047</v>
      </c>
      <c r="H16" s="18">
        <f>Отчетность!H32</f>
        <v>-752.87025862518544</v>
      </c>
      <c r="I16" s="18">
        <f>Отчетность!I32</f>
        <v>-768.86875162097056</v>
      </c>
      <c r="J16" s="18">
        <f>Отчетность!J32</f>
        <v>-785.20721259291611</v>
      </c>
      <c r="K16" s="18">
        <f>Отчетность!K32</f>
        <v>-801.89286586051571</v>
      </c>
      <c r="L16" s="18">
        <f>Отчетность!L32</f>
        <v>-818.93308926005159</v>
      </c>
      <c r="M16" s="18">
        <f>Отчетность!M32</f>
        <v>-836.33541740682767</v>
      </c>
      <c r="N16" s="18">
        <f>Отчетность!N32</f>
        <v>-854.10754502672285</v>
      </c>
      <c r="O16" s="18">
        <f>Отчетность!O32</f>
        <v>-872.25733035854057</v>
      </c>
      <c r="P16" s="18">
        <f>Отчетность!P32</f>
        <v>-890.79279862865963</v>
      </c>
      <c r="Q16" s="18">
        <f>Отчетность!Q32</f>
        <v>-909.72214559951863</v>
      </c>
      <c r="R16" s="18">
        <f>Отчетность!R32</f>
        <v>-929.05374119350836</v>
      </c>
      <c r="S16" s="18">
        <f>Отчетность!S32</f>
        <v>-948.79613319387045</v>
      </c>
      <c r="T16" s="18">
        <f>Отчетность!T32</f>
        <v>-968.95805102424026</v>
      </c>
      <c r="U16" s="18">
        <f>Отчетность!U32</f>
        <v>0</v>
      </c>
    </row>
    <row r="18" spans="1:21">
      <c r="A18" t="s">
        <v>267</v>
      </c>
      <c r="B18" t="s">
        <v>128</v>
      </c>
      <c r="E18" s="4">
        <v>1</v>
      </c>
      <c r="F18" s="12">
        <f>E18/(1+F28/4)</f>
        <v>0.96153846153846145</v>
      </c>
      <c r="G18" s="12">
        <f t="shared" ref="G18:U18" si="6">F18/(1+G28/4)</f>
        <v>0.92455621301775137</v>
      </c>
      <c r="H18" s="12">
        <f t="shared" si="6"/>
        <v>0.88899635867091475</v>
      </c>
      <c r="I18" s="12">
        <f t="shared" si="6"/>
        <v>0.85480419102972571</v>
      </c>
      <c r="J18" s="12">
        <f t="shared" si="6"/>
        <v>0.82192710675935166</v>
      </c>
      <c r="K18" s="12">
        <f t="shared" si="6"/>
        <v>0.79031452573014582</v>
      </c>
      <c r="L18" s="12">
        <f t="shared" si="6"/>
        <v>0.75991781320206331</v>
      </c>
      <c r="M18" s="12">
        <f t="shared" si="6"/>
        <v>0.73069020500198389</v>
      </c>
      <c r="N18" s="12">
        <f t="shared" si="6"/>
        <v>0.70258673557883067</v>
      </c>
      <c r="O18" s="12">
        <f t="shared" si="6"/>
        <v>0.67556416882579873</v>
      </c>
      <c r="P18" s="12">
        <f t="shared" si="6"/>
        <v>0.64958093156326802</v>
      </c>
      <c r="Q18" s="12">
        <f t="shared" si="6"/>
        <v>0.62459704958006534</v>
      </c>
      <c r="R18" s="12">
        <f t="shared" si="6"/>
        <v>0.60057408613467822</v>
      </c>
      <c r="S18" s="12">
        <f t="shared" si="6"/>
        <v>0.57747508282180593</v>
      </c>
      <c r="T18" s="12">
        <f t="shared" si="6"/>
        <v>0.55526450271327488</v>
      </c>
      <c r="U18" s="12">
        <f t="shared" si="6"/>
        <v>0.53390817568584126</v>
      </c>
    </row>
    <row r="19" spans="1:21" s="29" customFormat="1">
      <c r="A19" s="166" t="s">
        <v>281</v>
      </c>
      <c r="B19" s="166" t="s">
        <v>93</v>
      </c>
      <c r="C19" s="166"/>
      <c r="D19" s="166"/>
      <c r="E19" s="166"/>
      <c r="F19" s="150">
        <f>F12*F18</f>
        <v>-3363.7620192307691</v>
      </c>
      <c r="G19" s="150">
        <f t="shared" ref="G19:U19" si="7">G12*G18</f>
        <v>-2695.2695743072582</v>
      </c>
      <c r="H19" s="150">
        <f t="shared" si="7"/>
        <v>-1814.2930199470866</v>
      </c>
      <c r="I19" s="150">
        <f t="shared" si="7"/>
        <v>-823.56813362263779</v>
      </c>
      <c r="J19" s="150">
        <f t="shared" si="7"/>
        <v>-239.41328811958124</v>
      </c>
      <c r="K19" s="150">
        <f t="shared" si="7"/>
        <v>583.67531165351102</v>
      </c>
      <c r="L19" s="150">
        <f t="shared" si="7"/>
        <v>1373.9359499475736</v>
      </c>
      <c r="M19" s="150">
        <f t="shared" si="7"/>
        <v>2132.1710157391672</v>
      </c>
      <c r="N19" s="150">
        <f t="shared" si="7"/>
        <v>2541.9343366054959</v>
      </c>
      <c r="O19" s="150">
        <f t="shared" si="7"/>
        <v>2447.7143821760415</v>
      </c>
      <c r="P19" s="150">
        <f t="shared" si="7"/>
        <v>2387.7378814685817</v>
      </c>
      <c r="Q19" s="150">
        <f t="shared" si="7"/>
        <v>2310.1763409409996</v>
      </c>
      <c r="R19" s="150">
        <f t="shared" si="7"/>
        <v>1999.1818710040263</v>
      </c>
      <c r="S19" s="150">
        <f t="shared" si="7"/>
        <v>1929.1242411736639</v>
      </c>
      <c r="T19" s="150">
        <f t="shared" si="7"/>
        <v>1860.4403814357122</v>
      </c>
      <c r="U19" s="150">
        <f t="shared" si="7"/>
        <v>2321.4381247618689</v>
      </c>
    </row>
    <row r="21" spans="1:21" s="29" customFormat="1">
      <c r="A21" s="47" t="s">
        <v>272</v>
      </c>
      <c r="B21" s="47"/>
      <c r="C21" s="47"/>
      <c r="D21" s="47"/>
      <c r="E21" s="47"/>
      <c r="F21" s="165">
        <f>F26*F28+F27*F29*(1-Допущения!F76)</f>
        <v>8.5094381935804583E-2</v>
      </c>
      <c r="G21" s="165">
        <f>G26*G28+G27*G29*(1-Допущения!G76)</f>
        <v>9.6982320202555178E-2</v>
      </c>
      <c r="H21" s="165">
        <f>H26*H28+H27*H29*(1-Допущения!H76)</f>
        <v>9.1464709422259427E-2</v>
      </c>
      <c r="I21" s="165">
        <f>I26*I28+I27*I29*(1-Допущения!I76)</f>
        <v>9.0218747645243375E-2</v>
      </c>
      <c r="J21" s="165">
        <f>J26*J28+J27*J29*(1-Допущения!J76)</f>
        <v>9.2667504507953247E-2</v>
      </c>
      <c r="K21" s="165">
        <f>K26*K28+K27*K29*(1-Допущения!K76)</f>
        <v>0.10072441163674566</v>
      </c>
      <c r="L21" s="165">
        <f>L26*L28+L27*L29*(1-Допущения!L76)</f>
        <v>0.11228809428262393</v>
      </c>
      <c r="M21" s="165">
        <f>M26*M28+M27*M29*(1-Допущения!M76)</f>
        <v>0.12430765411822789</v>
      </c>
      <c r="N21" s="165">
        <f>N26*N28+N27*N29*(1-Допущения!N76)</f>
        <v>0.13412906060276361</v>
      </c>
      <c r="O21" s="165">
        <f>O26*O28+O27*O29*(1-Допущения!O76)</f>
        <v>0.14111915984329299</v>
      </c>
      <c r="P21" s="165">
        <f>P26*P28+P27*P29*(1-Допущения!P76)</f>
        <v>0.14652813127573824</v>
      </c>
      <c r="Q21" s="165">
        <f>Q26*Q28+Q27*Q29*(1-Допущения!Q76)</f>
        <v>0.15085879666092522</v>
      </c>
      <c r="R21" s="165">
        <f>R26*R28+R27*R29*(1-Допущения!R76)</f>
        <v>0.15435294526842691</v>
      </c>
      <c r="S21" s="165">
        <f>S26*S28+S27*S29*(1-Допущения!S76)</f>
        <v>0.15736339431168164</v>
      </c>
      <c r="T21" s="165">
        <f>T26*T28+T27*T29*(1-Допущения!T76)</f>
        <v>0.16000000000000009</v>
      </c>
      <c r="U21" s="165">
        <f>U26*U28+U27*U29*(1-Допущения!U76)</f>
        <v>0.16</v>
      </c>
    </row>
    <row r="22" spans="1:21">
      <c r="A22" t="s">
        <v>273</v>
      </c>
      <c r="B22" t="s">
        <v>93</v>
      </c>
      <c r="F22" s="18">
        <f>Отчетность!F46+Отчетность!F47</f>
        <v>2710.020833333333</v>
      </c>
      <c r="G22" s="18">
        <f>Отчетность!G46+Отчетность!G47</f>
        <v>5122.3585499071614</v>
      </c>
      <c r="H22" s="18">
        <f>Отчетность!H46+Отчетность!H47</f>
        <v>3555.5295288223961</v>
      </c>
      <c r="I22" s="18">
        <f>Отчетность!I46+Отчетность!I47</f>
        <v>3061.8070288527924</v>
      </c>
      <c r="J22" s="18">
        <f>Отчетность!J46+Отчетность!J47</f>
        <v>3235.2136783941087</v>
      </c>
      <c r="K22" s="18">
        <f>Отчетность!K46+Отчетность!K47</f>
        <v>4432.5645117791146</v>
      </c>
      <c r="L22" s="18">
        <f>Отчетность!L46+Отчетность!L47</f>
        <v>6692.6311325559336</v>
      </c>
      <c r="M22" s="18">
        <f>Отчетность!M46+Отчетность!M47</f>
        <v>10055.024295495772</v>
      </c>
      <c r="N22" s="18">
        <f>Отчетность!N46+Отчетность!N47</f>
        <v>14108.674135988002</v>
      </c>
      <c r="O22" s="18">
        <f>Отчетность!O46+Отчетность!O47</f>
        <v>17997.522405160114</v>
      </c>
      <c r="P22" s="18">
        <f>Отчетность!P46+Отчетность!P47</f>
        <v>21896.98345459369</v>
      </c>
      <c r="Q22" s="18">
        <f>Отчетность!Q46+Отчетность!Q47</f>
        <v>25804.379388005567</v>
      </c>
      <c r="R22" s="18">
        <f>Отчетность!R46+Отчетность!R47</f>
        <v>29325.680373200354</v>
      </c>
      <c r="S22" s="18">
        <f>Отчетность!S46+Отчетность!S47</f>
        <v>32841.232486448098</v>
      </c>
      <c r="T22" s="18">
        <f>Отчетность!T46+Отчетность!T47</f>
        <v>36347.679998408355</v>
      </c>
      <c r="U22" s="18">
        <f>Отчетность!U46+Отчетность!U47</f>
        <v>39841.472428771202</v>
      </c>
    </row>
    <row r="23" spans="1:21">
      <c r="A23" t="s">
        <v>274</v>
      </c>
      <c r="B23" t="s">
        <v>93</v>
      </c>
      <c r="F23" s="18">
        <f>Отчетность!F48</f>
        <v>11875</v>
      </c>
      <c r="G23" s="18">
        <f>Отчетность!G48</f>
        <v>11137.795340391494</v>
      </c>
      <c r="H23" s="18">
        <f>Отчетность!H48</f>
        <v>10384.925081766311</v>
      </c>
      <c r="I23" s="18">
        <f>Отчетность!I48</f>
        <v>9616.0563301453385</v>
      </c>
      <c r="J23" s="18">
        <f>Отчетность!J48</f>
        <v>8830.8491175524232</v>
      </c>
      <c r="K23" s="18">
        <f>Отчетность!K48</f>
        <v>8028.9562516919077</v>
      </c>
      <c r="L23" s="18">
        <f>Отчетность!L48</f>
        <v>7210.0231624318558</v>
      </c>
      <c r="M23" s="18">
        <f>Отчетность!M48</f>
        <v>6373.6877450250286</v>
      </c>
      <c r="N23" s="18">
        <f>Отчетность!N48</f>
        <v>5519.5801999983059</v>
      </c>
      <c r="O23" s="18">
        <f>Отчетность!O48</f>
        <v>4647.3228696397655</v>
      </c>
      <c r="P23" s="18">
        <f>Отчетность!P48</f>
        <v>3756.530071011106</v>
      </c>
      <c r="Q23" s="18">
        <f>Отчетность!Q48</f>
        <v>2846.8079254115873</v>
      </c>
      <c r="R23" s="18">
        <f>Отчетность!R48</f>
        <v>1917.754184218079</v>
      </c>
      <c r="S23" s="18">
        <f>Отчетность!S48</f>
        <v>968.95805102420854</v>
      </c>
      <c r="T23" s="18">
        <f>Отчетность!T48</f>
        <v>-3.1752378504279477E-11</v>
      </c>
      <c r="U23" s="18">
        <f>Отчетность!U48</f>
        <v>0</v>
      </c>
    </row>
    <row r="24" spans="1:21">
      <c r="A24" t="s">
        <v>275</v>
      </c>
      <c r="B24" t="s">
        <v>93</v>
      </c>
      <c r="F24" s="18">
        <f>F22+F23</f>
        <v>14585.020833333332</v>
      </c>
      <c r="G24" s="18">
        <f t="shared" ref="G24:U24" si="8">G22+G23</f>
        <v>16260.153890298656</v>
      </c>
      <c r="H24" s="18">
        <f t="shared" si="8"/>
        <v>13940.454610588706</v>
      </c>
      <c r="I24" s="18">
        <f t="shared" si="8"/>
        <v>12677.863358998131</v>
      </c>
      <c r="J24" s="18">
        <f t="shared" si="8"/>
        <v>12066.062795946531</v>
      </c>
      <c r="K24" s="18">
        <f t="shared" si="8"/>
        <v>12461.520763471022</v>
      </c>
      <c r="L24" s="18">
        <f t="shared" si="8"/>
        <v>13902.654294987789</v>
      </c>
      <c r="M24" s="18">
        <f t="shared" si="8"/>
        <v>16428.712040520801</v>
      </c>
      <c r="N24" s="18">
        <f t="shared" si="8"/>
        <v>19628.254335986308</v>
      </c>
      <c r="O24" s="18">
        <f t="shared" si="8"/>
        <v>22644.845274799882</v>
      </c>
      <c r="P24" s="18">
        <f t="shared" si="8"/>
        <v>25653.513525604794</v>
      </c>
      <c r="Q24" s="18">
        <f t="shared" si="8"/>
        <v>28651.187313417155</v>
      </c>
      <c r="R24" s="18">
        <f t="shared" si="8"/>
        <v>31243.434557418434</v>
      </c>
      <c r="S24" s="18">
        <f t="shared" si="8"/>
        <v>33810.190537472306</v>
      </c>
      <c r="T24" s="18">
        <f t="shared" si="8"/>
        <v>36347.679998408326</v>
      </c>
      <c r="U24" s="18">
        <f t="shared" si="8"/>
        <v>39841.472428771202</v>
      </c>
    </row>
    <row r="26" spans="1:21">
      <c r="A26" t="s">
        <v>276</v>
      </c>
      <c r="B26" t="s">
        <v>18</v>
      </c>
      <c r="F26" s="164">
        <f>F22/F24</f>
        <v>0.1858084993022236</v>
      </c>
      <c r="G26" s="164">
        <f t="shared" ref="G26:U26" si="9">G22/G24</f>
        <v>0.31502521959299101</v>
      </c>
      <c r="H26" s="164">
        <f t="shared" si="9"/>
        <v>0.25505118937238491</v>
      </c>
      <c r="I26" s="164">
        <f t="shared" si="9"/>
        <v>0.24150812657873227</v>
      </c>
      <c r="J26" s="164">
        <f t="shared" si="9"/>
        <v>0.2681250489994918</v>
      </c>
      <c r="K26" s="164">
        <f t="shared" si="9"/>
        <v>0.35570012648636568</v>
      </c>
      <c r="L26" s="164">
        <f t="shared" si="9"/>
        <v>0.48139232915895586</v>
      </c>
      <c r="M26" s="164">
        <f t="shared" si="9"/>
        <v>0.61203971867638995</v>
      </c>
      <c r="N26" s="164">
        <f t="shared" si="9"/>
        <v>0.71879413698656092</v>
      </c>
      <c r="O26" s="164">
        <f t="shared" si="9"/>
        <v>0.7947734765575325</v>
      </c>
      <c r="P26" s="164">
        <f t="shared" si="9"/>
        <v>0.85356664430150242</v>
      </c>
      <c r="Q26" s="164">
        <f t="shared" si="9"/>
        <v>0.90063909414049148</v>
      </c>
      <c r="R26" s="164">
        <f t="shared" si="9"/>
        <v>0.93861897030898833</v>
      </c>
      <c r="S26" s="164">
        <f t="shared" si="9"/>
        <v>0.97134124251827869</v>
      </c>
      <c r="T26" s="164">
        <f t="shared" si="9"/>
        <v>1.0000000000000009</v>
      </c>
      <c r="U26" s="164">
        <f t="shared" si="9"/>
        <v>1</v>
      </c>
    </row>
    <row r="27" spans="1:21">
      <c r="A27" t="s">
        <v>277</v>
      </c>
      <c r="B27" t="s">
        <v>18</v>
      </c>
      <c r="F27" s="164">
        <f>F23/F24</f>
        <v>0.81419150069777646</v>
      </c>
      <c r="G27" s="164">
        <f t="shared" ref="G27:U27" si="10">G23/G24</f>
        <v>0.68497478040700899</v>
      </c>
      <c r="H27" s="164">
        <f t="shared" si="10"/>
        <v>0.7449488106276152</v>
      </c>
      <c r="I27" s="164">
        <f t="shared" si="10"/>
        <v>0.75849187342126778</v>
      </c>
      <c r="J27" s="164">
        <f t="shared" si="10"/>
        <v>0.73187495100050826</v>
      </c>
      <c r="K27" s="164">
        <f t="shared" si="10"/>
        <v>0.64429987351363438</v>
      </c>
      <c r="L27" s="164">
        <f t="shared" si="10"/>
        <v>0.51860767084104409</v>
      </c>
      <c r="M27" s="164">
        <f t="shared" si="10"/>
        <v>0.38796028132360999</v>
      </c>
      <c r="N27" s="164">
        <f t="shared" si="10"/>
        <v>0.28120586301343903</v>
      </c>
      <c r="O27" s="164">
        <f t="shared" si="10"/>
        <v>0.20522652344246742</v>
      </c>
      <c r="P27" s="164">
        <f t="shared" si="10"/>
        <v>0.14643335569849761</v>
      </c>
      <c r="Q27" s="164">
        <f t="shared" si="10"/>
        <v>9.9360905859508547E-2</v>
      </c>
      <c r="R27" s="164">
        <f t="shared" si="10"/>
        <v>6.1381029691011606E-2</v>
      </c>
      <c r="S27" s="164">
        <f t="shared" si="10"/>
        <v>2.865875748172134E-2</v>
      </c>
      <c r="T27" s="164">
        <f t="shared" si="10"/>
        <v>-8.7357373305998951E-16</v>
      </c>
      <c r="U27" s="164">
        <f t="shared" si="10"/>
        <v>0</v>
      </c>
    </row>
    <row r="28" spans="1:21">
      <c r="A28" t="s">
        <v>278</v>
      </c>
      <c r="B28" t="s">
        <v>18</v>
      </c>
      <c r="E28" s="5">
        <v>0.16</v>
      </c>
      <c r="F28" s="6">
        <f>E28</f>
        <v>0.16</v>
      </c>
      <c r="G28" s="6">
        <f t="shared" ref="G28:U28" si="11">F28</f>
        <v>0.16</v>
      </c>
      <c r="H28" s="6">
        <f t="shared" si="11"/>
        <v>0.16</v>
      </c>
      <c r="I28" s="6">
        <f t="shared" si="11"/>
        <v>0.16</v>
      </c>
      <c r="J28" s="6">
        <f t="shared" si="11"/>
        <v>0.16</v>
      </c>
      <c r="K28" s="6">
        <f t="shared" si="11"/>
        <v>0.16</v>
      </c>
      <c r="L28" s="6">
        <f t="shared" si="11"/>
        <v>0.16</v>
      </c>
      <c r="M28" s="6">
        <f t="shared" si="11"/>
        <v>0.16</v>
      </c>
      <c r="N28" s="6">
        <f t="shared" si="11"/>
        <v>0.16</v>
      </c>
      <c r="O28" s="6">
        <f t="shared" si="11"/>
        <v>0.16</v>
      </c>
      <c r="P28" s="6">
        <f t="shared" si="11"/>
        <v>0.16</v>
      </c>
      <c r="Q28" s="6">
        <f t="shared" si="11"/>
        <v>0.16</v>
      </c>
      <c r="R28" s="6">
        <f t="shared" si="11"/>
        <v>0.16</v>
      </c>
      <c r="S28" s="6">
        <f t="shared" si="11"/>
        <v>0.16</v>
      </c>
      <c r="T28" s="6">
        <f t="shared" si="11"/>
        <v>0.16</v>
      </c>
      <c r="U28" s="6">
        <f t="shared" si="11"/>
        <v>0.16</v>
      </c>
    </row>
    <row r="29" spans="1:21">
      <c r="A29" t="s">
        <v>279</v>
      </c>
      <c r="B29" t="s">
        <v>18</v>
      </c>
      <c r="F29" s="7">
        <f>Расчет!F97</f>
        <v>8.5000000000000006E-2</v>
      </c>
      <c r="G29" s="7">
        <f>Расчет!G97</f>
        <v>8.5000000000000006E-2</v>
      </c>
      <c r="H29" s="7">
        <f>Расчет!H97</f>
        <v>8.5000000000000006E-2</v>
      </c>
      <c r="I29" s="7">
        <f>Расчет!I97</f>
        <v>8.5000000000000006E-2</v>
      </c>
      <c r="J29" s="7">
        <f>Расчет!J97</f>
        <v>8.5000000000000006E-2</v>
      </c>
      <c r="K29" s="7">
        <f>Расчет!K97</f>
        <v>8.5000000000000006E-2</v>
      </c>
      <c r="L29" s="7">
        <f>Расчет!L97</f>
        <v>8.5000000000000006E-2</v>
      </c>
      <c r="M29" s="7">
        <f>Расчет!M97</f>
        <v>8.5000000000000006E-2</v>
      </c>
      <c r="N29" s="7">
        <f>Расчет!N97</f>
        <v>8.5000000000000006E-2</v>
      </c>
      <c r="O29" s="7">
        <f>Расчет!O97</f>
        <v>8.5000000000000006E-2</v>
      </c>
      <c r="P29" s="7">
        <f>Расчет!P97</f>
        <v>8.5000000000000006E-2</v>
      </c>
      <c r="Q29" s="7">
        <f>Расчет!Q97</f>
        <v>8.5000000000000006E-2</v>
      </c>
      <c r="R29" s="7">
        <f>Расчет!R97</f>
        <v>8.5000000000000006E-2</v>
      </c>
      <c r="S29" s="7">
        <f>Расчет!S97</f>
        <v>8.5000000000000006E-2</v>
      </c>
      <c r="T29" s="7">
        <f>Расчет!T97</f>
        <v>8.5000000000000006E-2</v>
      </c>
      <c r="U29" s="7">
        <f>Расчет!U97</f>
        <v>0</v>
      </c>
    </row>
    <row r="31" spans="1:21">
      <c r="A31" s="4" t="s">
        <v>292</v>
      </c>
      <c r="B31" s="4" t="s">
        <v>18</v>
      </c>
      <c r="C31" s="10">
        <v>1.4999999999999999E-2</v>
      </c>
    </row>
    <row r="33" spans="1:4" ht="18.75">
      <c r="A33" s="168" t="s">
        <v>282</v>
      </c>
    </row>
    <row r="34" spans="1:4">
      <c r="A34" s="4" t="s">
        <v>283</v>
      </c>
      <c r="B34" s="4" t="s">
        <v>93</v>
      </c>
      <c r="C34" s="18">
        <f>SUM(F10:U10)</f>
        <v>14791.141538638753</v>
      </c>
    </row>
    <row r="35" spans="1:4">
      <c r="A35" s="4" t="s">
        <v>284</v>
      </c>
      <c r="B35" s="4" t="s">
        <v>93</v>
      </c>
      <c r="C35" s="18">
        <f>SUM(R4:U4)*(1+C31)/(U21-C31)</f>
        <v>121185.67750737949</v>
      </c>
    </row>
    <row r="36" spans="1:4">
      <c r="A36" s="4" t="s">
        <v>285</v>
      </c>
      <c r="B36" s="4" t="s">
        <v>93</v>
      </c>
      <c r="C36" s="18">
        <f>C35*U9</f>
        <v>74128.569668469136</v>
      </c>
    </row>
    <row r="37" spans="1:4">
      <c r="A37" s="167" t="s">
        <v>282</v>
      </c>
      <c r="B37" s="167" t="s">
        <v>93</v>
      </c>
      <c r="C37" s="169">
        <f>C34+C36</f>
        <v>88919.711207107888</v>
      </c>
    </row>
    <row r="38" spans="1:4">
      <c r="A38" s="4" t="s">
        <v>286</v>
      </c>
      <c r="B38" s="4" t="s">
        <v>93</v>
      </c>
      <c r="C38" s="18">
        <f>Отчетность!F48-Отчетность!F44</f>
        <v>9523.3125</v>
      </c>
    </row>
    <row r="39" spans="1:4">
      <c r="A39" s="167" t="s">
        <v>287</v>
      </c>
      <c r="B39" s="167" t="s">
        <v>93</v>
      </c>
      <c r="C39" s="150">
        <f>C37-C38</f>
        <v>79396.398707107888</v>
      </c>
    </row>
    <row r="41" spans="1:4" ht="18.75">
      <c r="A41" s="168" t="s">
        <v>289</v>
      </c>
    </row>
    <row r="42" spans="1:4">
      <c r="A42" s="4" t="s">
        <v>290</v>
      </c>
      <c r="B42" s="4" t="s">
        <v>93</v>
      </c>
      <c r="C42" s="18">
        <f>SUM(F19:U19)</f>
        <v>12951.223801679309</v>
      </c>
    </row>
    <row r="43" spans="1:4">
      <c r="A43" s="4" t="s">
        <v>284</v>
      </c>
      <c r="B43" s="4" t="s">
        <v>93</v>
      </c>
      <c r="C43" s="18">
        <f>SUM(R13:U15)*(1+C31)/(U28-C31)</f>
        <v>120503.38860826171</v>
      </c>
      <c r="D43" t="s">
        <v>293</v>
      </c>
    </row>
    <row r="44" spans="1:4">
      <c r="A44" s="4" t="s">
        <v>285</v>
      </c>
      <c r="B44" s="4" t="s">
        <v>93</v>
      </c>
      <c r="C44" s="18">
        <f>C43*U18</f>
        <v>64337.744375798997</v>
      </c>
    </row>
    <row r="45" spans="1:4">
      <c r="A45" s="167" t="s">
        <v>291</v>
      </c>
      <c r="B45" s="167" t="s">
        <v>93</v>
      </c>
      <c r="C45" s="150">
        <f>C42+C44</f>
        <v>77288.968177478309</v>
      </c>
    </row>
    <row r="46" spans="1:4">
      <c r="A46" s="4" t="s">
        <v>288</v>
      </c>
      <c r="B46" s="4" t="s">
        <v>93</v>
      </c>
      <c r="C46" s="18">
        <f>C38</f>
        <v>9523.3125</v>
      </c>
    </row>
    <row r="47" spans="1:4">
      <c r="A47" s="167" t="s">
        <v>289</v>
      </c>
      <c r="B47" s="167" t="s">
        <v>93</v>
      </c>
      <c r="C47" s="150">
        <f>C45+C46</f>
        <v>86812.280677478309</v>
      </c>
    </row>
    <row r="48" spans="1:4">
      <c r="A48" s="14"/>
      <c r="B48" s="14"/>
      <c r="C48" s="14"/>
    </row>
    <row r="50" spans="1:21" ht="21">
      <c r="A50" s="124" t="s">
        <v>295</v>
      </c>
      <c r="B50" s="1"/>
      <c r="C50" s="1"/>
      <c r="D50" s="1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</row>
    <row r="52" spans="1:21" ht="15.75">
      <c r="A52" s="171" t="s">
        <v>296</v>
      </c>
    </row>
    <row r="53" spans="1:21">
      <c r="A53" s="4" t="s">
        <v>297</v>
      </c>
      <c r="B53" s="4" t="s">
        <v>308</v>
      </c>
      <c r="C53" s="4" t="s">
        <v>298</v>
      </c>
    </row>
    <row r="54" spans="1:21">
      <c r="A54" s="4" t="s">
        <v>299</v>
      </c>
      <c r="B54" s="4" t="s">
        <v>128</v>
      </c>
      <c r="C54" s="4">
        <v>5.5</v>
      </c>
    </row>
    <row r="55" spans="1:21">
      <c r="A55" s="4" t="s">
        <v>300</v>
      </c>
      <c r="B55" s="4" t="s">
        <v>128</v>
      </c>
      <c r="C55" s="4">
        <v>6.1</v>
      </c>
    </row>
    <row r="56" spans="1:21">
      <c r="A56" s="4" t="s">
        <v>301</v>
      </c>
      <c r="B56" s="4" t="s">
        <v>128</v>
      </c>
      <c r="C56" s="4">
        <v>5.4</v>
      </c>
    </row>
    <row r="57" spans="1:21">
      <c r="A57" s="4" t="s">
        <v>302</v>
      </c>
      <c r="B57" s="4" t="s">
        <v>128</v>
      </c>
      <c r="C57" s="4">
        <v>5.0999999999999996</v>
      </c>
    </row>
    <row r="58" spans="1:21">
      <c r="A58" s="4" t="s">
        <v>303</v>
      </c>
      <c r="B58" s="4" t="s">
        <v>128</v>
      </c>
      <c r="C58" s="4">
        <v>6.2</v>
      </c>
    </row>
    <row r="59" spans="1:21">
      <c r="A59" s="4" t="s">
        <v>304</v>
      </c>
      <c r="B59" s="4" t="s">
        <v>128</v>
      </c>
      <c r="C59" s="4">
        <v>5.8</v>
      </c>
    </row>
    <row r="60" spans="1:21">
      <c r="A60" s="4" t="s">
        <v>305</v>
      </c>
      <c r="B60" s="4" t="s">
        <v>128</v>
      </c>
      <c r="C60" s="4">
        <v>6.8</v>
      </c>
    </row>
    <row r="61" spans="1:21">
      <c r="A61" s="4" t="s">
        <v>306</v>
      </c>
      <c r="B61" s="4" t="s">
        <v>128</v>
      </c>
      <c r="C61" s="4">
        <v>7</v>
      </c>
    </row>
    <row r="62" spans="1:21">
      <c r="A62" s="4" t="s">
        <v>307</v>
      </c>
      <c r="B62" s="4" t="s">
        <v>128</v>
      </c>
      <c r="C62" s="4">
        <v>5.9</v>
      </c>
    </row>
    <row r="64" spans="1:21">
      <c r="A64" s="4" t="s">
        <v>309</v>
      </c>
      <c r="B64" s="4" t="s">
        <v>128</v>
      </c>
      <c r="C64" s="12">
        <f>HARMEAN(C54:C62)</f>
        <v>5.9205547125388884</v>
      </c>
    </row>
    <row r="66" spans="1:21">
      <c r="A66" s="4" t="s">
        <v>186</v>
      </c>
      <c r="B66" s="4" t="s">
        <v>93</v>
      </c>
      <c r="C66" s="18">
        <f>SUM(Отчетность!R7:U7)</f>
        <v>25731.084070200239</v>
      </c>
    </row>
    <row r="67" spans="1:21">
      <c r="A67" s="172" t="s">
        <v>310</v>
      </c>
      <c r="B67" s="172" t="s">
        <v>93</v>
      </c>
      <c r="C67" s="173">
        <f>C64*C66</f>
        <v>152342.29105055836</v>
      </c>
    </row>
    <row r="68" spans="1:21">
      <c r="A68" s="4" t="s">
        <v>288</v>
      </c>
      <c r="B68" s="4" t="s">
        <v>93</v>
      </c>
      <c r="C68" s="18">
        <f>C46</f>
        <v>9523.3125</v>
      </c>
    </row>
    <row r="69" spans="1:21">
      <c r="A69" s="172" t="s">
        <v>311</v>
      </c>
      <c r="B69" s="172" t="s">
        <v>93</v>
      </c>
      <c r="C69" s="173">
        <f>C67-C68</f>
        <v>142818.97855055836</v>
      </c>
    </row>
    <row r="72" spans="1:21" ht="21">
      <c r="A72" s="124" t="s">
        <v>312</v>
      </c>
      <c r="B72" s="1"/>
      <c r="C72" s="1"/>
      <c r="D72" s="1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</row>
    <row r="73" spans="1:21" ht="15.75">
      <c r="A73" s="174" t="s">
        <v>313</v>
      </c>
      <c r="B73" s="174" t="s">
        <v>0</v>
      </c>
      <c r="C73" s="174" t="s">
        <v>314</v>
      </c>
    </row>
    <row r="74" spans="1:21">
      <c r="A74" s="4" t="s">
        <v>311</v>
      </c>
      <c r="B74" s="4" t="s">
        <v>93</v>
      </c>
      <c r="C74" s="18">
        <f>C69</f>
        <v>142818.97855055836</v>
      </c>
    </row>
    <row r="75" spans="1:21">
      <c r="A75" s="4" t="s">
        <v>291</v>
      </c>
      <c r="B75" s="4" t="s">
        <v>93</v>
      </c>
      <c r="C75" s="18">
        <f>C45</f>
        <v>77288.968177478309</v>
      </c>
    </row>
    <row r="76" spans="1:21">
      <c r="A76" s="4" t="s">
        <v>287</v>
      </c>
      <c r="B76" s="4" t="s">
        <v>93</v>
      </c>
      <c r="C76" s="18">
        <f>C39</f>
        <v>79396.398707107888</v>
      </c>
    </row>
    <row r="78" spans="1:21">
      <c r="A78" s="4" t="s">
        <v>310</v>
      </c>
      <c r="B78" s="4" t="s">
        <v>93</v>
      </c>
      <c r="C78" s="18">
        <f>C67</f>
        <v>152342.29105055836</v>
      </c>
    </row>
    <row r="79" spans="1:21">
      <c r="A79" s="4" t="s">
        <v>289</v>
      </c>
      <c r="B79" s="4" t="s">
        <v>93</v>
      </c>
      <c r="C79" s="18">
        <f>C47</f>
        <v>86812.280677478309</v>
      </c>
    </row>
    <row r="80" spans="1:21">
      <c r="A80" s="4" t="s">
        <v>282</v>
      </c>
      <c r="B80" s="4" t="s">
        <v>93</v>
      </c>
      <c r="C80" s="18">
        <f>C37</f>
        <v>88919.711207107888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showGridLines="0" zoomScale="85" zoomScaleNormal="85" workbookViewId="0">
      <pane ySplit="2" topLeftCell="A3" activePane="bottomLeft" state="frozen"/>
      <selection pane="bottomLeft" activeCell="N34" sqref="N34"/>
    </sheetView>
  </sheetViews>
  <sheetFormatPr defaultRowHeight="15"/>
  <cols>
    <col min="1" max="1" width="38" customWidth="1"/>
    <col min="2" max="2" width="15.85546875" customWidth="1"/>
  </cols>
  <sheetData>
    <row r="1" spans="1:17">
      <c r="B1" t="s">
        <v>0</v>
      </c>
    </row>
    <row r="3" spans="1:17">
      <c r="A3" t="s">
        <v>315</v>
      </c>
      <c r="B3" t="s">
        <v>31</v>
      </c>
      <c r="C3" s="177">
        <v>4000</v>
      </c>
      <c r="D3" s="178">
        <v>3000</v>
      </c>
      <c r="E3" s="178">
        <v>3200</v>
      </c>
      <c r="F3" s="178">
        <v>3400</v>
      </c>
      <c r="G3" s="178">
        <v>3600</v>
      </c>
      <c r="H3" s="178">
        <v>3800</v>
      </c>
      <c r="I3" s="178">
        <v>4000</v>
      </c>
      <c r="J3" s="178">
        <v>4200</v>
      </c>
      <c r="K3" s="178">
        <v>4400</v>
      </c>
      <c r="L3" s="178">
        <v>4600</v>
      </c>
      <c r="M3" s="178">
        <v>4800</v>
      </c>
      <c r="N3" s="178">
        <v>5000</v>
      </c>
      <c r="O3" s="136"/>
      <c r="P3" s="136"/>
    </row>
    <row r="4" spans="1:17">
      <c r="A4" t="s">
        <v>317</v>
      </c>
      <c r="B4" t="s">
        <v>93</v>
      </c>
      <c r="C4" s="161">
        <f>Оценка!C39</f>
        <v>79396.398707107888</v>
      </c>
      <c r="D4" s="18">
        <f t="dataTable" ref="D4:N4" dt2D="0" dtr="1" r1="C3" ca="1"/>
        <v>-113593.81300009262</v>
      </c>
      <c r="E4" s="18">
        <v>3151.2469985456373</v>
      </c>
      <c r="F4" s="18">
        <v>23252.023904898386</v>
      </c>
      <c r="G4" s="18">
        <v>41169.182060679297</v>
      </c>
      <c r="H4" s="18">
        <v>60402.446297200891</v>
      </c>
      <c r="I4" s="18">
        <v>79396.398707107888</v>
      </c>
      <c r="J4" s="18">
        <v>98188.317397007515</v>
      </c>
      <c r="K4" s="18">
        <v>117230.65024280228</v>
      </c>
      <c r="L4" s="18">
        <v>135764.48382621625</v>
      </c>
      <c r="M4" s="18">
        <v>154629.66595024182</v>
      </c>
      <c r="N4" s="18">
        <v>173035.18669950735</v>
      </c>
      <c r="O4" s="136"/>
      <c r="P4" s="136"/>
    </row>
    <row r="5" spans="1:17"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</row>
    <row r="6" spans="1:17">
      <c r="A6" t="s">
        <v>316</v>
      </c>
      <c r="B6" t="s">
        <v>31</v>
      </c>
      <c r="C6" s="177">
        <v>12000</v>
      </c>
      <c r="D6" s="178">
        <v>9000</v>
      </c>
      <c r="E6" s="178">
        <v>9500</v>
      </c>
      <c r="F6" s="178">
        <v>10000</v>
      </c>
      <c r="G6" s="178">
        <v>10500</v>
      </c>
      <c r="H6" s="178">
        <v>11000</v>
      </c>
      <c r="I6" s="178">
        <v>11500</v>
      </c>
      <c r="J6" s="178">
        <v>12000</v>
      </c>
      <c r="K6" s="178">
        <v>12500</v>
      </c>
      <c r="L6" s="178">
        <v>13000</v>
      </c>
      <c r="M6" s="178">
        <v>13500</v>
      </c>
      <c r="N6" s="178">
        <v>14000</v>
      </c>
      <c r="O6" s="178">
        <v>14500</v>
      </c>
      <c r="P6" s="178">
        <v>15000</v>
      </c>
    </row>
    <row r="7" spans="1:17">
      <c r="A7" t="s">
        <v>317</v>
      </c>
      <c r="B7" t="s">
        <v>93</v>
      </c>
      <c r="C7" s="161">
        <f>Оценка!C39</f>
        <v>79396.398707107888</v>
      </c>
      <c r="D7" s="18">
        <f t="dataTable" ref="D7:P7" dt2D="0" dtr="1" r1="C6"/>
        <v>47390.42836473808</v>
      </c>
      <c r="E7" s="18">
        <v>52810.703250306353</v>
      </c>
      <c r="F7" s="18">
        <v>58219.535806629487</v>
      </c>
      <c r="G7" s="18">
        <v>63323.001860723263</v>
      </c>
      <c r="H7" s="18">
        <v>68692.178811030899</v>
      </c>
      <c r="I7" s="18">
        <v>74049.044460327073</v>
      </c>
      <c r="J7" s="18">
        <v>79396.398707107888</v>
      </c>
      <c r="K7" s="18">
        <v>84735.785089509896</v>
      </c>
      <c r="L7" s="18">
        <v>89708.713170369301</v>
      </c>
      <c r="M7" s="18">
        <v>95016.168270970637</v>
      </c>
      <c r="N7" s="18">
        <v>100317.06940940332</v>
      </c>
      <c r="O7" s="18">
        <v>105611.79101064643</v>
      </c>
      <c r="P7" s="18">
        <v>110900.67329559752</v>
      </c>
    </row>
    <row r="9" spans="1:17">
      <c r="C9" s="136"/>
      <c r="D9" s="136"/>
      <c r="I9" s="136" t="s">
        <v>324</v>
      </c>
    </row>
    <row r="10" spans="1:17">
      <c r="A10" s="4" t="s">
        <v>325</v>
      </c>
      <c r="B10" s="4"/>
      <c r="C10" s="4"/>
      <c r="D10" s="18">
        <f>(I4-D4)/(I3-D3)</f>
        <v>192.9902117072005</v>
      </c>
      <c r="E10" s="18">
        <f t="shared" ref="E10:N10" si="0">(J4-E4)/(J3-E3)</f>
        <v>95.037070398461879</v>
      </c>
      <c r="F10" s="18">
        <f t="shared" si="0"/>
        <v>93.978626337903904</v>
      </c>
      <c r="G10" s="18">
        <f t="shared" si="0"/>
        <v>94.595301765536945</v>
      </c>
      <c r="H10" s="18">
        <f t="shared" si="0"/>
        <v>94.227219653040933</v>
      </c>
      <c r="I10" s="18">
        <f t="shared" si="0"/>
        <v>93.638787992399457</v>
      </c>
      <c r="J10" s="18">
        <f t="shared" si="0"/>
        <v>23.378170808811312</v>
      </c>
      <c r="K10" s="18">
        <f t="shared" si="0"/>
        <v>26.643329600636882</v>
      </c>
      <c r="L10" s="18">
        <f t="shared" si="0"/>
        <v>29.514018223090488</v>
      </c>
      <c r="M10" s="18">
        <f t="shared" si="0"/>
        <v>32.214513739633709</v>
      </c>
      <c r="N10" s="18">
        <f t="shared" si="0"/>
        <v>34.607037339901467</v>
      </c>
    </row>
    <row r="11" spans="1:17">
      <c r="A11" s="4" t="s">
        <v>326</v>
      </c>
      <c r="B11" s="4"/>
      <c r="C11" s="4"/>
      <c r="D11" s="18">
        <f>(F7-D7)/(F6-D6)</f>
        <v>10.829107441891408</v>
      </c>
      <c r="E11" s="18">
        <f t="shared" ref="E11:P11" si="1">(G7-E7)/(G6-E6)</f>
        <v>10.512298610416911</v>
      </c>
      <c r="F11" s="18">
        <f t="shared" si="1"/>
        <v>10.472643004401412</v>
      </c>
      <c r="G11" s="18">
        <f t="shared" si="1"/>
        <v>10.72604259960381</v>
      </c>
      <c r="H11" s="18">
        <f t="shared" si="1"/>
        <v>10.704219896076989</v>
      </c>
      <c r="I11" s="18">
        <f t="shared" si="1"/>
        <v>10.686740629182824</v>
      </c>
      <c r="J11" s="18">
        <f t="shared" si="1"/>
        <v>10.312314463261414</v>
      </c>
      <c r="K11" s="18">
        <f t="shared" si="1"/>
        <v>10.28038318146074</v>
      </c>
      <c r="L11" s="18">
        <f t="shared" si="1"/>
        <v>10.608356239034023</v>
      </c>
      <c r="M11" s="18">
        <f t="shared" si="1"/>
        <v>10.59562273967579</v>
      </c>
      <c r="N11" s="18">
        <f t="shared" si="1"/>
        <v>10.583603886194192</v>
      </c>
      <c r="O11" s="18">
        <f t="shared" si="1"/>
        <v>7.2835717938376847</v>
      </c>
      <c r="P11" s="18">
        <f t="shared" si="1"/>
        <v>7.3933782197065012</v>
      </c>
    </row>
    <row r="13" spans="1:17">
      <c r="A13" s="4" t="s">
        <v>328</v>
      </c>
      <c r="B13" s="18">
        <f>AVERAGE(D10:N10)</f>
        <v>73.711298869692499</v>
      </c>
      <c r="I13" t="s">
        <v>318</v>
      </c>
    </row>
    <row r="14" spans="1:17">
      <c r="A14" s="4" t="s">
        <v>327</v>
      </c>
      <c r="B14" s="18">
        <f>AVERAGE(D11:P11)</f>
        <v>10.076021746518744</v>
      </c>
      <c r="D14" s="173">
        <f>Оценка!C39</f>
        <v>79396.398707107888</v>
      </c>
      <c r="E14" s="178">
        <v>9000</v>
      </c>
      <c r="F14" s="178">
        <v>9500</v>
      </c>
      <c r="G14" s="178">
        <v>10000</v>
      </c>
      <c r="H14" s="178">
        <v>10500</v>
      </c>
      <c r="I14" s="178">
        <v>11000</v>
      </c>
      <c r="J14" s="178">
        <v>11500</v>
      </c>
      <c r="K14" s="48">
        <v>12000</v>
      </c>
      <c r="L14" s="178">
        <v>12500</v>
      </c>
      <c r="M14" s="178">
        <v>13000</v>
      </c>
      <c r="N14" s="178">
        <v>13500</v>
      </c>
      <c r="O14" s="178">
        <v>14000</v>
      </c>
      <c r="P14" s="178">
        <v>14500</v>
      </c>
      <c r="Q14" s="178">
        <v>15000</v>
      </c>
    </row>
    <row r="15" spans="1:17">
      <c r="D15" s="178">
        <v>3000</v>
      </c>
      <c r="E15" s="18">
        <f t="dataTable" ref="E15:Q25" dt2D="1" dtr="1" r1="C6" r2="C3" ca="1"/>
        <v>-59733.384431319675</v>
      </c>
      <c r="F15" s="18">
        <v>-39505.596176576721</v>
      </c>
      <c r="G15" s="18">
        <v>-57657.848648918443</v>
      </c>
      <c r="H15" s="18">
        <v>-44586.647935158413</v>
      </c>
      <c r="I15" s="18">
        <v>-49843.316911732647</v>
      </c>
      <c r="J15" s="18">
        <v>-32442.272906957802</v>
      </c>
      <c r="K15" s="42">
        <v>-113593.81300009262</v>
      </c>
      <c r="L15" s="18">
        <v>-7050.4178995841758</v>
      </c>
      <c r="M15" s="18">
        <v>-2231.3881640956788</v>
      </c>
      <c r="N15" s="18">
        <v>95.908596977667912</v>
      </c>
      <c r="O15" s="18">
        <v>5844.0845411023402</v>
      </c>
      <c r="P15" s="18">
        <v>11789.701815954941</v>
      </c>
      <c r="Q15" s="18">
        <v>17788.089558173644</v>
      </c>
    </row>
    <row r="16" spans="1:17">
      <c r="D16" s="178">
        <v>3200</v>
      </c>
      <c r="E16" s="18">
        <v>-58564.609311233326</v>
      </c>
      <c r="F16" s="18">
        <v>-34347.738107398953</v>
      </c>
      <c r="G16" s="18">
        <v>-31696.570330981824</v>
      </c>
      <c r="H16" s="18">
        <v>-21361.066765055231</v>
      </c>
      <c r="I16" s="18">
        <v>-8939.0626990383644</v>
      </c>
      <c r="J16" s="18">
        <v>-2614.4358350133843</v>
      </c>
      <c r="K16" s="42">
        <v>3151.2469985456373</v>
      </c>
      <c r="L16" s="18">
        <v>9140.8588732414937</v>
      </c>
      <c r="M16" s="18">
        <v>15176.508933135166</v>
      </c>
      <c r="N16" s="18">
        <v>21217.972713026164</v>
      </c>
      <c r="O16" s="18">
        <v>25679.178969635395</v>
      </c>
      <c r="P16" s="18">
        <v>30463.081515859136</v>
      </c>
      <c r="Q16" s="18">
        <v>34946.38698165548</v>
      </c>
    </row>
    <row r="17" spans="1:17">
      <c r="D17" s="178">
        <v>3400</v>
      </c>
      <c r="E17" s="18">
        <v>-8870.4929160626962</v>
      </c>
      <c r="F17" s="18">
        <v>-5328.2459032135976</v>
      </c>
      <c r="G17" s="18">
        <v>455.51342534381365</v>
      </c>
      <c r="H17" s="18">
        <v>6488.7555417429339</v>
      </c>
      <c r="I17" s="18">
        <v>12562.419513122306</v>
      </c>
      <c r="J17" s="18">
        <v>18635.121159774</v>
      </c>
      <c r="K17" s="42">
        <v>23252.023904898386</v>
      </c>
      <c r="L17" s="18">
        <v>28119.938808505336</v>
      </c>
      <c r="M17" s="18">
        <v>32682.74729462056</v>
      </c>
      <c r="N17" s="18">
        <v>38157.475182699869</v>
      </c>
      <c r="O17" s="18">
        <v>43398.184685463857</v>
      </c>
      <c r="P17" s="18">
        <v>48830.162169704396</v>
      </c>
      <c r="Q17" s="18">
        <v>53990.054438863408</v>
      </c>
    </row>
    <row r="18" spans="1:17">
      <c r="D18" s="178">
        <v>3600</v>
      </c>
      <c r="E18" s="18">
        <v>9945.5915120079299</v>
      </c>
      <c r="F18" s="18">
        <v>16050.216860386972</v>
      </c>
      <c r="G18" s="18">
        <v>21496.435767304407</v>
      </c>
      <c r="H18" s="18">
        <v>25775.690659665175</v>
      </c>
      <c r="I18" s="18">
        <v>30418.242387352468</v>
      </c>
      <c r="J18" s="18">
        <v>35907.358688272914</v>
      </c>
      <c r="K18" s="42">
        <v>41169.182060679297</v>
      </c>
      <c r="L18" s="18">
        <v>46612.305683304767</v>
      </c>
      <c r="M18" s="18">
        <v>51790.640840524182</v>
      </c>
      <c r="N18" s="18">
        <v>57192.700379267073</v>
      </c>
      <c r="O18" s="18">
        <v>62585.001157600374</v>
      </c>
      <c r="P18" s="18">
        <v>67656.906281507094</v>
      </c>
      <c r="Q18" s="18">
        <v>73012.183805140419</v>
      </c>
    </row>
    <row r="19" spans="1:17">
      <c r="D19" s="178">
        <v>3800</v>
      </c>
      <c r="E19" s="18">
        <v>28152.825784341869</v>
      </c>
      <c r="F19" s="18">
        <v>33656.494801822242</v>
      </c>
      <c r="G19" s="18">
        <v>38939.553209474521</v>
      </c>
      <c r="H19" s="18">
        <v>44393.919590224352</v>
      </c>
      <c r="I19" s="18">
        <v>49590.77105215269</v>
      </c>
      <c r="J19" s="18">
        <v>55001.905856977399</v>
      </c>
      <c r="K19" s="42">
        <v>60402.446297200891</v>
      </c>
      <c r="L19" s="18">
        <v>65490.108825784278</v>
      </c>
      <c r="M19" s="18">
        <v>70852.318349072855</v>
      </c>
      <c r="N19" s="18">
        <v>76202.845249998296</v>
      </c>
      <c r="O19" s="18">
        <v>81544.348775142294</v>
      </c>
      <c r="P19" s="18">
        <v>86878.291119539484</v>
      </c>
      <c r="Q19" s="18">
        <v>91846.575980938331</v>
      </c>
    </row>
    <row r="20" spans="1:17" ht="15.75">
      <c r="D20" s="48">
        <v>4000</v>
      </c>
      <c r="E20" s="42">
        <v>47390.42836473808</v>
      </c>
      <c r="F20" s="42">
        <v>52810.703250306353</v>
      </c>
      <c r="G20" s="42">
        <v>58219.535806629487</v>
      </c>
      <c r="H20" s="42">
        <v>63323.001860723263</v>
      </c>
      <c r="I20" s="42">
        <v>68692.178811030899</v>
      </c>
      <c r="J20" s="42">
        <v>74049.044460327073</v>
      </c>
      <c r="K20" s="180">
        <v>79396.398707107888</v>
      </c>
      <c r="L20" s="42">
        <v>84735.785089509896</v>
      </c>
      <c r="M20" s="42">
        <v>89708.713170369301</v>
      </c>
      <c r="N20" s="42">
        <v>95016.168270970637</v>
      </c>
      <c r="O20" s="42">
        <v>100317.06940940332</v>
      </c>
      <c r="P20" s="42">
        <v>105611.79101064643</v>
      </c>
      <c r="Q20" s="42">
        <v>110900.67329559752</v>
      </c>
    </row>
    <row r="21" spans="1:17">
      <c r="D21" s="178">
        <v>4200</v>
      </c>
      <c r="E21" s="18">
        <v>66531.7577191788</v>
      </c>
      <c r="F21" s="18">
        <v>71894.992905034043</v>
      </c>
      <c r="G21" s="18">
        <v>77248.2238686122</v>
      </c>
      <c r="H21" s="18">
        <v>82593.076462764977</v>
      </c>
      <c r="I21" s="18">
        <v>87570.662191263415</v>
      </c>
      <c r="J21" s="18">
        <v>92882.913029250092</v>
      </c>
      <c r="K21" s="42">
        <v>98188.317397007515</v>
      </c>
      <c r="L21" s="18">
        <v>103487.27876407883</v>
      </c>
      <c r="M21" s="18">
        <v>108780.16248309321</v>
      </c>
      <c r="N21" s="18">
        <v>114065.03327522028</v>
      </c>
      <c r="O21" s="18">
        <v>119344.02661783391</v>
      </c>
      <c r="P21" s="18">
        <v>124221.23857189249</v>
      </c>
      <c r="Q21" s="18">
        <v>129474.64260895658</v>
      </c>
    </row>
    <row r="22" spans="1:17">
      <c r="D22" s="178">
        <v>4400</v>
      </c>
      <c r="E22" s="18">
        <v>85432.418838500424</v>
      </c>
      <c r="F22" s="18">
        <v>90749.482892854023</v>
      </c>
      <c r="G22" s="18">
        <v>96059.405701281561</v>
      </c>
      <c r="H22" s="18">
        <v>101362.6201527446</v>
      </c>
      <c r="I22" s="18">
        <v>106659.51703224014</v>
      </c>
      <c r="J22" s="18">
        <v>111948.12372085685</v>
      </c>
      <c r="K22" s="42">
        <v>117230.65024280228</v>
      </c>
      <c r="L22" s="18">
        <v>122110.5938614723</v>
      </c>
      <c r="M22" s="18">
        <v>127367.21131342323</v>
      </c>
      <c r="N22" s="18">
        <v>132618.94245856302</v>
      </c>
      <c r="O22" s="18">
        <v>137866.01632385756</v>
      </c>
      <c r="P22" s="18">
        <v>143108.64443247404</v>
      </c>
      <c r="Q22" s="18">
        <v>148347.02262810752</v>
      </c>
    </row>
    <row r="23" spans="1:17">
      <c r="D23" s="178">
        <v>4600</v>
      </c>
      <c r="E23" s="18">
        <v>104538.73441685307</v>
      </c>
      <c r="F23" s="18">
        <v>109831.08762950444</v>
      </c>
      <c r="G23" s="18">
        <v>115117.15676830716</v>
      </c>
      <c r="H23" s="18">
        <v>119999.83806761926</v>
      </c>
      <c r="I23" s="18">
        <v>125259.67664886746</v>
      </c>
      <c r="J23" s="18">
        <v>130514.47835589573</v>
      </c>
      <c r="K23" s="42">
        <v>135764.48382621625</v>
      </c>
      <c r="L23" s="18">
        <v>141009.91496502055</v>
      </c>
      <c r="M23" s="18">
        <v>146250.97693273713</v>
      </c>
      <c r="N23" s="18">
        <v>151487.85986948133</v>
      </c>
      <c r="O23" s="18">
        <v>156720.74039765814</v>
      </c>
      <c r="P23" s="18">
        <v>161949.78293656427</v>
      </c>
      <c r="Q23" s="18">
        <v>166786.68034420276</v>
      </c>
    </row>
    <row r="24" spans="1:17">
      <c r="D24" s="178">
        <v>4800</v>
      </c>
      <c r="E24" s="18">
        <v>123152.03692395813</v>
      </c>
      <c r="F24" s="18">
        <v>128409.91630300693</v>
      </c>
      <c r="G24" s="18">
        <v>133662.85979300534</v>
      </c>
      <c r="H24" s="18">
        <v>138911.09976882231</v>
      </c>
      <c r="I24" s="18">
        <v>144154.85078190322</v>
      </c>
      <c r="J24" s="18">
        <v>149394.31142446707</v>
      </c>
      <c r="K24" s="42">
        <v>154629.66595024182</v>
      </c>
      <c r="L24" s="18">
        <v>159861.08568944258</v>
      </c>
      <c r="M24" s="18">
        <v>164699.53269472523</v>
      </c>
      <c r="N24" s="18">
        <v>169910.5394749844</v>
      </c>
      <c r="O24" s="18">
        <v>175118.04309053699</v>
      </c>
      <c r="P24" s="18">
        <v>180322.17543254228</v>
      </c>
      <c r="Q24" s="18">
        <v>185523.06027045014</v>
      </c>
    </row>
    <row r="25" spans="1:17">
      <c r="D25" s="178">
        <v>5000</v>
      </c>
      <c r="E25" s="18">
        <v>142058.6430185514</v>
      </c>
      <c r="F25" s="18">
        <v>147300.6862729101</v>
      </c>
      <c r="G25" s="18">
        <v>152538.51927434484</v>
      </c>
      <c r="H25" s="18">
        <v>157772.32031225329</v>
      </c>
      <c r="I25" s="18">
        <v>162612.3195550387</v>
      </c>
      <c r="J25" s="18">
        <v>167825.54484698034</v>
      </c>
      <c r="K25" s="42">
        <v>173035.18669950735</v>
      </c>
      <c r="L25" s="18">
        <v>178241.38182080875</v>
      </c>
      <c r="M25" s="18">
        <v>183444.25839807789</v>
      </c>
      <c r="N25" s="18">
        <v>188643.93682566241</v>
      </c>
      <c r="O25" s="18">
        <v>193840.53035507011</v>
      </c>
      <c r="P25" s="18">
        <v>199034.14567682956</v>
      </c>
      <c r="Q25" s="18">
        <v>204224.88344273463</v>
      </c>
    </row>
    <row r="27" spans="1:17" ht="15.75">
      <c r="A27" s="179" t="s">
        <v>329</v>
      </c>
    </row>
    <row r="28" spans="1:17">
      <c r="A28" s="4" t="s">
        <v>319</v>
      </c>
      <c r="B28" s="4" t="s">
        <v>93</v>
      </c>
      <c r="C28" s="18">
        <v>55000</v>
      </c>
      <c r="D28" s="4" t="s">
        <v>322</v>
      </c>
    </row>
    <row r="29" spans="1:17">
      <c r="A29" s="4" t="s">
        <v>320</v>
      </c>
      <c r="B29" s="4" t="s">
        <v>93</v>
      </c>
      <c r="C29" s="18">
        <v>30000</v>
      </c>
      <c r="D29" s="4" t="s">
        <v>322</v>
      </c>
    </row>
    <row r="30" spans="1:17">
      <c r="A30" s="4" t="s">
        <v>321</v>
      </c>
      <c r="B30" s="4" t="s">
        <v>93</v>
      </c>
      <c r="C30" s="18">
        <v>30000</v>
      </c>
      <c r="D30" s="4" t="s">
        <v>323</v>
      </c>
    </row>
  </sheetData>
  <conditionalFormatting sqref="E15:Q25">
    <cfRule type="cellIs" dxfId="1" priority="3" operator="greaterThan">
      <formula>$C$28</formula>
    </cfRule>
    <cfRule type="cellIs" dxfId="2" priority="2" operator="between">
      <formula>$C$29</formula>
      <formula>$C$28</formula>
    </cfRule>
    <cfRule type="cellIs" dxfId="3" priority="1" operator="lessThan">
      <formula>$C$30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3"/>
  <sheetViews>
    <sheetView showGridLines="0" tabSelected="1" workbookViewId="0">
      <pane ySplit="2" topLeftCell="A27" activePane="bottomLeft" state="frozen"/>
      <selection pane="bottomLeft" activeCell="C32" sqref="C32"/>
    </sheetView>
  </sheetViews>
  <sheetFormatPr defaultRowHeight="15"/>
  <cols>
    <col min="1" max="1" width="46.7109375" customWidth="1"/>
    <col min="3" max="3" width="38.7109375" customWidth="1"/>
    <col min="5" max="6" width="9.140625" customWidth="1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4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3" spans="1:21">
      <c r="A3" t="s">
        <v>14</v>
      </c>
      <c r="B3" t="s">
        <v>330</v>
      </c>
      <c r="E3" s="45">
        <f>Допущения!E11</f>
        <v>74</v>
      </c>
      <c r="F3" s="45">
        <f>Допущения!F11</f>
        <v>74.36999999999999</v>
      </c>
      <c r="G3" s="45">
        <f>Допущения!G11</f>
        <v>74.741849999999985</v>
      </c>
      <c r="H3" s="45">
        <f>Допущения!H11</f>
        <v>75.115559249999976</v>
      </c>
      <c r="I3" s="45">
        <f>Допущения!I11</f>
        <v>75.49113704624996</v>
      </c>
      <c r="J3" s="45">
        <f>Допущения!J11</f>
        <v>75.868592731481201</v>
      </c>
      <c r="K3" s="45">
        <f>Допущения!K11</f>
        <v>76.247935695138594</v>
      </c>
      <c r="L3" s="45">
        <f>Допущения!L11</f>
        <v>76.629175373614274</v>
      </c>
      <c r="M3" s="45">
        <f>Допущения!M11</f>
        <v>77.01232125048233</v>
      </c>
      <c r="N3" s="45">
        <f>Допущения!N11</f>
        <v>77.397382856734737</v>
      </c>
      <c r="O3" s="45">
        <f>Допущения!O11</f>
        <v>77.784369771018405</v>
      </c>
      <c r="P3" s="45">
        <f>Допущения!P11</f>
        <v>78.173291619873481</v>
      </c>
      <c r="Q3" s="45">
        <f>Допущения!Q11</f>
        <v>78.564158077972834</v>
      </c>
      <c r="R3" s="45">
        <f>Допущения!R11</f>
        <v>78.956978868362697</v>
      </c>
      <c r="S3" s="45">
        <f>Допущения!S11</f>
        <v>79.351763762704508</v>
      </c>
      <c r="T3" s="45">
        <f>Допущения!T11</f>
        <v>79.748522581518017</v>
      </c>
      <c r="U3" s="45">
        <f>Допущения!U11</f>
        <v>80.1472651944256</v>
      </c>
    </row>
    <row r="5" spans="1:21" ht="15.75">
      <c r="A5" s="171" t="s">
        <v>331</v>
      </c>
    </row>
    <row r="6" spans="1:21">
      <c r="A6" t="s">
        <v>332</v>
      </c>
      <c r="B6" t="s">
        <v>18</v>
      </c>
      <c r="E6" s="10">
        <v>2.5000000000000001E-2</v>
      </c>
      <c r="F6" s="181">
        <f>E6</f>
        <v>2.5000000000000001E-2</v>
      </c>
      <c r="G6" s="181">
        <f t="shared" ref="G6:U6" si="0">F6</f>
        <v>2.5000000000000001E-2</v>
      </c>
      <c r="H6" s="181">
        <f t="shared" si="0"/>
        <v>2.5000000000000001E-2</v>
      </c>
      <c r="I6" s="181">
        <f t="shared" si="0"/>
        <v>2.5000000000000001E-2</v>
      </c>
      <c r="J6" s="181">
        <f t="shared" si="0"/>
        <v>2.5000000000000001E-2</v>
      </c>
      <c r="K6" s="181">
        <f t="shared" si="0"/>
        <v>2.5000000000000001E-2</v>
      </c>
      <c r="L6" s="181">
        <f t="shared" si="0"/>
        <v>2.5000000000000001E-2</v>
      </c>
      <c r="M6" s="181">
        <f t="shared" si="0"/>
        <v>2.5000000000000001E-2</v>
      </c>
      <c r="N6" s="181">
        <f t="shared" si="0"/>
        <v>2.5000000000000001E-2</v>
      </c>
      <c r="O6" s="181">
        <f t="shared" si="0"/>
        <v>2.5000000000000001E-2</v>
      </c>
      <c r="P6" s="181">
        <f t="shared" si="0"/>
        <v>2.5000000000000001E-2</v>
      </c>
      <c r="Q6" s="181">
        <f t="shared" si="0"/>
        <v>2.5000000000000001E-2</v>
      </c>
      <c r="R6" s="181">
        <f t="shared" si="0"/>
        <v>2.5000000000000001E-2</v>
      </c>
      <c r="S6" s="181">
        <f t="shared" si="0"/>
        <v>2.5000000000000001E-2</v>
      </c>
      <c r="T6" s="181">
        <f t="shared" si="0"/>
        <v>2.5000000000000001E-2</v>
      </c>
      <c r="U6" s="181">
        <f t="shared" si="0"/>
        <v>2.5000000000000001E-2</v>
      </c>
    </row>
    <row r="7" spans="1:21">
      <c r="A7" t="s">
        <v>333</v>
      </c>
      <c r="B7" t="s">
        <v>18</v>
      </c>
      <c r="E7" s="5">
        <v>0.05</v>
      </c>
      <c r="F7" s="7">
        <f>E7</f>
        <v>0.05</v>
      </c>
      <c r="G7" s="7">
        <f t="shared" ref="G7:U7" si="1">F7</f>
        <v>0.05</v>
      </c>
      <c r="H7" s="7">
        <f t="shared" si="1"/>
        <v>0.05</v>
      </c>
      <c r="I7" s="7">
        <f t="shared" si="1"/>
        <v>0.05</v>
      </c>
      <c r="J7" s="7">
        <f t="shared" si="1"/>
        <v>0.05</v>
      </c>
      <c r="K7" s="7">
        <f t="shared" si="1"/>
        <v>0.05</v>
      </c>
      <c r="L7" s="7">
        <f t="shared" si="1"/>
        <v>0.05</v>
      </c>
      <c r="M7" s="7">
        <f t="shared" si="1"/>
        <v>0.05</v>
      </c>
      <c r="N7" s="7">
        <f t="shared" si="1"/>
        <v>0.05</v>
      </c>
      <c r="O7" s="7">
        <f t="shared" si="1"/>
        <v>0.05</v>
      </c>
      <c r="P7" s="7">
        <f t="shared" si="1"/>
        <v>0.05</v>
      </c>
      <c r="Q7" s="7">
        <f t="shared" si="1"/>
        <v>0.05</v>
      </c>
      <c r="R7" s="7">
        <f t="shared" si="1"/>
        <v>0.05</v>
      </c>
      <c r="S7" s="7">
        <f t="shared" si="1"/>
        <v>0.05</v>
      </c>
      <c r="T7" s="7">
        <f t="shared" si="1"/>
        <v>0.05</v>
      </c>
      <c r="U7" s="7">
        <f t="shared" si="1"/>
        <v>0.05</v>
      </c>
    </row>
    <row r="8" spans="1:21">
      <c r="A8" t="s">
        <v>348</v>
      </c>
      <c r="B8" t="s">
        <v>18</v>
      </c>
      <c r="E8" s="5">
        <v>0.01</v>
      </c>
      <c r="F8" s="7">
        <f>E8</f>
        <v>0.01</v>
      </c>
      <c r="G8" s="7">
        <f t="shared" ref="G8:U8" si="2">F8</f>
        <v>0.01</v>
      </c>
      <c r="H8" s="7">
        <f t="shared" si="2"/>
        <v>0.01</v>
      </c>
      <c r="I8" s="7">
        <f t="shared" si="2"/>
        <v>0.01</v>
      </c>
      <c r="J8" s="7">
        <f t="shared" si="2"/>
        <v>0.01</v>
      </c>
      <c r="K8" s="7">
        <f t="shared" si="2"/>
        <v>0.01</v>
      </c>
      <c r="L8" s="7">
        <f t="shared" si="2"/>
        <v>0.01</v>
      </c>
      <c r="M8" s="7">
        <f t="shared" si="2"/>
        <v>0.01</v>
      </c>
      <c r="N8" s="7">
        <f t="shared" si="2"/>
        <v>0.01</v>
      </c>
      <c r="O8" s="7">
        <f t="shared" si="2"/>
        <v>0.01</v>
      </c>
      <c r="P8" s="7">
        <f t="shared" si="2"/>
        <v>0.01</v>
      </c>
      <c r="Q8" s="7">
        <f t="shared" si="2"/>
        <v>0.01</v>
      </c>
      <c r="R8" s="7">
        <f t="shared" si="2"/>
        <v>0.01</v>
      </c>
      <c r="S8" s="7">
        <f t="shared" si="2"/>
        <v>0.01</v>
      </c>
      <c r="T8" s="7">
        <f t="shared" si="2"/>
        <v>0.01</v>
      </c>
      <c r="U8" s="7">
        <f t="shared" si="2"/>
        <v>0.01</v>
      </c>
    </row>
    <row r="9" spans="1:21">
      <c r="A9" s="184" t="s">
        <v>346</v>
      </c>
      <c r="B9" s="184"/>
      <c r="C9" s="184"/>
      <c r="D9" s="184"/>
      <c r="E9" s="190">
        <f>CHOOSE($A$58,E6,E7,E8)</f>
        <v>0.01</v>
      </c>
      <c r="F9" s="190">
        <f t="shared" ref="F9:U9" si="3">CHOOSE($A$58,F6,F7,F8)</f>
        <v>0.01</v>
      </c>
      <c r="G9" s="190">
        <f t="shared" si="3"/>
        <v>0.01</v>
      </c>
      <c r="H9" s="190">
        <f t="shared" si="3"/>
        <v>0.01</v>
      </c>
      <c r="I9" s="190">
        <f t="shared" si="3"/>
        <v>0.01</v>
      </c>
      <c r="J9" s="190">
        <f t="shared" si="3"/>
        <v>0.01</v>
      </c>
      <c r="K9" s="190">
        <f t="shared" si="3"/>
        <v>0.01</v>
      </c>
      <c r="L9" s="190">
        <f t="shared" si="3"/>
        <v>0.01</v>
      </c>
      <c r="M9" s="190">
        <f t="shared" si="3"/>
        <v>0.01</v>
      </c>
      <c r="N9" s="190">
        <f t="shared" si="3"/>
        <v>0.01</v>
      </c>
      <c r="O9" s="190">
        <f t="shared" si="3"/>
        <v>0.01</v>
      </c>
      <c r="P9" s="190">
        <f t="shared" si="3"/>
        <v>0.01</v>
      </c>
      <c r="Q9" s="190">
        <f t="shared" si="3"/>
        <v>0.01</v>
      </c>
      <c r="R9" s="190">
        <f t="shared" si="3"/>
        <v>0.01</v>
      </c>
      <c r="S9" s="190">
        <f t="shared" si="3"/>
        <v>0.01</v>
      </c>
      <c r="T9" s="190">
        <f t="shared" si="3"/>
        <v>0.01</v>
      </c>
      <c r="U9" s="190">
        <f t="shared" si="3"/>
        <v>0.01</v>
      </c>
    </row>
    <row r="11" spans="1:21" ht="15.75">
      <c r="A11" s="171" t="s">
        <v>334</v>
      </c>
    </row>
    <row r="12" spans="1:21">
      <c r="A12" t="s">
        <v>332</v>
      </c>
      <c r="B12" t="s">
        <v>27</v>
      </c>
      <c r="C12" s="3" t="s">
        <v>28</v>
      </c>
      <c r="D12" s="21">
        <v>3000</v>
      </c>
      <c r="E12" s="22">
        <v>0</v>
      </c>
      <c r="F12" s="16">
        <v>0</v>
      </c>
      <c r="G12" s="16">
        <f>MIN(F12+$D$15,$D$12)</f>
        <v>500</v>
      </c>
      <c r="H12" s="16">
        <f t="shared" ref="H12:U12" si="4">MIN(G12+$D$15,$D$12)</f>
        <v>1000</v>
      </c>
      <c r="I12" s="16">
        <f t="shared" si="4"/>
        <v>1500</v>
      </c>
      <c r="J12" s="16">
        <f t="shared" si="4"/>
        <v>2000</v>
      </c>
      <c r="K12" s="16">
        <f t="shared" si="4"/>
        <v>2500</v>
      </c>
      <c r="L12" s="16">
        <f t="shared" si="4"/>
        <v>3000</v>
      </c>
      <c r="M12" s="16">
        <f t="shared" si="4"/>
        <v>3000</v>
      </c>
      <c r="N12" s="16">
        <f t="shared" si="4"/>
        <v>3000</v>
      </c>
      <c r="O12" s="16">
        <f t="shared" si="4"/>
        <v>3000</v>
      </c>
      <c r="P12" s="16">
        <f t="shared" si="4"/>
        <v>3000</v>
      </c>
      <c r="Q12" s="16">
        <f t="shared" si="4"/>
        <v>3000</v>
      </c>
      <c r="R12" s="16">
        <f t="shared" si="4"/>
        <v>3000</v>
      </c>
      <c r="S12" s="16">
        <f t="shared" si="4"/>
        <v>3000</v>
      </c>
      <c r="T12" s="16">
        <f t="shared" si="4"/>
        <v>3000</v>
      </c>
      <c r="U12" s="16">
        <f t="shared" si="4"/>
        <v>3000</v>
      </c>
    </row>
    <row r="13" spans="1:21">
      <c r="A13" t="s">
        <v>333</v>
      </c>
      <c r="B13" t="s">
        <v>27</v>
      </c>
      <c r="C13" s="3" t="s">
        <v>28</v>
      </c>
      <c r="D13" s="182">
        <v>2000</v>
      </c>
      <c r="E13" s="23">
        <v>0</v>
      </c>
      <c r="F13" s="4">
        <v>0</v>
      </c>
      <c r="G13" s="16">
        <f>MIN(F13+$D$15,$D$13)</f>
        <v>500</v>
      </c>
      <c r="H13" s="16">
        <f t="shared" ref="H13:U13" si="5">MIN(G13+$D$15,$D$13)</f>
        <v>1000</v>
      </c>
      <c r="I13" s="16">
        <f t="shared" si="5"/>
        <v>1500</v>
      </c>
      <c r="J13" s="16">
        <f t="shared" si="5"/>
        <v>2000</v>
      </c>
      <c r="K13" s="16">
        <f t="shared" si="5"/>
        <v>2000</v>
      </c>
      <c r="L13" s="16">
        <f t="shared" si="5"/>
        <v>2000</v>
      </c>
      <c r="M13" s="16">
        <f t="shared" si="5"/>
        <v>2000</v>
      </c>
      <c r="N13" s="16">
        <f t="shared" si="5"/>
        <v>2000</v>
      </c>
      <c r="O13" s="16">
        <f t="shared" si="5"/>
        <v>2000</v>
      </c>
      <c r="P13" s="16">
        <f t="shared" si="5"/>
        <v>2000</v>
      </c>
      <c r="Q13" s="16">
        <f t="shared" si="5"/>
        <v>2000</v>
      </c>
      <c r="R13" s="16">
        <f t="shared" si="5"/>
        <v>2000</v>
      </c>
      <c r="S13" s="16">
        <f t="shared" si="5"/>
        <v>2000</v>
      </c>
      <c r="T13" s="16">
        <f t="shared" si="5"/>
        <v>2000</v>
      </c>
      <c r="U13" s="16">
        <f t="shared" si="5"/>
        <v>2000</v>
      </c>
    </row>
    <row r="14" spans="1:21">
      <c r="A14" t="s">
        <v>348</v>
      </c>
      <c r="B14" t="s">
        <v>27</v>
      </c>
      <c r="C14" s="3" t="s">
        <v>28</v>
      </c>
      <c r="D14" s="182">
        <v>4000</v>
      </c>
      <c r="E14" s="4">
        <v>0</v>
      </c>
      <c r="F14" s="4">
        <v>0</v>
      </c>
      <c r="G14" s="16">
        <f>MIN(F14+$D$15,$D$14)</f>
        <v>500</v>
      </c>
      <c r="H14" s="16">
        <f t="shared" ref="H14:U14" si="6">MIN(G14+$D$15,$D$14)</f>
        <v>1000</v>
      </c>
      <c r="I14" s="16">
        <f t="shared" si="6"/>
        <v>1500</v>
      </c>
      <c r="J14" s="16">
        <f t="shared" si="6"/>
        <v>2000</v>
      </c>
      <c r="K14" s="16">
        <f t="shared" si="6"/>
        <v>2500</v>
      </c>
      <c r="L14" s="16">
        <f t="shared" si="6"/>
        <v>3000</v>
      </c>
      <c r="M14" s="16">
        <f t="shared" si="6"/>
        <v>3500</v>
      </c>
      <c r="N14" s="16">
        <f t="shared" si="6"/>
        <v>4000</v>
      </c>
      <c r="O14" s="16">
        <f t="shared" si="6"/>
        <v>4000</v>
      </c>
      <c r="P14" s="16">
        <f t="shared" si="6"/>
        <v>4000</v>
      </c>
      <c r="Q14" s="16">
        <f t="shared" si="6"/>
        <v>4000</v>
      </c>
      <c r="R14" s="16">
        <f t="shared" si="6"/>
        <v>4000</v>
      </c>
      <c r="S14" s="16">
        <f t="shared" si="6"/>
        <v>4000</v>
      </c>
      <c r="T14" s="16">
        <f t="shared" si="6"/>
        <v>4000</v>
      </c>
      <c r="U14" s="16">
        <f t="shared" si="6"/>
        <v>4000</v>
      </c>
    </row>
    <row r="15" spans="1:21">
      <c r="A15" s="3" t="s">
        <v>29</v>
      </c>
      <c r="B15" t="s">
        <v>27</v>
      </c>
      <c r="C15" s="3"/>
      <c r="D15" s="182">
        <v>500</v>
      </c>
      <c r="E15" s="14"/>
      <c r="F15" s="14"/>
      <c r="G15" s="14"/>
    </row>
    <row r="16" spans="1:21">
      <c r="A16" s="184" t="s">
        <v>342</v>
      </c>
      <c r="B16" s="184"/>
      <c r="C16" s="184"/>
      <c r="D16" s="185"/>
      <c r="E16" s="186">
        <f>CHOOSE($A$58,E12,E13,E14)</f>
        <v>0</v>
      </c>
      <c r="F16" s="186">
        <f t="shared" ref="F16:U16" si="7">CHOOSE($A$58,F12,F13,F14)</f>
        <v>0</v>
      </c>
      <c r="G16" s="186">
        <f t="shared" si="7"/>
        <v>500</v>
      </c>
      <c r="H16" s="186">
        <f t="shared" si="7"/>
        <v>1000</v>
      </c>
      <c r="I16" s="186">
        <f t="shared" si="7"/>
        <v>1500</v>
      </c>
      <c r="J16" s="186">
        <f t="shared" si="7"/>
        <v>2000</v>
      </c>
      <c r="K16" s="186">
        <f t="shared" si="7"/>
        <v>2500</v>
      </c>
      <c r="L16" s="186">
        <f t="shared" si="7"/>
        <v>3000</v>
      </c>
      <c r="M16" s="186">
        <f t="shared" si="7"/>
        <v>3500</v>
      </c>
      <c r="N16" s="186">
        <f t="shared" si="7"/>
        <v>4000</v>
      </c>
      <c r="O16" s="186">
        <f t="shared" si="7"/>
        <v>4000</v>
      </c>
      <c r="P16" s="186">
        <f t="shared" si="7"/>
        <v>4000</v>
      </c>
      <c r="Q16" s="186">
        <f t="shared" si="7"/>
        <v>4000</v>
      </c>
      <c r="R16" s="186">
        <f t="shared" si="7"/>
        <v>4000</v>
      </c>
      <c r="S16" s="186">
        <f t="shared" si="7"/>
        <v>4000</v>
      </c>
      <c r="T16" s="186">
        <f t="shared" si="7"/>
        <v>4000</v>
      </c>
      <c r="U16" s="186">
        <f t="shared" si="7"/>
        <v>4000</v>
      </c>
    </row>
    <row r="17" spans="1:21">
      <c r="A17" s="3"/>
      <c r="C17" s="3"/>
      <c r="D17" s="24"/>
    </row>
    <row r="18" spans="1:21" ht="15.75">
      <c r="A18" s="171" t="s">
        <v>335</v>
      </c>
    </row>
    <row r="19" spans="1:21">
      <c r="A19" t="s">
        <v>332</v>
      </c>
      <c r="B19" t="s">
        <v>27</v>
      </c>
      <c r="C19" s="3" t="s">
        <v>28</v>
      </c>
      <c r="D19" s="182">
        <v>400</v>
      </c>
      <c r="E19" s="22">
        <v>0</v>
      </c>
      <c r="F19" s="16">
        <v>0</v>
      </c>
      <c r="G19" s="16">
        <f>MIN(F19+$D$22,$D$19)</f>
        <v>50</v>
      </c>
      <c r="H19" s="16">
        <f t="shared" ref="H19:U19" si="8">MIN(G19+$D$22,$D$19)</f>
        <v>100</v>
      </c>
      <c r="I19" s="16">
        <f t="shared" si="8"/>
        <v>150</v>
      </c>
      <c r="J19" s="16">
        <f t="shared" si="8"/>
        <v>200</v>
      </c>
      <c r="K19" s="16">
        <f t="shared" si="8"/>
        <v>250</v>
      </c>
      <c r="L19" s="16">
        <f t="shared" si="8"/>
        <v>300</v>
      </c>
      <c r="M19" s="16">
        <f t="shared" si="8"/>
        <v>350</v>
      </c>
      <c r="N19" s="16">
        <f t="shared" si="8"/>
        <v>400</v>
      </c>
      <c r="O19" s="16">
        <f t="shared" si="8"/>
        <v>400</v>
      </c>
      <c r="P19" s="16">
        <f t="shared" si="8"/>
        <v>400</v>
      </c>
      <c r="Q19" s="16">
        <f t="shared" si="8"/>
        <v>400</v>
      </c>
      <c r="R19" s="16">
        <f t="shared" si="8"/>
        <v>400</v>
      </c>
      <c r="S19" s="16">
        <f t="shared" si="8"/>
        <v>400</v>
      </c>
      <c r="T19" s="16">
        <f t="shared" si="8"/>
        <v>400</v>
      </c>
      <c r="U19" s="16">
        <f t="shared" si="8"/>
        <v>400</v>
      </c>
    </row>
    <row r="20" spans="1:21">
      <c r="A20" t="s">
        <v>333</v>
      </c>
      <c r="B20" t="s">
        <v>27</v>
      </c>
      <c r="C20" s="3" t="s">
        <v>28</v>
      </c>
      <c r="D20" s="182">
        <v>350</v>
      </c>
      <c r="E20" s="4">
        <v>0</v>
      </c>
      <c r="F20" s="4">
        <v>0</v>
      </c>
      <c r="G20" s="16">
        <f>MIN(F20+$D$22,$D$20)</f>
        <v>50</v>
      </c>
      <c r="H20" s="16">
        <f t="shared" ref="H20:U20" si="9">MIN(G20+$D$22,$D$20)</f>
        <v>100</v>
      </c>
      <c r="I20" s="16">
        <f t="shared" si="9"/>
        <v>150</v>
      </c>
      <c r="J20" s="16">
        <f t="shared" si="9"/>
        <v>200</v>
      </c>
      <c r="K20" s="16">
        <f t="shared" si="9"/>
        <v>250</v>
      </c>
      <c r="L20" s="16">
        <f t="shared" si="9"/>
        <v>300</v>
      </c>
      <c r="M20" s="16">
        <f t="shared" si="9"/>
        <v>350</v>
      </c>
      <c r="N20" s="16">
        <f t="shared" si="9"/>
        <v>350</v>
      </c>
      <c r="O20" s="16">
        <f t="shared" si="9"/>
        <v>350</v>
      </c>
      <c r="P20" s="16">
        <f t="shared" si="9"/>
        <v>350</v>
      </c>
      <c r="Q20" s="16">
        <f t="shared" si="9"/>
        <v>350</v>
      </c>
      <c r="R20" s="16">
        <f t="shared" si="9"/>
        <v>350</v>
      </c>
      <c r="S20" s="16">
        <f t="shared" si="9"/>
        <v>350</v>
      </c>
      <c r="T20" s="16">
        <f t="shared" si="9"/>
        <v>350</v>
      </c>
      <c r="U20" s="16">
        <f t="shared" si="9"/>
        <v>350</v>
      </c>
    </row>
    <row r="21" spans="1:21">
      <c r="A21" t="s">
        <v>348</v>
      </c>
      <c r="B21" t="s">
        <v>27</v>
      </c>
      <c r="C21" s="3" t="s">
        <v>28</v>
      </c>
      <c r="D21" s="182">
        <v>450</v>
      </c>
      <c r="E21" s="4">
        <v>0</v>
      </c>
      <c r="F21" s="4">
        <v>0</v>
      </c>
      <c r="G21" s="16">
        <f>MIN(F21+$D$22,$D$21)</f>
        <v>50</v>
      </c>
      <c r="H21" s="16">
        <f t="shared" ref="H21:U21" si="10">MIN(G21+$D$22,$D$21)</f>
        <v>100</v>
      </c>
      <c r="I21" s="16">
        <f t="shared" si="10"/>
        <v>150</v>
      </c>
      <c r="J21" s="16">
        <f t="shared" si="10"/>
        <v>200</v>
      </c>
      <c r="K21" s="16">
        <f t="shared" si="10"/>
        <v>250</v>
      </c>
      <c r="L21" s="16">
        <f t="shared" si="10"/>
        <v>300</v>
      </c>
      <c r="M21" s="16">
        <f t="shared" si="10"/>
        <v>350</v>
      </c>
      <c r="N21" s="16">
        <f t="shared" si="10"/>
        <v>400</v>
      </c>
      <c r="O21" s="16">
        <f t="shared" si="10"/>
        <v>450</v>
      </c>
      <c r="P21" s="16">
        <f t="shared" si="10"/>
        <v>450</v>
      </c>
      <c r="Q21" s="16">
        <f t="shared" si="10"/>
        <v>450</v>
      </c>
      <c r="R21" s="16">
        <f t="shared" si="10"/>
        <v>450</v>
      </c>
      <c r="S21" s="16">
        <f t="shared" si="10"/>
        <v>450</v>
      </c>
      <c r="T21" s="16">
        <f t="shared" si="10"/>
        <v>450</v>
      </c>
      <c r="U21" s="16">
        <f t="shared" si="10"/>
        <v>450</v>
      </c>
    </row>
    <row r="22" spans="1:21">
      <c r="A22" s="3" t="s">
        <v>30</v>
      </c>
      <c r="B22" t="s">
        <v>27</v>
      </c>
      <c r="C22" s="3"/>
      <c r="D22" s="182">
        <v>50</v>
      </c>
    </row>
    <row r="23" spans="1:21">
      <c r="A23" s="184" t="s">
        <v>341</v>
      </c>
      <c r="B23" s="184"/>
      <c r="C23" s="184"/>
      <c r="D23" s="185"/>
      <c r="E23" s="186">
        <f>CHOOSE($A$58,E19,E20,E21)</f>
        <v>0</v>
      </c>
      <c r="F23" s="186">
        <f t="shared" ref="F23:U23" si="11">CHOOSE($A$58,F19,F20,F21)</f>
        <v>0</v>
      </c>
      <c r="G23" s="186">
        <f t="shared" si="11"/>
        <v>50</v>
      </c>
      <c r="H23" s="186">
        <f t="shared" si="11"/>
        <v>100</v>
      </c>
      <c r="I23" s="186">
        <f t="shared" si="11"/>
        <v>150</v>
      </c>
      <c r="J23" s="186">
        <f t="shared" si="11"/>
        <v>200</v>
      </c>
      <c r="K23" s="186">
        <f t="shared" si="11"/>
        <v>250</v>
      </c>
      <c r="L23" s="186">
        <f t="shared" si="11"/>
        <v>300</v>
      </c>
      <c r="M23" s="186">
        <f t="shared" si="11"/>
        <v>350</v>
      </c>
      <c r="N23" s="186">
        <f t="shared" si="11"/>
        <v>400</v>
      </c>
      <c r="O23" s="186">
        <f t="shared" si="11"/>
        <v>450</v>
      </c>
      <c r="P23" s="186">
        <f t="shared" si="11"/>
        <v>450</v>
      </c>
      <c r="Q23" s="186">
        <f t="shared" si="11"/>
        <v>450</v>
      </c>
      <c r="R23" s="186">
        <f t="shared" si="11"/>
        <v>450</v>
      </c>
      <c r="S23" s="186">
        <f t="shared" si="11"/>
        <v>450</v>
      </c>
      <c r="T23" s="186">
        <f t="shared" si="11"/>
        <v>450</v>
      </c>
      <c r="U23" s="186">
        <f t="shared" si="11"/>
        <v>450</v>
      </c>
    </row>
    <row r="25" spans="1:21" ht="15.75">
      <c r="A25" s="171" t="s">
        <v>336</v>
      </c>
    </row>
    <row r="26" spans="1:21">
      <c r="A26" t="s">
        <v>332</v>
      </c>
      <c r="B26" t="s">
        <v>18</v>
      </c>
      <c r="D26" s="5">
        <v>0.09</v>
      </c>
    </row>
    <row r="27" spans="1:21">
      <c r="A27" t="s">
        <v>333</v>
      </c>
      <c r="B27" t="s">
        <v>18</v>
      </c>
      <c r="D27" s="10">
        <v>9.5000000000000001E-2</v>
      </c>
    </row>
    <row r="28" spans="1:21">
      <c r="A28" t="s">
        <v>348</v>
      </c>
      <c r="B28" t="s">
        <v>18</v>
      </c>
      <c r="D28" s="10">
        <v>8.5000000000000006E-2</v>
      </c>
    </row>
    <row r="29" spans="1:21">
      <c r="A29" s="184" t="s">
        <v>343</v>
      </c>
      <c r="B29" s="184"/>
      <c r="C29" s="184"/>
      <c r="D29" s="187">
        <f>CHOOSE(A58,D26,D27,D28)</f>
        <v>8.5000000000000006E-2</v>
      </c>
    </row>
    <row r="32" spans="1:21" ht="21">
      <c r="A32" s="183" t="s">
        <v>337</v>
      </c>
      <c r="B32" s="184"/>
      <c r="C32" s="184" t="s">
        <v>349</v>
      </c>
    </row>
    <row r="35" spans="1:21" ht="15.75">
      <c r="A35" s="171" t="s">
        <v>254</v>
      </c>
    </row>
    <row r="36" spans="1:21">
      <c r="A36" s="4" t="s">
        <v>255</v>
      </c>
      <c r="B36" s="4" t="s">
        <v>128</v>
      </c>
      <c r="C36" s="4"/>
      <c r="D36" s="4"/>
      <c r="E36" s="4"/>
      <c r="F36" s="192">
        <f>Отчетность!F55</f>
        <v>0.98275862068965514</v>
      </c>
      <c r="G36" s="192">
        <f>Отчетность!G55</f>
        <v>0.95637598629479736</v>
      </c>
      <c r="H36" s="192">
        <f>Отчетность!H55</f>
        <v>0.92834789817447227</v>
      </c>
      <c r="I36" s="192">
        <f>Отчетность!I55</f>
        <v>0.89835140078917519</v>
      </c>
      <c r="J36" s="192">
        <f>Отчетность!J55</f>
        <v>0.86596872420359416</v>
      </c>
      <c r="K36" s="192">
        <f>Отчетность!K55</f>
        <v>0.83065016733119712</v>
      </c>
      <c r="L36" s="192">
        <f>Отчетность!L55</f>
        <v>0.79165807859004245</v>
      </c>
      <c r="M36" s="192">
        <f>Отчетность!M55</f>
        <v>0.74797965991540249</v>
      </c>
      <c r="N36" s="192">
        <f>Отчетность!N55</f>
        <v>0.69818628018222617</v>
      </c>
      <c r="O36" s="192">
        <f>Отчетность!O55</f>
        <v>0.64019665301076067</v>
      </c>
      <c r="P36" s="192">
        <f>Отчетность!P55</f>
        <v>0.57085738431386934</v>
      </c>
      <c r="Q36" s="192">
        <f>Отчетность!Q55</f>
        <v>0.48515233989040446</v>
      </c>
      <c r="R36" s="192">
        <f>Отчетность!R55</f>
        <v>0.37459132551134228</v>
      </c>
      <c r="S36" s="192">
        <f>Отчетность!S55</f>
        <v>0.22357629495960032</v>
      </c>
      <c r="T36" s="192">
        <f>Отчетность!T55</f>
        <v>-9.049015474811361E-15</v>
      </c>
      <c r="U36" s="192">
        <f>Отчетность!U55</f>
        <v>0</v>
      </c>
    </row>
    <row r="37" spans="1:21">
      <c r="A37" s="4" t="s">
        <v>258</v>
      </c>
      <c r="B37" s="4" t="s">
        <v>128</v>
      </c>
      <c r="C37" s="4" t="s">
        <v>262</v>
      </c>
      <c r="D37" s="4"/>
      <c r="E37" s="4"/>
      <c r="F37" s="192"/>
      <c r="G37" s="192"/>
      <c r="H37" s="192"/>
      <c r="I37" s="192">
        <f>Отчетность!I56</f>
        <v>-3.5110756639624046</v>
      </c>
      <c r="J37" s="192">
        <f>Отчетность!J56</f>
        <v>7.5303422531493007</v>
      </c>
      <c r="K37" s="192">
        <f>Отчетность!K56</f>
        <v>1.5259023060342325</v>
      </c>
      <c r="L37" s="192">
        <f>Отчетность!L56</f>
        <v>0.75725810297655582</v>
      </c>
      <c r="M37" s="192">
        <f>Отчетность!M56</f>
        <v>0.45711337000100966</v>
      </c>
      <c r="N37" s="192">
        <f>Отчетность!N56</f>
        <v>0.29902346138613461</v>
      </c>
      <c r="O37" s="192">
        <f>Отчетность!O56</f>
        <v>0.20928702653552991</v>
      </c>
      <c r="P37" s="192">
        <f>Отчетность!P56</f>
        <v>0.15148756864091131</v>
      </c>
      <c r="Q37" s="192">
        <f>Отчетность!Q56</f>
        <v>0.10870511721157347</v>
      </c>
      <c r="R37" s="192">
        <f>Отчетность!R56</f>
        <v>7.2800366278576181E-2</v>
      </c>
      <c r="S37" s="192">
        <f>Отчетность!S56</f>
        <v>3.7057052497088273E-2</v>
      </c>
      <c r="T37" s="192">
        <f>Отчетность!T56</f>
        <v>-1.2238828877177307E-15</v>
      </c>
      <c r="U37" s="192">
        <f>Отчетность!U56</f>
        <v>0</v>
      </c>
    </row>
    <row r="38" spans="1:21">
      <c r="A38" s="4" t="s">
        <v>257</v>
      </c>
      <c r="B38" s="4" t="s">
        <v>128</v>
      </c>
      <c r="C38" s="4" t="s">
        <v>262</v>
      </c>
      <c r="D38" s="4"/>
      <c r="E38" s="4"/>
      <c r="F38" s="192"/>
      <c r="G38" s="192"/>
      <c r="H38" s="192"/>
      <c r="I38" s="192">
        <f>Отчетность!I57</f>
        <v>-2.9881443195115631</v>
      </c>
      <c r="J38" s="192">
        <f>Отчетность!J57</f>
        <v>6.5574525480748509</v>
      </c>
      <c r="K38" s="192">
        <f>Отчетность!K57</f>
        <v>1.1687139029906497</v>
      </c>
      <c r="L38" s="192">
        <f>Отчетность!L57</f>
        <v>0.36997052162020705</v>
      </c>
      <c r="M38" s="192">
        <f>Отчетность!M57</f>
        <v>0</v>
      </c>
      <c r="N38" s="192">
        <f>Отчетность!N57</f>
        <v>0</v>
      </c>
      <c r="O38" s="192">
        <f>Отчетность!O57</f>
        <v>0</v>
      </c>
      <c r="P38" s="192">
        <f>Отчетность!P57</f>
        <v>0</v>
      </c>
      <c r="Q38" s="192">
        <f>Отчетность!Q57</f>
        <v>0</v>
      </c>
      <c r="R38" s="192">
        <f>Отчетность!R57</f>
        <v>0</v>
      </c>
      <c r="S38" s="192">
        <f>Отчетность!S57</f>
        <v>0</v>
      </c>
      <c r="T38" s="192">
        <f>Отчетность!T57</f>
        <v>0</v>
      </c>
      <c r="U38" s="192">
        <f>Отчетность!U57</f>
        <v>0</v>
      </c>
    </row>
    <row r="39" spans="1:21">
      <c r="A39" s="4" t="s">
        <v>256</v>
      </c>
      <c r="B39" s="4" t="s">
        <v>128</v>
      </c>
      <c r="C39" s="4" t="s">
        <v>263</v>
      </c>
      <c r="D39" s="4"/>
      <c r="E39" s="4"/>
      <c r="F39" s="192"/>
      <c r="G39" s="192">
        <f>Отчетность!G58</f>
        <v>-9.2545130736393144</v>
      </c>
      <c r="H39" s="192">
        <f>Отчетность!H58</f>
        <v>-5.6200830730471329</v>
      </c>
      <c r="I39" s="192">
        <f>Отчетность!I58</f>
        <v>-1.2372814262630993</v>
      </c>
      <c r="J39" s="192">
        <f>Отчетность!J58</f>
        <v>1.9429036232532626</v>
      </c>
      <c r="K39" s="192">
        <f>Отчетность!K58</f>
        <v>8.0895311073722862</v>
      </c>
      <c r="L39" s="192">
        <f>Отчетность!L58</f>
        <v>15.718403535320238</v>
      </c>
      <c r="M39" s="192">
        <f>Отчетность!M58</f>
        <v>25.384305466397628</v>
      </c>
      <c r="N39" s="192">
        <f>Отчетность!N58</f>
        <v>34.254774267961501</v>
      </c>
      <c r="O39" s="192">
        <f>Отчетность!O58</f>
        <v>42.444416468412989</v>
      </c>
      <c r="P39" s="192">
        <f>Отчетность!P58</f>
        <v>50.357461955116349</v>
      </c>
      <c r="Q39" s="192">
        <f>Отчетность!Q58</f>
        <v>62.185938956319312</v>
      </c>
      <c r="R39" s="192">
        <f>Отчетность!R58</f>
        <v>73.76056463849217</v>
      </c>
      <c r="S39" s="192">
        <f>Отчетность!S58</f>
        <v>108.83299801091925</v>
      </c>
      <c r="T39" s="192">
        <f>Отчетность!T58</f>
        <v>213.86950258845624</v>
      </c>
      <c r="U39" s="192"/>
    </row>
    <row r="40" spans="1:21">
      <c r="A40" s="4" t="s">
        <v>259</v>
      </c>
      <c r="B40" s="4" t="s">
        <v>128</v>
      </c>
      <c r="C40" s="4" t="s">
        <v>262</v>
      </c>
      <c r="D40" s="4"/>
      <c r="E40" s="4"/>
      <c r="F40" s="192"/>
      <c r="G40" s="192"/>
      <c r="H40" s="192"/>
      <c r="I40" s="192">
        <f>Отчетность!I59</f>
        <v>0.85925997422485723</v>
      </c>
      <c r="J40" s="192">
        <f>Отчетность!J59</f>
        <v>0.69410855342463917</v>
      </c>
      <c r="K40" s="192">
        <f>Отчетность!K59</f>
        <v>0.35398851915058988</v>
      </c>
      <c r="L40" s="192">
        <f>Отчетность!L59</f>
        <v>1.3263610795499019</v>
      </c>
      <c r="M40" s="192">
        <f>Отчетность!M59</f>
        <v>2.3069804852010862</v>
      </c>
      <c r="N40" s="192">
        <f>Отчетность!N59</f>
        <v>3.2946148448734967</v>
      </c>
      <c r="O40" s="192">
        <f>Отчетность!O59</f>
        <v>4.0234017654669065</v>
      </c>
      <c r="P40" s="192">
        <f>Отчетность!P59</f>
        <v>4.4952853968630562</v>
      </c>
      <c r="Q40" s="192">
        <f>Отчетность!Q59</f>
        <v>4.6925075545987189</v>
      </c>
      <c r="R40" s="192">
        <f>Отчетность!R59</f>
        <v>4.6194488757159053</v>
      </c>
      <c r="S40" s="192">
        <f>Отчетность!S59</f>
        <v>4.5480536287415152</v>
      </c>
      <c r="T40" s="192">
        <f>Отчетность!T59</f>
        <v>4.4658785826406362</v>
      </c>
      <c r="U40" s="192">
        <f>Отчетность!U59</f>
        <v>5.8399053333338271</v>
      </c>
    </row>
    <row r="41" spans="1:21">
      <c r="A41" s="4" t="s">
        <v>260</v>
      </c>
      <c r="B41" s="4" t="s">
        <v>93</v>
      </c>
      <c r="C41" s="4" t="s">
        <v>262</v>
      </c>
      <c r="D41" s="4"/>
      <c r="E41" s="4"/>
      <c r="F41" s="18"/>
      <c r="G41" s="18"/>
      <c r="H41" s="18"/>
      <c r="I41" s="18">
        <f>Отчетность!I60</f>
        <v>2550.8380228033566</v>
      </c>
      <c r="J41" s="18">
        <f>Отчетность!J60</f>
        <v>2747.4160605480461</v>
      </c>
      <c r="K41" s="18">
        <f>Отчетность!K60</f>
        <v>1401.1551045805436</v>
      </c>
      <c r="L41" s="18">
        <f>Отчетность!L60</f>
        <v>5249.9939873408985</v>
      </c>
      <c r="M41" s="18">
        <f>Отчетность!M60</f>
        <v>9131.4754805143639</v>
      </c>
      <c r="N41" s="18">
        <f>Отчетность!N60</f>
        <v>13040.723520068555</v>
      </c>
      <c r="O41" s="18">
        <f>Отчетность!O60</f>
        <v>15925.403272935306</v>
      </c>
      <c r="P41" s="18">
        <f>Отчетность!P60</f>
        <v>17793.210060808691</v>
      </c>
      <c r="Q41" s="18">
        <f>Отчетность!Q60</f>
        <v>18573.853550916225</v>
      </c>
      <c r="R41" s="18">
        <f>Отчетность!R60</f>
        <v>18284.673152929874</v>
      </c>
      <c r="S41" s="18">
        <f>Отчетность!S60</f>
        <v>18002.076940541418</v>
      </c>
      <c r="T41" s="18">
        <f>Отчетность!T60</f>
        <v>17676.8121958269</v>
      </c>
      <c r="U41" s="18">
        <f>Отчетность!U60</f>
        <v>17336.607104594139</v>
      </c>
    </row>
    <row r="42" spans="1:21">
      <c r="A42" s="4" t="s">
        <v>261</v>
      </c>
      <c r="B42" s="4" t="s">
        <v>93</v>
      </c>
      <c r="C42" s="4" t="s">
        <v>262</v>
      </c>
      <c r="D42" s="4"/>
      <c r="E42" s="4"/>
      <c r="F42" s="18"/>
      <c r="G42" s="18"/>
      <c r="H42" s="18"/>
      <c r="I42" s="18">
        <f>Отчетность!I61</f>
        <v>2968.6452288255141</v>
      </c>
      <c r="J42" s="18">
        <f>Отчетность!J61</f>
        <v>3958.1936384340188</v>
      </c>
      <c r="K42" s="18">
        <f>Отчетность!K61</f>
        <v>3958.1936384340183</v>
      </c>
      <c r="L42" s="18">
        <f>Отчетность!L61</f>
        <v>3958.1936384340183</v>
      </c>
      <c r="M42" s="18">
        <f>Отчетность!M61</f>
        <v>3958.1936384340183</v>
      </c>
      <c r="N42" s="18">
        <f>Отчетность!N61</f>
        <v>3958.1936384340188</v>
      </c>
      <c r="O42" s="18">
        <f>Отчетность!O61</f>
        <v>3958.1936384340179</v>
      </c>
      <c r="P42" s="18">
        <f>Отчетность!P61</f>
        <v>3958.1936384340188</v>
      </c>
      <c r="Q42" s="18">
        <f>Отчетность!Q61</f>
        <v>3958.1936384340188</v>
      </c>
      <c r="R42" s="18">
        <f>Отчетность!R61</f>
        <v>3958.1936384340183</v>
      </c>
      <c r="S42" s="18">
        <f>Отчетность!S61</f>
        <v>3958.1936384340183</v>
      </c>
      <c r="T42" s="18">
        <f>Отчетность!T61</f>
        <v>3958.1936384340188</v>
      </c>
      <c r="U42" s="18">
        <f>Отчетность!U61</f>
        <v>2968.6452288255141</v>
      </c>
    </row>
    <row r="45" spans="1:21" ht="21">
      <c r="A45" s="124" t="s">
        <v>312</v>
      </c>
      <c r="B45" s="1"/>
      <c r="C45" s="1"/>
    </row>
    <row r="46" spans="1:21" ht="15.75">
      <c r="A46" s="174" t="s">
        <v>313</v>
      </c>
      <c r="B46" s="174" t="s">
        <v>0</v>
      </c>
      <c r="C46" s="174" t="s">
        <v>314</v>
      </c>
    </row>
    <row r="47" spans="1:21">
      <c r="A47" s="4" t="s">
        <v>311</v>
      </c>
      <c r="B47" s="4" t="s">
        <v>93</v>
      </c>
      <c r="C47" s="18">
        <f>Оценка!C74</f>
        <v>142818.97855055836</v>
      </c>
    </row>
    <row r="48" spans="1:21">
      <c r="A48" s="4" t="s">
        <v>291</v>
      </c>
      <c r="B48" s="4" t="s">
        <v>93</v>
      </c>
      <c r="C48" s="18">
        <f>Оценка!C75</f>
        <v>77288.968177478309</v>
      </c>
    </row>
    <row r="49" spans="1:3">
      <c r="A49" s="4" t="s">
        <v>287</v>
      </c>
      <c r="B49" s="4" t="s">
        <v>93</v>
      </c>
      <c r="C49" s="18">
        <f>Оценка!C76</f>
        <v>79396.398707107888</v>
      </c>
    </row>
    <row r="50" spans="1:3">
      <c r="C50" s="18">
        <f>Оценка!C77</f>
        <v>0</v>
      </c>
    </row>
    <row r="51" spans="1:3">
      <c r="A51" s="4" t="s">
        <v>310</v>
      </c>
      <c r="B51" s="4" t="s">
        <v>93</v>
      </c>
      <c r="C51" s="18">
        <f>Оценка!C78</f>
        <v>152342.29105055836</v>
      </c>
    </row>
    <row r="52" spans="1:3">
      <c r="A52" s="4" t="s">
        <v>289</v>
      </c>
      <c r="B52" s="4" t="s">
        <v>93</v>
      </c>
      <c r="C52" s="18">
        <f>Оценка!C79</f>
        <v>86812.280677478309</v>
      </c>
    </row>
    <row r="53" spans="1:3">
      <c r="A53" s="4" t="s">
        <v>282</v>
      </c>
      <c r="B53" s="4" t="s">
        <v>93</v>
      </c>
      <c r="C53" s="18">
        <f>Оценка!C80</f>
        <v>88919.711207107888</v>
      </c>
    </row>
    <row r="57" spans="1:3">
      <c r="A57" t="s">
        <v>344</v>
      </c>
    </row>
    <row r="58" spans="1:3">
      <c r="A58">
        <f>VLOOKUP(C32,A61:B63,2,0)</f>
        <v>3</v>
      </c>
    </row>
    <row r="60" spans="1:3">
      <c r="A60" t="s">
        <v>340</v>
      </c>
    </row>
    <row r="61" spans="1:3">
      <c r="A61" t="s">
        <v>338</v>
      </c>
      <c r="B61">
        <v>1</v>
      </c>
    </row>
    <row r="62" spans="1:3">
      <c r="A62" t="s">
        <v>339</v>
      </c>
      <c r="B62">
        <v>2</v>
      </c>
    </row>
    <row r="63" spans="1:3">
      <c r="A63" t="s">
        <v>349</v>
      </c>
      <c r="B63">
        <v>3</v>
      </c>
    </row>
  </sheetData>
  <dataValidations count="1">
    <dataValidation type="list" allowBlank="1" showInputMessage="1" showErrorMessage="1" sqref="C32">
      <formula1>$A$61:$A$63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showGridLines="0" zoomScale="115" zoomScaleNormal="115" workbookViewId="0">
      <selection activeCell="B5" sqref="B5"/>
    </sheetView>
  </sheetViews>
  <sheetFormatPr defaultRowHeight="15"/>
  <cols>
    <col min="1" max="1" width="17.5703125" customWidth="1"/>
    <col min="2" max="2" width="45.42578125" customWidth="1"/>
  </cols>
  <sheetData>
    <row r="1" spans="1:2">
      <c r="A1" s="20" t="s">
        <v>101</v>
      </c>
      <c r="B1" s="4" t="s">
        <v>100</v>
      </c>
    </row>
    <row r="2" spans="1:2">
      <c r="A2" s="4" t="s">
        <v>101</v>
      </c>
      <c r="B2" s="4" t="s">
        <v>99</v>
      </c>
    </row>
    <row r="3" spans="1:2">
      <c r="A3" s="41" t="s">
        <v>101</v>
      </c>
      <c r="B3" s="4" t="s">
        <v>112</v>
      </c>
    </row>
    <row r="4" spans="1:2">
      <c r="A4" s="176" t="s">
        <v>101</v>
      </c>
      <c r="B4" s="25" t="s">
        <v>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Допущения</vt:lpstr>
      <vt:lpstr>Расчет</vt:lpstr>
      <vt:lpstr>Отчетность</vt:lpstr>
      <vt:lpstr>Годовая отчетность</vt:lpstr>
      <vt:lpstr>Оценка</vt:lpstr>
      <vt:lpstr>Анализ чувствительности</vt:lpstr>
      <vt:lpstr>Сценарный анализ</vt:lpstr>
      <vt:lpstr>Цвета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2023-10-09T11:45:57Z</dcterms:modified>
</cp:coreProperties>
</file>