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el Girder design tool (ship " sheetId="1" r:id="rId4"/>
  </sheets>
  <definedNames/>
  <calcPr/>
  <extLst>
    <ext uri="GoogleSheetsCustomDataVersion2">
      <go:sheetsCustomData xmlns:go="http://customooxmlschemas.google.com/" r:id="rId5" roundtripDataChecksum="oUEgseuuWdCkjzjMhKqN/UVDbXiaWqmWjmVyGt5QFTo="/>
    </ext>
  </extLst>
</workbook>
</file>

<file path=xl/sharedStrings.xml><?xml version="1.0" encoding="utf-8"?>
<sst xmlns="http://schemas.openxmlformats.org/spreadsheetml/2006/main" count="258" uniqueCount="173">
  <si>
    <t>RC Beam ACI Code Design Tool (SI Units) ----- Developed by Samson Mano &lt;https://sites.google.com/site/samsoninfinite/&gt;</t>
  </si>
  <si>
    <t>INPUT DATA</t>
  </si>
  <si>
    <t>Width of beam：</t>
  </si>
  <si>
    <t>b</t>
  </si>
  <si>
    <t>=</t>
  </si>
  <si>
    <t>mm</t>
  </si>
  <si>
    <t>Depth of beam :</t>
  </si>
  <si>
    <t>h</t>
  </si>
  <si>
    <t>For beam with one layer reinforcemernt d = h -  65 mm and for two layer reinforcement d = h - 90 mm</t>
  </si>
  <si>
    <t xml:space="preserve">Effective depth of beam </t>
  </si>
  <si>
    <t>d</t>
  </si>
  <si>
    <t>Cover thickness</t>
  </si>
  <si>
    <t>t</t>
  </si>
  <si>
    <t>Assumed diameter of Stirrup</t>
  </si>
  <si>
    <r>
      <rPr>
        <rFont val="Verdana"/>
        <i/>
        <color theme="1"/>
        <sz val="11.0"/>
      </rPr>
      <t>s</t>
    </r>
    <r>
      <rPr>
        <rFont val="Verdana"/>
        <i/>
        <color theme="1"/>
        <sz val="11.0"/>
        <vertAlign val="subscript"/>
      </rPr>
      <t>d</t>
    </r>
  </si>
  <si>
    <r>
      <rPr>
        <rFont val="Calibri"/>
        <b/>
        <i/>
        <color rgb="FF7F7F7F"/>
        <sz val="11.0"/>
      </rPr>
      <t>Need to calculate A</t>
    </r>
    <r>
      <rPr>
        <rFont val="Calibri"/>
        <b/>
        <i/>
        <color rgb="FF7F7F7F"/>
        <sz val="11.0"/>
        <vertAlign val="subscript"/>
      </rPr>
      <t xml:space="preserve">oh </t>
    </r>
    <r>
      <rPr>
        <rFont val="Calibri"/>
        <b/>
        <i/>
        <color rgb="FF7F7F7F"/>
        <sz val="11.0"/>
      </rPr>
      <t>and P</t>
    </r>
    <r>
      <rPr>
        <rFont val="Calibri"/>
        <b/>
        <i/>
        <color rgb="FF7F7F7F"/>
        <sz val="11.0"/>
        <vertAlign val="subscript"/>
      </rPr>
      <t>h</t>
    </r>
  </si>
  <si>
    <t>Maximum Bending moment :</t>
  </si>
  <si>
    <r>
      <rPr>
        <rFont val="Verdana"/>
        <i/>
        <color theme="1"/>
        <sz val="11.0"/>
      </rPr>
      <t>M</t>
    </r>
    <r>
      <rPr>
        <rFont val="Verdana"/>
        <i val="0"/>
        <color theme="1"/>
        <sz val="11.0"/>
        <vertAlign val="subscript"/>
      </rPr>
      <t>u</t>
    </r>
  </si>
  <si>
    <t>N-mm</t>
  </si>
  <si>
    <t>Maximum Shear Force :</t>
  </si>
  <si>
    <r>
      <rPr>
        <rFont val="Verdana"/>
        <i/>
        <color theme="1"/>
        <sz val="11.0"/>
      </rPr>
      <t>V</t>
    </r>
    <r>
      <rPr>
        <rFont val="Verdana"/>
        <i val="0"/>
        <color theme="1"/>
        <sz val="11.0"/>
        <vertAlign val="subscript"/>
      </rPr>
      <t>u</t>
    </r>
  </si>
  <si>
    <t>N</t>
  </si>
  <si>
    <t>Maximum Torque</t>
  </si>
  <si>
    <r>
      <rPr>
        <rFont val="Verdana"/>
        <i/>
        <color theme="1"/>
        <sz val="11.0"/>
      </rPr>
      <t>T</t>
    </r>
    <r>
      <rPr>
        <rFont val="Verdana"/>
        <i val="0"/>
        <color theme="1"/>
        <sz val="11.0"/>
        <vertAlign val="subscript"/>
      </rPr>
      <t>u</t>
    </r>
  </si>
  <si>
    <t>Compressive strength of Concrete :</t>
  </si>
  <si>
    <r>
      <rPr>
        <rFont val="Verdana"/>
        <i/>
        <color theme="1"/>
        <sz val="11.0"/>
      </rPr>
      <t>f'</t>
    </r>
    <r>
      <rPr>
        <rFont val="Verdana"/>
        <i/>
        <color theme="1"/>
        <sz val="11.0"/>
        <vertAlign val="subscript"/>
      </rPr>
      <t>c</t>
    </r>
  </si>
  <si>
    <r>
      <rPr>
        <rFont val="Verdana"/>
        <i/>
        <color theme="1"/>
        <sz val="11.0"/>
      </rPr>
      <t>N/mm</t>
    </r>
    <r>
      <rPr>
        <rFont val="Verdana"/>
        <i/>
        <color theme="1"/>
        <sz val="11.0"/>
        <vertAlign val="superscript"/>
      </rPr>
      <t>2</t>
    </r>
  </si>
  <si>
    <t>Yield strength of steel :</t>
  </si>
  <si>
    <r>
      <rPr>
        <rFont val="Verdana"/>
        <i/>
        <color theme="1"/>
        <sz val="11.0"/>
      </rPr>
      <t>f</t>
    </r>
    <r>
      <rPr>
        <rFont val="Verdana"/>
        <i/>
        <color theme="1"/>
        <sz val="11.0"/>
        <vertAlign val="subscript"/>
      </rPr>
      <t>y</t>
    </r>
    <r>
      <rPr>
        <rFont val="Verdana"/>
        <i/>
        <color theme="1"/>
        <sz val="11.0"/>
      </rPr>
      <t xml:space="preserve"> and f</t>
    </r>
    <r>
      <rPr>
        <rFont val="Vani"/>
        <i/>
        <color theme="1"/>
        <sz val="11.0"/>
        <vertAlign val="subscript"/>
      </rPr>
      <t>yt</t>
    </r>
  </si>
  <si>
    <r>
      <rPr>
        <rFont val="Verdana"/>
        <color theme="1"/>
        <sz val="11.0"/>
      </rPr>
      <t>N/mm</t>
    </r>
    <r>
      <rPr>
        <rFont val="Verdana"/>
        <color theme="1"/>
        <sz val="11.0"/>
        <vertAlign val="superscript"/>
      </rPr>
      <t>2</t>
    </r>
  </si>
  <si>
    <t>Strength reduction factor (Bending)</t>
  </si>
  <si>
    <r>
      <rPr>
        <rFont val="Calibri"/>
        <color theme="1"/>
        <sz val="11.0"/>
      </rPr>
      <t>φ</t>
    </r>
    <r>
      <rPr>
        <rFont val="Calibri"/>
        <color theme="1"/>
        <sz val="11.0"/>
        <vertAlign val="subscript"/>
      </rPr>
      <t>m</t>
    </r>
  </si>
  <si>
    <t>For tension controlled beam section (ACI 318-02 Section 9.3.2.2.)</t>
  </si>
  <si>
    <t>Strength reduction factor (shear and torsion)</t>
  </si>
  <si>
    <r>
      <rPr>
        <rFont val="Calibri"/>
        <color theme="1"/>
        <sz val="11.0"/>
      </rPr>
      <t>φ</t>
    </r>
    <r>
      <rPr>
        <rFont val="Calibri"/>
        <color theme="1"/>
        <sz val="11.0"/>
        <vertAlign val="subscript"/>
      </rPr>
      <t>v,t</t>
    </r>
  </si>
  <si>
    <t>From ACI code chapter 9</t>
  </si>
  <si>
    <t>CALCULATION</t>
  </si>
  <si>
    <t>1)</t>
  </si>
  <si>
    <t>Cross - section details</t>
  </si>
  <si>
    <t>Refer ACI Table 9.5a for Minimum depth of control flexural deflections</t>
  </si>
  <si>
    <t>Area of Cross-section</t>
  </si>
  <si>
    <r>
      <rPr>
        <rFont val="Verdana"/>
        <b/>
        <color rgb="FFFF0000"/>
        <sz val="12.0"/>
      </rPr>
      <t>A</t>
    </r>
    <r>
      <rPr>
        <rFont val="Verdana"/>
        <b/>
        <color rgb="FFFF0000"/>
        <sz val="12.0"/>
        <vertAlign val="subscript"/>
      </rPr>
      <t>cp</t>
    </r>
    <r>
      <rPr>
        <rFont val="Verdana"/>
        <color theme="1"/>
        <sz val="12.0"/>
      </rPr>
      <t xml:space="preserve"> = b * h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</si>
  <si>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</si>
  <si>
    <t>Preimeter of Cross-section</t>
  </si>
  <si>
    <r>
      <rPr>
        <rFont val="Verdana"/>
        <b/>
        <color rgb="FFFF0000"/>
        <sz val="12.0"/>
      </rPr>
      <t>P</t>
    </r>
    <r>
      <rPr>
        <rFont val="Verdana"/>
        <b/>
        <color rgb="FFFF0000"/>
        <sz val="12.0"/>
        <vertAlign val="subscript"/>
      </rPr>
      <t>cp</t>
    </r>
    <r>
      <rPr>
        <rFont val="Verdana"/>
        <color theme="1"/>
        <sz val="12.0"/>
      </rPr>
      <t xml:space="preserve"> = 2 * (b + h)</t>
    </r>
  </si>
  <si>
    <t>Width of beam within center - line of closed stirrups</t>
  </si>
  <si>
    <r>
      <rPr>
        <rFont val="Verdana"/>
        <b/>
        <color rgb="FFFF0000"/>
        <sz val="12.0"/>
      </rPr>
      <t>b</t>
    </r>
    <r>
      <rPr>
        <rFont val="Verdana"/>
        <b/>
        <color rgb="FFFF0000"/>
        <sz val="12.0"/>
        <vertAlign val="subscript"/>
      </rPr>
      <t>1</t>
    </r>
    <r>
      <rPr>
        <rFont val="Verdana"/>
        <color theme="1"/>
        <sz val="12.0"/>
      </rPr>
      <t xml:space="preserve"> = b - 2*t - s</t>
    </r>
    <r>
      <rPr>
        <rFont val="Verdana"/>
        <color theme="1"/>
        <sz val="12.0"/>
        <vertAlign val="subscript"/>
      </rPr>
      <t>d</t>
    </r>
  </si>
  <si>
    <t>Height of beam within center - line of closed stirrups</t>
  </si>
  <si>
    <r>
      <rPr>
        <rFont val="Verdana"/>
        <b/>
        <color rgb="FFFF0000"/>
        <sz val="12.0"/>
      </rPr>
      <t>h</t>
    </r>
    <r>
      <rPr>
        <rFont val="Verdana"/>
        <b/>
        <color rgb="FFFF0000"/>
        <sz val="12.0"/>
        <vertAlign val="subscript"/>
      </rPr>
      <t>1</t>
    </r>
    <r>
      <rPr>
        <rFont val="Verdana"/>
        <color theme="1"/>
        <sz val="12.0"/>
      </rPr>
      <t xml:space="preserve"> = h - 2*t - s</t>
    </r>
    <r>
      <rPr>
        <rFont val="Verdana"/>
        <color theme="1"/>
        <sz val="12.0"/>
        <vertAlign val="subscript"/>
      </rPr>
      <t>d</t>
    </r>
  </si>
  <si>
    <t>Area within center line of closed stirrups</t>
  </si>
  <si>
    <r>
      <rPr>
        <rFont val="Verdana"/>
        <b/>
        <color rgb="FFFF0000"/>
        <sz val="12.0"/>
      </rPr>
      <t>A</t>
    </r>
    <r>
      <rPr>
        <rFont val="Verdana"/>
        <b/>
        <color rgb="FFFF0000"/>
        <sz val="12.0"/>
        <vertAlign val="subscript"/>
      </rPr>
      <t>oh</t>
    </r>
    <r>
      <rPr>
        <rFont val="Verdana"/>
        <b/>
        <color rgb="FFFF0000"/>
        <sz val="12.0"/>
      </rPr>
      <t xml:space="preserve"> </t>
    </r>
    <r>
      <rPr>
        <rFont val="Verdana"/>
        <color theme="1"/>
        <sz val="12.0"/>
      </rPr>
      <t>= b</t>
    </r>
    <r>
      <rPr>
        <rFont val="Verdana"/>
        <color theme="1"/>
        <sz val="12.0"/>
        <vertAlign val="subscript"/>
      </rPr>
      <t>1</t>
    </r>
    <r>
      <rPr>
        <rFont val="Verdana"/>
        <color theme="1"/>
        <sz val="12.0"/>
      </rPr>
      <t xml:space="preserve"> * h</t>
    </r>
    <r>
      <rPr>
        <rFont val="Verdana"/>
        <color theme="1"/>
        <sz val="12.0"/>
        <vertAlign val="subscript"/>
      </rPr>
      <t>1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</si>
  <si>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</si>
  <si>
    <t>Perimeter within center line of closed stirrups</t>
  </si>
  <si>
    <r>
      <rPr>
        <rFont val="Verdana"/>
        <b/>
        <color rgb="FFFF0000"/>
        <sz val="12.0"/>
      </rPr>
      <t>P</t>
    </r>
    <r>
      <rPr>
        <rFont val="Verdana"/>
        <b/>
        <color rgb="FFFF0000"/>
        <sz val="12.0"/>
        <vertAlign val="subscript"/>
      </rPr>
      <t>h</t>
    </r>
    <r>
      <rPr>
        <rFont val="Verdana"/>
        <b/>
        <color rgb="FFFF0000"/>
        <sz val="12.0"/>
      </rPr>
      <t xml:space="preserve"> </t>
    </r>
    <r>
      <rPr>
        <rFont val="Verdana"/>
        <color theme="1"/>
        <sz val="12.0"/>
      </rPr>
      <t>= 2 * (b</t>
    </r>
    <r>
      <rPr>
        <rFont val="Verdana"/>
        <color theme="1"/>
        <sz val="12.0"/>
        <vertAlign val="subscript"/>
      </rPr>
      <t>1</t>
    </r>
    <r>
      <rPr>
        <rFont val="Verdana"/>
        <color theme="1"/>
        <sz val="12.0"/>
      </rPr>
      <t xml:space="preserve"> + h</t>
    </r>
    <r>
      <rPr>
        <rFont val="Verdana"/>
        <color theme="1"/>
        <sz val="12.0"/>
        <vertAlign val="subscript"/>
      </rPr>
      <t>1</t>
    </r>
    <r>
      <rPr>
        <rFont val="Verdana"/>
        <color theme="1"/>
        <sz val="12.0"/>
      </rPr>
      <t>)</t>
    </r>
  </si>
  <si>
    <t>2)</t>
  </si>
  <si>
    <t>Area of steel required for flexure</t>
  </si>
  <si>
    <t xml:space="preserve">Flexural resistance factor </t>
  </si>
  <si>
    <r>
      <rPr>
        <rFont val="Verdana"/>
        <b/>
        <color rgb="FFFF0000"/>
        <sz val="12.0"/>
      </rPr>
      <t>R</t>
    </r>
    <r>
      <rPr>
        <rFont val="Verdana"/>
        <color theme="1"/>
        <sz val="12.0"/>
      </rPr>
      <t xml:space="preserve"> = M</t>
    </r>
    <r>
      <rPr>
        <rFont val="Verdana"/>
        <color theme="1"/>
        <sz val="12.0"/>
        <vertAlign val="subscript"/>
      </rPr>
      <t xml:space="preserve">u </t>
    </r>
    <r>
      <rPr>
        <rFont val="Verdana"/>
        <color theme="1"/>
        <sz val="12.0"/>
      </rPr>
      <t xml:space="preserve">/ </t>
    </r>
    <r>
      <rPr>
        <rFont val="Calibri"/>
        <color theme="1"/>
        <sz val="12.0"/>
      </rPr>
      <t>φ</t>
    </r>
    <r>
      <rPr>
        <rFont val="Verdana"/>
        <color theme="1"/>
        <sz val="12.0"/>
      </rPr>
      <t>bd</t>
    </r>
    <r>
      <rPr>
        <rFont val="Verdana"/>
        <color theme="1"/>
        <sz val="12.0"/>
        <vertAlign val="superscript"/>
      </rPr>
      <t>2</t>
    </r>
  </si>
  <si>
    <r>
      <rPr>
        <rFont val="Verdana"/>
        <i/>
        <color theme="1"/>
        <sz val="12.0"/>
      </rPr>
      <t>N/mm</t>
    </r>
    <r>
      <rPr>
        <rFont val="Verdana"/>
        <i/>
        <color theme="1"/>
        <sz val="12.0"/>
        <vertAlign val="superscript"/>
      </rPr>
      <t>2</t>
    </r>
  </si>
  <si>
    <t>Required reinforcemnt ratio</t>
  </si>
  <si>
    <r>
      <rPr>
        <rFont val="Verdana"/>
        <color theme="1"/>
        <sz val="12.0"/>
      </rPr>
      <t xml:space="preserve">Finding </t>
    </r>
    <r>
      <rPr>
        <rFont val="Verdana"/>
        <b/>
        <color rgb="FFFF0000"/>
        <sz val="12.0"/>
      </rPr>
      <t>ρ</t>
    </r>
    <r>
      <rPr>
        <rFont val="Verdana"/>
        <color theme="1"/>
        <sz val="12.0"/>
      </rPr>
      <t xml:space="preserve"> using linear interpolation R = </t>
    </r>
    <r>
      <rPr>
        <rFont val="Calibri"/>
        <color theme="1"/>
        <sz val="12.0"/>
      </rPr>
      <t>ω</t>
    </r>
    <r>
      <rPr>
        <rFont val="Verdana"/>
        <color theme="1"/>
        <sz val="12.0"/>
      </rPr>
      <t>f'</t>
    </r>
    <r>
      <rPr>
        <rFont val="Verdana"/>
        <color theme="1"/>
        <sz val="12.0"/>
        <vertAlign val="subscript"/>
      </rPr>
      <t>c</t>
    </r>
    <r>
      <rPr>
        <rFont val="Verdana"/>
        <color theme="1"/>
        <sz val="12.0"/>
      </rPr>
      <t xml:space="preserve">(1-0.59ω) and ω = </t>
    </r>
    <r>
      <rPr>
        <rFont val="Verdana"/>
        <b/>
        <color rgb="FFFF0000"/>
        <sz val="12.0"/>
      </rPr>
      <t>ρ</t>
    </r>
    <r>
      <rPr>
        <rFont val="Verdana"/>
        <color theme="1"/>
        <sz val="12.0"/>
      </rPr>
      <t>f</t>
    </r>
    <r>
      <rPr>
        <rFont val="Verdana"/>
        <color theme="1"/>
        <sz val="12.0"/>
        <vertAlign val="subscript"/>
      </rPr>
      <t>y</t>
    </r>
    <r>
      <rPr>
        <rFont val="Verdana"/>
        <color theme="1"/>
        <sz val="12.0"/>
      </rPr>
      <t>/f'</t>
    </r>
    <r>
      <rPr>
        <rFont val="Verdana"/>
        <color theme="1"/>
        <sz val="12.0"/>
        <vertAlign val="subscript"/>
      </rPr>
      <t>c</t>
    </r>
  </si>
  <si>
    <t>Required Area of tension reinforcement</t>
  </si>
  <si>
    <r>
      <rPr>
        <rFont val="Verdana"/>
        <b/>
        <color rgb="FFFF0000"/>
        <sz val="12.0"/>
      </rPr>
      <t>A</t>
    </r>
    <r>
      <rPr>
        <rFont val="Verdana"/>
        <b/>
        <color rgb="FFFF0000"/>
        <sz val="12.0"/>
        <vertAlign val="subscript"/>
      </rPr>
      <t>s</t>
    </r>
    <r>
      <rPr>
        <rFont val="Verdana"/>
        <b/>
        <color rgb="FFFF0000"/>
        <sz val="12.0"/>
      </rPr>
      <t xml:space="preserve"> </t>
    </r>
    <r>
      <rPr>
        <rFont val="Verdana"/>
        <color theme="1"/>
        <sz val="12.0"/>
      </rPr>
      <t xml:space="preserve">=ρ*b*d 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</si>
  <si>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</si>
  <si>
    <t>3)</t>
  </si>
  <si>
    <t>Nominal moment carrying capacity of the section</t>
  </si>
  <si>
    <r>
      <rPr>
        <rFont val="Verdana"/>
        <b/>
        <color rgb="FFFF0000"/>
        <sz val="12.0"/>
      </rPr>
      <t>a</t>
    </r>
    <r>
      <rPr>
        <rFont val="Verdana"/>
        <color theme="1"/>
        <sz val="12.0"/>
      </rPr>
      <t xml:space="preserve"> = A</t>
    </r>
    <r>
      <rPr>
        <rFont val="Verdana"/>
        <color theme="1"/>
        <sz val="12.0"/>
        <vertAlign val="subscript"/>
      </rPr>
      <t>s</t>
    </r>
    <r>
      <rPr>
        <rFont val="Verdana"/>
        <color theme="1"/>
        <sz val="12.0"/>
      </rPr>
      <t>f</t>
    </r>
    <r>
      <rPr>
        <rFont val="Verdana"/>
        <color theme="1"/>
        <sz val="12.0"/>
        <vertAlign val="subscript"/>
      </rPr>
      <t>y</t>
    </r>
    <r>
      <rPr>
        <rFont val="Verdana"/>
        <color theme="1"/>
        <sz val="12.0"/>
      </rPr>
      <t>/ (0.85 f'</t>
    </r>
    <r>
      <rPr>
        <rFont val="Verdana"/>
        <color theme="1"/>
        <sz val="12.0"/>
        <vertAlign val="subscript"/>
      </rPr>
      <t>c</t>
    </r>
    <r>
      <rPr>
        <rFont val="Verdana"/>
        <color theme="1"/>
        <sz val="12.0"/>
      </rPr>
      <t xml:space="preserve"> b)</t>
    </r>
  </si>
  <si>
    <r>
      <rPr>
        <rFont val="Calibri"/>
        <color theme="1"/>
        <sz val="12.0"/>
      </rPr>
      <t>β</t>
    </r>
    <r>
      <rPr>
        <rFont val="Verdana"/>
        <color theme="1"/>
        <sz val="12.0"/>
        <vertAlign val="subscript"/>
      </rPr>
      <t xml:space="preserve">1 </t>
    </r>
    <r>
      <rPr>
        <rFont val="Verdana"/>
        <color theme="1"/>
        <sz val="12.0"/>
      </rPr>
      <t>= 1.09 - 0.008 f'</t>
    </r>
    <r>
      <rPr>
        <rFont val="Verdana"/>
        <color theme="1"/>
        <sz val="12.0"/>
        <vertAlign val="subscript"/>
      </rPr>
      <t>c</t>
    </r>
  </si>
  <si>
    <r>
      <rPr>
        <rFont val="Verdana"/>
        <b/>
        <color rgb="FFFF0000"/>
        <sz val="12.0"/>
      </rPr>
      <t>c</t>
    </r>
    <r>
      <rPr>
        <rFont val="Verdana"/>
        <color theme="1"/>
        <sz val="12.0"/>
      </rPr>
      <t xml:space="preserve"> = a</t>
    </r>
    <r>
      <rPr>
        <rFont val="Calibri"/>
        <color theme="1"/>
        <sz val="12.0"/>
      </rPr>
      <t>/ β</t>
    </r>
    <r>
      <rPr>
        <rFont val="Verdana"/>
        <color theme="1"/>
        <sz val="12.0"/>
        <vertAlign val="subscript"/>
      </rPr>
      <t xml:space="preserve">1 </t>
    </r>
  </si>
  <si>
    <r>
      <rPr>
        <rFont val="Calibri"/>
        <b/>
        <color rgb="FFFF0000"/>
        <sz val="12.0"/>
      </rPr>
      <t>ε</t>
    </r>
    <r>
      <rPr>
        <rFont val="Verdana"/>
        <b/>
        <color rgb="FFFF0000"/>
        <sz val="12.0"/>
      </rPr>
      <t>t</t>
    </r>
    <r>
      <rPr>
        <rFont val="Verdana"/>
        <color theme="1"/>
        <sz val="12.0"/>
      </rPr>
      <t xml:space="preserve"> = ((d-c)/c)*0.003</t>
    </r>
  </si>
  <si>
    <t>From ACI 318-02 Section 9.3.2.2</t>
  </si>
  <si>
    <t>Nominal moment carrying capacity</t>
  </si>
  <si>
    <r>
      <rPr>
        <rFont val="Verdana"/>
        <b/>
        <color rgb="FFFF0000"/>
        <sz val="12.0"/>
      </rPr>
      <t>ɸM</t>
    </r>
    <r>
      <rPr>
        <rFont val="Verdana"/>
        <b/>
        <color rgb="FFFF0000"/>
        <sz val="12.0"/>
        <vertAlign val="subscript"/>
      </rPr>
      <t>n</t>
    </r>
    <r>
      <rPr>
        <rFont val="Verdana"/>
        <color theme="1"/>
        <sz val="12.0"/>
      </rPr>
      <t xml:space="preserve"> = (ɸA</t>
    </r>
    <r>
      <rPr>
        <rFont val="Verdana"/>
        <color theme="1"/>
        <sz val="12.0"/>
        <vertAlign val="subscript"/>
      </rPr>
      <t>s</t>
    </r>
    <r>
      <rPr>
        <rFont val="Verdana"/>
        <color theme="1"/>
        <sz val="12.0"/>
      </rPr>
      <t xml:space="preserve"> f</t>
    </r>
    <r>
      <rPr>
        <rFont val="Verdana"/>
        <color theme="1"/>
        <sz val="12.0"/>
        <vertAlign val="subscript"/>
      </rPr>
      <t>y</t>
    </r>
    <r>
      <rPr>
        <rFont val="Verdana"/>
        <color theme="1"/>
        <sz val="12.0"/>
      </rPr>
      <t xml:space="preserve"> (d-a/2))</t>
    </r>
  </si>
  <si>
    <t>KN-m</t>
  </si>
  <si>
    <t>4)</t>
  </si>
  <si>
    <t>Should torsion be considered?</t>
  </si>
  <si>
    <t>Torsion threshold</t>
  </si>
  <si>
    <r>
      <rPr>
        <rFont val="Verdana"/>
        <b/>
        <color rgb="FFFF0000"/>
        <sz val="12.0"/>
      </rPr>
      <t>T</t>
    </r>
    <r>
      <rPr>
        <rFont val="Verdana"/>
        <b/>
        <color rgb="FFFF0000"/>
        <sz val="12.0"/>
        <vertAlign val="subscript"/>
      </rPr>
      <t>th</t>
    </r>
    <r>
      <rPr>
        <rFont val="Verdana"/>
        <color theme="1"/>
        <sz val="12.0"/>
      </rPr>
      <t xml:space="preserve"> = </t>
    </r>
    <r>
      <rPr>
        <rFont val="Calibri"/>
        <color theme="1"/>
        <sz val="12.0"/>
      </rPr>
      <t>φ (</t>
    </r>
    <r>
      <rPr>
        <rFont val="Verdana"/>
        <color theme="1"/>
        <sz val="12.0"/>
      </rPr>
      <t>sqrt(f'</t>
    </r>
    <r>
      <rPr>
        <rFont val="Verdana"/>
        <color theme="1"/>
        <sz val="12.0"/>
        <vertAlign val="subscript"/>
      </rPr>
      <t>c</t>
    </r>
    <r>
      <rPr>
        <rFont val="Verdana"/>
        <color theme="1"/>
        <sz val="12.0"/>
      </rPr>
      <t>)/12) * (A</t>
    </r>
    <r>
      <rPr>
        <rFont val="Verdana"/>
        <color theme="1"/>
        <sz val="12.0"/>
        <vertAlign val="subscript"/>
      </rPr>
      <t>cp</t>
    </r>
    <r>
      <rPr>
        <rFont val="Verdana"/>
        <color theme="1"/>
        <sz val="12.0"/>
        <vertAlign val="superscript"/>
      </rPr>
      <t>2</t>
    </r>
    <r>
      <rPr>
        <rFont val="Verdana"/>
        <color theme="1"/>
        <sz val="12.0"/>
      </rPr>
      <t>/P</t>
    </r>
    <r>
      <rPr>
        <rFont val="Verdana"/>
        <color theme="1"/>
        <sz val="12.0"/>
        <vertAlign val="subscript"/>
      </rPr>
      <t>cp</t>
    </r>
    <r>
      <rPr>
        <rFont val="Verdana"/>
        <color theme="1"/>
        <sz val="12.0"/>
      </rPr>
      <t xml:space="preserve">)  </t>
    </r>
  </si>
  <si>
    <t>From ACI code section 11.5.1</t>
  </si>
  <si>
    <t>5)</t>
  </si>
  <si>
    <t>Is section large enough to resist torsion</t>
  </si>
  <si>
    <r>
      <rPr>
        <rFont val="Verdana"/>
        <i/>
        <color theme="1"/>
        <sz val="12.0"/>
      </rPr>
      <t xml:space="preserve">From ACI code section 11.5.3.1(a) required to satisfy </t>
    </r>
    <r>
      <rPr>
        <rFont val="Verdana"/>
        <b/>
        <i/>
        <color theme="1"/>
        <sz val="12.0"/>
      </rPr>
      <t>sqrt((V</t>
    </r>
    <r>
      <rPr>
        <rFont val="Verdana"/>
        <b/>
        <i/>
        <color theme="1"/>
        <sz val="12.0"/>
        <vertAlign val="subscript"/>
      </rPr>
      <t>u</t>
    </r>
    <r>
      <rPr>
        <rFont val="Verdana"/>
        <b/>
        <i/>
        <color theme="1"/>
        <sz val="12.0"/>
      </rPr>
      <t>/b</t>
    </r>
    <r>
      <rPr>
        <rFont val="Verdana"/>
        <b/>
        <i/>
        <color theme="1"/>
        <sz val="12.0"/>
        <vertAlign val="subscript"/>
      </rPr>
      <t>w</t>
    </r>
    <r>
      <rPr>
        <rFont val="Verdana"/>
        <b/>
        <i/>
        <color theme="1"/>
        <sz val="12.0"/>
      </rPr>
      <t>d)</t>
    </r>
    <r>
      <rPr>
        <rFont val="Verdana"/>
        <b/>
        <i/>
        <color theme="1"/>
        <sz val="12.0"/>
        <vertAlign val="superscript"/>
      </rPr>
      <t>2</t>
    </r>
    <r>
      <rPr>
        <rFont val="Verdana"/>
        <b/>
        <i/>
        <color theme="1"/>
        <sz val="12.0"/>
      </rPr>
      <t>+(T</t>
    </r>
    <r>
      <rPr>
        <rFont val="Verdana"/>
        <b/>
        <i/>
        <color theme="1"/>
        <sz val="12.0"/>
        <vertAlign val="subscript"/>
      </rPr>
      <t>u</t>
    </r>
    <r>
      <rPr>
        <rFont val="Verdana"/>
        <b/>
        <i/>
        <color theme="1"/>
        <sz val="12.0"/>
      </rPr>
      <t>p</t>
    </r>
    <r>
      <rPr>
        <rFont val="Verdana"/>
        <b/>
        <i/>
        <color theme="1"/>
        <sz val="12.0"/>
        <vertAlign val="subscript"/>
      </rPr>
      <t>h</t>
    </r>
    <r>
      <rPr>
        <rFont val="Verdana"/>
        <b/>
        <i/>
        <color theme="1"/>
        <sz val="12.0"/>
      </rPr>
      <t>/1.7A</t>
    </r>
    <r>
      <rPr>
        <rFont val="Verdana"/>
        <b/>
        <i/>
        <color theme="1"/>
        <sz val="12.0"/>
        <vertAlign val="subscript"/>
      </rPr>
      <t>oh</t>
    </r>
    <r>
      <rPr>
        <rFont val="Verdana"/>
        <b/>
        <i/>
        <color theme="1"/>
        <sz val="12.0"/>
        <vertAlign val="superscript"/>
      </rPr>
      <t>2</t>
    </r>
    <r>
      <rPr>
        <rFont val="Verdana"/>
        <b/>
        <i/>
        <color theme="1"/>
        <sz val="12.0"/>
      </rPr>
      <t>)</t>
    </r>
    <r>
      <rPr>
        <rFont val="Verdana"/>
        <b/>
        <i/>
        <color theme="1"/>
        <sz val="12.0"/>
        <vertAlign val="superscript"/>
      </rPr>
      <t>2</t>
    </r>
    <r>
      <rPr>
        <rFont val="Verdana"/>
        <b/>
        <i/>
        <color theme="1"/>
        <sz val="12.0"/>
      </rPr>
      <t xml:space="preserve">) &lt;= </t>
    </r>
    <r>
      <rPr>
        <rFont val="Calibri"/>
        <b/>
        <i val="0"/>
        <color theme="1"/>
        <sz val="12.0"/>
      </rPr>
      <t>φ</t>
    </r>
    <r>
      <rPr>
        <rFont val="Verdana"/>
        <b/>
        <i/>
        <color theme="1"/>
        <sz val="12.0"/>
      </rPr>
      <t>(V</t>
    </r>
    <r>
      <rPr>
        <rFont val="Verdana"/>
        <b/>
        <i/>
        <color theme="1"/>
        <sz val="12.0"/>
        <vertAlign val="subscript"/>
      </rPr>
      <t>c</t>
    </r>
    <r>
      <rPr>
        <rFont val="Verdana"/>
        <b/>
        <i/>
        <color theme="1"/>
        <sz val="12.0"/>
      </rPr>
      <t>/b</t>
    </r>
    <r>
      <rPr>
        <rFont val="Verdana"/>
        <b/>
        <i/>
        <color theme="1"/>
        <sz val="12.0"/>
        <vertAlign val="subscript"/>
      </rPr>
      <t>w</t>
    </r>
    <r>
      <rPr>
        <rFont val="Verdana"/>
        <b/>
        <i/>
        <color theme="1"/>
        <sz val="12.0"/>
      </rPr>
      <t>d + 8sqrt(f'</t>
    </r>
    <r>
      <rPr>
        <rFont val="Verdana"/>
        <b/>
        <i/>
        <color theme="1"/>
        <sz val="12.0"/>
        <vertAlign val="subscript"/>
      </rPr>
      <t>c</t>
    </r>
    <r>
      <rPr>
        <rFont val="Verdana"/>
        <b/>
        <i/>
        <color theme="1"/>
        <sz val="12.0"/>
      </rPr>
      <t>))</t>
    </r>
  </si>
  <si>
    <r>
      <rPr>
        <rFont val="Verdana"/>
        <b/>
        <color rgb="FFFF0000"/>
        <sz val="12.0"/>
      </rPr>
      <t>V</t>
    </r>
    <r>
      <rPr>
        <rFont val="Verdana"/>
        <b/>
        <color rgb="FFFF0000"/>
        <sz val="12.0"/>
        <vertAlign val="subscript"/>
      </rPr>
      <t>c</t>
    </r>
    <r>
      <rPr>
        <rFont val="Verdana"/>
        <color theme="1"/>
        <sz val="12.0"/>
      </rPr>
      <t xml:space="preserve"> =(sqrt(f'</t>
    </r>
    <r>
      <rPr>
        <rFont val="Verdana"/>
        <color theme="1"/>
        <sz val="12.0"/>
        <vertAlign val="subscript"/>
      </rPr>
      <t>c</t>
    </r>
    <r>
      <rPr>
        <rFont val="Verdana"/>
        <color theme="1"/>
        <sz val="12.0"/>
      </rPr>
      <t>)/6)b</t>
    </r>
    <r>
      <rPr>
        <rFont val="Verdana"/>
        <color theme="1"/>
        <sz val="12.0"/>
        <vertAlign val="subscript"/>
      </rPr>
      <t>w</t>
    </r>
    <r>
      <rPr>
        <rFont val="Verdana"/>
        <color theme="1"/>
        <sz val="12.0"/>
      </rPr>
      <t>d</t>
    </r>
  </si>
  <si>
    <t>From ACI code section 11.2.1.1</t>
  </si>
  <si>
    <t>KN</t>
  </si>
  <si>
    <r>
      <rPr>
        <rFont val="Calibri"/>
        <i val="0"/>
        <color theme="1"/>
        <sz val="12.0"/>
      </rPr>
      <t>φ</t>
    </r>
    <r>
      <rPr>
        <rFont val="Verdana"/>
        <i/>
        <color theme="1"/>
        <sz val="12.0"/>
      </rPr>
      <t>(V</t>
    </r>
    <r>
      <rPr>
        <rFont val="Verdana"/>
        <i/>
        <color theme="1"/>
        <sz val="12.0"/>
        <vertAlign val="subscript"/>
      </rPr>
      <t>c</t>
    </r>
    <r>
      <rPr>
        <rFont val="Verdana"/>
        <i/>
        <color theme="1"/>
        <sz val="12.0"/>
      </rPr>
      <t>/b</t>
    </r>
    <r>
      <rPr>
        <rFont val="Verdana"/>
        <i/>
        <color theme="1"/>
        <sz val="12.0"/>
        <vertAlign val="subscript"/>
      </rPr>
      <t>w</t>
    </r>
    <r>
      <rPr>
        <rFont val="Verdana"/>
        <i/>
        <color theme="1"/>
        <sz val="12.0"/>
      </rPr>
      <t>d + (2/3)sqrt(f'</t>
    </r>
    <r>
      <rPr>
        <rFont val="Verdana"/>
        <i/>
        <color theme="1"/>
        <sz val="12.0"/>
        <vertAlign val="subscript"/>
      </rPr>
      <t>c</t>
    </r>
    <r>
      <rPr>
        <rFont val="Verdana"/>
        <i/>
        <color theme="1"/>
        <sz val="12.0"/>
      </rPr>
      <t>))</t>
    </r>
  </si>
  <si>
    <r>
      <rPr>
        <rFont val="Verdana"/>
        <i/>
        <color theme="1"/>
        <sz val="12.0"/>
      </rPr>
      <t>N/mm</t>
    </r>
    <r>
      <rPr>
        <rFont val="Verdana"/>
        <i/>
        <color theme="1"/>
        <sz val="12.0"/>
        <vertAlign val="superscript"/>
      </rPr>
      <t>2</t>
    </r>
  </si>
  <si>
    <r>
      <rPr>
        <rFont val="Verdana"/>
        <i/>
        <color theme="1"/>
        <sz val="12.0"/>
      </rPr>
      <t>sqrt((V</t>
    </r>
    <r>
      <rPr>
        <rFont val="Verdana"/>
        <i/>
        <color theme="1"/>
        <sz val="12.0"/>
        <vertAlign val="subscript"/>
      </rPr>
      <t>u</t>
    </r>
    <r>
      <rPr>
        <rFont val="Verdana"/>
        <i/>
        <color theme="1"/>
        <sz val="12.0"/>
      </rPr>
      <t>/b</t>
    </r>
    <r>
      <rPr>
        <rFont val="Verdana"/>
        <i/>
        <color theme="1"/>
        <sz val="12.0"/>
        <vertAlign val="subscript"/>
      </rPr>
      <t>w</t>
    </r>
    <r>
      <rPr>
        <rFont val="Verdana"/>
        <i/>
        <color theme="1"/>
        <sz val="12.0"/>
      </rPr>
      <t>d)</t>
    </r>
    <r>
      <rPr>
        <rFont val="Verdana"/>
        <i/>
        <color theme="1"/>
        <sz val="12.0"/>
        <vertAlign val="superscript"/>
      </rPr>
      <t>2</t>
    </r>
    <r>
      <rPr>
        <rFont val="Verdana"/>
        <i/>
        <color theme="1"/>
        <sz val="12.0"/>
      </rPr>
      <t>+(T</t>
    </r>
    <r>
      <rPr>
        <rFont val="Verdana"/>
        <i/>
        <color theme="1"/>
        <sz val="12.0"/>
        <vertAlign val="subscript"/>
      </rPr>
      <t>u</t>
    </r>
    <r>
      <rPr>
        <rFont val="Verdana"/>
        <i/>
        <color theme="1"/>
        <sz val="12.0"/>
      </rPr>
      <t>p</t>
    </r>
    <r>
      <rPr>
        <rFont val="Verdana"/>
        <i/>
        <color theme="1"/>
        <sz val="12.0"/>
        <vertAlign val="subscript"/>
      </rPr>
      <t>h</t>
    </r>
    <r>
      <rPr>
        <rFont val="Verdana"/>
        <i/>
        <color theme="1"/>
        <sz val="12.0"/>
      </rPr>
      <t>/1.7A</t>
    </r>
    <r>
      <rPr>
        <rFont val="Verdana"/>
        <i/>
        <color theme="1"/>
        <sz val="12.0"/>
        <vertAlign val="subscript"/>
      </rPr>
      <t>oh</t>
    </r>
    <r>
      <rPr>
        <rFont val="Verdana"/>
        <i/>
        <color theme="1"/>
        <sz val="12.0"/>
        <vertAlign val="superscript"/>
      </rPr>
      <t>2</t>
    </r>
    <r>
      <rPr>
        <rFont val="Verdana"/>
        <i/>
        <color theme="1"/>
        <sz val="12.0"/>
      </rPr>
      <t>)</t>
    </r>
    <r>
      <rPr>
        <rFont val="Verdana"/>
        <i/>
        <color theme="1"/>
        <sz val="12.0"/>
        <vertAlign val="superscript"/>
      </rPr>
      <t>2</t>
    </r>
    <r>
      <rPr>
        <rFont val="Verdana"/>
        <i/>
        <color theme="1"/>
        <sz val="12.0"/>
      </rPr>
      <t xml:space="preserve">) </t>
    </r>
  </si>
  <si>
    <r>
      <rPr>
        <rFont val="Verdana"/>
        <i/>
        <color theme="1"/>
        <sz val="12.0"/>
      </rPr>
      <t>N/mm</t>
    </r>
    <r>
      <rPr>
        <rFont val="Verdana"/>
        <i/>
        <color theme="1"/>
        <sz val="12.0"/>
        <vertAlign val="superscript"/>
      </rPr>
      <t>2</t>
    </r>
  </si>
  <si>
    <t>6)</t>
  </si>
  <si>
    <t>Stuirrup area required for shear</t>
  </si>
  <si>
    <r>
      <rPr>
        <rFont val="Verdana"/>
        <color theme="1"/>
        <sz val="12.0"/>
      </rPr>
      <t xml:space="preserve">The basic design eqn for the shear capacity of slender concrete beam is </t>
    </r>
    <r>
      <rPr>
        <rFont val="Verdana"/>
        <b/>
        <color theme="1"/>
        <sz val="12.0"/>
      </rPr>
      <t>V</t>
    </r>
    <r>
      <rPr>
        <rFont val="Verdana"/>
        <b/>
        <color theme="1"/>
        <sz val="12.0"/>
        <vertAlign val="subscript"/>
      </rPr>
      <t>u</t>
    </r>
    <r>
      <rPr>
        <rFont val="Verdana"/>
        <b/>
        <color theme="1"/>
        <sz val="12.0"/>
      </rPr>
      <t xml:space="preserve"> &lt; </t>
    </r>
    <r>
      <rPr>
        <rFont val="Calibri"/>
        <b/>
        <color theme="1"/>
        <sz val="12.0"/>
      </rPr>
      <t>φ</t>
    </r>
    <r>
      <rPr>
        <rFont val="Verdana"/>
        <b/>
        <color theme="1"/>
        <sz val="12.0"/>
      </rPr>
      <t xml:space="preserve"> (V</t>
    </r>
    <r>
      <rPr>
        <rFont val="Verdana"/>
        <b/>
        <color theme="1"/>
        <sz val="12.0"/>
        <vertAlign val="subscript"/>
      </rPr>
      <t>c</t>
    </r>
    <r>
      <rPr>
        <rFont val="Verdana"/>
        <b/>
        <color theme="1"/>
        <sz val="12.0"/>
      </rPr>
      <t xml:space="preserve"> + V</t>
    </r>
    <r>
      <rPr>
        <rFont val="Verdana"/>
        <b/>
        <color theme="1"/>
        <sz val="12.0"/>
        <vertAlign val="subscript"/>
      </rPr>
      <t>s</t>
    </r>
    <r>
      <rPr>
        <rFont val="Verdana"/>
        <b/>
        <color theme="1"/>
        <sz val="12.0"/>
      </rPr>
      <t>)</t>
    </r>
    <r>
      <rPr>
        <rFont val="Verdana"/>
        <color theme="1"/>
        <sz val="12.0"/>
      </rPr>
      <t xml:space="preserve"> From ACI Eq. 11-1, 11-2</t>
    </r>
  </si>
  <si>
    <r>
      <rPr>
        <rFont val="Verdana"/>
        <b/>
        <color rgb="FFFF0000"/>
        <sz val="12.0"/>
      </rPr>
      <t>V</t>
    </r>
    <r>
      <rPr>
        <rFont val="Verdana"/>
        <b/>
        <color rgb="FFFF0000"/>
        <sz val="12.0"/>
        <vertAlign val="subscript"/>
      </rPr>
      <t>c</t>
    </r>
  </si>
  <si>
    <t>From ACI code Eq. 11-3</t>
  </si>
  <si>
    <r>
      <rPr>
        <rFont val="Verdana"/>
        <b/>
        <color rgb="FFFF0000"/>
        <sz val="12.0"/>
      </rPr>
      <t>V</t>
    </r>
    <r>
      <rPr>
        <rFont val="Verdana"/>
        <b/>
        <color rgb="FFFF0000"/>
        <sz val="12.0"/>
        <vertAlign val="subscript"/>
      </rPr>
      <t>s</t>
    </r>
    <r>
      <rPr>
        <rFont val="Verdana"/>
        <color theme="1"/>
        <sz val="12.0"/>
      </rPr>
      <t xml:space="preserve"> &gt;= (V</t>
    </r>
    <r>
      <rPr>
        <rFont val="Verdana"/>
        <color theme="1"/>
        <sz val="12.0"/>
        <vertAlign val="subscript"/>
      </rPr>
      <t>u</t>
    </r>
    <r>
      <rPr>
        <rFont val="Verdana"/>
        <color theme="1"/>
        <sz val="12.0"/>
      </rPr>
      <t>/</t>
    </r>
    <r>
      <rPr>
        <rFont val="Calibri"/>
        <color theme="1"/>
        <sz val="12.0"/>
      </rPr>
      <t>φ</t>
    </r>
    <r>
      <rPr>
        <rFont val="Verdana"/>
        <color theme="1"/>
        <sz val="12.0"/>
      </rPr>
      <t>) - V</t>
    </r>
    <r>
      <rPr>
        <rFont val="Verdana"/>
        <color theme="1"/>
        <sz val="12.0"/>
        <vertAlign val="subscript"/>
      </rPr>
      <t>c</t>
    </r>
    <r>
      <rPr>
        <rFont val="Verdana"/>
        <color theme="1"/>
        <sz val="12.0"/>
      </rPr>
      <t xml:space="preserve"> </t>
    </r>
  </si>
  <si>
    <t>&gt;=</t>
  </si>
  <si>
    <r>
      <rPr>
        <rFont val="Verdana"/>
        <color theme="1"/>
        <sz val="12.0"/>
      </rPr>
      <t xml:space="preserve">The shear resisted by the stirrups is </t>
    </r>
    <r>
      <rPr>
        <rFont val="Verdana"/>
        <b/>
        <color theme="1"/>
        <sz val="12.0"/>
      </rPr>
      <t>A</t>
    </r>
    <r>
      <rPr>
        <rFont val="Verdana"/>
        <b/>
        <color theme="1"/>
        <sz val="12.0"/>
        <vertAlign val="subscript"/>
      </rPr>
      <t>v</t>
    </r>
    <r>
      <rPr>
        <rFont val="Verdana"/>
        <b/>
        <color theme="1"/>
        <sz val="12.0"/>
      </rPr>
      <t>/s = V</t>
    </r>
    <r>
      <rPr>
        <rFont val="Verdana"/>
        <b/>
        <color theme="1"/>
        <sz val="12.0"/>
        <vertAlign val="subscript"/>
      </rPr>
      <t>s</t>
    </r>
    <r>
      <rPr>
        <rFont val="Verdana"/>
        <b/>
        <color theme="1"/>
        <sz val="12.0"/>
      </rPr>
      <t>/f</t>
    </r>
    <r>
      <rPr>
        <rFont val="Verdana"/>
        <b/>
        <color theme="1"/>
        <sz val="12.0"/>
        <vertAlign val="subscript"/>
      </rPr>
      <t>yt</t>
    </r>
    <r>
      <rPr>
        <rFont val="Verdana"/>
        <b/>
        <color theme="1"/>
        <sz val="12.0"/>
      </rPr>
      <t xml:space="preserve">d </t>
    </r>
    <r>
      <rPr>
        <rFont val="Verdana"/>
        <color theme="1"/>
        <sz val="12.0"/>
      </rPr>
      <t>from ACI Eq. 11-15</t>
    </r>
  </si>
  <si>
    <r>
      <rPr>
        <rFont val="Verdana"/>
        <b/>
        <color rgb="FFFF0000"/>
        <sz val="12.0"/>
      </rPr>
      <t>A</t>
    </r>
    <r>
      <rPr>
        <rFont val="Verdana"/>
        <b/>
        <color rgb="FFFF0000"/>
        <sz val="12.0"/>
        <vertAlign val="subscript"/>
      </rPr>
      <t>v</t>
    </r>
    <r>
      <rPr>
        <rFont val="Verdana"/>
        <b/>
        <color rgb="FFFF0000"/>
        <sz val="12.0"/>
      </rPr>
      <t xml:space="preserve">/s </t>
    </r>
    <r>
      <rPr>
        <rFont val="Verdana"/>
        <b val="0"/>
        <color rgb="FFFF0000"/>
        <sz val="12.0"/>
      </rPr>
      <t>= V</t>
    </r>
    <r>
      <rPr>
        <rFont val="Verdana"/>
        <b val="0"/>
        <color rgb="FFFF0000"/>
        <sz val="12.0"/>
        <vertAlign val="subscript"/>
      </rPr>
      <t>s</t>
    </r>
    <r>
      <rPr>
        <rFont val="Verdana"/>
        <b val="0"/>
        <color rgb="FFFF0000"/>
        <sz val="12.0"/>
      </rPr>
      <t>/f</t>
    </r>
    <r>
      <rPr>
        <rFont val="Verdana"/>
        <b val="0"/>
        <color rgb="FFFF0000"/>
        <sz val="12.0"/>
        <vertAlign val="subscript"/>
      </rPr>
      <t>yt</t>
    </r>
    <r>
      <rPr>
        <rFont val="Verdana"/>
        <b val="0"/>
        <color rgb="FFFF0000"/>
        <sz val="12.0"/>
      </rPr>
      <t>d</t>
    </r>
    <r>
      <rPr>
        <rFont val="Verdana"/>
        <b/>
        <color rgb="FFFF0000"/>
        <sz val="12.0"/>
      </rPr>
      <t xml:space="preserve"> 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</si>
  <si>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  <r>
      <rPr>
        <rFont val="Verdana"/>
        <i/>
        <color theme="1"/>
        <sz val="12.0"/>
      </rPr>
      <t>/mm</t>
    </r>
  </si>
  <si>
    <t>ACI Code section 11.5.5.3 specifies the minimum shear reinforcemnt</t>
  </si>
  <si>
    <r>
      <rPr>
        <rFont val="Verdana"/>
        <b/>
        <color rgb="FFFF0000"/>
        <sz val="12.0"/>
      </rPr>
      <t>(A</t>
    </r>
    <r>
      <rPr>
        <rFont val="Verdana"/>
        <b/>
        <color rgb="FFFF0000"/>
        <sz val="12.0"/>
        <vertAlign val="subscript"/>
      </rPr>
      <t>v</t>
    </r>
    <r>
      <rPr>
        <rFont val="Verdana"/>
        <b/>
        <color rgb="FFFF0000"/>
        <sz val="12.0"/>
      </rPr>
      <t>/s)</t>
    </r>
    <r>
      <rPr>
        <rFont val="Verdana"/>
        <b/>
        <color rgb="FFFF0000"/>
        <sz val="12.0"/>
        <vertAlign val="subscript"/>
      </rPr>
      <t>min1</t>
    </r>
    <r>
      <rPr>
        <rFont val="Verdana"/>
        <b val="0"/>
        <color rgb="FFFF0000"/>
        <sz val="12.0"/>
      </rPr>
      <t xml:space="preserve"> = (1/16) sqrt(f'</t>
    </r>
    <r>
      <rPr>
        <rFont val="Verdana"/>
        <b val="0"/>
        <color rgb="FFFF0000"/>
        <sz val="12.0"/>
        <vertAlign val="subscript"/>
      </rPr>
      <t>c</t>
    </r>
    <r>
      <rPr>
        <rFont val="Verdana"/>
        <b val="0"/>
        <color rgb="FFFF0000"/>
        <sz val="12.0"/>
      </rPr>
      <t>)b</t>
    </r>
    <r>
      <rPr>
        <rFont val="Verdana"/>
        <b val="0"/>
        <color rgb="FFFF0000"/>
        <sz val="12.0"/>
        <vertAlign val="subscript"/>
      </rPr>
      <t>w</t>
    </r>
    <r>
      <rPr>
        <rFont val="Verdana"/>
        <b val="0"/>
        <color rgb="FFFF0000"/>
        <sz val="12.0"/>
      </rPr>
      <t>/f</t>
    </r>
    <r>
      <rPr>
        <rFont val="Verdana"/>
        <b val="0"/>
        <color rgb="FFFF0000"/>
        <sz val="12.0"/>
        <vertAlign val="subscript"/>
      </rPr>
      <t>y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</si>
  <si>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  <r>
      <rPr>
        <rFont val="Verdana"/>
        <i/>
        <color theme="1"/>
        <sz val="12.0"/>
      </rPr>
      <t>/mm</t>
    </r>
  </si>
  <si>
    <t>From ACI code Eq. 11-13</t>
  </si>
  <si>
    <r>
      <rPr>
        <rFont val="Verdana"/>
        <b/>
        <color rgb="FFFF0000"/>
        <sz val="12.0"/>
      </rPr>
      <t>(A</t>
    </r>
    <r>
      <rPr>
        <rFont val="Verdana"/>
        <b/>
        <color rgb="FFFF0000"/>
        <sz val="12.0"/>
        <vertAlign val="subscript"/>
      </rPr>
      <t>v</t>
    </r>
    <r>
      <rPr>
        <rFont val="Verdana"/>
        <b/>
        <color rgb="FFFF0000"/>
        <sz val="12.0"/>
      </rPr>
      <t>/s)</t>
    </r>
    <r>
      <rPr>
        <rFont val="Verdana"/>
        <b/>
        <color rgb="FFFF0000"/>
        <sz val="12.0"/>
        <vertAlign val="subscript"/>
      </rPr>
      <t xml:space="preserve">min2 </t>
    </r>
    <r>
      <rPr>
        <rFont val="Verdana"/>
        <b val="0"/>
        <color rgb="FFFF0000"/>
        <sz val="12.0"/>
      </rPr>
      <t>= b</t>
    </r>
    <r>
      <rPr>
        <rFont val="Verdana"/>
        <b val="0"/>
        <color rgb="FFFF0000"/>
        <sz val="12.0"/>
        <vertAlign val="subscript"/>
      </rPr>
      <t>w</t>
    </r>
    <r>
      <rPr>
        <rFont val="Verdana"/>
        <b val="0"/>
        <color rgb="FFFF0000"/>
        <sz val="12.0"/>
      </rPr>
      <t>/3*f</t>
    </r>
    <r>
      <rPr>
        <rFont val="Verdana"/>
        <b val="0"/>
        <color rgb="FFFF0000"/>
        <sz val="12.0"/>
        <vertAlign val="subscript"/>
      </rPr>
      <t>y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</si>
  <si>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  <r>
      <rPr>
        <rFont val="Verdana"/>
        <i/>
        <color theme="1"/>
        <sz val="12.0"/>
      </rPr>
      <t>/mm</t>
    </r>
  </si>
  <si>
    <r>
      <rPr>
        <rFont val="Verdana"/>
        <b/>
        <color rgb="FFFF0000"/>
        <sz val="12.0"/>
      </rPr>
      <t>(A</t>
    </r>
    <r>
      <rPr>
        <rFont val="Verdana"/>
        <b/>
        <color rgb="FFFF0000"/>
        <sz val="12.0"/>
        <vertAlign val="subscript"/>
      </rPr>
      <t>v</t>
    </r>
    <r>
      <rPr>
        <rFont val="Verdana"/>
        <b/>
        <color rgb="FFFF0000"/>
        <sz val="12.0"/>
      </rPr>
      <t>/s)</t>
    </r>
    <r>
      <rPr>
        <rFont val="Verdana"/>
        <b/>
        <color rgb="FFFF0000"/>
        <sz val="12.0"/>
        <vertAlign val="subscript"/>
      </rPr>
      <t xml:space="preserve">min </t>
    </r>
    <r>
      <rPr>
        <rFont val="Verdana"/>
        <b val="0"/>
        <color rgb="FFFF0000"/>
        <sz val="12.0"/>
      </rPr>
      <t>= Max((A</t>
    </r>
    <r>
      <rPr>
        <rFont val="Verdana"/>
        <b val="0"/>
        <color rgb="FFFF0000"/>
        <sz val="12.0"/>
        <vertAlign val="subscript"/>
      </rPr>
      <t>v</t>
    </r>
    <r>
      <rPr>
        <rFont val="Verdana"/>
        <b val="0"/>
        <color rgb="FFFF0000"/>
        <sz val="12.0"/>
      </rPr>
      <t>/s)</t>
    </r>
    <r>
      <rPr>
        <rFont val="Verdana"/>
        <b val="0"/>
        <color rgb="FFFF0000"/>
        <sz val="12.0"/>
        <vertAlign val="subscript"/>
      </rPr>
      <t>min1</t>
    </r>
    <r>
      <rPr>
        <rFont val="Verdana"/>
        <b val="0"/>
        <color rgb="FFFF0000"/>
        <sz val="12.0"/>
      </rPr>
      <t>,(A</t>
    </r>
    <r>
      <rPr>
        <rFont val="Verdana"/>
        <b val="0"/>
        <color rgb="FFFF0000"/>
        <sz val="12.0"/>
        <vertAlign val="subscript"/>
      </rPr>
      <t>v</t>
    </r>
    <r>
      <rPr>
        <rFont val="Verdana"/>
        <b val="0"/>
        <color rgb="FFFF0000"/>
        <sz val="12.0"/>
      </rPr>
      <t>/s)</t>
    </r>
    <r>
      <rPr>
        <rFont val="Verdana"/>
        <b val="0"/>
        <color rgb="FFFF0000"/>
        <sz val="12.0"/>
        <vertAlign val="subscript"/>
      </rPr>
      <t>min2</t>
    </r>
    <r>
      <rPr>
        <rFont val="Verdana"/>
        <b val="0"/>
        <color rgb="FFFF0000"/>
        <sz val="12.0"/>
      </rPr>
      <t>)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</si>
  <si>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  <r>
      <rPr>
        <rFont val="Verdana"/>
        <i/>
        <color theme="1"/>
        <sz val="12.0"/>
      </rPr>
      <t>/mm</t>
    </r>
  </si>
  <si>
    <r>
      <rPr>
        <rFont val="Verdana"/>
        <color theme="1"/>
        <sz val="12.0"/>
      </rPr>
      <t xml:space="preserve">Provide stirrup </t>
    </r>
    <r>
      <rPr>
        <rFont val="Verdana"/>
        <b/>
        <color rgb="FFFF0000"/>
        <sz val="12.0"/>
      </rPr>
      <t>A</t>
    </r>
    <r>
      <rPr>
        <rFont val="Verdana"/>
        <b/>
        <color rgb="FFFF0000"/>
        <sz val="12.0"/>
        <vertAlign val="subscript"/>
      </rPr>
      <t>v</t>
    </r>
    <r>
      <rPr>
        <rFont val="Verdana"/>
        <b/>
        <color rgb="FFFF0000"/>
        <sz val="12.0"/>
      </rPr>
      <t>/s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</si>
  <si>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  <r>
      <rPr>
        <rFont val="Verdana"/>
        <i/>
        <color theme="1"/>
        <sz val="12.0"/>
      </rPr>
      <t>/mm</t>
    </r>
  </si>
  <si>
    <t>7)</t>
  </si>
  <si>
    <t>Stuirrup area required for torsion</t>
  </si>
  <si>
    <r>
      <rPr>
        <rFont val="Verdana"/>
        <color theme="1"/>
        <sz val="12.0"/>
      </rPr>
      <t xml:space="preserve">The basic design eqn for torsion capacity is </t>
    </r>
    <r>
      <rPr>
        <rFont val="Calibri"/>
        <b/>
        <color theme="1"/>
        <sz val="12.0"/>
      </rPr>
      <t xml:space="preserve">φ </t>
    </r>
    <r>
      <rPr>
        <rFont val="Verdana"/>
        <b/>
        <color theme="1"/>
        <sz val="12.0"/>
      </rPr>
      <t>T</t>
    </r>
    <r>
      <rPr>
        <rFont val="Verdana"/>
        <b/>
        <color theme="1"/>
        <sz val="12.0"/>
        <vertAlign val="subscript"/>
      </rPr>
      <t xml:space="preserve">n </t>
    </r>
    <r>
      <rPr>
        <rFont val="Verdana"/>
        <b/>
        <color theme="1"/>
        <sz val="12.0"/>
      </rPr>
      <t>&gt;= T</t>
    </r>
    <r>
      <rPr>
        <rFont val="Verdana"/>
        <b/>
        <color theme="1"/>
        <sz val="12.0"/>
        <vertAlign val="subscript"/>
      </rPr>
      <t>u</t>
    </r>
    <r>
      <rPr>
        <rFont val="Verdana"/>
        <b/>
        <color theme="1"/>
        <sz val="12.0"/>
      </rPr>
      <t xml:space="preserve"> </t>
    </r>
    <r>
      <rPr>
        <rFont val="Verdana"/>
        <color theme="1"/>
        <sz val="12.0"/>
      </rPr>
      <t xml:space="preserve"> From ACI Eq. 11-20</t>
    </r>
  </si>
  <si>
    <r>
      <rPr>
        <rFont val="Verdana"/>
        <b/>
        <color rgb="FFFF0000"/>
        <sz val="12.0"/>
      </rPr>
      <t>T</t>
    </r>
    <r>
      <rPr>
        <rFont val="Verdana"/>
        <b/>
        <color rgb="FFFF0000"/>
        <sz val="12.0"/>
        <vertAlign val="subscript"/>
      </rPr>
      <t>n</t>
    </r>
    <r>
      <rPr>
        <rFont val="Verdana"/>
        <color theme="1"/>
        <sz val="12.0"/>
        <vertAlign val="subscript"/>
      </rPr>
      <t xml:space="preserve"> </t>
    </r>
    <r>
      <rPr>
        <rFont val="Verdana"/>
        <color theme="1"/>
        <sz val="12.0"/>
      </rPr>
      <t>&gt;= T</t>
    </r>
    <r>
      <rPr>
        <rFont val="Verdana"/>
        <color theme="1"/>
        <sz val="12.0"/>
        <vertAlign val="subscript"/>
      </rPr>
      <t>u</t>
    </r>
    <r>
      <rPr>
        <rFont val="Verdana"/>
        <color theme="1"/>
        <sz val="12.0"/>
      </rPr>
      <t xml:space="preserve"> / </t>
    </r>
    <r>
      <rPr>
        <rFont val="Calibri"/>
        <color theme="1"/>
        <sz val="12.0"/>
      </rPr>
      <t>φ</t>
    </r>
    <r>
      <rPr>
        <rFont val="Verdana"/>
        <color theme="1"/>
        <sz val="12.0"/>
      </rPr>
      <t xml:space="preserve"> </t>
    </r>
  </si>
  <si>
    <r>
      <rPr>
        <rFont val="Verdana"/>
        <b val="0"/>
        <i/>
        <color theme="1"/>
        <sz val="12.0"/>
      </rPr>
      <t>The equation of nominal torsion capcity is</t>
    </r>
    <r>
      <rPr>
        <rFont val="Verdana"/>
        <b/>
        <i/>
        <color theme="1"/>
        <sz val="12.0"/>
      </rPr>
      <t xml:space="preserve"> A</t>
    </r>
    <r>
      <rPr>
        <rFont val="Verdana"/>
        <b/>
        <i/>
        <color theme="1"/>
        <sz val="12.0"/>
        <vertAlign val="subscript"/>
      </rPr>
      <t>t</t>
    </r>
    <r>
      <rPr>
        <rFont val="Verdana"/>
        <b/>
        <i/>
        <color theme="1"/>
        <sz val="12.0"/>
      </rPr>
      <t>/s = (T</t>
    </r>
    <r>
      <rPr>
        <rFont val="Verdana"/>
        <b/>
        <i/>
        <color theme="1"/>
        <sz val="12.0"/>
        <vertAlign val="subscript"/>
      </rPr>
      <t>n</t>
    </r>
    <r>
      <rPr>
        <rFont val="Verdana"/>
        <b/>
        <i/>
        <color theme="1"/>
        <sz val="12.0"/>
      </rPr>
      <t>/2A</t>
    </r>
    <r>
      <rPr>
        <rFont val="Verdana"/>
        <b/>
        <i/>
        <color theme="1"/>
        <sz val="12.0"/>
        <vertAlign val="subscript"/>
      </rPr>
      <t>o</t>
    </r>
    <r>
      <rPr>
        <rFont val="Verdana"/>
        <b/>
        <i/>
        <color theme="1"/>
        <sz val="12.0"/>
      </rPr>
      <t>f</t>
    </r>
    <r>
      <rPr>
        <rFont val="Verdana"/>
        <b/>
        <i/>
        <color theme="1"/>
        <sz val="12.0"/>
        <vertAlign val="subscript"/>
      </rPr>
      <t>yt</t>
    </r>
    <r>
      <rPr>
        <rFont val="Verdana"/>
        <b/>
        <i/>
        <color theme="1"/>
        <sz val="12.0"/>
      </rPr>
      <t>)cot</t>
    </r>
    <r>
      <rPr>
        <rFont val="Calibri"/>
        <b/>
        <i val="0"/>
        <color theme="1"/>
        <sz val="12.0"/>
      </rPr>
      <t xml:space="preserve">θ </t>
    </r>
    <r>
      <rPr>
        <rFont val="Verdana"/>
        <b val="0"/>
        <i val="0"/>
        <color theme="1"/>
        <sz val="12.0"/>
      </rPr>
      <t>From ACI Eq. 11-21</t>
    </r>
  </si>
  <si>
    <r>
      <rPr>
        <rFont val="Verdana"/>
        <b/>
        <color rgb="FFFF0000"/>
        <sz val="12.0"/>
      </rPr>
      <t>A</t>
    </r>
    <r>
      <rPr>
        <rFont val="Verdana"/>
        <b/>
        <color rgb="FFFF0000"/>
        <sz val="12.0"/>
        <vertAlign val="subscript"/>
      </rPr>
      <t>o</t>
    </r>
    <r>
      <rPr>
        <rFont val="Verdana"/>
        <color theme="1"/>
        <sz val="12.0"/>
      </rPr>
      <t xml:space="preserve"> = 0.85 A</t>
    </r>
    <r>
      <rPr>
        <rFont val="Verdana"/>
        <color theme="1"/>
        <sz val="12.0"/>
        <vertAlign val="subscript"/>
      </rPr>
      <t>oh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</si>
  <si>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</si>
  <si>
    <t>From ACI code section 11.5.3.6</t>
  </si>
  <si>
    <t xml:space="preserve">ACI Code section 11.5.3.6 suggest taking θ = 45 deg </t>
  </si>
  <si>
    <r>
      <rPr>
        <rFont val="Verdana"/>
        <b/>
        <i/>
        <color rgb="FFFF0000"/>
        <sz val="12.0"/>
      </rPr>
      <t>A</t>
    </r>
    <r>
      <rPr>
        <rFont val="Verdana"/>
        <b/>
        <i/>
        <color rgb="FFFF0000"/>
        <sz val="12.0"/>
        <vertAlign val="subscript"/>
      </rPr>
      <t>t</t>
    </r>
    <r>
      <rPr>
        <rFont val="Verdana"/>
        <b/>
        <i/>
        <color rgb="FFFF0000"/>
        <sz val="12.0"/>
      </rPr>
      <t xml:space="preserve">/s </t>
    </r>
    <r>
      <rPr>
        <rFont val="Verdana"/>
        <i/>
        <color theme="1"/>
        <sz val="12.0"/>
      </rPr>
      <t>= (T</t>
    </r>
    <r>
      <rPr>
        <rFont val="Verdana"/>
        <i/>
        <color theme="1"/>
        <sz val="12.0"/>
        <vertAlign val="subscript"/>
      </rPr>
      <t>n</t>
    </r>
    <r>
      <rPr>
        <rFont val="Verdana"/>
        <i/>
        <color theme="1"/>
        <sz val="12.0"/>
      </rPr>
      <t>/2A</t>
    </r>
    <r>
      <rPr>
        <rFont val="Verdana"/>
        <i/>
        <color theme="1"/>
        <sz val="12.0"/>
        <vertAlign val="subscript"/>
      </rPr>
      <t>o</t>
    </r>
    <r>
      <rPr>
        <rFont val="Verdana"/>
        <i/>
        <color theme="1"/>
        <sz val="12.0"/>
      </rPr>
      <t>f</t>
    </r>
    <r>
      <rPr>
        <rFont val="Verdana"/>
        <i/>
        <color theme="1"/>
        <sz val="12.0"/>
        <vertAlign val="subscript"/>
      </rPr>
      <t>yt</t>
    </r>
    <r>
      <rPr>
        <rFont val="Verdana"/>
        <i/>
        <color theme="1"/>
        <sz val="12.0"/>
      </rPr>
      <t>)</t>
    </r>
    <r>
      <rPr>
        <rFont val="Verdana"/>
        <b/>
        <i/>
        <color rgb="FFFF0000"/>
        <sz val="12.0"/>
      </rPr>
      <t xml:space="preserve"> 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</si>
  <si>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  <r>
      <rPr>
        <rFont val="Verdana"/>
        <i/>
        <color theme="1"/>
        <sz val="12.0"/>
      </rPr>
      <t>/mm</t>
    </r>
  </si>
  <si>
    <t>8)</t>
  </si>
  <si>
    <t>Add the stirrup area from shear and torsion</t>
  </si>
  <si>
    <r>
      <rPr>
        <rFont val="Verdana"/>
        <b/>
        <color rgb="FFFF0000"/>
        <sz val="12.0"/>
      </rPr>
      <t>A</t>
    </r>
    <r>
      <rPr>
        <rFont val="Verdana"/>
        <b/>
        <color rgb="FFFF0000"/>
        <sz val="12.0"/>
        <vertAlign val="subscript"/>
      </rPr>
      <t>v+t</t>
    </r>
    <r>
      <rPr>
        <rFont val="Verdana"/>
        <b/>
        <color rgb="FFFF0000"/>
        <sz val="12.0"/>
      </rPr>
      <t>/s</t>
    </r>
    <r>
      <rPr>
        <rFont val="Verdana"/>
        <color theme="1"/>
        <sz val="12.0"/>
      </rPr>
      <t xml:space="preserve"> = A</t>
    </r>
    <r>
      <rPr>
        <rFont val="Verdana"/>
        <color theme="1"/>
        <sz val="12.0"/>
        <vertAlign val="subscript"/>
      </rPr>
      <t>v</t>
    </r>
    <r>
      <rPr>
        <rFont val="Verdana"/>
        <color theme="1"/>
        <sz val="12.0"/>
      </rPr>
      <t>/s + 2A</t>
    </r>
    <r>
      <rPr>
        <rFont val="Verdana"/>
        <color theme="1"/>
        <sz val="12.0"/>
        <vertAlign val="subscript"/>
      </rPr>
      <t>t</t>
    </r>
    <r>
      <rPr>
        <rFont val="Verdana"/>
        <color theme="1"/>
        <sz val="12.0"/>
      </rPr>
      <t>/s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</si>
  <si>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  <r>
      <rPr>
        <rFont val="Verdana"/>
        <i/>
        <color theme="1"/>
        <sz val="12.0"/>
      </rPr>
      <t>/mm</t>
    </r>
  </si>
  <si>
    <t>From ACI code section 11.5.3.8</t>
  </si>
  <si>
    <t>ACI Code section 11.5.5.2 specifies the minimum area of closed stirrups</t>
  </si>
  <si>
    <r>
      <rPr>
        <rFont val="Verdana"/>
        <b/>
        <color rgb="FFFF0000"/>
        <sz val="12.0"/>
      </rPr>
      <t>(A</t>
    </r>
    <r>
      <rPr>
        <rFont val="Verdana"/>
        <b/>
        <color rgb="FFFF0000"/>
        <sz val="12.0"/>
        <vertAlign val="subscript"/>
      </rPr>
      <t>v+t</t>
    </r>
    <r>
      <rPr>
        <rFont val="Verdana"/>
        <b/>
        <color rgb="FFFF0000"/>
        <sz val="12.0"/>
      </rPr>
      <t>/s)</t>
    </r>
    <r>
      <rPr>
        <rFont val="Verdana"/>
        <b/>
        <color rgb="FFFF0000"/>
        <sz val="12.0"/>
        <vertAlign val="subscript"/>
      </rPr>
      <t>min1</t>
    </r>
    <r>
      <rPr>
        <rFont val="Verdana"/>
        <color theme="1"/>
        <sz val="12.0"/>
      </rPr>
      <t xml:space="preserve"> = (1/16)*sqrt(f'</t>
    </r>
    <r>
      <rPr>
        <rFont val="Verdana"/>
        <color theme="1"/>
        <sz val="12.0"/>
        <vertAlign val="subscript"/>
      </rPr>
      <t>c</t>
    </r>
    <r>
      <rPr>
        <rFont val="Verdana"/>
        <color theme="1"/>
        <sz val="12.0"/>
      </rPr>
      <t>)*(b</t>
    </r>
    <r>
      <rPr>
        <rFont val="Verdana"/>
        <color theme="1"/>
        <sz val="12.0"/>
        <vertAlign val="subscript"/>
      </rPr>
      <t>w</t>
    </r>
    <r>
      <rPr>
        <rFont val="Verdana"/>
        <color theme="1"/>
        <sz val="12.0"/>
      </rPr>
      <t>/f</t>
    </r>
    <r>
      <rPr>
        <rFont val="Verdana"/>
        <color theme="1"/>
        <sz val="12.0"/>
        <vertAlign val="subscript"/>
      </rPr>
      <t>yt</t>
    </r>
    <r>
      <rPr>
        <rFont val="Verdana"/>
        <color theme="1"/>
        <sz val="12.0"/>
      </rPr>
      <t>)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</si>
  <si>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  <r>
      <rPr>
        <rFont val="Verdana"/>
        <i/>
        <color theme="1"/>
        <sz val="12.0"/>
      </rPr>
      <t>/mm</t>
    </r>
  </si>
  <si>
    <t>From ACI Eq 11-23</t>
  </si>
  <si>
    <r>
      <rPr>
        <rFont val="Verdana"/>
        <b/>
        <color rgb="FFFF0000"/>
        <sz val="12.0"/>
      </rPr>
      <t>(A</t>
    </r>
    <r>
      <rPr>
        <rFont val="Verdana"/>
        <b/>
        <color rgb="FFFF0000"/>
        <sz val="12.0"/>
        <vertAlign val="subscript"/>
      </rPr>
      <t>v+t</t>
    </r>
    <r>
      <rPr>
        <rFont val="Verdana"/>
        <b/>
        <color rgb="FFFF0000"/>
        <sz val="12.0"/>
      </rPr>
      <t>/s)</t>
    </r>
    <r>
      <rPr>
        <rFont val="Verdana"/>
        <b/>
        <color rgb="FFFF0000"/>
        <sz val="12.0"/>
        <vertAlign val="subscript"/>
      </rPr>
      <t>min2</t>
    </r>
    <r>
      <rPr>
        <rFont val="Verdana"/>
        <color theme="1"/>
        <sz val="12.0"/>
      </rPr>
      <t xml:space="preserve"> = b</t>
    </r>
    <r>
      <rPr>
        <rFont val="Verdana"/>
        <color theme="1"/>
        <sz val="12.0"/>
        <vertAlign val="subscript"/>
      </rPr>
      <t>w</t>
    </r>
    <r>
      <rPr>
        <rFont val="Verdana"/>
        <color theme="1"/>
        <sz val="12.0"/>
      </rPr>
      <t>/3f</t>
    </r>
    <r>
      <rPr>
        <rFont val="Verdana"/>
        <color theme="1"/>
        <sz val="12.0"/>
        <vertAlign val="subscript"/>
      </rPr>
      <t>yt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</si>
  <si>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  <r>
      <rPr>
        <rFont val="Verdana"/>
        <i/>
        <color theme="1"/>
        <sz val="12.0"/>
      </rPr>
      <t>/mm</t>
    </r>
  </si>
  <si>
    <r>
      <rPr>
        <rFont val="Verdana"/>
        <b/>
        <color rgb="FFFF0000"/>
        <sz val="12.0"/>
      </rPr>
      <t>(A</t>
    </r>
    <r>
      <rPr>
        <rFont val="Verdana"/>
        <b/>
        <color rgb="FFFF0000"/>
        <sz val="12.0"/>
        <vertAlign val="subscript"/>
      </rPr>
      <t>v+t</t>
    </r>
    <r>
      <rPr>
        <rFont val="Verdana"/>
        <b/>
        <color rgb="FFFF0000"/>
        <sz val="12.0"/>
      </rPr>
      <t>/s)</t>
    </r>
    <r>
      <rPr>
        <rFont val="Verdana"/>
        <b/>
        <color rgb="FFFF0000"/>
        <sz val="12.0"/>
        <vertAlign val="subscript"/>
      </rPr>
      <t>min</t>
    </r>
    <r>
      <rPr>
        <rFont val="Verdana"/>
        <color theme="1"/>
        <sz val="12.0"/>
      </rPr>
      <t xml:space="preserve"> =max((A</t>
    </r>
    <r>
      <rPr>
        <rFont val="Verdana"/>
        <color theme="1"/>
        <sz val="12.0"/>
        <vertAlign val="subscript"/>
      </rPr>
      <t>v+t</t>
    </r>
    <r>
      <rPr>
        <rFont val="Verdana"/>
        <color theme="1"/>
        <sz val="12.0"/>
      </rPr>
      <t>/s)</t>
    </r>
    <r>
      <rPr>
        <rFont val="Verdana"/>
        <color theme="1"/>
        <sz val="12.0"/>
        <vertAlign val="subscript"/>
      </rPr>
      <t>min1</t>
    </r>
    <r>
      <rPr>
        <rFont val="Verdana"/>
        <color theme="1"/>
        <sz val="12.0"/>
      </rPr>
      <t>,(A</t>
    </r>
    <r>
      <rPr>
        <rFont val="Verdana"/>
        <color theme="1"/>
        <sz val="12.0"/>
        <vertAlign val="subscript"/>
      </rPr>
      <t>v+t</t>
    </r>
    <r>
      <rPr>
        <rFont val="Verdana"/>
        <color theme="1"/>
        <sz val="12.0"/>
      </rPr>
      <t>/s)</t>
    </r>
    <r>
      <rPr>
        <rFont val="Verdana"/>
        <color theme="1"/>
        <sz val="12.0"/>
        <vertAlign val="subscript"/>
      </rPr>
      <t>min2</t>
    </r>
    <r>
      <rPr>
        <rFont val="Verdana"/>
        <color theme="1"/>
        <sz val="12.0"/>
      </rPr>
      <t>)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</si>
  <si>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  <r>
      <rPr>
        <rFont val="Verdana"/>
        <i/>
        <color theme="1"/>
        <sz val="12.0"/>
      </rPr>
      <t>/mm</t>
    </r>
  </si>
  <si>
    <r>
      <rPr>
        <rFont val="Verdana"/>
        <color theme="1"/>
        <sz val="12.0"/>
      </rPr>
      <t xml:space="preserve">Provide stirrup </t>
    </r>
    <r>
      <rPr>
        <rFont val="Verdana"/>
        <b/>
        <color rgb="FFFF0000"/>
        <sz val="12.0"/>
      </rPr>
      <t>A</t>
    </r>
    <r>
      <rPr>
        <rFont val="Verdana"/>
        <b/>
        <color rgb="FFFF0000"/>
        <sz val="12.0"/>
        <vertAlign val="subscript"/>
      </rPr>
      <t>v+t</t>
    </r>
    <r>
      <rPr>
        <rFont val="Verdana"/>
        <b/>
        <color rgb="FFFF0000"/>
        <sz val="12.0"/>
      </rPr>
      <t>/s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</si>
  <si>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  <r>
      <rPr>
        <rFont val="Verdana"/>
        <i/>
        <color theme="1"/>
        <sz val="12.0"/>
      </rPr>
      <t>/mm</t>
    </r>
  </si>
  <si>
    <r>
      <rPr>
        <rFont val="Verdana"/>
        <color theme="1"/>
        <sz val="12.0"/>
      </rPr>
      <t>A</t>
    </r>
    <r>
      <rPr>
        <rFont val="Verdana"/>
        <color theme="1"/>
        <sz val="12.0"/>
        <vertAlign val="subscript"/>
      </rPr>
      <t>v+t</t>
    </r>
    <r>
      <rPr>
        <rFont val="Verdana"/>
        <color theme="1"/>
        <sz val="12.0"/>
      </rPr>
      <t xml:space="preserve"> = 2 * pi() s</t>
    </r>
    <r>
      <rPr>
        <rFont val="Verdana"/>
        <color theme="1"/>
        <sz val="12.0"/>
        <vertAlign val="subscript"/>
      </rPr>
      <t>d</t>
    </r>
    <r>
      <rPr>
        <rFont val="Verdana"/>
        <color theme="1"/>
        <sz val="12.0"/>
        <vertAlign val="superscript"/>
      </rPr>
      <t>2</t>
    </r>
    <r>
      <rPr>
        <rFont val="Verdana"/>
        <color theme="1"/>
        <sz val="12.0"/>
      </rPr>
      <t>/4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</si>
  <si>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</si>
  <si>
    <t>From the diameter of Stirrup given, the spacing required is</t>
  </si>
  <si>
    <t>s</t>
  </si>
  <si>
    <t>Spacing requirement from ACI Section 11.5.4.3</t>
  </si>
  <si>
    <r>
      <rPr>
        <rFont val="Verdana"/>
        <color theme="1"/>
        <sz val="12.0"/>
      </rPr>
      <t>S</t>
    </r>
    <r>
      <rPr>
        <rFont val="Verdana"/>
        <color theme="1"/>
        <sz val="12.0"/>
        <vertAlign val="subscript"/>
      </rPr>
      <t>max1</t>
    </r>
    <r>
      <rPr>
        <rFont val="Verdana"/>
        <color theme="1"/>
        <sz val="12.0"/>
      </rPr>
      <t xml:space="preserve"> = 0.5*d</t>
    </r>
  </si>
  <si>
    <r>
      <rPr>
        <rFont val="Verdana"/>
        <color theme="1"/>
        <sz val="12.0"/>
      </rPr>
      <t>s</t>
    </r>
    <r>
      <rPr>
        <rFont val="Verdana"/>
        <color theme="1"/>
        <sz val="12.0"/>
        <vertAlign val="subscript"/>
      </rPr>
      <t>max2</t>
    </r>
  </si>
  <si>
    <t>For the assumed diameter of stirrup, provide s</t>
  </si>
  <si>
    <t>Stirrup spacing provided</t>
  </si>
  <si>
    <t>&lt;- Update the actual stirrup spacing</t>
  </si>
  <si>
    <t>9)</t>
  </si>
  <si>
    <t>Area of Longitudinal reinforcement for torsion</t>
  </si>
  <si>
    <r>
      <rPr>
        <rFont val="Verdana"/>
        <b/>
        <color rgb="FFFF0000"/>
        <sz val="12.0"/>
      </rPr>
      <t>A</t>
    </r>
    <r>
      <rPr>
        <rFont val="Verdana"/>
        <b/>
        <color rgb="FFFF0000"/>
        <sz val="12.0"/>
        <vertAlign val="subscript"/>
      </rPr>
      <t>l</t>
    </r>
    <r>
      <rPr>
        <rFont val="Verdana"/>
        <color theme="1"/>
        <sz val="12.0"/>
      </rPr>
      <t xml:space="preserve"> =(A</t>
    </r>
    <r>
      <rPr>
        <rFont val="Verdana"/>
        <color theme="1"/>
        <sz val="12.0"/>
        <vertAlign val="subscript"/>
      </rPr>
      <t>t</t>
    </r>
    <r>
      <rPr>
        <rFont val="Verdana"/>
        <color theme="1"/>
        <sz val="12.0"/>
      </rPr>
      <t>/s) p</t>
    </r>
    <r>
      <rPr>
        <rFont val="Verdana"/>
        <color theme="1"/>
        <sz val="12.0"/>
        <vertAlign val="subscript"/>
      </rPr>
      <t>h</t>
    </r>
    <r>
      <rPr>
        <rFont val="Verdana"/>
        <color theme="1"/>
        <sz val="12.0"/>
      </rPr>
      <t>(f</t>
    </r>
    <r>
      <rPr>
        <rFont val="Verdana"/>
        <color theme="1"/>
        <sz val="12.0"/>
        <vertAlign val="subscript"/>
      </rPr>
      <t>yt</t>
    </r>
    <r>
      <rPr>
        <rFont val="Verdana"/>
        <color theme="1"/>
        <sz val="12.0"/>
      </rPr>
      <t>/f</t>
    </r>
    <r>
      <rPr>
        <rFont val="Verdana"/>
        <color theme="1"/>
        <sz val="12.0"/>
        <vertAlign val="subscript"/>
      </rPr>
      <t>y</t>
    </r>
    <r>
      <rPr>
        <rFont val="Verdana"/>
        <color theme="1"/>
        <sz val="12.0"/>
      </rPr>
      <t>)cot</t>
    </r>
    <r>
      <rPr>
        <rFont val="Verdana"/>
        <color theme="1"/>
        <sz val="12.0"/>
        <vertAlign val="superscript"/>
      </rPr>
      <t>2</t>
    </r>
    <r>
      <rPr>
        <rFont val="Verdana"/>
        <color theme="1"/>
        <sz val="12.0"/>
      </rPr>
      <t xml:space="preserve"> θ 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</si>
  <si>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</si>
  <si>
    <t>From ACI Eq. 11-22</t>
  </si>
  <si>
    <t>ACI Code Eq. 11-24 specifies the minimum area of longitudinal reinforcement for torsion</t>
  </si>
  <si>
    <r>
      <rPr>
        <rFont val="Verdana"/>
        <b/>
        <color rgb="FFFF0000"/>
        <sz val="12.0"/>
      </rPr>
      <t>A</t>
    </r>
    <r>
      <rPr>
        <rFont val="Verdana"/>
        <b/>
        <color rgb="FFFF0000"/>
        <sz val="12.0"/>
        <vertAlign val="subscript"/>
      </rPr>
      <t>lmin</t>
    </r>
    <r>
      <rPr>
        <rFont val="Verdana"/>
        <color theme="1"/>
        <sz val="12.0"/>
      </rPr>
      <t xml:space="preserve"> =(5/12) sqrt(f'</t>
    </r>
    <r>
      <rPr>
        <rFont val="Verdana"/>
        <color theme="1"/>
        <sz val="12.0"/>
        <vertAlign val="subscript"/>
      </rPr>
      <t>c</t>
    </r>
    <r>
      <rPr>
        <rFont val="Verdana"/>
        <color theme="1"/>
        <sz val="12.0"/>
      </rPr>
      <t>)A</t>
    </r>
    <r>
      <rPr>
        <rFont val="Verdana"/>
        <color theme="1"/>
        <sz val="12.0"/>
        <vertAlign val="subscript"/>
      </rPr>
      <t>cp</t>
    </r>
    <r>
      <rPr>
        <rFont val="Verdana"/>
        <color theme="1"/>
        <sz val="12.0"/>
      </rPr>
      <t>/f</t>
    </r>
    <r>
      <rPr>
        <rFont val="Verdana"/>
        <color theme="1"/>
        <sz val="12.0"/>
        <vertAlign val="subscript"/>
      </rPr>
      <t>y</t>
    </r>
    <r>
      <rPr>
        <rFont val="Verdana"/>
        <color theme="1"/>
        <sz val="12.0"/>
      </rPr>
      <t xml:space="preserve"> - (A</t>
    </r>
    <r>
      <rPr>
        <rFont val="Verdana"/>
        <color theme="1"/>
        <sz val="12.0"/>
        <vertAlign val="subscript"/>
      </rPr>
      <t>t</t>
    </r>
    <r>
      <rPr>
        <rFont val="Verdana"/>
        <color theme="1"/>
        <sz val="12.0"/>
      </rPr>
      <t>/s) p</t>
    </r>
    <r>
      <rPr>
        <rFont val="Verdana"/>
        <color theme="1"/>
        <sz val="12.0"/>
        <vertAlign val="subscript"/>
      </rPr>
      <t>h</t>
    </r>
    <r>
      <rPr>
        <rFont val="Verdana"/>
        <color theme="1"/>
        <sz val="12.0"/>
      </rPr>
      <t>(f</t>
    </r>
    <r>
      <rPr>
        <rFont val="Verdana"/>
        <color theme="1"/>
        <sz val="12.0"/>
        <vertAlign val="subscript"/>
      </rPr>
      <t>yt</t>
    </r>
    <r>
      <rPr>
        <rFont val="Verdana"/>
        <color theme="1"/>
        <sz val="12.0"/>
      </rPr>
      <t>/f</t>
    </r>
    <r>
      <rPr>
        <rFont val="Verdana"/>
        <color theme="1"/>
        <sz val="12.0"/>
        <vertAlign val="subscript"/>
      </rPr>
      <t>y</t>
    </r>
    <r>
      <rPr>
        <rFont val="Verdana"/>
        <color theme="1"/>
        <sz val="12.0"/>
      </rPr>
      <t>)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</si>
  <si>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</si>
  <si>
    <r>
      <rPr>
        <rFont val="Verdana"/>
        <color theme="1"/>
        <sz val="12.0"/>
      </rPr>
      <t>Provide stirrup A</t>
    </r>
    <r>
      <rPr>
        <rFont val="Verdana"/>
        <color theme="1"/>
        <sz val="12.0"/>
        <vertAlign val="subscript"/>
      </rPr>
      <t>l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</si>
  <si>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</si>
  <si>
    <t>OUTPUT DATA</t>
  </si>
  <si>
    <t>Area of steel required for Flexure (does not include longitudinal reinforcement)</t>
  </si>
  <si>
    <r>
      <rPr>
        <rFont val="Verdana"/>
        <b/>
        <i/>
        <color theme="1"/>
        <sz val="11.0"/>
      </rPr>
      <t>A</t>
    </r>
    <r>
      <rPr>
        <rFont val="Verdana"/>
        <b/>
        <i/>
        <color theme="1"/>
        <sz val="11.0"/>
        <vertAlign val="subscript"/>
      </rPr>
      <t>s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</si>
  <si>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</si>
  <si>
    <t>&lt;- Does not include longitudinal reinforcement</t>
  </si>
  <si>
    <t>Stirrup area required for Shear and Torsion</t>
  </si>
  <si>
    <r>
      <rPr>
        <rFont val="Verdana"/>
        <b/>
        <i/>
        <color theme="1"/>
        <sz val="11.0"/>
      </rPr>
      <t>A</t>
    </r>
    <r>
      <rPr>
        <rFont val="Verdana"/>
        <b/>
        <i/>
        <color theme="1"/>
        <sz val="11.0"/>
        <vertAlign val="subscript"/>
      </rPr>
      <t>v+t</t>
    </r>
    <r>
      <rPr>
        <rFont val="Verdana"/>
        <b/>
        <i/>
        <color theme="1"/>
        <sz val="11.0"/>
      </rPr>
      <t>/s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</si>
  <si>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  <r>
      <rPr>
        <rFont val="Verdana"/>
        <i/>
        <color theme="1"/>
        <sz val="12.0"/>
      </rPr>
      <t>/mm</t>
    </r>
  </si>
  <si>
    <t>Area of stirrup provided</t>
  </si>
  <si>
    <r>
      <rPr>
        <rFont val="Verdana"/>
        <b/>
        <i/>
        <color theme="1"/>
        <sz val="11.0"/>
      </rPr>
      <t>A</t>
    </r>
    <r>
      <rPr>
        <rFont val="Verdana"/>
        <b/>
        <i/>
        <color theme="1"/>
        <sz val="11.0"/>
        <vertAlign val="subscript"/>
      </rPr>
      <t>v+t</t>
    </r>
    <r>
      <rPr>
        <rFont val="Verdana"/>
        <b/>
        <i/>
        <color theme="1"/>
        <sz val="11.0"/>
      </rPr>
      <t xml:space="preserve"> = 2 x Area of bar dia. s</t>
    </r>
    <r>
      <rPr>
        <rFont val="Verdana"/>
        <b/>
        <i/>
        <color theme="1"/>
        <sz val="11.0"/>
        <vertAlign val="subscript"/>
      </rPr>
      <t>d</t>
    </r>
  </si>
  <si>
    <t>mm2</t>
  </si>
  <si>
    <t>Spacing of stirrup provided</t>
  </si>
  <si>
    <t>Stirrup area provided for Shaer and Torsion</t>
  </si>
  <si>
    <r>
      <rPr>
        <rFont val="Verdana"/>
        <b/>
        <i/>
        <color theme="1"/>
        <sz val="11.0"/>
      </rPr>
      <t>A</t>
    </r>
    <r>
      <rPr>
        <rFont val="Verdana"/>
        <b/>
        <i/>
        <color theme="1"/>
        <sz val="11.0"/>
        <vertAlign val="subscript"/>
      </rPr>
      <t>v+t</t>
    </r>
    <r>
      <rPr>
        <rFont val="Verdana"/>
        <b/>
        <i/>
        <color theme="1"/>
        <sz val="11.0"/>
      </rPr>
      <t>/s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</si>
  <si>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  <r>
      <rPr>
        <rFont val="Verdana"/>
        <i/>
        <color theme="1"/>
        <sz val="12.0"/>
      </rPr>
      <t>/mm</t>
    </r>
  </si>
  <si>
    <t>Area of longitudinal reinforcement required for torsion</t>
  </si>
  <si>
    <r>
      <rPr>
        <rFont val="Verdana"/>
        <b/>
        <i/>
        <color theme="1"/>
        <sz val="11.0"/>
      </rPr>
      <t>A</t>
    </r>
    <r>
      <rPr>
        <rFont val="Verdana"/>
        <b/>
        <i/>
        <color theme="1"/>
        <sz val="11.0"/>
        <vertAlign val="subscript"/>
      </rPr>
      <t>l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</si>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</sst>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0.00_);[Red]\(0.00\)"/>
    <numFmt numFmtId="165" formatCode="0.0_);[Red]\(0.0\)"/>
    <numFmt numFmtId="166" formatCode="0.000000_);[Red]\(0.000000\)"/>
    <numFmt numFmtId="167" formatCode="0.000_);[Red]\(0.000\)"/>
    <numFmt numFmtId="168" formatCode="0.00000_);[Red]\(0.00000\)"/>
    <numFmt numFmtId="169" formatCode="0.0000000_);[Red]\(0.0000000\)"/>
    <numFmt numFmtId="170" formatCode="0_);[Red]\(0\)"/>
    <numFmt numFmtId="171" formatCode="0.00_ "/>
    <numFmt numFmtId="172" formatCode="0.0000"/>
    <numFmt numFmtId="173" formatCode="0.000"/>
  </numFmts>
  <fonts count="24">
    <font>
      <sz val="11.0"/>
      <color theme="1"/>
      <name val="Calibri"/>
      <scheme val="minor"/>
    </font>
    <font>
      <sz val="11.0"/>
      <color theme="1"/>
      <name val="Verdana"/>
    </font>
    <font>
      <sz val="14.0"/>
      <color theme="1"/>
      <name val="Calibri"/>
      <scheme val="minor"/>
    </font>
    <font/>
    <font>
      <i/>
      <u/>
      <sz val="14.0"/>
      <color rgb="FF0000FF"/>
      <name val="High tower text"/>
    </font>
    <font>
      <i/>
      <sz val="11.0"/>
      <color theme="1"/>
      <name val="Verdana"/>
    </font>
    <font>
      <sz val="11.0"/>
      <color rgb="FF3F3F76"/>
      <name val="Verdana"/>
    </font>
    <font>
      <b/>
      <i/>
      <sz val="11.0"/>
      <color rgb="FF7F7F7F"/>
      <name val="Calibri"/>
      <scheme val="minor"/>
    </font>
    <font>
      <sz val="11.0"/>
      <color theme="1"/>
      <name val="Calibri"/>
    </font>
    <font>
      <i/>
      <u/>
      <sz val="12.0"/>
      <color rgb="FF0000FF"/>
      <name val="Verdana"/>
    </font>
    <font>
      <b/>
      <i/>
      <u/>
      <sz val="12.0"/>
      <color rgb="FF0000FF"/>
      <name val="Verdana"/>
    </font>
    <font>
      <sz val="12.0"/>
      <color theme="1"/>
      <name val="Verdana"/>
    </font>
    <font>
      <i/>
      <sz val="12.0"/>
      <color theme="1"/>
      <name val="Verdana"/>
    </font>
    <font>
      <i/>
      <u/>
      <sz val="12.0"/>
      <color theme="1"/>
      <name val="Verdana"/>
    </font>
    <font>
      <b/>
      <i/>
      <sz val="12.0"/>
      <color rgb="FFFF0000"/>
      <name val="Verdana"/>
    </font>
    <font>
      <b/>
      <sz val="12.0"/>
      <color rgb="FF9C6500"/>
      <name val="Verdana"/>
    </font>
    <font>
      <b/>
      <i/>
      <sz val="11.0"/>
      <color rgb="FFFF00FF"/>
      <name val="Verdana"/>
    </font>
    <font>
      <b/>
      <sz val="12.0"/>
      <color rgb="FFFF0000"/>
      <name val="Verdana"/>
    </font>
    <font>
      <b/>
      <i/>
      <sz val="12.0"/>
      <color theme="1"/>
      <name val="Verdana"/>
    </font>
    <font>
      <b/>
      <i/>
      <sz val="11.0"/>
      <color theme="1"/>
      <name val="Verdana"/>
    </font>
    <font>
      <b/>
      <sz val="11.0"/>
      <color rgb="FF3F3F3F"/>
      <name val="Verdana"/>
    </font>
    <font>
      <b/>
      <i/>
      <sz val="12.0"/>
      <color rgb="FFFF00FF"/>
      <name val="Verdana"/>
    </font>
    <font>
      <b/>
      <sz val="11.0"/>
      <color rgb="FF0000FF"/>
      <name val="Verdana"/>
    </font>
    <font>
      <b/>
      <sz val="11.0"/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2F2F2"/>
        <bgColor rgb="FFF2F2F2"/>
      </patternFill>
    </fill>
  </fills>
  <borders count="15">
    <border/>
    <border>
      <left style="thin">
        <color rgb="FFB2B2B2"/>
      </left>
      <top style="thin">
        <color rgb="FFB2B2B2"/>
      </top>
      <bottom style="thin">
        <color rgb="FFB2B2B2"/>
      </bottom>
    </border>
    <border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hair">
        <color rgb="FF000000"/>
      </lef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center"/>
    </xf>
    <xf borderId="4" fillId="0" fontId="1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5" fillId="0" fontId="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3" fontId="6" numFmtId="164" xfId="0" applyAlignment="1" applyBorder="1" applyFill="1" applyFont="1" applyNumberFormat="1">
      <alignment horizontal="center" readingOrder="0" vertical="center"/>
    </xf>
    <xf borderId="0" fillId="0" fontId="5" numFmtId="0" xfId="0" applyAlignment="1" applyFont="1">
      <alignment horizontal="left" vertical="center"/>
    </xf>
    <xf borderId="7" fillId="3" fontId="6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 horizontal="left" shrinkToFit="0" wrapText="1"/>
    </xf>
    <xf borderId="0" fillId="0" fontId="7" numFmtId="0" xfId="0" applyFont="1"/>
    <xf borderId="8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9" fillId="0" fontId="1" numFmtId="0" xfId="0" applyBorder="1" applyFont="1"/>
    <xf borderId="5" fillId="0" fontId="1" numFmtId="0" xfId="0" applyAlignment="1" applyBorder="1" applyFont="1">
      <alignment horizontal="center"/>
    </xf>
    <xf borderId="5" fillId="0" fontId="8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  <xf borderId="0" fillId="0" fontId="11" numFmtId="165" xfId="0" applyAlignment="1" applyFont="1" applyNumberFormat="1">
      <alignment horizontal="right" vertical="center"/>
    </xf>
    <xf borderId="0" fillId="0" fontId="12" numFmtId="49" xfId="0" applyAlignment="1" applyFont="1" applyNumberFormat="1">
      <alignment horizontal="right" vertical="center"/>
    </xf>
    <xf borderId="0" fillId="0" fontId="13" numFmtId="0" xfId="0" applyAlignment="1" applyFont="1">
      <alignment vertical="center"/>
    </xf>
    <xf borderId="0" fillId="0" fontId="11" numFmtId="0" xfId="0" applyFont="1"/>
    <xf borderId="0" fillId="0" fontId="14" numFmtId="0" xfId="0" applyAlignment="1" applyFont="1">
      <alignment horizontal="right" vertical="center"/>
    </xf>
    <xf borderId="0" fillId="0" fontId="12" numFmtId="0" xfId="0" applyAlignment="1" applyFont="1">
      <alignment horizontal="left" vertical="center"/>
    </xf>
    <xf borderId="0" fillId="0" fontId="12" numFmtId="0" xfId="0" applyAlignment="1" applyFont="1">
      <alignment vertical="center"/>
    </xf>
    <xf borderId="0" fillId="0" fontId="11" numFmtId="0" xfId="0" applyAlignment="1" applyFont="1">
      <alignment horizontal="center" vertical="center"/>
    </xf>
    <xf borderId="0" fillId="0" fontId="12" numFmtId="165" xfId="0" applyAlignment="1" applyFont="1" applyNumberFormat="1">
      <alignment horizontal="center" vertical="center"/>
    </xf>
    <xf borderId="0" fillId="0" fontId="11" numFmtId="0" xfId="0" applyAlignment="1" applyFont="1">
      <alignment horizontal="right"/>
    </xf>
    <xf borderId="10" fillId="0" fontId="12" numFmtId="165" xfId="0" applyAlignment="1" applyBorder="1" applyFont="1" applyNumberFormat="1">
      <alignment horizontal="center" vertical="center"/>
    </xf>
    <xf borderId="10" fillId="0" fontId="12" numFmtId="166" xfId="0" applyAlignment="1" applyBorder="1" applyFont="1" applyNumberFormat="1">
      <alignment horizontal="center" vertical="center"/>
    </xf>
    <xf borderId="10" fillId="4" fontId="15" numFmtId="167" xfId="0" applyAlignment="1" applyBorder="1" applyFill="1" applyFont="1" applyNumberFormat="1">
      <alignment horizontal="center" vertical="center"/>
    </xf>
    <xf borderId="9" fillId="0" fontId="11" numFmtId="0" xfId="0" applyAlignment="1" applyBorder="1" applyFont="1">
      <alignment horizontal="center" vertical="center"/>
    </xf>
    <xf borderId="10" fillId="0" fontId="12" numFmtId="164" xfId="0" applyAlignment="1" applyBorder="1" applyFont="1" applyNumberFormat="1">
      <alignment horizontal="center" vertical="center"/>
    </xf>
    <xf borderId="11" fillId="0" fontId="12" numFmtId="165" xfId="0" applyAlignment="1" applyBorder="1" applyFont="1" applyNumberFormat="1">
      <alignment horizontal="center" vertical="center"/>
    </xf>
    <xf borderId="6" fillId="0" fontId="16" numFmtId="165" xfId="0" applyAlignment="1" applyBorder="1" applyFont="1" applyNumberFormat="1">
      <alignment vertical="center"/>
    </xf>
    <xf borderId="0" fillId="0" fontId="12" numFmtId="0" xfId="0" applyAlignment="1" applyFont="1">
      <alignment horizontal="right" vertical="center"/>
    </xf>
    <xf borderId="0" fillId="0" fontId="17" numFmtId="0" xfId="0" applyAlignment="1" applyFont="1">
      <alignment horizontal="right"/>
    </xf>
    <xf borderId="10" fillId="4" fontId="15" numFmtId="168" xfId="0" applyAlignment="1" applyBorder="1" applyFont="1" applyNumberFormat="1">
      <alignment horizontal="center" vertical="center"/>
    </xf>
    <xf borderId="10" fillId="0" fontId="12" numFmtId="169" xfId="0" applyAlignment="1" applyBorder="1" applyFont="1" applyNumberFormat="1">
      <alignment horizontal="center" vertical="center"/>
    </xf>
    <xf borderId="10" fillId="4" fontId="15" numFmtId="169" xfId="0" applyAlignment="1" applyBorder="1" applyFont="1" applyNumberFormat="1">
      <alignment horizontal="center" vertical="center"/>
    </xf>
    <xf borderId="0" fillId="0" fontId="18" numFmtId="0" xfId="0" applyAlignment="1" applyFont="1">
      <alignment vertical="center"/>
    </xf>
    <xf borderId="10" fillId="0" fontId="12" numFmtId="167" xfId="0" applyAlignment="1" applyBorder="1" applyFont="1" applyNumberFormat="1">
      <alignment horizontal="center" vertical="center"/>
    </xf>
    <xf borderId="10" fillId="0" fontId="12" numFmtId="168" xfId="0" applyAlignment="1" applyBorder="1" applyFont="1" applyNumberFormat="1">
      <alignment horizontal="center" vertical="center"/>
    </xf>
    <xf borderId="12" fillId="0" fontId="12" numFmtId="168" xfId="0" applyAlignment="1" applyBorder="1" applyFont="1" applyNumberFormat="1">
      <alignment horizontal="center" vertical="center"/>
    </xf>
    <xf borderId="10" fillId="0" fontId="12" numFmtId="170" xfId="0" applyAlignment="1" applyBorder="1" applyFont="1" applyNumberFormat="1">
      <alignment horizontal="center" vertical="center"/>
    </xf>
    <xf borderId="10" fillId="4" fontId="15" numFmtId="170" xfId="0" applyAlignment="1" applyBorder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19" numFmtId="0" xfId="0" applyAlignment="1" applyFont="1">
      <alignment vertical="center"/>
    </xf>
    <xf borderId="0" fillId="0" fontId="19" numFmtId="0" xfId="0" applyAlignment="1" applyFont="1">
      <alignment horizontal="right" vertical="center"/>
    </xf>
    <xf borderId="9" fillId="0" fontId="19" numFmtId="0" xfId="0" applyAlignment="1" applyBorder="1" applyFont="1">
      <alignment horizontal="center" vertical="center"/>
    </xf>
    <xf borderId="13" fillId="5" fontId="20" numFmtId="2" xfId="0" applyAlignment="1" applyBorder="1" applyFill="1" applyFont="1" applyNumberFormat="1">
      <alignment horizontal="right" vertical="center"/>
    </xf>
    <xf borderId="0" fillId="0" fontId="7" numFmtId="0" xfId="0" applyAlignment="1" applyFont="1">
      <alignment horizontal="left" shrinkToFit="0" vertical="top" wrapText="1"/>
    </xf>
    <xf borderId="0" fillId="0" fontId="1" numFmtId="171" xfId="0" applyAlignment="1" applyFont="1" applyNumberFormat="1">
      <alignment horizontal="right" vertical="center"/>
    </xf>
    <xf borderId="13" fillId="5" fontId="20" numFmtId="172" xfId="0" applyAlignment="1" applyBorder="1" applyFont="1" applyNumberFormat="1">
      <alignment vertical="center"/>
    </xf>
    <xf borderId="0" fillId="0" fontId="16" numFmtId="165" xfId="0" applyAlignment="1" applyFont="1" applyNumberFormat="1">
      <alignment vertical="center"/>
    </xf>
    <xf borderId="0" fillId="0" fontId="19" numFmtId="0" xfId="0" applyAlignment="1" applyFont="1">
      <alignment horizontal="center" vertical="center"/>
    </xf>
    <xf borderId="13" fillId="5" fontId="20" numFmtId="2" xfId="0" applyAlignment="1" applyBorder="1" applyFont="1" applyNumberFormat="1">
      <alignment vertical="center"/>
    </xf>
    <xf borderId="13" fillId="5" fontId="20" numFmtId="173" xfId="0" applyAlignment="1" applyBorder="1" applyFont="1" applyNumberFormat="1">
      <alignment vertical="center"/>
    </xf>
    <xf borderId="0" fillId="0" fontId="21" numFmtId="0" xfId="0" applyAlignment="1" applyFont="1">
      <alignment vertical="center"/>
    </xf>
    <xf borderId="0" fillId="0" fontId="22" numFmtId="171" xfId="0" applyAlignment="1" applyFont="1" applyNumberFormat="1">
      <alignment vertical="center"/>
    </xf>
    <xf borderId="0" fillId="0" fontId="23" numFmtId="0" xfId="0" applyAlignment="1" applyFont="1">
      <alignment vertical="center"/>
    </xf>
    <xf borderId="0" fillId="0" fontId="5" numFmtId="0" xfId="0" applyAlignment="1" applyFont="1">
      <alignment vertical="center"/>
    </xf>
    <xf borderId="14" fillId="0" fontId="5" numFmtId="0" xfId="0" applyAlignment="1" applyBorder="1" applyFont="1">
      <alignment vertical="center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</xdr:row>
      <xdr:rowOff>0</xdr:rowOff>
    </xdr:from>
    <xdr:ext cx="57150" cy="257175"/>
    <xdr:sp>
      <xdr:nvSpPr>
        <xdr:cNvPr id="3" name="Shape 3"/>
        <xdr:cNvSpPr txBox="1"/>
      </xdr:nvSpPr>
      <xdr:spPr>
        <a:xfrm>
          <a:off x="5317425" y="3651413"/>
          <a:ext cx="5715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66675" cy="219075"/>
    <xdr:sp>
      <xdr:nvSpPr>
        <xdr:cNvPr id="4" name="Shape 4"/>
        <xdr:cNvSpPr txBox="1"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514350</xdr:colOff>
      <xdr:row>8</xdr:row>
      <xdr:rowOff>0</xdr:rowOff>
    </xdr:from>
    <xdr:ext cx="38100" cy="219075"/>
    <xdr:sp>
      <xdr:nvSpPr>
        <xdr:cNvPr id="5" name="Shape 5"/>
        <xdr:cNvSpPr txBox="1"/>
      </xdr:nvSpPr>
      <xdr:spPr>
        <a:xfrm>
          <a:off x="5336475" y="3670463"/>
          <a:ext cx="1905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16</xdr:row>
      <xdr:rowOff>0</xdr:rowOff>
    </xdr:from>
    <xdr:ext cx="66675" cy="219075"/>
    <xdr:sp>
      <xdr:nvSpPr>
        <xdr:cNvPr id="6" name="Shape 6"/>
        <xdr:cNvSpPr txBox="1"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2409825" cy="3486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7.14"/>
    <col customWidth="1" min="3" max="3" width="43.0"/>
    <col customWidth="1" min="4" max="4" width="13.71"/>
    <col customWidth="1" min="5" max="5" width="6.0"/>
    <col customWidth="1" min="6" max="6" width="26.0"/>
    <col customWidth="1" min="7" max="8" width="9.14"/>
    <col customWidth="1" min="9" max="9" width="23.14"/>
    <col customWidth="1" min="10" max="11" width="9.14"/>
    <col customWidth="1" min="12" max="12" width="27.86"/>
    <col customWidth="1" min="13" max="13" width="14.14"/>
    <col customWidth="1" min="14" max="14" width="9.14"/>
    <col customWidth="1" min="15" max="15" width="4.71"/>
    <col customWidth="1" hidden="1" min="16" max="16" width="5.43"/>
    <col customWidth="1" min="17" max="17" width="4.29"/>
    <col customWidth="1" min="18" max="18" width="11.86"/>
    <col customWidth="1" min="19" max="19" width="2.71"/>
    <col customWidth="1" min="20" max="29" width="9.14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1"/>
      <c r="U1" s="1"/>
      <c r="V1" s="1"/>
      <c r="W1" s="1"/>
      <c r="X1" s="1"/>
      <c r="Y1" s="1"/>
      <c r="Z1" s="1"/>
      <c r="AA1" s="1"/>
      <c r="AB1" s="1"/>
      <c r="AC1" s="1"/>
    </row>
    <row r="2" ht="21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21.0" customHeight="1">
      <c r="A3" s="1"/>
      <c r="B3" s="5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21.0" customHeight="1">
      <c r="A4" s="1"/>
      <c r="B4" s="6" t="s">
        <v>2</v>
      </c>
      <c r="C4" s="7"/>
      <c r="D4" s="8" t="s">
        <v>3</v>
      </c>
      <c r="E4" s="9" t="s">
        <v>4</v>
      </c>
      <c r="F4" s="10">
        <v>500.0</v>
      </c>
      <c r="G4" s="11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21.0" customHeight="1">
      <c r="A5" s="1"/>
      <c r="B5" s="6" t="s">
        <v>6</v>
      </c>
      <c r="C5" s="7"/>
      <c r="D5" s="8" t="s">
        <v>7</v>
      </c>
      <c r="E5" s="9" t="s">
        <v>4</v>
      </c>
      <c r="F5" s="12">
        <v>700.0</v>
      </c>
      <c r="G5" s="11" t="s">
        <v>5</v>
      </c>
      <c r="H5" s="13" t="s">
        <v>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21.0" customHeight="1">
      <c r="A6" s="1"/>
      <c r="B6" s="6" t="s">
        <v>9</v>
      </c>
      <c r="C6" s="7"/>
      <c r="D6" s="8" t="s">
        <v>10</v>
      </c>
      <c r="E6" s="9" t="s">
        <v>4</v>
      </c>
      <c r="F6" s="12">
        <f>+F5-65</f>
        <v>635</v>
      </c>
      <c r="G6" s="11" t="s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21.0" customHeight="1">
      <c r="A7" s="1"/>
      <c r="B7" s="6" t="s">
        <v>11</v>
      </c>
      <c r="C7" s="7"/>
      <c r="D7" s="8" t="s">
        <v>12</v>
      </c>
      <c r="E7" s="9" t="s">
        <v>4</v>
      </c>
      <c r="F7" s="12">
        <v>40.0</v>
      </c>
      <c r="G7" s="11" t="s">
        <v>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21.0" customHeight="1">
      <c r="A8" s="1"/>
      <c r="B8" s="6" t="s">
        <v>13</v>
      </c>
      <c r="C8" s="7"/>
      <c r="D8" s="8" t="s">
        <v>14</v>
      </c>
      <c r="E8" s="9" t="s">
        <v>4</v>
      </c>
      <c r="F8" s="12">
        <v>12.7</v>
      </c>
      <c r="G8" s="11" t="s">
        <v>5</v>
      </c>
      <c r="H8" s="14" t="s">
        <v>15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21.0" customHeight="1">
      <c r="A9" s="1"/>
      <c r="B9" s="6" t="s">
        <v>16</v>
      </c>
      <c r="C9" s="7"/>
      <c r="D9" s="8" t="s">
        <v>17</v>
      </c>
      <c r="E9" s="15" t="s">
        <v>4</v>
      </c>
      <c r="F9" s="12">
        <v>6.1585E8</v>
      </c>
      <c r="G9" s="11" t="s">
        <v>18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21.0" customHeight="1">
      <c r="A10" s="1"/>
      <c r="B10" s="6" t="s">
        <v>19</v>
      </c>
      <c r="C10" s="7"/>
      <c r="D10" s="8" t="s">
        <v>20</v>
      </c>
      <c r="E10" s="15" t="s">
        <v>4</v>
      </c>
      <c r="F10" s="12">
        <v>272680.0</v>
      </c>
      <c r="G10" s="11" t="s">
        <v>21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21.0" customHeight="1">
      <c r="A11" s="1"/>
      <c r="B11" s="6" t="s">
        <v>22</v>
      </c>
      <c r="C11" s="6"/>
      <c r="D11" s="8" t="s">
        <v>23</v>
      </c>
      <c r="E11" s="16" t="s">
        <v>4</v>
      </c>
      <c r="F11" s="12">
        <v>2.8125E7</v>
      </c>
      <c r="G11" s="11" t="s">
        <v>18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21.0" customHeight="1">
      <c r="A12" s="1"/>
      <c r="B12" s="6" t="s">
        <v>24</v>
      </c>
      <c r="C12" s="6"/>
      <c r="D12" s="8" t="s">
        <v>25</v>
      </c>
      <c r="E12" s="16" t="s">
        <v>4</v>
      </c>
      <c r="F12" s="12">
        <v>30.0</v>
      </c>
      <c r="G12" s="11" t="s">
        <v>26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21.0" customHeight="1">
      <c r="A13" s="17"/>
      <c r="B13" s="6" t="s">
        <v>27</v>
      </c>
      <c r="C13" s="6"/>
      <c r="D13" s="8" t="s">
        <v>28</v>
      </c>
      <c r="E13" s="18" t="s">
        <v>4</v>
      </c>
      <c r="F13" s="12">
        <v>460.0</v>
      </c>
      <c r="G13" s="1" t="s">
        <v>29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21.0" customHeight="1">
      <c r="A14" s="1"/>
      <c r="B14" s="6" t="s">
        <v>30</v>
      </c>
      <c r="C14" s="6"/>
      <c r="D14" s="19" t="s">
        <v>31</v>
      </c>
      <c r="E14" s="18" t="s">
        <v>4</v>
      </c>
      <c r="F14" s="12">
        <v>0.9</v>
      </c>
      <c r="G14" s="1"/>
      <c r="H14" s="14" t="s">
        <v>32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21.0" customHeight="1">
      <c r="A15" s="1"/>
      <c r="B15" s="6" t="s">
        <v>33</v>
      </c>
      <c r="C15" s="6"/>
      <c r="D15" s="19" t="s">
        <v>34</v>
      </c>
      <c r="E15" s="18" t="s">
        <v>4</v>
      </c>
      <c r="F15" s="12">
        <v>0.75</v>
      </c>
      <c r="G15" s="1"/>
      <c r="H15" s="14" t="s">
        <v>35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21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21.0" customHeight="1">
      <c r="A17" s="1"/>
      <c r="B17" s="5" t="s">
        <v>36</v>
      </c>
      <c r="C17" s="1"/>
      <c r="D17" s="20"/>
      <c r="E17" s="20"/>
      <c r="F17" s="20"/>
      <c r="G17" s="21"/>
      <c r="H17" s="22"/>
      <c r="I17" s="22"/>
      <c r="J17" s="22"/>
      <c r="K17" s="22"/>
      <c r="L17" s="22"/>
      <c r="M17" s="2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21.0" customHeight="1">
      <c r="A18" s="1"/>
      <c r="B18" s="24" t="s">
        <v>37</v>
      </c>
      <c r="C18" s="25" t="s">
        <v>38</v>
      </c>
      <c r="D18" s="26"/>
      <c r="E18" s="27"/>
      <c r="K18" s="1"/>
      <c r="L18" s="1"/>
      <c r="M18" s="2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21.0" customHeight="1">
      <c r="A19" s="1"/>
      <c r="B19" s="24"/>
      <c r="C19" s="29" t="s">
        <v>39</v>
      </c>
      <c r="D19" s="26"/>
      <c r="E19" s="27"/>
      <c r="F19" s="27"/>
      <c r="G19" s="27"/>
      <c r="H19" s="27"/>
      <c r="I19" s="27"/>
      <c r="J19" s="27"/>
      <c r="K19" s="30"/>
      <c r="L19" s="31"/>
      <c r="M19" s="2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21.0" customHeight="1">
      <c r="A20" s="1"/>
      <c r="B20" s="24"/>
      <c r="C20" s="29" t="s">
        <v>40</v>
      </c>
      <c r="D20" s="32" t="s">
        <v>41</v>
      </c>
      <c r="K20" s="30" t="s">
        <v>4</v>
      </c>
      <c r="L20" s="33">
        <f>+F4*F5</f>
        <v>350000</v>
      </c>
      <c r="M20" s="28" t="s">
        <v>42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21.0" customHeight="1">
      <c r="A21" s="1"/>
      <c r="B21" s="24"/>
      <c r="C21" s="29" t="s">
        <v>43</v>
      </c>
      <c r="D21" s="32" t="s">
        <v>44</v>
      </c>
      <c r="K21" s="30" t="s">
        <v>4</v>
      </c>
      <c r="L21" s="33">
        <f>2*(F4+F5)</f>
        <v>2400</v>
      </c>
      <c r="M21" s="28" t="s">
        <v>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21.0" customHeight="1">
      <c r="A22" s="1"/>
      <c r="B22" s="24"/>
      <c r="C22" s="29" t="s">
        <v>45</v>
      </c>
      <c r="D22" s="32"/>
      <c r="E22" s="32"/>
      <c r="F22" s="32"/>
      <c r="G22" s="32"/>
      <c r="H22" s="32" t="s">
        <v>46</v>
      </c>
      <c r="K22" s="30" t="s">
        <v>4</v>
      </c>
      <c r="L22" s="33">
        <f>+F4-(2*F7)-F8</f>
        <v>407.3</v>
      </c>
      <c r="M22" s="28" t="s">
        <v>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21.0" customHeight="1">
      <c r="A23" s="1"/>
      <c r="B23" s="24"/>
      <c r="C23" s="29" t="s">
        <v>47</v>
      </c>
      <c r="D23" s="32"/>
      <c r="E23" s="32"/>
      <c r="F23" s="32"/>
      <c r="G23" s="32"/>
      <c r="H23" s="32" t="s">
        <v>48</v>
      </c>
      <c r="K23" s="30" t="s">
        <v>4</v>
      </c>
      <c r="L23" s="33">
        <f>+F5-(2*F7)-F8</f>
        <v>607.3</v>
      </c>
      <c r="M23" s="28" t="s">
        <v>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21.0" customHeight="1">
      <c r="A24" s="1"/>
      <c r="B24" s="24"/>
      <c r="C24" s="29" t="s">
        <v>49</v>
      </c>
      <c r="D24" s="32"/>
      <c r="E24" s="32"/>
      <c r="F24" s="32"/>
      <c r="G24" s="32"/>
      <c r="H24" s="32" t="s">
        <v>50</v>
      </c>
      <c r="K24" s="30" t="s">
        <v>4</v>
      </c>
      <c r="L24" s="33">
        <f>+L23*L22</f>
        <v>247353.29</v>
      </c>
      <c r="M24" s="28" t="s">
        <v>51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21.0" customHeight="1">
      <c r="A25" s="1"/>
      <c r="B25" s="24"/>
      <c r="C25" s="29" t="s">
        <v>52</v>
      </c>
      <c r="D25" s="32"/>
      <c r="E25" s="32"/>
      <c r="F25" s="32"/>
      <c r="G25" s="32"/>
      <c r="H25" s="32" t="s">
        <v>53</v>
      </c>
      <c r="K25" s="30" t="s">
        <v>4</v>
      </c>
      <c r="L25" s="33">
        <f>2*(L23+L22)</f>
        <v>2029.2</v>
      </c>
      <c r="M25" s="28" t="s">
        <v>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21.0" customHeight="1">
      <c r="A26" s="1"/>
      <c r="B26" s="24"/>
      <c r="C26" s="29"/>
      <c r="D26" s="26"/>
      <c r="E26" s="27"/>
      <c r="F26" s="27"/>
      <c r="G26" s="27"/>
      <c r="H26" s="27"/>
      <c r="I26" s="27"/>
      <c r="J26" s="27"/>
      <c r="K26" s="30"/>
      <c r="L26" s="31"/>
      <c r="M26" s="2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21.0" customHeight="1">
      <c r="A27" s="1"/>
      <c r="B27" s="24" t="s">
        <v>54</v>
      </c>
      <c r="C27" s="25" t="s">
        <v>55</v>
      </c>
      <c r="D27" s="25"/>
      <c r="E27" s="25"/>
      <c r="F27" s="25"/>
      <c r="G27" s="25"/>
      <c r="H27" s="22"/>
      <c r="I27" s="22"/>
      <c r="J27" s="22"/>
      <c r="K27" s="30"/>
      <c r="L27" s="31"/>
      <c r="M27" s="2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21.0" customHeight="1">
      <c r="A28" s="1"/>
      <c r="B28" s="24"/>
      <c r="C28" s="29" t="s">
        <v>56</v>
      </c>
      <c r="D28" s="32" t="s">
        <v>57</v>
      </c>
      <c r="K28" s="30" t="s">
        <v>4</v>
      </c>
      <c r="L28" s="34">
        <f>+((F9)/(F14*F4*(F6^2)))</f>
        <v>3.394024566</v>
      </c>
      <c r="M28" s="28" t="s">
        <v>58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21.0" customHeight="1">
      <c r="A29" s="1"/>
      <c r="B29" s="24"/>
      <c r="C29" s="29" t="s">
        <v>59</v>
      </c>
      <c r="D29" s="32" t="s">
        <v>60</v>
      </c>
      <c r="K29" s="30" t="s">
        <v>4</v>
      </c>
      <c r="L29" s="34">
        <f>+(F12/F13)*((F12-SQRT((F12^2)-(4*0.59*F12*L28)))/(2*0.59*F12))</f>
        <v>0.00795010071</v>
      </c>
      <c r="M29" s="2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21.0" customHeight="1">
      <c r="A30" s="1"/>
      <c r="B30" s="24"/>
      <c r="C30" s="29" t="s">
        <v>61</v>
      </c>
      <c r="D30" s="32" t="s">
        <v>62</v>
      </c>
      <c r="K30" s="30" t="s">
        <v>4</v>
      </c>
      <c r="L30" s="35">
        <f>+L29*F4*F6</f>
        <v>2524.156975</v>
      </c>
      <c r="M30" s="28" t="s">
        <v>63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21.0" customHeight="1">
      <c r="A31" s="1"/>
      <c r="B31" s="24"/>
      <c r="C31" s="29"/>
      <c r="D31" s="32"/>
      <c r="E31" s="32"/>
      <c r="F31" s="32"/>
      <c r="G31" s="32"/>
      <c r="H31" s="32"/>
      <c r="I31" s="32"/>
      <c r="J31" s="32"/>
      <c r="K31" s="30"/>
      <c r="L31" s="31"/>
      <c r="M31" s="2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21.0" customHeight="1">
      <c r="A32" s="1"/>
      <c r="B32" s="24" t="s">
        <v>64</v>
      </c>
      <c r="C32" s="25" t="s">
        <v>65</v>
      </c>
      <c r="D32" s="32"/>
      <c r="E32" s="32"/>
      <c r="F32" s="32"/>
      <c r="G32" s="32"/>
      <c r="H32" s="32"/>
      <c r="I32" s="32"/>
      <c r="J32" s="32"/>
      <c r="K32" s="30"/>
      <c r="L32" s="31"/>
      <c r="M32" s="2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21.0" customHeight="1">
      <c r="A33" s="1"/>
      <c r="B33" s="24"/>
      <c r="C33" s="29"/>
      <c r="D33" s="32" t="s">
        <v>66</v>
      </c>
      <c r="K33" s="30" t="s">
        <v>4</v>
      </c>
      <c r="L33" s="33">
        <f>+(L30*F13)/(0.85*F12*F4)</f>
        <v>91.06762421</v>
      </c>
      <c r="M33" s="28" t="s">
        <v>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21.0" customHeight="1">
      <c r="A34" s="1"/>
      <c r="B34" s="24"/>
      <c r="C34" s="29"/>
      <c r="D34" s="32" t="s">
        <v>67</v>
      </c>
      <c r="K34" s="36" t="s">
        <v>4</v>
      </c>
      <c r="L34" s="37">
        <f>1.09-(0.008*F12)</f>
        <v>0.85</v>
      </c>
      <c r="M34" s="2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21.0" customHeight="1">
      <c r="A35" s="1"/>
      <c r="B35" s="24"/>
      <c r="C35" s="29"/>
      <c r="D35" s="32" t="s">
        <v>68</v>
      </c>
      <c r="K35" s="30" t="s">
        <v>4</v>
      </c>
      <c r="L35" s="38">
        <f>+L33/L34</f>
        <v>107.1383814</v>
      </c>
      <c r="M35" s="28" t="s">
        <v>5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21.0" customHeight="1">
      <c r="A36" s="1"/>
      <c r="B36" s="24"/>
      <c r="C36" s="29"/>
      <c r="D36" s="32" t="s">
        <v>69</v>
      </c>
      <c r="K36" s="30" t="s">
        <v>4</v>
      </c>
      <c r="L36" s="34">
        <f>+((F6-L35)/L35)*0.003</f>
        <v>0.01478074276</v>
      </c>
      <c r="M36" s="2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21.0" customHeight="1">
      <c r="A37" s="1"/>
      <c r="B37" s="24"/>
      <c r="C37" s="29"/>
      <c r="D37" s="32"/>
      <c r="E37" s="32"/>
      <c r="F37" s="32"/>
      <c r="G37" s="32"/>
      <c r="H37" s="32"/>
      <c r="I37" s="32"/>
      <c r="J37" s="32"/>
      <c r="K37" s="30"/>
      <c r="L37" s="39" t="str">
        <f>+IF(L36&gt;0.005,"Tension controlled beam","Not tension controlled")</f>
        <v>Tension controlled beam</v>
      </c>
      <c r="M37" s="28"/>
      <c r="N37" s="14" t="s">
        <v>70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21.0" customHeight="1">
      <c r="A38" s="1"/>
      <c r="B38" s="24"/>
      <c r="C38" s="29" t="s">
        <v>71</v>
      </c>
      <c r="D38" s="32" t="s">
        <v>72</v>
      </c>
      <c r="K38" s="30" t="s">
        <v>4</v>
      </c>
      <c r="L38" s="35">
        <f>+F14*L30*F13*(F6-(L33/2))</f>
        <v>615992748.6</v>
      </c>
      <c r="M38" s="28" t="s">
        <v>18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21.0" customHeight="1">
      <c r="A39" s="1"/>
      <c r="B39" s="24"/>
      <c r="C39" s="29"/>
      <c r="D39" s="32"/>
      <c r="E39" s="32"/>
      <c r="F39" s="32"/>
      <c r="G39" s="32"/>
      <c r="H39" s="32"/>
      <c r="I39" s="32"/>
      <c r="J39" s="32"/>
      <c r="K39" s="36"/>
      <c r="L39" s="37">
        <f>+_xlfn.CEILING.MATH(L38*(10^-6),0.001)</f>
        <v>615.993</v>
      </c>
      <c r="M39" s="28" t="s">
        <v>73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21.0" customHeight="1">
      <c r="A40" s="1"/>
      <c r="B40" s="24"/>
      <c r="C40" s="29"/>
      <c r="D40" s="32"/>
      <c r="E40" s="32"/>
      <c r="F40" s="32"/>
      <c r="G40" s="32"/>
      <c r="H40" s="32"/>
      <c r="I40" s="32"/>
      <c r="J40" s="32"/>
      <c r="K40" s="30"/>
      <c r="L40" s="39" t="str">
        <f>+IF(L38&gt;F9,"Nominal moment carrying capacity exceeds  actual moment", "Nominal moment carrying capacity insufficient !! Resize the beam !!")</f>
        <v>Nominal moment carrying capacity exceeds  actual moment</v>
      </c>
      <c r="M40" s="2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21.0" customHeight="1">
      <c r="A41" s="1"/>
      <c r="B41" s="24"/>
      <c r="C41" s="29"/>
      <c r="D41" s="25"/>
      <c r="E41" s="25"/>
      <c r="F41" s="25"/>
      <c r="G41" s="25"/>
      <c r="H41" s="22"/>
      <c r="I41" s="22"/>
      <c r="J41" s="22"/>
      <c r="K41" s="30"/>
      <c r="L41" s="31"/>
      <c r="M41" s="2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21.0" customHeight="1">
      <c r="A42" s="1"/>
      <c r="B42" s="24" t="s">
        <v>74</v>
      </c>
      <c r="C42" s="25" t="s">
        <v>75</v>
      </c>
      <c r="D42" s="25"/>
      <c r="E42" s="25"/>
      <c r="F42" s="25"/>
      <c r="G42" s="25"/>
      <c r="H42" s="22"/>
      <c r="I42" s="22"/>
      <c r="J42" s="22"/>
      <c r="K42" s="30"/>
      <c r="L42" s="31"/>
      <c r="M42" s="2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21.0" customHeight="1">
      <c r="A43" s="1"/>
      <c r="B43" s="24"/>
      <c r="C43" s="29" t="s">
        <v>76</v>
      </c>
      <c r="D43" s="32" t="s">
        <v>77</v>
      </c>
      <c r="K43" s="30" t="s">
        <v>4</v>
      </c>
      <c r="L43" s="37">
        <f>+(F15*(SQRT(F12)/12)*((L20^2)/L21))</f>
        <v>17472920.13</v>
      </c>
      <c r="M43" s="28" t="s">
        <v>18</v>
      </c>
      <c r="N43" s="14" t="s">
        <v>78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21.0" customHeight="1">
      <c r="A44" s="1"/>
      <c r="B44" s="24"/>
      <c r="C44" s="29"/>
      <c r="D44" s="25"/>
      <c r="E44" s="25"/>
      <c r="F44" s="25"/>
      <c r="G44" s="25"/>
      <c r="H44" s="22"/>
      <c r="I44" s="22"/>
      <c r="J44" s="22"/>
      <c r="K44" s="36"/>
      <c r="L44" s="37">
        <f>+_xlfn.CEILING.MATH(L43*(10^-6),0.001)</f>
        <v>17.473</v>
      </c>
      <c r="M44" s="28" t="s">
        <v>73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21.0" customHeight="1">
      <c r="A45" s="1"/>
      <c r="B45" s="24"/>
      <c r="C45" s="29"/>
      <c r="D45" s="25"/>
      <c r="E45" s="25"/>
      <c r="F45" s="25"/>
      <c r="G45" s="25"/>
      <c r="H45" s="22"/>
      <c r="I45" s="22"/>
      <c r="J45" s="22"/>
      <c r="K45" s="30"/>
      <c r="L45" s="39" t="str">
        <f>+IF(L43&lt;F11,"Torsion should be considered","Torsion need not to be considered")</f>
        <v>Torsion should be considered</v>
      </c>
      <c r="M45" s="2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21.0" customHeight="1">
      <c r="A46" s="1"/>
      <c r="B46" s="24" t="s">
        <v>79</v>
      </c>
      <c r="C46" s="25" t="s">
        <v>80</v>
      </c>
      <c r="D46" s="25"/>
      <c r="E46" s="25"/>
      <c r="F46" s="25"/>
      <c r="G46" s="25"/>
      <c r="H46" s="22"/>
      <c r="I46" s="22"/>
      <c r="J46" s="22"/>
      <c r="K46" s="30"/>
      <c r="L46" s="31"/>
      <c r="M46" s="2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21.0" customHeight="1">
      <c r="A47" s="1"/>
      <c r="B47" s="24"/>
      <c r="C47" s="29" t="s">
        <v>81</v>
      </c>
      <c r="D47" s="25"/>
      <c r="E47" s="25"/>
      <c r="F47" s="25"/>
      <c r="G47" s="25"/>
      <c r="H47" s="22"/>
      <c r="I47" s="22"/>
      <c r="J47" s="22"/>
      <c r="K47" s="30"/>
      <c r="L47" s="31"/>
      <c r="M47" s="2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21.0" customHeight="1">
      <c r="A48" s="1"/>
      <c r="B48" s="24"/>
      <c r="C48" s="29"/>
      <c r="D48" s="32" t="s">
        <v>82</v>
      </c>
      <c r="K48" s="30" t="s">
        <v>4</v>
      </c>
      <c r="L48" s="37">
        <f>(SQRT(F12)/6)*F4*F6</f>
        <v>289836.52</v>
      </c>
      <c r="M48" s="28" t="s">
        <v>21</v>
      </c>
      <c r="N48" s="14" t="s">
        <v>83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21.0" customHeight="1">
      <c r="A49" s="1"/>
      <c r="B49" s="24"/>
      <c r="C49" s="29"/>
      <c r="D49" s="32"/>
      <c r="E49" s="32"/>
      <c r="F49" s="32"/>
      <c r="G49" s="32"/>
      <c r="H49" s="32"/>
      <c r="I49" s="32"/>
      <c r="J49" s="32"/>
      <c r="K49" s="30"/>
      <c r="L49" s="37">
        <f>+_xlfn.CEILING.MATH(L48*(10^-3),0.001)</f>
        <v>289.837</v>
      </c>
      <c r="M49" s="28" t="s">
        <v>84</v>
      </c>
      <c r="N49" s="1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21.0" customHeight="1">
      <c r="A50" s="1"/>
      <c r="B50" s="24"/>
      <c r="C50" s="29"/>
      <c r="D50" s="40" t="s">
        <v>85</v>
      </c>
      <c r="K50" s="30" t="s">
        <v>4</v>
      </c>
      <c r="L50" s="37">
        <f>+F15*((L48/(F4*F6))+((2/3)*SQRT(F12)))</f>
        <v>3.423265984</v>
      </c>
      <c r="M50" s="28" t="s">
        <v>86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21.0" customHeight="1">
      <c r="A51" s="1"/>
      <c r="B51" s="24"/>
      <c r="C51" s="29"/>
      <c r="D51" s="40" t="s">
        <v>87</v>
      </c>
      <c r="K51" s="30" t="s">
        <v>4</v>
      </c>
      <c r="L51" s="37">
        <f>+SQRT(((F10)/(F4*F6))^2+((F11*L25)/(1.7*L24^2))^2)</f>
        <v>1.019149662</v>
      </c>
      <c r="M51" s="28" t="s">
        <v>88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21.0" customHeight="1">
      <c r="A52" s="1"/>
      <c r="B52" s="24"/>
      <c r="C52" s="29"/>
      <c r="D52" s="25"/>
      <c r="E52" s="25"/>
      <c r="F52" s="25"/>
      <c r="G52" s="25"/>
      <c r="H52" s="22"/>
      <c r="I52" s="22"/>
      <c r="J52" s="22"/>
      <c r="K52" s="30"/>
      <c r="L52" s="39" t="str">
        <f>+IF(L51&lt;L50,"Cross-section is large enough","Cross-section is not large enough !!!")</f>
        <v>Cross-section is large enough</v>
      </c>
      <c r="M52" s="2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21.0" customHeight="1">
      <c r="A53" s="1"/>
      <c r="B53" s="24"/>
      <c r="C53" s="29"/>
      <c r="D53" s="25"/>
      <c r="E53" s="25"/>
      <c r="F53" s="25"/>
      <c r="G53" s="25"/>
      <c r="H53" s="22"/>
      <c r="I53" s="22"/>
      <c r="J53" s="22"/>
      <c r="K53" s="30"/>
      <c r="L53" s="31"/>
      <c r="M53" s="28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21.0" customHeight="1">
      <c r="A54" s="1"/>
      <c r="B54" s="24" t="s">
        <v>89</v>
      </c>
      <c r="C54" s="25" t="s">
        <v>90</v>
      </c>
      <c r="D54" s="25"/>
      <c r="E54" s="25"/>
      <c r="F54" s="25"/>
      <c r="G54" s="25"/>
      <c r="H54" s="22"/>
      <c r="I54" s="22"/>
      <c r="J54" s="22"/>
      <c r="K54" s="30"/>
      <c r="L54" s="31"/>
      <c r="M54" s="2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21.0" customHeight="1">
      <c r="A55" s="1"/>
      <c r="B55" s="24"/>
      <c r="C55" s="26" t="s">
        <v>91</v>
      </c>
      <c r="D55" s="1"/>
      <c r="E55" s="26"/>
      <c r="F55" s="26"/>
      <c r="G55" s="26"/>
      <c r="H55" s="26"/>
      <c r="I55" s="26"/>
      <c r="J55" s="26"/>
      <c r="K55" s="30"/>
      <c r="L55" s="31"/>
      <c r="M55" s="2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21.0" customHeight="1">
      <c r="A56" s="1"/>
      <c r="B56" s="24"/>
      <c r="C56" s="29"/>
      <c r="D56" s="41" t="s">
        <v>92</v>
      </c>
      <c r="K56" s="30" t="s">
        <v>4</v>
      </c>
      <c r="L56" s="37">
        <f>+L48</f>
        <v>289836.52</v>
      </c>
      <c r="M56" s="28" t="s">
        <v>21</v>
      </c>
      <c r="N56" s="14" t="s">
        <v>93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21.0" customHeight="1">
      <c r="A57" s="1"/>
      <c r="B57" s="24"/>
      <c r="C57" s="29"/>
      <c r="D57" s="32" t="s">
        <v>94</v>
      </c>
      <c r="K57" s="30" t="s">
        <v>95</v>
      </c>
      <c r="L57" s="37">
        <f>+(F10/F15)-(L56)</f>
        <v>73736.81332</v>
      </c>
      <c r="M57" s="28" t="s">
        <v>21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21.0" customHeight="1">
      <c r="A58" s="1"/>
      <c r="B58" s="24"/>
      <c r="C58" s="29"/>
      <c r="D58" s="32"/>
      <c r="E58" s="32"/>
      <c r="F58" s="32"/>
      <c r="G58" s="32"/>
      <c r="H58" s="32"/>
      <c r="I58" s="32"/>
      <c r="J58" s="32"/>
      <c r="K58" s="30"/>
      <c r="L58" s="37">
        <f>+_xlfn.CEILING.MATH(L57*(10^-3),0.001)</f>
        <v>73.737</v>
      </c>
      <c r="M58" s="28" t="s">
        <v>84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21.0" customHeight="1">
      <c r="A59" s="1"/>
      <c r="B59" s="24"/>
      <c r="C59" s="26" t="s">
        <v>96</v>
      </c>
      <c r="D59" s="1"/>
      <c r="E59" s="26"/>
      <c r="F59" s="26"/>
      <c r="G59" s="26"/>
      <c r="H59" s="26"/>
      <c r="I59" s="26"/>
      <c r="J59" s="26"/>
      <c r="K59" s="30"/>
      <c r="L59" s="31"/>
      <c r="M59" s="28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21.0" customHeight="1">
      <c r="A60" s="1"/>
      <c r="B60" s="24"/>
      <c r="C60" s="29"/>
      <c r="D60" s="41" t="s">
        <v>97</v>
      </c>
      <c r="K60" s="30" t="s">
        <v>95</v>
      </c>
      <c r="L60" s="42">
        <f>+(L57)/(F13*F6)</f>
        <v>0.2524368823</v>
      </c>
      <c r="M60" s="28" t="s">
        <v>98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21.0" customHeight="1">
      <c r="A61" s="1"/>
      <c r="B61" s="24"/>
      <c r="C61" s="29" t="s">
        <v>99</v>
      </c>
      <c r="D61" s="41"/>
      <c r="E61" s="32"/>
      <c r="F61" s="32"/>
      <c r="G61" s="32"/>
      <c r="H61" s="32"/>
      <c r="I61" s="32"/>
      <c r="J61" s="32"/>
      <c r="K61" s="30"/>
      <c r="L61" s="31"/>
      <c r="M61" s="28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21.0" customHeight="1">
      <c r="A62" s="1"/>
      <c r="B62" s="24"/>
      <c r="C62" s="29"/>
      <c r="D62" s="41" t="s">
        <v>100</v>
      </c>
      <c r="K62" s="30" t="s">
        <v>4</v>
      </c>
      <c r="L62" s="43">
        <f>+(0.0625)*SQRT(F12)*(F4/F13)</f>
        <v>0.3720941287</v>
      </c>
      <c r="M62" s="28" t="s">
        <v>101</v>
      </c>
      <c r="N62" s="14" t="s">
        <v>102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21.0" customHeight="1">
      <c r="A63" s="1"/>
      <c r="B63" s="24"/>
      <c r="C63" s="29"/>
      <c r="D63" s="41" t="s">
        <v>103</v>
      </c>
      <c r="K63" s="30" t="s">
        <v>4</v>
      </c>
      <c r="L63" s="43">
        <f>+F4/(3*F13)</f>
        <v>0.3623188406</v>
      </c>
      <c r="M63" s="28" t="s">
        <v>104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21.0" customHeight="1">
      <c r="A64" s="1"/>
      <c r="B64" s="24"/>
      <c r="C64" s="29"/>
      <c r="D64" s="41" t="s">
        <v>105</v>
      </c>
      <c r="K64" s="30" t="s">
        <v>4</v>
      </c>
      <c r="L64" s="44">
        <f>+MAX(L62,L63)</f>
        <v>0.3720941287</v>
      </c>
      <c r="M64" s="28" t="s">
        <v>106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21.0" customHeight="1">
      <c r="A65" s="1"/>
      <c r="B65" s="24"/>
      <c r="C65" s="29"/>
      <c r="D65" s="41"/>
      <c r="E65" s="32"/>
      <c r="F65" s="32"/>
      <c r="G65" s="32"/>
      <c r="H65" s="32"/>
      <c r="I65" s="32"/>
      <c r="J65" s="32"/>
      <c r="K65" s="30"/>
      <c r="L65" s="39" t="str">
        <f>+IF(L64&lt;L60,"Minimum does not Govern","Minimum web requirement is governing")</f>
        <v>Minimum web requirement is governing</v>
      </c>
      <c r="M65" s="28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21.0" customHeight="1">
      <c r="A66" s="1"/>
      <c r="B66" s="24"/>
      <c r="C66" s="29"/>
      <c r="D66" s="32" t="s">
        <v>107</v>
      </c>
      <c r="K66" s="30" t="s">
        <v>4</v>
      </c>
      <c r="L66" s="42">
        <f>+MAX(L60,L64)</f>
        <v>0.3720941287</v>
      </c>
      <c r="M66" s="28" t="s">
        <v>108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21.0" customHeight="1">
      <c r="A67" s="1"/>
      <c r="B67" s="24"/>
      <c r="C67" s="29"/>
      <c r="D67" s="32"/>
      <c r="E67" s="25"/>
      <c r="F67" s="25"/>
      <c r="G67" s="25"/>
      <c r="H67" s="22"/>
      <c r="I67" s="22"/>
      <c r="J67" s="22"/>
      <c r="K67" s="30"/>
      <c r="L67" s="31"/>
      <c r="M67" s="28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21.0" customHeight="1">
      <c r="A68" s="1"/>
      <c r="B68" s="24" t="s">
        <v>109</v>
      </c>
      <c r="C68" s="25" t="s">
        <v>110</v>
      </c>
      <c r="D68" s="32"/>
      <c r="K68" s="30"/>
      <c r="L68" s="31"/>
      <c r="M68" s="28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21.0" customHeight="1">
      <c r="A69" s="1"/>
      <c r="B69" s="24"/>
      <c r="C69" s="26" t="s">
        <v>111</v>
      </c>
      <c r="D69" s="1"/>
      <c r="E69" s="26"/>
      <c r="F69" s="26"/>
      <c r="G69" s="26"/>
      <c r="H69" s="26"/>
      <c r="I69" s="26"/>
      <c r="J69" s="26"/>
      <c r="K69" s="30"/>
      <c r="L69" s="31"/>
      <c r="M69" s="28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21.0" customHeight="1">
      <c r="A70" s="1"/>
      <c r="B70" s="24"/>
      <c r="C70" s="25"/>
      <c r="D70" s="32" t="s">
        <v>112</v>
      </c>
      <c r="K70" s="30" t="s">
        <v>95</v>
      </c>
      <c r="L70" s="33">
        <f>+((F11)/F15)</f>
        <v>37500000</v>
      </c>
      <c r="M70" s="28" t="s">
        <v>18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21.0" customHeight="1">
      <c r="A71" s="1"/>
      <c r="B71" s="24"/>
      <c r="C71" s="25"/>
      <c r="D71" s="32"/>
      <c r="E71" s="32"/>
      <c r="F71" s="32"/>
      <c r="G71" s="32"/>
      <c r="H71" s="32"/>
      <c r="I71" s="32"/>
      <c r="J71" s="32"/>
      <c r="K71" s="30"/>
      <c r="L71" s="33">
        <f>+_xlfn.CEILING.MATH(L70*(10^-6),0.001)</f>
        <v>37.5</v>
      </c>
      <c r="M71" s="28" t="s">
        <v>73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21.0" customHeight="1">
      <c r="A72" s="1"/>
      <c r="B72" s="24"/>
      <c r="C72" s="45" t="s">
        <v>113</v>
      </c>
      <c r="D72" s="26"/>
      <c r="E72" s="26"/>
      <c r="F72" s="26"/>
      <c r="G72" s="26"/>
      <c r="H72" s="26"/>
      <c r="I72" s="26"/>
      <c r="J72" s="26"/>
      <c r="K72" s="30"/>
      <c r="L72" s="31"/>
      <c r="M72" s="2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21.0" customHeight="1">
      <c r="A73" s="1"/>
      <c r="B73" s="24"/>
      <c r="C73" s="25"/>
      <c r="D73" s="32" t="s">
        <v>114</v>
      </c>
      <c r="K73" s="30" t="s">
        <v>4</v>
      </c>
      <c r="L73" s="46">
        <f>0.85*L24</f>
        <v>210250.2965</v>
      </c>
      <c r="M73" s="28" t="s">
        <v>115</v>
      </c>
      <c r="N73" s="14" t="s">
        <v>116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21.0" customHeight="1">
      <c r="A74" s="1"/>
      <c r="B74" s="24"/>
      <c r="C74" s="29"/>
      <c r="D74" s="32" t="s">
        <v>117</v>
      </c>
      <c r="K74" s="30"/>
      <c r="L74" s="31"/>
      <c r="M74" s="28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21.0" customHeight="1">
      <c r="A75" s="1"/>
      <c r="B75" s="24"/>
      <c r="C75" s="29"/>
      <c r="D75" s="40" t="s">
        <v>118</v>
      </c>
      <c r="K75" s="30" t="s">
        <v>95</v>
      </c>
      <c r="L75" s="42">
        <f>+(L70)/(2*L73*F13)</f>
        <v>0.1938683096</v>
      </c>
      <c r="M75" s="28" t="s">
        <v>119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21.0" customHeight="1">
      <c r="A76" s="1"/>
      <c r="B76" s="24"/>
      <c r="C76" s="29"/>
      <c r="D76" s="32"/>
      <c r="K76" s="30"/>
      <c r="L76" s="31"/>
      <c r="M76" s="2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21.0" customHeight="1">
      <c r="A77" s="1"/>
      <c r="B77" s="24" t="s">
        <v>120</v>
      </c>
      <c r="C77" s="25" t="s">
        <v>121</v>
      </c>
      <c r="D77" s="26"/>
      <c r="E77" s="26"/>
      <c r="F77" s="26"/>
      <c r="G77" s="26"/>
      <c r="H77" s="26"/>
      <c r="I77" s="26"/>
      <c r="J77" s="26"/>
      <c r="K77" s="30"/>
      <c r="L77" s="31"/>
      <c r="M77" s="28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21.0" customHeight="1">
      <c r="A78" s="1"/>
      <c r="B78" s="24"/>
      <c r="C78" s="29"/>
      <c r="D78" s="32" t="s">
        <v>122</v>
      </c>
      <c r="K78" s="30" t="s">
        <v>4</v>
      </c>
      <c r="L78" s="42">
        <f>+L66+(2*L75)</f>
        <v>0.7598307478</v>
      </c>
      <c r="M78" s="28" t="s">
        <v>123</v>
      </c>
      <c r="N78" s="14" t="s">
        <v>124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21.0" customHeight="1">
      <c r="A79" s="1"/>
      <c r="B79" s="29"/>
      <c r="C79" s="29" t="s">
        <v>125</v>
      </c>
      <c r="D79" s="25"/>
      <c r="E79" s="25"/>
      <c r="F79" s="25"/>
      <c r="G79" s="22"/>
      <c r="H79" s="22"/>
      <c r="I79" s="22"/>
      <c r="J79" s="30"/>
      <c r="K79" s="31"/>
      <c r="L79" s="29"/>
      <c r="M79" s="25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21.0" customHeight="1">
      <c r="A80" s="1"/>
      <c r="B80" s="29"/>
      <c r="C80" s="25"/>
      <c r="D80" s="32" t="s">
        <v>126</v>
      </c>
      <c r="K80" s="31" t="s">
        <v>4</v>
      </c>
      <c r="L80" s="47">
        <f>(1/16)*SQRT(F12)*(F4/F13)</f>
        <v>0.3720941287</v>
      </c>
      <c r="M80" s="28" t="s">
        <v>127</v>
      </c>
      <c r="N80" s="14" t="s">
        <v>128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21.0" customHeight="1">
      <c r="A81" s="1"/>
      <c r="B81" s="29"/>
      <c r="C81" s="25"/>
      <c r="D81" s="32" t="s">
        <v>129</v>
      </c>
      <c r="K81" s="31" t="s">
        <v>4</v>
      </c>
      <c r="L81" s="48">
        <f>+(F4)/(3*F13)</f>
        <v>0.3623188406</v>
      </c>
      <c r="M81" s="28" t="s">
        <v>130</v>
      </c>
      <c r="N81" s="14" t="s">
        <v>128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21.0" customHeight="1">
      <c r="A82" s="1"/>
      <c r="B82" s="29"/>
      <c r="C82" s="25"/>
      <c r="D82" s="32" t="s">
        <v>131</v>
      </c>
      <c r="K82" s="31" t="s">
        <v>4</v>
      </c>
      <c r="L82" s="42">
        <f>+MAX(L80,L81)</f>
        <v>0.3720941287</v>
      </c>
      <c r="M82" s="28" t="s">
        <v>132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21.0" customHeight="1">
      <c r="A83" s="1"/>
      <c r="B83" s="29"/>
      <c r="C83" s="25"/>
      <c r="D83" s="25"/>
      <c r="E83" s="25"/>
      <c r="F83" s="25"/>
      <c r="G83" s="22"/>
      <c r="H83" s="22"/>
      <c r="I83" s="22"/>
      <c r="J83" s="30"/>
      <c r="K83" s="31"/>
      <c r="L83" s="39" t="str">
        <f>+IF(L82&lt;L78,"Minimum does not Govern","Minimum stirrup requirement is governing")</f>
        <v>Minimum does not Govern</v>
      </c>
      <c r="M83" s="25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21.0" customHeight="1">
      <c r="A84" s="1"/>
      <c r="B84" s="29"/>
      <c r="C84" s="25"/>
      <c r="D84" s="32" t="s">
        <v>133</v>
      </c>
      <c r="K84" s="31" t="s">
        <v>4</v>
      </c>
      <c r="L84" s="42">
        <f>+MAX(L78,L82)</f>
        <v>0.7598307478</v>
      </c>
      <c r="M84" s="28" t="s">
        <v>134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21.0" customHeight="1">
      <c r="A85" s="1"/>
      <c r="B85" s="29"/>
      <c r="C85" s="25"/>
      <c r="D85" s="32" t="s">
        <v>135</v>
      </c>
      <c r="K85" s="31"/>
      <c r="L85" s="49">
        <f>+_xlfn.CEILING.MATH(PI()*(F8^2)*0.5,1)</f>
        <v>254</v>
      </c>
      <c r="M85" s="28" t="s">
        <v>136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21.0" customHeight="1">
      <c r="A86" s="1"/>
      <c r="B86" s="29"/>
      <c r="C86" s="29" t="s">
        <v>137</v>
      </c>
      <c r="D86" s="32"/>
      <c r="E86" s="32"/>
      <c r="F86" s="32"/>
      <c r="G86" s="32"/>
      <c r="H86" s="32"/>
      <c r="I86" s="32"/>
      <c r="J86" s="32" t="s">
        <v>138</v>
      </c>
      <c r="K86" s="31" t="s">
        <v>4</v>
      </c>
      <c r="L86" s="33">
        <f>+L85/L84</f>
        <v>334.2849716</v>
      </c>
      <c r="M86" s="28" t="s">
        <v>5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21.0" customHeight="1">
      <c r="A87" s="1"/>
      <c r="B87" s="29"/>
      <c r="C87" s="29" t="s">
        <v>139</v>
      </c>
      <c r="D87" s="32"/>
      <c r="E87" s="32"/>
      <c r="F87" s="32"/>
      <c r="G87" s="32"/>
      <c r="H87" s="32"/>
      <c r="I87" s="32"/>
      <c r="J87" s="32"/>
      <c r="K87" s="31"/>
      <c r="L87" s="31"/>
      <c r="M87" s="28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21.0" customHeight="1">
      <c r="A88" s="1"/>
      <c r="B88" s="29"/>
      <c r="C88" s="29"/>
      <c r="D88" s="32" t="s">
        <v>140</v>
      </c>
      <c r="K88" s="31" t="s">
        <v>4</v>
      </c>
      <c r="L88" s="33">
        <f>0.5*F6</f>
        <v>317.5</v>
      </c>
      <c r="M88" s="28" t="s">
        <v>5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21.0" customHeight="1">
      <c r="A89" s="1"/>
      <c r="B89" s="29"/>
      <c r="C89" s="29"/>
      <c r="D89" s="32" t="s">
        <v>141</v>
      </c>
      <c r="K89" s="31" t="s">
        <v>4</v>
      </c>
      <c r="L89" s="33">
        <v>600.0</v>
      </c>
      <c r="M89" s="28" t="s">
        <v>5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21.0" customHeight="1">
      <c r="A90" s="1"/>
      <c r="B90" s="29"/>
      <c r="C90" s="25"/>
      <c r="D90" s="32" t="s">
        <v>142</v>
      </c>
      <c r="K90" s="31" t="s">
        <v>4</v>
      </c>
      <c r="L90" s="50">
        <f>+_xlfn.FLOOR.MATH(MIN(L86,L88,L89),10)</f>
        <v>310</v>
      </c>
      <c r="M90" s="28" t="s">
        <v>5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21.0" customHeight="1">
      <c r="A91" s="1"/>
      <c r="B91" s="29"/>
      <c r="C91" s="25"/>
      <c r="D91" s="32"/>
      <c r="E91" s="32"/>
      <c r="F91" s="32"/>
      <c r="G91" s="32"/>
      <c r="H91" s="32"/>
      <c r="I91" s="32"/>
      <c r="J91" s="32" t="s">
        <v>143</v>
      </c>
      <c r="K91" s="31" t="s">
        <v>4</v>
      </c>
      <c r="L91" s="12">
        <v>300.0</v>
      </c>
      <c r="M91" s="28" t="s">
        <v>5</v>
      </c>
      <c r="N91" s="14" t="s">
        <v>144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21.0" customHeight="1">
      <c r="A92" s="1"/>
      <c r="B92" s="29"/>
      <c r="C92" s="25"/>
      <c r="D92" s="25"/>
      <c r="E92" s="25"/>
      <c r="F92" s="25"/>
      <c r="G92" s="22"/>
      <c r="H92" s="22"/>
      <c r="I92" s="22"/>
      <c r="J92" s="30"/>
      <c r="K92" s="31"/>
      <c r="L92" s="29"/>
      <c r="M92" s="25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21.0" customHeight="1">
      <c r="A93" s="1"/>
      <c r="B93" s="24" t="s">
        <v>145</v>
      </c>
      <c r="C93" s="25" t="s">
        <v>146</v>
      </c>
      <c r="D93" s="25"/>
      <c r="E93" s="25"/>
      <c r="F93" s="25"/>
      <c r="G93" s="22"/>
      <c r="H93" s="22"/>
      <c r="I93" s="22"/>
      <c r="J93" s="30"/>
      <c r="K93" s="31"/>
      <c r="L93" s="29"/>
      <c r="M93" s="2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21.0" customHeight="1">
      <c r="A94" s="1"/>
      <c r="B94" s="29"/>
      <c r="C94" s="25"/>
      <c r="D94" s="32" t="s">
        <v>147</v>
      </c>
      <c r="K94" s="31" t="s">
        <v>4</v>
      </c>
      <c r="L94" s="42">
        <f>+L75*L25</f>
        <v>393.3975737</v>
      </c>
      <c r="M94" s="28" t="s">
        <v>148</v>
      </c>
      <c r="N94" s="14" t="s">
        <v>149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21.0" customHeight="1">
      <c r="A95" s="1"/>
      <c r="B95" s="29"/>
      <c r="C95" s="29" t="s">
        <v>150</v>
      </c>
      <c r="D95" s="25"/>
      <c r="E95" s="25"/>
      <c r="F95" s="25"/>
      <c r="G95" s="22"/>
      <c r="H95" s="22"/>
      <c r="I95" s="22"/>
      <c r="J95" s="30"/>
      <c r="K95" s="31"/>
      <c r="L95" s="29"/>
      <c r="M95" s="2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21.0" customHeight="1">
      <c r="A96" s="1"/>
      <c r="B96" s="29"/>
      <c r="C96" s="25"/>
      <c r="D96" s="32" t="s">
        <v>151</v>
      </c>
      <c r="K96" s="31" t="s">
        <v>4</v>
      </c>
      <c r="L96" s="42">
        <f>+((5*SQRT(F12)*L20)/(12*F13))-((L85/L91)*L25)</f>
        <v>18.38326745</v>
      </c>
      <c r="M96" s="28" t="s">
        <v>152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21.0" customHeight="1">
      <c r="A97" s="1"/>
      <c r="B97" s="29"/>
      <c r="C97" s="25"/>
      <c r="D97" s="25"/>
      <c r="E97" s="25"/>
      <c r="F97" s="25"/>
      <c r="G97" s="22"/>
      <c r="H97" s="22"/>
      <c r="I97" s="22"/>
      <c r="J97" s="30"/>
      <c r="K97" s="31"/>
      <c r="L97" s="39" t="str">
        <f>+IF(L96&lt;L94,"Minimum does not Govern","Minimum longitudinal reinforcement is governing")</f>
        <v>Minimum does not Govern</v>
      </c>
      <c r="M97" s="2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21.0" customHeight="1">
      <c r="A98" s="1"/>
      <c r="B98" s="29"/>
      <c r="C98" s="25"/>
      <c r="D98" s="32" t="s">
        <v>153</v>
      </c>
      <c r="K98" s="31" t="s">
        <v>4</v>
      </c>
      <c r="L98" s="42">
        <f>+MAX(L94,L96)</f>
        <v>393.3975737</v>
      </c>
      <c r="M98" s="28" t="s">
        <v>154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21.0" customHeight="1">
      <c r="A99" s="1"/>
      <c r="B99" s="29"/>
      <c r="C99" s="25"/>
      <c r="D99" s="25"/>
      <c r="E99" s="25"/>
      <c r="F99" s="25"/>
      <c r="G99" s="22"/>
      <c r="H99" s="22"/>
      <c r="I99" s="22"/>
      <c r="J99" s="30"/>
      <c r="K99" s="31"/>
      <c r="L99" s="29"/>
      <c r="M99" s="2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21.0" customHeight="1">
      <c r="A100" s="1"/>
      <c r="B100" s="5" t="s">
        <v>155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21.0" customHeight="1">
      <c r="A101" s="1"/>
      <c r="B101" s="51"/>
      <c r="C101" s="51"/>
      <c r="D101" s="51" t="s">
        <v>156</v>
      </c>
      <c r="E101" s="52"/>
      <c r="F101" s="52"/>
      <c r="G101" s="52"/>
      <c r="H101" s="52"/>
      <c r="I101" s="1"/>
      <c r="J101" s="53" t="s">
        <v>157</v>
      </c>
      <c r="K101" s="54" t="s">
        <v>4</v>
      </c>
      <c r="L101" s="55">
        <f>+_xlfn.CEILING.MATH(L30,0.0001)</f>
        <v>2524.157</v>
      </c>
      <c r="M101" s="28" t="s">
        <v>158</v>
      </c>
      <c r="N101" s="56" t="s">
        <v>159</v>
      </c>
      <c r="S101" s="1"/>
      <c r="T101" s="1"/>
      <c r="U101" s="1"/>
      <c r="V101" s="1"/>
      <c r="W101" s="57"/>
      <c r="X101" s="1"/>
      <c r="Y101" s="1"/>
      <c r="Z101" s="1"/>
      <c r="AA101" s="1"/>
      <c r="AB101" s="1"/>
      <c r="AC101" s="1"/>
    </row>
    <row r="102" ht="21.0" customHeight="1">
      <c r="A102" s="1"/>
      <c r="B102" s="51"/>
      <c r="C102" s="51"/>
      <c r="D102" s="51" t="s">
        <v>160</v>
      </c>
      <c r="E102" s="52"/>
      <c r="F102" s="52"/>
      <c r="G102" s="52"/>
      <c r="H102" s="52"/>
      <c r="I102" s="1"/>
      <c r="J102" s="53" t="s">
        <v>161</v>
      </c>
      <c r="K102" s="54" t="s">
        <v>4</v>
      </c>
      <c r="L102" s="58">
        <f>+_xlfn.CEILING.MATH(L84,0.0001)</f>
        <v>0.7599</v>
      </c>
      <c r="M102" s="28" t="s">
        <v>162</v>
      </c>
      <c r="S102" s="59"/>
      <c r="T102" s="1"/>
      <c r="U102" s="52"/>
      <c r="V102" s="52"/>
      <c r="W102" s="52"/>
      <c r="X102" s="1"/>
      <c r="Y102" s="1"/>
      <c r="Z102" s="1"/>
      <c r="AA102" s="1"/>
      <c r="AB102" s="1"/>
      <c r="AC102" s="1"/>
    </row>
    <row r="103" ht="21.0" customHeight="1">
      <c r="A103" s="1"/>
      <c r="B103" s="51"/>
      <c r="C103" s="51"/>
      <c r="D103" s="51" t="s">
        <v>163</v>
      </c>
      <c r="E103" s="52"/>
      <c r="F103" s="52"/>
      <c r="G103" s="52"/>
      <c r="H103" s="52"/>
      <c r="I103" s="1"/>
      <c r="J103" s="53" t="s">
        <v>164</v>
      </c>
      <c r="K103" s="60" t="s">
        <v>4</v>
      </c>
      <c r="L103" s="61">
        <f>+L85</f>
        <v>254</v>
      </c>
      <c r="M103" s="28" t="s">
        <v>165</v>
      </c>
      <c r="N103" s="56"/>
      <c r="O103" s="56"/>
      <c r="P103" s="56"/>
      <c r="Q103" s="56"/>
      <c r="R103" s="56"/>
      <c r="S103" s="59"/>
      <c r="T103" s="1"/>
      <c r="U103" s="52"/>
      <c r="V103" s="52"/>
      <c r="W103" s="52"/>
      <c r="X103" s="1"/>
      <c r="Y103" s="1"/>
      <c r="Z103" s="1"/>
      <c r="AA103" s="1"/>
      <c r="AB103" s="1"/>
      <c r="AC103" s="1"/>
    </row>
    <row r="104" ht="21.0" customHeight="1">
      <c r="A104" s="1"/>
      <c r="B104" s="51"/>
      <c r="C104" s="51"/>
      <c r="D104" s="51" t="s">
        <v>166</v>
      </c>
      <c r="E104" s="52"/>
      <c r="F104" s="52"/>
      <c r="G104" s="52"/>
      <c r="H104" s="52"/>
      <c r="I104" s="1"/>
      <c r="J104" s="53" t="s">
        <v>138</v>
      </c>
      <c r="K104" s="60" t="s">
        <v>4</v>
      </c>
      <c r="L104" s="61">
        <f>+L91</f>
        <v>300</v>
      </c>
      <c r="M104" s="28" t="s">
        <v>5</v>
      </c>
      <c r="N104" s="56"/>
      <c r="O104" s="56"/>
      <c r="P104" s="56"/>
      <c r="Q104" s="56"/>
      <c r="R104" s="56"/>
      <c r="S104" s="59"/>
      <c r="T104" s="1"/>
      <c r="U104" s="52"/>
      <c r="V104" s="52"/>
      <c r="W104" s="52"/>
      <c r="X104" s="1"/>
      <c r="Y104" s="1"/>
      <c r="Z104" s="1"/>
      <c r="AA104" s="1"/>
      <c r="AB104" s="1"/>
      <c r="AC104" s="1"/>
    </row>
    <row r="105" ht="21.0" customHeight="1">
      <c r="A105" s="1"/>
      <c r="B105" s="51"/>
      <c r="C105" s="51"/>
      <c r="D105" s="51" t="s">
        <v>167</v>
      </c>
      <c r="E105" s="52"/>
      <c r="F105" s="52"/>
      <c r="G105" s="52"/>
      <c r="H105" s="52"/>
      <c r="I105" s="1"/>
      <c r="J105" s="53" t="s">
        <v>168</v>
      </c>
      <c r="K105" s="60" t="s">
        <v>4</v>
      </c>
      <c r="L105" s="62">
        <f>+L103/L104</f>
        <v>0.8466666667</v>
      </c>
      <c r="M105" s="28" t="s">
        <v>169</v>
      </c>
      <c r="N105" s="56"/>
      <c r="O105" s="56"/>
      <c r="P105" s="56"/>
      <c r="Q105" s="56"/>
      <c r="R105" s="56"/>
      <c r="S105" s="59"/>
      <c r="T105" s="1"/>
      <c r="U105" s="52"/>
      <c r="V105" s="52"/>
      <c r="W105" s="52"/>
      <c r="X105" s="1"/>
      <c r="Y105" s="1"/>
      <c r="Z105" s="1"/>
      <c r="AA105" s="1"/>
      <c r="AB105" s="1"/>
      <c r="AC105" s="1"/>
    </row>
    <row r="106" ht="21.0" customHeight="1">
      <c r="A106" s="1"/>
      <c r="B106" s="51"/>
      <c r="C106" s="51"/>
      <c r="D106" s="51" t="s">
        <v>170</v>
      </c>
      <c r="E106" s="52"/>
      <c r="F106" s="52"/>
      <c r="G106" s="52"/>
      <c r="H106" s="52"/>
      <c r="I106" s="1"/>
      <c r="J106" s="53" t="s">
        <v>171</v>
      </c>
      <c r="K106" s="60" t="s">
        <v>4</v>
      </c>
      <c r="L106" s="61">
        <f>+_xlfn.CEILING.MATH(L98,0.0001)</f>
        <v>393.3976</v>
      </c>
      <c r="M106" s="28" t="s">
        <v>172</v>
      </c>
      <c r="N106" s="63"/>
      <c r="O106" s="63"/>
      <c r="P106" s="63"/>
      <c r="Q106" s="63"/>
      <c r="R106" s="64"/>
      <c r="S106" s="64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21.0" customHeight="1">
      <c r="A107" s="1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1"/>
      <c r="O107" s="1"/>
      <c r="P107" s="1"/>
      <c r="Q107" s="65"/>
      <c r="R107" s="65"/>
      <c r="S107" s="65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21.0" customHeight="1">
      <c r="A108" s="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65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21.0" customHeight="1">
      <c r="A109" s="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66"/>
      <c r="S109" s="59"/>
      <c r="T109" s="1"/>
      <c r="U109" s="52"/>
      <c r="V109" s="52"/>
      <c r="W109" s="52"/>
      <c r="X109" s="1"/>
      <c r="Y109" s="1"/>
      <c r="Z109" s="1"/>
      <c r="AA109" s="1"/>
      <c r="AB109" s="1"/>
      <c r="AC109" s="1"/>
    </row>
    <row r="110" ht="21.0" customHeight="1">
      <c r="A110" s="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64"/>
      <c r="S110" s="64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21.0" customHeight="1">
      <c r="A111" s="1"/>
      <c r="B111" s="65"/>
      <c r="C111" s="65"/>
      <c r="D111" s="65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65"/>
      <c r="S111" s="65"/>
      <c r="T111" s="1"/>
      <c r="U111" s="65"/>
      <c r="V111" s="65"/>
      <c r="W111" s="65"/>
      <c r="X111" s="1"/>
      <c r="Y111" s="1"/>
      <c r="Z111" s="1"/>
      <c r="AA111" s="1"/>
      <c r="AB111" s="1"/>
      <c r="AC111" s="1"/>
    </row>
    <row r="112" ht="21.0" customHeight="1">
      <c r="A112" s="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66"/>
      <c r="S112" s="59"/>
      <c r="T112" s="1"/>
      <c r="U112" s="52"/>
      <c r="V112" s="52"/>
      <c r="W112" s="52"/>
      <c r="X112" s="1"/>
      <c r="Y112" s="1"/>
      <c r="Z112" s="1"/>
      <c r="AA112" s="1"/>
      <c r="AB112" s="1"/>
      <c r="AC112" s="1"/>
    </row>
    <row r="113" ht="21.0" customHeight="1">
      <c r="A113" s="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64"/>
      <c r="S113" s="64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21.0" customHeight="1">
      <c r="A114" s="1"/>
      <c r="B114" s="65"/>
      <c r="C114" s="65"/>
      <c r="D114" s="65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5"/>
    </row>
    <row r="115" ht="21.0" customHeight="1">
      <c r="A115" s="1"/>
      <c r="B115" s="51"/>
      <c r="C115" s="51"/>
      <c r="D115" s="51"/>
      <c r="E115" s="5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7"/>
    </row>
    <row r="116" ht="21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21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21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21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21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21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21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21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21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21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21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21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21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21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21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21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21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21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47">
    <mergeCell ref="B1:S1"/>
    <mergeCell ref="H5:K6"/>
    <mergeCell ref="E18:J18"/>
    <mergeCell ref="D20:J20"/>
    <mergeCell ref="D21:J21"/>
    <mergeCell ref="H22:J22"/>
    <mergeCell ref="H23:J23"/>
    <mergeCell ref="H24:J24"/>
    <mergeCell ref="H25:J25"/>
    <mergeCell ref="D28:J28"/>
    <mergeCell ref="D29:J29"/>
    <mergeCell ref="D30:J30"/>
    <mergeCell ref="D33:J33"/>
    <mergeCell ref="D34:J34"/>
    <mergeCell ref="D35:J35"/>
    <mergeCell ref="D36:J36"/>
    <mergeCell ref="D38:J38"/>
    <mergeCell ref="D43:J43"/>
    <mergeCell ref="D48:J48"/>
    <mergeCell ref="D50:J50"/>
    <mergeCell ref="D51:J51"/>
    <mergeCell ref="D56:J56"/>
    <mergeCell ref="D57:J57"/>
    <mergeCell ref="D60:J60"/>
    <mergeCell ref="D62:J62"/>
    <mergeCell ref="D63:J63"/>
    <mergeCell ref="D64:J64"/>
    <mergeCell ref="D66:J66"/>
    <mergeCell ref="D68:J68"/>
    <mergeCell ref="D70:J70"/>
    <mergeCell ref="D73:J73"/>
    <mergeCell ref="D74:J74"/>
    <mergeCell ref="D75:J75"/>
    <mergeCell ref="D76:J76"/>
    <mergeCell ref="D78:J78"/>
    <mergeCell ref="D90:J90"/>
    <mergeCell ref="D94:J94"/>
    <mergeCell ref="D96:J96"/>
    <mergeCell ref="D98:J98"/>
    <mergeCell ref="N101:R102"/>
    <mergeCell ref="D80:J80"/>
    <mergeCell ref="D81:J81"/>
    <mergeCell ref="D82:J82"/>
    <mergeCell ref="D84:J84"/>
    <mergeCell ref="D85:J85"/>
    <mergeCell ref="D88:J88"/>
    <mergeCell ref="D89:J89"/>
  </mergeCells>
  <conditionalFormatting sqref="L52">
    <cfRule type="cellIs" dxfId="0" priority="1" operator="equal">
      <formula>"Cross-section is not large enough"</formula>
    </cfRule>
  </conditionalFormatting>
  <conditionalFormatting sqref="L52">
    <cfRule type="cellIs" dxfId="1" priority="2" operator="equal">
      <formula>"Cross-section is large enough"</formula>
    </cfRule>
  </conditionalFormatting>
  <printOptions/>
  <pageMargins bottom="0.75" footer="0.0" header="0.0" left="0.7" right="0.7" top="0.75"/>
  <pageSetup paperSize="9" orientation="portrait"/>
  <rowBreaks count="1" manualBreakCount="1">
    <brk id="108" man="1"/>
  </rowBreaks>
  <colBreaks count="1" manualBreakCount="1">
    <brk id="19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