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LL 3330\Desktop\"/>
    </mc:Choice>
  </mc:AlternateContent>
  <xr:revisionPtr revIDLastSave="0" documentId="13_ncr:1_{6655E7D9-3757-43A4-AB2D-B536F6825F79}" xr6:coauthVersionLast="47" xr6:coauthVersionMax="47" xr10:uidLastSave="{00000000-0000-0000-0000-000000000000}"/>
  <bookViews>
    <workbookView xWindow="-120" yWindow="-120" windowWidth="15600" windowHeight="11160" firstSheet="4" activeTab="6" xr2:uid="{00000000-000D-0000-FFFF-FFFF00000000}"/>
  </bookViews>
  <sheets>
    <sheet name="Operating Budget Template" sheetId="1" state="hidden" r:id="rId1"/>
    <sheet name="Input" sheetId="3" r:id="rId2"/>
    <sheet name="Revenue workings" sheetId="9" r:id="rId3"/>
    <sheet name="Operating Budget 1" sheetId="10" r:id="rId4"/>
    <sheet name="Income Statement" sheetId="11" r:id="rId5"/>
    <sheet name="CASH BUDGET" sheetId="13" r:id="rId6"/>
    <sheet name="Balance Sheet" sheetId="12" r:id="rId7"/>
    <sheet name="Assumption" sheetId="2" r:id="rId8"/>
    <sheet name="Operating Budgets" sheetId="4" r:id="rId9"/>
    <sheet name="Income Statemen" sheetId="5" state="hidden" r:id="rId10"/>
    <sheet name="Operating Budget" sheetId="6" r:id="rId11"/>
    <sheet name="Financial Budgets Template" sheetId="7" r:id="rId12"/>
    <sheet name="Input (2)" sheetId="8" state="hidden" r:id="rId13"/>
  </sheets>
  <externalReferences>
    <externalReference r:id="rId14"/>
    <externalReference r:id="rId15"/>
  </externalReferences>
  <definedNames>
    <definedName name="__123Graph_A" hidden="1">[1]Graphs!$C$8:$C$18</definedName>
    <definedName name="__123Graph_AGRAPH1" hidden="1">[1]Graphs!$C$8:$C$18</definedName>
    <definedName name="__123Graph_B" hidden="1">[1]Graphs!$E$8:$E$18</definedName>
    <definedName name="__123Graph_BGRAPH1" hidden="1">[1]Graphs!$E$8:$E$18</definedName>
    <definedName name="__123Graph_C" hidden="1">[1]Graphs!$G$8:$G$18</definedName>
    <definedName name="__123Graph_CGRAPH1" hidden="1">[1]Graphs!$G$8:$G$18</definedName>
    <definedName name="__123Graph_D" hidden="1">[1]Graphs!$I$8:$I$18</definedName>
    <definedName name="__123Graph_DGRAPH1" hidden="1">[1]Graphs!$I$8:$I$18</definedName>
    <definedName name="__123Graph_E" hidden="1">[1]Graphs!$K$8:$K$18</definedName>
    <definedName name="__123Graph_EGRAPH1" hidden="1">[1]Graphs!$K$8:$K$18</definedName>
    <definedName name="__123Graph_X" hidden="1">[1]Graphs!$B$8:$B$18</definedName>
    <definedName name="__123Graph_XGRAPH1" hidden="1">[1]Graphs!$B$8:$B$18</definedName>
    <definedName name="_Fill" localSheetId="12" hidden="1">#REF!</definedName>
    <definedName name="_Fill" localSheetId="0" hidden="1">#REF!</definedName>
    <definedName name="_Fill" hidden="1">#REF!</definedName>
    <definedName name="_Sort" hidden="1">[1]Summary!$E$63:$W$92</definedName>
    <definedName name="_Table1_In1" hidden="1">[1]Graphs!$K$5</definedName>
    <definedName name="_Table1_Out" hidden="1">[1]Graphs!$J$7:$K$18</definedName>
    <definedName name="CIQWBGuid" hidden="1">"2cd8126d-26c3-430c-b7fa-a069e3a1fc62"</definedName>
    <definedName name="cost" localSheetId="11">'[2]Operating Budgets'!$H$111</definedName>
    <definedName name="cost" localSheetId="1">'[2]Operating Budgets'!$H$111</definedName>
    <definedName name="cost" localSheetId="12">'[2]Operating Budgets'!$H$111</definedName>
    <definedName name="cost">'Operating Budgets'!$F$115</definedName>
    <definedName name="FormulaChecker.Colour.19" hidden="1">12648447</definedName>
    <definedName name="FormulaChecker.Colour.41" hidden="1">16737843</definedName>
    <definedName name="FormulaChecker.Colour.48" hidden="1">9868950</definedName>
    <definedName name="FormulaChecker.Colour.6" hidden="1">65535</definedName>
    <definedName name="hashpass.admin" hidden="1">"Wuu"</definedName>
    <definedName name="hashpass.corporate" hidden="1">"[ˆC"</definedName>
    <definedName name="hashpass.region" hidden="1">"A"</definedName>
    <definedName name="hours">'Operating Budgets'!$B$54:$F$54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inimum" localSheetId="12">'Input (2)'!#REF!</definedName>
    <definedName name="minimum">Input!#REF!</definedName>
    <definedName name="price">'Operating Budgets'!$B$11:$F$11</definedName>
    <definedName name="rate" localSheetId="12">'Input (2)'!#REF!</definedName>
    <definedName name="rate">Input!#REF!</definedName>
    <definedName name="sales">'Operating Budgets'!$B$13:$F$13</definedName>
    <definedName name="units">'Operating Budgets'!$B$10:$F$10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2" l="1"/>
  <c r="C80" i="12"/>
  <c r="D80" i="12"/>
  <c r="E80" i="12"/>
  <c r="B80" i="12"/>
  <c r="E77" i="12"/>
  <c r="E83" i="12" s="1"/>
  <c r="D77" i="12"/>
  <c r="C77" i="12"/>
  <c r="B77" i="12"/>
  <c r="E64" i="12"/>
  <c r="D64" i="12"/>
  <c r="C64" i="12"/>
  <c r="B74" i="12"/>
  <c r="E71" i="12"/>
  <c r="D71" i="12"/>
  <c r="C71" i="12"/>
  <c r="B71" i="12"/>
  <c r="C70" i="12"/>
  <c r="D70" i="12"/>
  <c r="E70" i="12"/>
  <c r="B70" i="12"/>
  <c r="E66" i="12"/>
  <c r="D66" i="12"/>
  <c r="C66" i="12"/>
  <c r="B66" i="12"/>
  <c r="B64" i="12"/>
  <c r="C65" i="12"/>
  <c r="B65" i="12"/>
  <c r="B67" i="12" s="1"/>
  <c r="E65" i="12"/>
  <c r="E67" i="12" s="1"/>
  <c r="F29" i="12"/>
  <c r="D29" i="12"/>
  <c r="D46" i="12" s="1"/>
  <c r="D54" i="12" s="1"/>
  <c r="F27" i="12"/>
  <c r="E27" i="12"/>
  <c r="D83" i="12" s="1"/>
  <c r="E26" i="12"/>
  <c r="E29" i="12" s="1"/>
  <c r="E46" i="12" s="1"/>
  <c r="E54" i="12" s="1"/>
  <c r="D26" i="12"/>
  <c r="C83" i="12" s="1"/>
  <c r="D25" i="12"/>
  <c r="C25" i="12"/>
  <c r="C24" i="12"/>
  <c r="C29" i="12" s="1"/>
  <c r="C46" i="12" s="1"/>
  <c r="C54" i="12" s="1"/>
  <c r="B24" i="12"/>
  <c r="B29" i="12" s="1"/>
  <c r="B46" i="12" s="1"/>
  <c r="B54" i="12" s="1"/>
  <c r="E16" i="12"/>
  <c r="E39" i="12" s="1"/>
  <c r="F14" i="12"/>
  <c r="F16" i="12" s="1"/>
  <c r="E14" i="12"/>
  <c r="E13" i="12"/>
  <c r="D13" i="12"/>
  <c r="D12" i="12"/>
  <c r="D16" i="12" s="1"/>
  <c r="D39" i="12" s="1"/>
  <c r="C12" i="12"/>
  <c r="C11" i="12"/>
  <c r="C16" i="12" s="1"/>
  <c r="C39" i="12" s="1"/>
  <c r="B11" i="12"/>
  <c r="B16" i="12" s="1"/>
  <c r="B39" i="12" s="1"/>
  <c r="B42" i="12" s="1"/>
  <c r="B55" i="12" s="1"/>
  <c r="B55" i="13"/>
  <c r="B54" i="13"/>
  <c r="B46" i="13"/>
  <c r="F27" i="13"/>
  <c r="F29" i="13" s="1"/>
  <c r="E27" i="13"/>
  <c r="D77" i="13" s="1"/>
  <c r="D83" i="13" s="1"/>
  <c r="E26" i="13"/>
  <c r="D26" i="13"/>
  <c r="C77" i="13" s="1"/>
  <c r="C83" i="13" s="1"/>
  <c r="D25" i="13"/>
  <c r="C25" i="13"/>
  <c r="C24" i="13"/>
  <c r="B24" i="13"/>
  <c r="B29" i="13" s="1"/>
  <c r="F14" i="13"/>
  <c r="E14" i="13"/>
  <c r="D71" i="13" s="1"/>
  <c r="E13" i="13"/>
  <c r="D13" i="13"/>
  <c r="C71" i="13" s="1"/>
  <c r="D12" i="13"/>
  <c r="C12" i="13"/>
  <c r="C11" i="13"/>
  <c r="C16" i="13" s="1"/>
  <c r="C39" i="13" s="1"/>
  <c r="B11" i="13"/>
  <c r="E80" i="13"/>
  <c r="D80" i="13"/>
  <c r="C80" i="13"/>
  <c r="B80" i="13"/>
  <c r="E77" i="13"/>
  <c r="E83" i="13" s="1"/>
  <c r="E71" i="13"/>
  <c r="E66" i="13"/>
  <c r="D66" i="13"/>
  <c r="C66" i="13"/>
  <c r="B66" i="13"/>
  <c r="D65" i="13"/>
  <c r="D67" i="13" s="1"/>
  <c r="C65" i="13"/>
  <c r="C67" i="13" s="1"/>
  <c r="E64" i="13"/>
  <c r="E65" i="13" s="1"/>
  <c r="E67" i="13" s="1"/>
  <c r="B64" i="13"/>
  <c r="B65" i="13" s="1"/>
  <c r="B67" i="13" s="1"/>
  <c r="B77" i="13"/>
  <c r="B83" i="13" s="1"/>
  <c r="E29" i="13"/>
  <c r="E46" i="13" s="1"/>
  <c r="E54" i="13" s="1"/>
  <c r="D29" i="13"/>
  <c r="D46" i="13" s="1"/>
  <c r="D54" i="13" s="1"/>
  <c r="C29" i="13"/>
  <c r="C46" i="13" s="1"/>
  <c r="C54" i="13" s="1"/>
  <c r="F16" i="13"/>
  <c r="B71" i="13"/>
  <c r="E16" i="13"/>
  <c r="E39" i="13" s="1"/>
  <c r="D16" i="13"/>
  <c r="D39" i="13" s="1"/>
  <c r="B16" i="13"/>
  <c r="B39" i="13" s="1"/>
  <c r="B42" i="13" s="1"/>
  <c r="B15" i="11"/>
  <c r="C16" i="11"/>
  <c r="D16" i="11"/>
  <c r="E16" i="11"/>
  <c r="F16" i="11"/>
  <c r="B16" i="11"/>
  <c r="F15" i="11"/>
  <c r="E15" i="11"/>
  <c r="D15" i="11"/>
  <c r="C15" i="11"/>
  <c r="F14" i="11"/>
  <c r="C14" i="11"/>
  <c r="D14" i="11"/>
  <c r="E14" i="11"/>
  <c r="B14" i="11"/>
  <c r="F13" i="11"/>
  <c r="F12" i="11"/>
  <c r="C11" i="11"/>
  <c r="D11" i="11"/>
  <c r="E11" i="11"/>
  <c r="F11" i="11"/>
  <c r="B11" i="11"/>
  <c r="F10" i="11"/>
  <c r="E10" i="11"/>
  <c r="D10" i="11"/>
  <c r="C10" i="11"/>
  <c r="B10" i="11"/>
  <c r="F9" i="11"/>
  <c r="E9" i="11"/>
  <c r="D9" i="11"/>
  <c r="C9" i="11"/>
  <c r="B9" i="11"/>
  <c r="C88" i="10"/>
  <c r="D88" i="10"/>
  <c r="E88" i="10"/>
  <c r="F88" i="10"/>
  <c r="G88" i="10"/>
  <c r="H88" i="10"/>
  <c r="I88" i="10"/>
  <c r="J88" i="10"/>
  <c r="K88" i="10"/>
  <c r="L88" i="10"/>
  <c r="M88" i="10"/>
  <c r="B88" i="10"/>
  <c r="C86" i="10"/>
  <c r="D86" i="10"/>
  <c r="E86" i="10"/>
  <c r="F86" i="10"/>
  <c r="G86" i="10"/>
  <c r="H86" i="10"/>
  <c r="I86" i="10"/>
  <c r="J86" i="10"/>
  <c r="K86" i="10"/>
  <c r="L86" i="10"/>
  <c r="M86" i="10"/>
  <c r="C77" i="10"/>
  <c r="D77" i="10"/>
  <c r="E77" i="10"/>
  <c r="N77" i="10" s="1"/>
  <c r="F77" i="10"/>
  <c r="G77" i="10"/>
  <c r="H77" i="10"/>
  <c r="I77" i="10"/>
  <c r="J77" i="10"/>
  <c r="K77" i="10"/>
  <c r="L77" i="10"/>
  <c r="M77" i="10"/>
  <c r="B86" i="10"/>
  <c r="B77" i="10"/>
  <c r="C8" i="11"/>
  <c r="D8" i="11"/>
  <c r="E8" i="11"/>
  <c r="F8" i="11"/>
  <c r="B8" i="11"/>
  <c r="F7" i="11"/>
  <c r="E7" i="11"/>
  <c r="D7" i="11"/>
  <c r="C7" i="11"/>
  <c r="B7" i="11"/>
  <c r="F6" i="11"/>
  <c r="E6" i="11"/>
  <c r="D6" i="11"/>
  <c r="C6" i="11"/>
  <c r="B6" i="11"/>
  <c r="N38" i="10"/>
  <c r="N21" i="10"/>
  <c r="N22" i="10"/>
  <c r="N23" i="10"/>
  <c r="N24" i="10"/>
  <c r="N26" i="10"/>
  <c r="N27" i="10"/>
  <c r="N28" i="10"/>
  <c r="N29" i="10"/>
  <c r="N31" i="10"/>
  <c r="N32" i="10"/>
  <c r="N33" i="10"/>
  <c r="N34" i="10"/>
  <c r="N35" i="10"/>
  <c r="N37" i="10"/>
  <c r="N39" i="10"/>
  <c r="N40" i="10"/>
  <c r="N42" i="10"/>
  <c r="N43" i="10"/>
  <c r="N44" i="10"/>
  <c r="N45" i="10"/>
  <c r="N47" i="10"/>
  <c r="N48" i="10"/>
  <c r="N49" i="10"/>
  <c r="N50" i="10"/>
  <c r="N51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8" i="10"/>
  <c r="N79" i="10"/>
  <c r="N80" i="10"/>
  <c r="N81" i="10"/>
  <c r="N82" i="10"/>
  <c r="N83" i="10"/>
  <c r="N84" i="10"/>
  <c r="N85" i="10"/>
  <c r="N87" i="10"/>
  <c r="N89" i="10"/>
  <c r="C90" i="10"/>
  <c r="K90" i="10"/>
  <c r="D90" i="10"/>
  <c r="G90" i="10"/>
  <c r="H90" i="10"/>
  <c r="L90" i="10"/>
  <c r="C69" i="10"/>
  <c r="D69" i="10"/>
  <c r="E69" i="10"/>
  <c r="F69" i="10"/>
  <c r="G69" i="10"/>
  <c r="H69" i="10"/>
  <c r="I69" i="10"/>
  <c r="J69" i="10"/>
  <c r="K69" i="10"/>
  <c r="L69" i="10"/>
  <c r="M69" i="10"/>
  <c r="C70" i="10"/>
  <c r="D70" i="10"/>
  <c r="E70" i="10"/>
  <c r="F70" i="10"/>
  <c r="G70" i="10"/>
  <c r="H70" i="10"/>
  <c r="I70" i="10"/>
  <c r="J70" i="10"/>
  <c r="K70" i="10"/>
  <c r="L70" i="10"/>
  <c r="M70" i="10"/>
  <c r="C71" i="10"/>
  <c r="D71" i="10"/>
  <c r="E71" i="10"/>
  <c r="F71" i="10"/>
  <c r="G71" i="10"/>
  <c r="H71" i="10"/>
  <c r="I71" i="10"/>
  <c r="J71" i="10"/>
  <c r="K71" i="10"/>
  <c r="L71" i="10"/>
  <c r="M71" i="10"/>
  <c r="C72" i="10"/>
  <c r="D72" i="10"/>
  <c r="E72" i="10"/>
  <c r="F72" i="10"/>
  <c r="G72" i="10"/>
  <c r="H72" i="10"/>
  <c r="I72" i="10"/>
  <c r="J72" i="10"/>
  <c r="K72" i="10"/>
  <c r="L72" i="10"/>
  <c r="M72" i="10"/>
  <c r="C73" i="10"/>
  <c r="D73" i="10"/>
  <c r="E73" i="10"/>
  <c r="F73" i="10"/>
  <c r="G73" i="10"/>
  <c r="H73" i="10"/>
  <c r="I73" i="10"/>
  <c r="J73" i="10"/>
  <c r="K73" i="10"/>
  <c r="L73" i="10"/>
  <c r="M73" i="10"/>
  <c r="C74" i="10"/>
  <c r="D74" i="10"/>
  <c r="E74" i="10"/>
  <c r="F74" i="10"/>
  <c r="G74" i="10"/>
  <c r="H74" i="10"/>
  <c r="I74" i="10"/>
  <c r="J74" i="10"/>
  <c r="K74" i="10"/>
  <c r="L74" i="10"/>
  <c r="M74" i="10"/>
  <c r="C75" i="10"/>
  <c r="D75" i="10"/>
  <c r="E75" i="10"/>
  <c r="F75" i="10"/>
  <c r="G75" i="10"/>
  <c r="H75" i="10"/>
  <c r="I75" i="10"/>
  <c r="J75" i="10"/>
  <c r="K75" i="10"/>
  <c r="L75" i="10"/>
  <c r="M75" i="10"/>
  <c r="C76" i="10"/>
  <c r="D76" i="10"/>
  <c r="E76" i="10"/>
  <c r="F76" i="10"/>
  <c r="G76" i="10"/>
  <c r="H76" i="10"/>
  <c r="I76" i="10"/>
  <c r="J76" i="10"/>
  <c r="K76" i="10"/>
  <c r="L76" i="10"/>
  <c r="M76" i="10"/>
  <c r="C79" i="10"/>
  <c r="D79" i="10"/>
  <c r="E79" i="10"/>
  <c r="F79" i="10"/>
  <c r="G79" i="10"/>
  <c r="H79" i="10"/>
  <c r="I79" i="10"/>
  <c r="J79" i="10"/>
  <c r="K79" i="10"/>
  <c r="L79" i="10"/>
  <c r="M79" i="10"/>
  <c r="C80" i="10"/>
  <c r="D80" i="10"/>
  <c r="E80" i="10"/>
  <c r="F80" i="10"/>
  <c r="G80" i="10"/>
  <c r="H80" i="10"/>
  <c r="I80" i="10"/>
  <c r="J80" i="10"/>
  <c r="K80" i="10"/>
  <c r="L80" i="10"/>
  <c r="M80" i="10"/>
  <c r="C81" i="10"/>
  <c r="D81" i="10"/>
  <c r="E81" i="10"/>
  <c r="F81" i="10"/>
  <c r="G81" i="10"/>
  <c r="H81" i="10"/>
  <c r="I81" i="10"/>
  <c r="J81" i="10"/>
  <c r="K81" i="10"/>
  <c r="L81" i="10"/>
  <c r="M81" i="10"/>
  <c r="C82" i="10"/>
  <c r="D82" i="10"/>
  <c r="E82" i="10"/>
  <c r="F82" i="10"/>
  <c r="G82" i="10"/>
  <c r="H82" i="10"/>
  <c r="I82" i="10"/>
  <c r="J82" i="10"/>
  <c r="K82" i="10"/>
  <c r="L82" i="10"/>
  <c r="M82" i="10"/>
  <c r="C83" i="10"/>
  <c r="D83" i="10"/>
  <c r="E83" i="10"/>
  <c r="F83" i="10"/>
  <c r="G83" i="10"/>
  <c r="H83" i="10"/>
  <c r="I83" i="10"/>
  <c r="J83" i="10"/>
  <c r="K83" i="10"/>
  <c r="L83" i="10"/>
  <c r="M83" i="10"/>
  <c r="C84" i="10"/>
  <c r="D84" i="10"/>
  <c r="E84" i="10"/>
  <c r="F84" i="10"/>
  <c r="G84" i="10"/>
  <c r="H84" i="10"/>
  <c r="I84" i="10"/>
  <c r="J84" i="10"/>
  <c r="K84" i="10"/>
  <c r="L84" i="10"/>
  <c r="M84" i="10"/>
  <c r="C85" i="10"/>
  <c r="D85" i="10"/>
  <c r="E85" i="10"/>
  <c r="F85" i="10"/>
  <c r="G85" i="10"/>
  <c r="H85" i="10"/>
  <c r="I85" i="10"/>
  <c r="J85" i="10"/>
  <c r="K85" i="10"/>
  <c r="L85" i="10"/>
  <c r="M85" i="10"/>
  <c r="B79" i="10"/>
  <c r="B80" i="10"/>
  <c r="B81" i="10"/>
  <c r="B82" i="10"/>
  <c r="B83" i="10"/>
  <c r="B84" i="10"/>
  <c r="B85" i="10"/>
  <c r="B70" i="10"/>
  <c r="B71" i="10"/>
  <c r="B72" i="10"/>
  <c r="B73" i="10"/>
  <c r="B74" i="10"/>
  <c r="B75" i="10"/>
  <c r="B76" i="10"/>
  <c r="B69" i="10"/>
  <c r="C64" i="10"/>
  <c r="D64" i="10"/>
  <c r="D65" i="10" s="1"/>
  <c r="E64" i="10"/>
  <c r="E65" i="10" s="1"/>
  <c r="F64" i="10"/>
  <c r="F65" i="10" s="1"/>
  <c r="G64" i="10"/>
  <c r="H64" i="10"/>
  <c r="H65" i="10" s="1"/>
  <c r="I64" i="10"/>
  <c r="I65" i="10" s="1"/>
  <c r="J64" i="10"/>
  <c r="J65" i="10" s="1"/>
  <c r="K64" i="10"/>
  <c r="L64" i="10"/>
  <c r="L65" i="10" s="1"/>
  <c r="M64" i="10"/>
  <c r="M65" i="10" s="1"/>
  <c r="C65" i="10"/>
  <c r="G65" i="10"/>
  <c r="K65" i="10"/>
  <c r="B65" i="10"/>
  <c r="B64" i="10"/>
  <c r="C63" i="10"/>
  <c r="D63" i="10"/>
  <c r="E63" i="10"/>
  <c r="F63" i="10"/>
  <c r="G63" i="10"/>
  <c r="H63" i="10"/>
  <c r="I63" i="10"/>
  <c r="J63" i="10"/>
  <c r="K63" i="10"/>
  <c r="L63" i="10"/>
  <c r="M63" i="10"/>
  <c r="C50" i="10"/>
  <c r="D50" i="10"/>
  <c r="E50" i="10"/>
  <c r="F50" i="10"/>
  <c r="G50" i="10"/>
  <c r="H50" i="10"/>
  <c r="I50" i="10"/>
  <c r="J50" i="10"/>
  <c r="K50" i="10"/>
  <c r="L50" i="10"/>
  <c r="M50" i="10"/>
  <c r="C45" i="10"/>
  <c r="D45" i="10"/>
  <c r="E45" i="10"/>
  <c r="F45" i="10"/>
  <c r="G45" i="10"/>
  <c r="H45" i="10"/>
  <c r="I45" i="10"/>
  <c r="J45" i="10"/>
  <c r="K45" i="10"/>
  <c r="L45" i="10"/>
  <c r="M45" i="10"/>
  <c r="C40" i="10"/>
  <c r="D40" i="10"/>
  <c r="E40" i="10"/>
  <c r="F40" i="10"/>
  <c r="G40" i="10"/>
  <c r="H40" i="10"/>
  <c r="I40" i="10"/>
  <c r="J40" i="10"/>
  <c r="K40" i="10"/>
  <c r="L40" i="10"/>
  <c r="M40" i="10"/>
  <c r="C34" i="10"/>
  <c r="D34" i="10"/>
  <c r="E34" i="10"/>
  <c r="F34" i="10"/>
  <c r="G34" i="10"/>
  <c r="H34" i="10"/>
  <c r="I34" i="10"/>
  <c r="J34" i="10"/>
  <c r="K34" i="10"/>
  <c r="L34" i="10"/>
  <c r="M34" i="10"/>
  <c r="C29" i="10"/>
  <c r="D29" i="10"/>
  <c r="E29" i="10"/>
  <c r="F29" i="10"/>
  <c r="G29" i="10"/>
  <c r="H29" i="10"/>
  <c r="I29" i="10"/>
  <c r="J29" i="10"/>
  <c r="K29" i="10"/>
  <c r="L29" i="10"/>
  <c r="M29" i="10"/>
  <c r="C24" i="10"/>
  <c r="D24" i="10"/>
  <c r="E24" i="10"/>
  <c r="F24" i="10"/>
  <c r="G24" i="10"/>
  <c r="H24" i="10"/>
  <c r="I24" i="10"/>
  <c r="J24" i="10"/>
  <c r="K24" i="10"/>
  <c r="L24" i="10"/>
  <c r="M24" i="10"/>
  <c r="B24" i="10"/>
  <c r="B29" i="10"/>
  <c r="B34" i="10"/>
  <c r="B40" i="10"/>
  <c r="B45" i="10"/>
  <c r="B50" i="10"/>
  <c r="B63" i="10"/>
  <c r="C61" i="10"/>
  <c r="G61" i="10"/>
  <c r="K61" i="10"/>
  <c r="H37" i="10"/>
  <c r="O13" i="10"/>
  <c r="O15" i="10"/>
  <c r="O14" i="10"/>
  <c r="N12" i="10"/>
  <c r="Q12" i="10" s="1"/>
  <c r="B9" i="10"/>
  <c r="C9" i="10" s="1"/>
  <c r="D9" i="10" s="1"/>
  <c r="E9" i="10" s="1"/>
  <c r="B10" i="10"/>
  <c r="C10" i="10" s="1"/>
  <c r="D10" i="10" s="1"/>
  <c r="B11" i="10"/>
  <c r="C11" i="10" s="1"/>
  <c r="D11" i="10" s="1"/>
  <c r="C8" i="10"/>
  <c r="C31" i="10" s="1"/>
  <c r="D8" i="10"/>
  <c r="D32" i="10" s="1"/>
  <c r="E8" i="10"/>
  <c r="E33" i="10" s="1"/>
  <c r="F8" i="10"/>
  <c r="F33" i="10" s="1"/>
  <c r="G8" i="10"/>
  <c r="G31" i="10" s="1"/>
  <c r="H8" i="10"/>
  <c r="H32" i="10" s="1"/>
  <c r="I8" i="10"/>
  <c r="I33" i="10" s="1"/>
  <c r="J8" i="10"/>
  <c r="J31" i="10" s="1"/>
  <c r="K8" i="10"/>
  <c r="K31" i="10" s="1"/>
  <c r="L8" i="10"/>
  <c r="L32" i="10" s="1"/>
  <c r="M8" i="10"/>
  <c r="M33" i="10" s="1"/>
  <c r="C7" i="10"/>
  <c r="C27" i="10" s="1"/>
  <c r="D7" i="10"/>
  <c r="D28" i="10" s="1"/>
  <c r="E7" i="10"/>
  <c r="E26" i="10" s="1"/>
  <c r="F7" i="10"/>
  <c r="F26" i="10" s="1"/>
  <c r="G7" i="10"/>
  <c r="G27" i="10" s="1"/>
  <c r="H7" i="10"/>
  <c r="H28" i="10" s="1"/>
  <c r="I7" i="10"/>
  <c r="I28" i="10" s="1"/>
  <c r="J7" i="10"/>
  <c r="J26" i="10" s="1"/>
  <c r="K7" i="10"/>
  <c r="K27" i="10" s="1"/>
  <c r="L7" i="10"/>
  <c r="L28" i="10" s="1"/>
  <c r="M7" i="10"/>
  <c r="M28" i="10" s="1"/>
  <c r="C6" i="10"/>
  <c r="C39" i="10" s="1"/>
  <c r="D6" i="10"/>
  <c r="D22" i="10" s="1"/>
  <c r="E6" i="10"/>
  <c r="E23" i="10" s="1"/>
  <c r="F6" i="10"/>
  <c r="F22" i="10" s="1"/>
  <c r="G6" i="10"/>
  <c r="G22" i="10" s="1"/>
  <c r="H6" i="10"/>
  <c r="H23" i="10" s="1"/>
  <c r="I6" i="10"/>
  <c r="I23" i="10" s="1"/>
  <c r="J6" i="10"/>
  <c r="J22" i="10" s="1"/>
  <c r="K6" i="10"/>
  <c r="K22" i="10" s="1"/>
  <c r="L6" i="10"/>
  <c r="L23" i="10" s="1"/>
  <c r="M6" i="10"/>
  <c r="M23" i="10" s="1"/>
  <c r="B8" i="10"/>
  <c r="B33" i="10" s="1"/>
  <c r="B7" i="10"/>
  <c r="B26" i="10" s="1"/>
  <c r="B6" i="10"/>
  <c r="B21" i="10" s="1"/>
  <c r="E7" i="9"/>
  <c r="D8" i="9"/>
  <c r="G8" i="9" s="1"/>
  <c r="C8" i="9"/>
  <c r="B8" i="9"/>
  <c r="D7" i="9"/>
  <c r="F7" i="9" s="1"/>
  <c r="C7" i="9"/>
  <c r="B7" i="9"/>
  <c r="B6" i="9"/>
  <c r="D6" i="9"/>
  <c r="G6" i="9" s="1"/>
  <c r="C6" i="9"/>
  <c r="B82" i="8"/>
  <c r="B30" i="8"/>
  <c r="B29" i="8"/>
  <c r="B28" i="8"/>
  <c r="B83" i="8" s="1"/>
  <c r="B27" i="8"/>
  <c r="B26" i="8"/>
  <c r="B25" i="8"/>
  <c r="B24" i="8"/>
  <c r="B23" i="8"/>
  <c r="B22" i="8"/>
  <c r="B21" i="8"/>
  <c r="B20" i="8"/>
  <c r="B19" i="8"/>
  <c r="B18" i="8"/>
  <c r="B17" i="8"/>
  <c r="D9" i="8"/>
  <c r="C9" i="8"/>
  <c r="B9" i="8"/>
  <c r="D7" i="8"/>
  <c r="C7" i="8"/>
  <c r="B7" i="8"/>
  <c r="E66" i="7"/>
  <c r="D66" i="7"/>
  <c r="C66" i="7"/>
  <c r="B66" i="7"/>
  <c r="D65" i="7"/>
  <c r="D67" i="7" s="1"/>
  <c r="C65" i="7"/>
  <c r="C67" i="7" s="1"/>
  <c r="B65" i="7"/>
  <c r="B67" i="7" s="1"/>
  <c r="E64" i="7"/>
  <c r="E65" i="7" s="1"/>
  <c r="E67" i="7" s="1"/>
  <c r="B64" i="7"/>
  <c r="N84" i="6"/>
  <c r="N82" i="6"/>
  <c r="M81" i="6"/>
  <c r="L81" i="6"/>
  <c r="K81" i="6"/>
  <c r="J81" i="6"/>
  <c r="I81" i="6"/>
  <c r="H81" i="6"/>
  <c r="G81" i="6"/>
  <c r="F81" i="6"/>
  <c r="E81" i="6"/>
  <c r="D81" i="6"/>
  <c r="C81" i="6"/>
  <c r="B81" i="6"/>
  <c r="N80" i="6"/>
  <c r="N79" i="6"/>
  <c r="N78" i="6"/>
  <c r="N77" i="6"/>
  <c r="N76" i="6"/>
  <c r="N75" i="6"/>
  <c r="N74" i="6"/>
  <c r="N81" i="6" s="1"/>
  <c r="N73" i="6"/>
  <c r="M72" i="6"/>
  <c r="M83" i="6" s="1"/>
  <c r="L72" i="6"/>
  <c r="L83" i="6" s="1"/>
  <c r="K72" i="6"/>
  <c r="K83" i="6" s="1"/>
  <c r="J72" i="6"/>
  <c r="J83" i="6" s="1"/>
  <c r="I72" i="6"/>
  <c r="I83" i="6" s="1"/>
  <c r="H72" i="6"/>
  <c r="H83" i="6" s="1"/>
  <c r="G72" i="6"/>
  <c r="G83" i="6" s="1"/>
  <c r="F72" i="6"/>
  <c r="F83" i="6" s="1"/>
  <c r="E72" i="6"/>
  <c r="E83" i="6" s="1"/>
  <c r="D72" i="6"/>
  <c r="D83" i="6" s="1"/>
  <c r="C72" i="6"/>
  <c r="C83" i="6" s="1"/>
  <c r="B72" i="6"/>
  <c r="B83" i="6" s="1"/>
  <c r="N71" i="6"/>
  <c r="N70" i="6"/>
  <c r="N69" i="6"/>
  <c r="N68" i="6"/>
  <c r="N67" i="6"/>
  <c r="N66" i="6"/>
  <c r="N65" i="6"/>
  <c r="N64" i="6"/>
  <c r="N72" i="6" s="1"/>
  <c r="N83" i="6" s="1"/>
  <c r="N63" i="6"/>
  <c r="N62" i="6"/>
  <c r="N61" i="6"/>
  <c r="M59" i="6"/>
  <c r="L59" i="6"/>
  <c r="J59" i="6"/>
  <c r="I59" i="6"/>
  <c r="G59" i="6"/>
  <c r="F59" i="6"/>
  <c r="D59" i="6"/>
  <c r="C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0" i="6"/>
  <c r="N29" i="6"/>
  <c r="N25" i="6"/>
  <c r="N24" i="6"/>
  <c r="M16" i="6"/>
  <c r="M60" i="6" s="1"/>
  <c r="M85" i="6" s="1"/>
  <c r="I16" i="6"/>
  <c r="I60" i="6" s="1"/>
  <c r="I85" i="6" s="1"/>
  <c r="M15" i="6"/>
  <c r="L15" i="6"/>
  <c r="J15" i="6"/>
  <c r="I15" i="6"/>
  <c r="M14" i="6"/>
  <c r="L14" i="6"/>
  <c r="J14" i="6"/>
  <c r="I14" i="6"/>
  <c r="M13" i="6"/>
  <c r="L13" i="6"/>
  <c r="L16" i="6" s="1"/>
  <c r="L60" i="6" s="1"/>
  <c r="L85" i="6" s="1"/>
  <c r="J13" i="6"/>
  <c r="J16" i="6" s="1"/>
  <c r="J60" i="6" s="1"/>
  <c r="J85" i="6" s="1"/>
  <c r="I13" i="6"/>
  <c r="N12" i="6"/>
  <c r="N11" i="6"/>
  <c r="N10" i="6"/>
  <c r="N9" i="6"/>
  <c r="F129" i="4"/>
  <c r="F128" i="4"/>
  <c r="E126" i="4"/>
  <c r="D126" i="4"/>
  <c r="C126" i="4"/>
  <c r="B126" i="4"/>
  <c r="F126" i="4" s="1"/>
  <c r="E125" i="4"/>
  <c r="D125" i="4"/>
  <c r="C125" i="4"/>
  <c r="B125" i="4"/>
  <c r="F125" i="4" s="1"/>
  <c r="A101" i="4"/>
  <c r="A100" i="4"/>
  <c r="A99" i="4"/>
  <c r="A98" i="4"/>
  <c r="A97" i="4"/>
  <c r="A96" i="4"/>
  <c r="A91" i="4"/>
  <c r="A90" i="4"/>
  <c r="A75" i="4"/>
  <c r="A74" i="4"/>
  <c r="A73" i="4"/>
  <c r="A72" i="4"/>
  <c r="A67" i="4"/>
  <c r="A66" i="4"/>
  <c r="A65" i="4"/>
  <c r="A64" i="4"/>
  <c r="A36" i="4"/>
  <c r="A24" i="4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D12" i="3"/>
  <c r="C12" i="3"/>
  <c r="B12" i="3"/>
  <c r="H10" i="3"/>
  <c r="B8" i="6" s="1"/>
  <c r="D10" i="3"/>
  <c r="C10" i="3"/>
  <c r="G10" i="3" s="1"/>
  <c r="B7" i="6" s="1"/>
  <c r="B10" i="3"/>
  <c r="F10" i="3" s="1"/>
  <c r="B6" i="6" s="1"/>
  <c r="K8" i="3"/>
  <c r="K10" i="3" s="1"/>
  <c r="E8" i="6" s="1"/>
  <c r="H8" i="3"/>
  <c r="G8" i="3"/>
  <c r="J8" i="3" s="1"/>
  <c r="F8" i="3"/>
  <c r="I8" i="3" s="1"/>
  <c r="B10" i="2"/>
  <c r="B11" i="2" s="1"/>
  <c r="B12" i="2" s="1"/>
  <c r="B15" i="2" s="1"/>
  <c r="B16" i="2" s="1"/>
  <c r="B17" i="2" s="1"/>
  <c r="B18" i="2" s="1"/>
  <c r="B19" i="2" s="1"/>
  <c r="B20" i="2" s="1"/>
  <c r="B23" i="2" s="1"/>
  <c r="B24" i="2" s="1"/>
  <c r="B9" i="2"/>
  <c r="N91" i="1"/>
  <c r="R91" i="1" s="1"/>
  <c r="O88" i="1"/>
  <c r="M88" i="1"/>
  <c r="L88" i="1"/>
  <c r="K88" i="1"/>
  <c r="J88" i="1"/>
  <c r="I88" i="1"/>
  <c r="H88" i="1"/>
  <c r="G88" i="1"/>
  <c r="F88" i="1"/>
  <c r="E88" i="1"/>
  <c r="D88" i="1"/>
  <c r="C88" i="1"/>
  <c r="B88" i="1"/>
  <c r="R86" i="1"/>
  <c r="N86" i="1"/>
  <c r="Q86" i="1" s="1"/>
  <c r="R85" i="1"/>
  <c r="Q85" i="1"/>
  <c r="N85" i="1"/>
  <c r="N84" i="1"/>
  <c r="R84" i="1" s="1"/>
  <c r="R88" i="1" s="1"/>
  <c r="O80" i="1"/>
  <c r="Q80" i="1" s="1"/>
  <c r="M80" i="1"/>
  <c r="L80" i="1"/>
  <c r="K80" i="1"/>
  <c r="J80" i="1"/>
  <c r="I80" i="1"/>
  <c r="H80" i="1"/>
  <c r="G80" i="1"/>
  <c r="F80" i="1"/>
  <c r="E80" i="1"/>
  <c r="D80" i="1"/>
  <c r="C80" i="1"/>
  <c r="B80" i="1"/>
  <c r="N78" i="1"/>
  <c r="R78" i="1" s="1"/>
  <c r="R77" i="1"/>
  <c r="N77" i="1"/>
  <c r="Q77" i="1" s="1"/>
  <c r="R76" i="1"/>
  <c r="Q76" i="1"/>
  <c r="N76" i="1"/>
  <c r="N75" i="1"/>
  <c r="N80" i="1" s="1"/>
  <c r="N74" i="1"/>
  <c r="R74" i="1" s="1"/>
  <c r="R71" i="1"/>
  <c r="N71" i="1"/>
  <c r="Q71" i="1" s="1"/>
  <c r="R70" i="1"/>
  <c r="Q70" i="1"/>
  <c r="N70" i="1"/>
  <c r="O66" i="1"/>
  <c r="Q66" i="1" s="1"/>
  <c r="M66" i="1"/>
  <c r="L66" i="1"/>
  <c r="K66" i="1"/>
  <c r="J66" i="1"/>
  <c r="I66" i="1"/>
  <c r="H66" i="1"/>
  <c r="G66" i="1"/>
  <c r="F66" i="1"/>
  <c r="E66" i="1"/>
  <c r="D66" i="1"/>
  <c r="C66" i="1"/>
  <c r="B66" i="1"/>
  <c r="N64" i="1"/>
  <c r="R64" i="1" s="1"/>
  <c r="N63" i="1"/>
  <c r="R63" i="1" s="1"/>
  <c r="R62" i="1"/>
  <c r="N62" i="1"/>
  <c r="Q62" i="1" s="1"/>
  <c r="R61" i="1"/>
  <c r="Q61" i="1"/>
  <c r="N61" i="1"/>
  <c r="N60" i="1"/>
  <c r="R60" i="1" s="1"/>
  <c r="N57" i="1"/>
  <c r="R57" i="1" s="1"/>
  <c r="R56" i="1"/>
  <c r="N56" i="1"/>
  <c r="Q56" i="1" s="1"/>
  <c r="R55" i="1"/>
  <c r="Q55" i="1"/>
  <c r="N55" i="1"/>
  <c r="N54" i="1"/>
  <c r="R54" i="1" s="1"/>
  <c r="N53" i="1"/>
  <c r="R53" i="1" s="1"/>
  <c r="R50" i="1"/>
  <c r="N50" i="1"/>
  <c r="Q50" i="1" s="1"/>
  <c r="R49" i="1"/>
  <c r="Q49" i="1"/>
  <c r="N49" i="1"/>
  <c r="N48" i="1"/>
  <c r="R48" i="1" s="1"/>
  <c r="N47" i="1"/>
  <c r="R47" i="1" s="1"/>
  <c r="R46" i="1"/>
  <c r="N46" i="1"/>
  <c r="N66" i="1" s="1"/>
  <c r="O42" i="1"/>
  <c r="M42" i="1"/>
  <c r="L42" i="1"/>
  <c r="K42" i="1"/>
  <c r="J42" i="1"/>
  <c r="I42" i="1"/>
  <c r="H42" i="1"/>
  <c r="G42" i="1"/>
  <c r="F42" i="1"/>
  <c r="E42" i="1"/>
  <c r="D42" i="1"/>
  <c r="C42" i="1"/>
  <c r="B42" i="1"/>
  <c r="R40" i="1"/>
  <c r="Q40" i="1"/>
  <c r="N40" i="1"/>
  <c r="N39" i="1"/>
  <c r="R39" i="1" s="1"/>
  <c r="N38" i="1"/>
  <c r="R38" i="1" s="1"/>
  <c r="R37" i="1"/>
  <c r="N37" i="1"/>
  <c r="Q37" i="1" s="1"/>
  <c r="R36" i="1"/>
  <c r="Q36" i="1"/>
  <c r="N36" i="1"/>
  <c r="N35" i="1"/>
  <c r="R35" i="1" s="1"/>
  <c r="N34" i="1"/>
  <c r="R34" i="1" s="1"/>
  <c r="R33" i="1"/>
  <c r="N33" i="1"/>
  <c r="Q33" i="1" s="1"/>
  <c r="R32" i="1"/>
  <c r="Q32" i="1"/>
  <c r="N32" i="1"/>
  <c r="N31" i="1"/>
  <c r="R31" i="1" s="1"/>
  <c r="N30" i="1"/>
  <c r="R30" i="1" s="1"/>
  <c r="R29" i="1"/>
  <c r="N29" i="1"/>
  <c r="Q29" i="1" s="1"/>
  <c r="R28" i="1"/>
  <c r="Q28" i="1"/>
  <c r="N28" i="1"/>
  <c r="N27" i="1"/>
  <c r="R27" i="1" s="1"/>
  <c r="N26" i="1"/>
  <c r="R26" i="1" s="1"/>
  <c r="O20" i="1"/>
  <c r="M20" i="1"/>
  <c r="L20" i="1"/>
  <c r="K20" i="1"/>
  <c r="J20" i="1"/>
  <c r="I20" i="1"/>
  <c r="H20" i="1"/>
  <c r="G20" i="1"/>
  <c r="F20" i="1"/>
  <c r="E20" i="1"/>
  <c r="D20" i="1"/>
  <c r="C20" i="1"/>
  <c r="B20" i="1"/>
  <c r="N20" i="1" s="1"/>
  <c r="O19" i="1"/>
  <c r="M19" i="1"/>
  <c r="L19" i="1"/>
  <c r="K19" i="1"/>
  <c r="J19" i="1"/>
  <c r="I19" i="1"/>
  <c r="H19" i="1"/>
  <c r="G19" i="1"/>
  <c r="F19" i="1"/>
  <c r="E19" i="1"/>
  <c r="D19" i="1"/>
  <c r="C19" i="1"/>
  <c r="B19" i="1"/>
  <c r="N19" i="1" s="1"/>
  <c r="O18" i="1"/>
  <c r="M18" i="1"/>
  <c r="M23" i="1" s="1"/>
  <c r="M43" i="1" s="1"/>
  <c r="M67" i="1" s="1"/>
  <c r="M81" i="1" s="1"/>
  <c r="M89" i="1" s="1"/>
  <c r="M93" i="1" s="1"/>
  <c r="L18" i="1"/>
  <c r="L23" i="1" s="1"/>
  <c r="L43" i="1" s="1"/>
  <c r="L67" i="1" s="1"/>
  <c r="L81" i="1" s="1"/>
  <c r="L89" i="1" s="1"/>
  <c r="L93" i="1" s="1"/>
  <c r="K18" i="1"/>
  <c r="K23" i="1" s="1"/>
  <c r="K43" i="1" s="1"/>
  <c r="K67" i="1" s="1"/>
  <c r="K81" i="1" s="1"/>
  <c r="K89" i="1" s="1"/>
  <c r="K93" i="1" s="1"/>
  <c r="J18" i="1"/>
  <c r="J23" i="1" s="1"/>
  <c r="J43" i="1" s="1"/>
  <c r="J67" i="1" s="1"/>
  <c r="J81" i="1" s="1"/>
  <c r="J89" i="1" s="1"/>
  <c r="J93" i="1" s="1"/>
  <c r="I18" i="1"/>
  <c r="I23" i="1" s="1"/>
  <c r="I43" i="1" s="1"/>
  <c r="I67" i="1" s="1"/>
  <c r="I81" i="1" s="1"/>
  <c r="I89" i="1" s="1"/>
  <c r="I93" i="1" s="1"/>
  <c r="H18" i="1"/>
  <c r="H23" i="1" s="1"/>
  <c r="H43" i="1" s="1"/>
  <c r="H67" i="1" s="1"/>
  <c r="H81" i="1" s="1"/>
  <c r="H89" i="1" s="1"/>
  <c r="H93" i="1" s="1"/>
  <c r="G18" i="1"/>
  <c r="G23" i="1" s="1"/>
  <c r="G43" i="1" s="1"/>
  <c r="G67" i="1" s="1"/>
  <c r="G81" i="1" s="1"/>
  <c r="G89" i="1" s="1"/>
  <c r="G93" i="1" s="1"/>
  <c r="F18" i="1"/>
  <c r="F23" i="1" s="1"/>
  <c r="F43" i="1" s="1"/>
  <c r="F67" i="1" s="1"/>
  <c r="F81" i="1" s="1"/>
  <c r="F89" i="1" s="1"/>
  <c r="F93" i="1" s="1"/>
  <c r="E18" i="1"/>
  <c r="E23" i="1" s="1"/>
  <c r="E43" i="1" s="1"/>
  <c r="E67" i="1" s="1"/>
  <c r="E81" i="1" s="1"/>
  <c r="E89" i="1" s="1"/>
  <c r="E93" i="1" s="1"/>
  <c r="D18" i="1"/>
  <c r="D23" i="1" s="1"/>
  <c r="D43" i="1" s="1"/>
  <c r="D67" i="1" s="1"/>
  <c r="D81" i="1" s="1"/>
  <c r="D89" i="1" s="1"/>
  <c r="D93" i="1" s="1"/>
  <c r="C18" i="1"/>
  <c r="C23" i="1" s="1"/>
  <c r="C43" i="1" s="1"/>
  <c r="C67" i="1" s="1"/>
  <c r="C81" i="1" s="1"/>
  <c r="C89" i="1" s="1"/>
  <c r="C93" i="1" s="1"/>
  <c r="B18" i="1"/>
  <c r="N18" i="1" s="1"/>
  <c r="N10" i="1"/>
  <c r="R10" i="1" s="1"/>
  <c r="R9" i="1"/>
  <c r="N9" i="1"/>
  <c r="Q9" i="1" s="1"/>
  <c r="R8" i="1"/>
  <c r="Q8" i="1"/>
  <c r="N8" i="1"/>
  <c r="C67" i="12" l="1"/>
  <c r="C36" i="12"/>
  <c r="C42" i="12" s="1"/>
  <c r="C55" i="12" s="1"/>
  <c r="C36" i="13"/>
  <c r="C42" i="13"/>
  <c r="C55" i="13" s="1"/>
  <c r="B70" i="13"/>
  <c r="B74" i="13" s="1"/>
  <c r="B85" i="13" s="1"/>
  <c r="J90" i="10"/>
  <c r="M90" i="10"/>
  <c r="I90" i="10"/>
  <c r="F90" i="10"/>
  <c r="E90" i="10"/>
  <c r="H55" i="10"/>
  <c r="M57" i="10"/>
  <c r="E57" i="10"/>
  <c r="H56" i="10"/>
  <c r="D56" i="10"/>
  <c r="L62" i="10"/>
  <c r="D62" i="10"/>
  <c r="J60" i="10"/>
  <c r="F60" i="10"/>
  <c r="I59" i="10"/>
  <c r="L58" i="10"/>
  <c r="D58" i="10"/>
  <c r="K55" i="10"/>
  <c r="G55" i="10"/>
  <c r="C55" i="10"/>
  <c r="L57" i="10"/>
  <c r="H57" i="10"/>
  <c r="D57" i="10"/>
  <c r="K56" i="10"/>
  <c r="G56" i="10"/>
  <c r="C56" i="10"/>
  <c r="B61" i="10"/>
  <c r="K62" i="10"/>
  <c r="G62" i="10"/>
  <c r="C62" i="10"/>
  <c r="J61" i="10"/>
  <c r="F61" i="10"/>
  <c r="M60" i="10"/>
  <c r="I60" i="10"/>
  <c r="E60" i="10"/>
  <c r="L59" i="10"/>
  <c r="H59" i="10"/>
  <c r="D59" i="10"/>
  <c r="K58" i="10"/>
  <c r="G58" i="10"/>
  <c r="C58" i="10"/>
  <c r="B55" i="10"/>
  <c r="J55" i="10"/>
  <c r="F55" i="10"/>
  <c r="B56" i="10"/>
  <c r="K57" i="10"/>
  <c r="G57" i="10"/>
  <c r="C57" i="10"/>
  <c r="J56" i="10"/>
  <c r="F56" i="10"/>
  <c r="B58" i="10"/>
  <c r="B62" i="10"/>
  <c r="J62" i="10"/>
  <c r="F62" i="10"/>
  <c r="M61" i="10"/>
  <c r="I61" i="10"/>
  <c r="E61" i="10"/>
  <c r="L60" i="10"/>
  <c r="H60" i="10"/>
  <c r="D60" i="10"/>
  <c r="K59" i="10"/>
  <c r="G59" i="10"/>
  <c r="C59" i="10"/>
  <c r="J58" i="10"/>
  <c r="F58" i="10"/>
  <c r="L55" i="10"/>
  <c r="D55" i="10"/>
  <c r="I57" i="10"/>
  <c r="L56" i="10"/>
  <c r="B60" i="10"/>
  <c r="H62" i="10"/>
  <c r="M59" i="10"/>
  <c r="E59" i="10"/>
  <c r="H58" i="10"/>
  <c r="M55" i="10"/>
  <c r="I55" i="10"/>
  <c r="E55" i="10"/>
  <c r="B57" i="10"/>
  <c r="J57" i="10"/>
  <c r="F57" i="10"/>
  <c r="M56" i="10"/>
  <c r="I56" i="10"/>
  <c r="E56" i="10"/>
  <c r="B59" i="10"/>
  <c r="M62" i="10"/>
  <c r="I62" i="10"/>
  <c r="E62" i="10"/>
  <c r="L61" i="10"/>
  <c r="H61" i="10"/>
  <c r="D61" i="10"/>
  <c r="K60" i="10"/>
  <c r="G60" i="10"/>
  <c r="C60" i="10"/>
  <c r="J59" i="10"/>
  <c r="F59" i="10"/>
  <c r="M58" i="10"/>
  <c r="I58" i="10"/>
  <c r="E58" i="10"/>
  <c r="M49" i="10"/>
  <c r="E49" i="10"/>
  <c r="H43" i="10"/>
  <c r="B38" i="10"/>
  <c r="G42" i="10"/>
  <c r="J49" i="10"/>
  <c r="L42" i="10"/>
  <c r="D42" i="10"/>
  <c r="I49" i="10"/>
  <c r="G47" i="10"/>
  <c r="H42" i="10"/>
  <c r="D43" i="10"/>
  <c r="K47" i="10"/>
  <c r="L43" i="10"/>
  <c r="K42" i="10"/>
  <c r="C42" i="10"/>
  <c r="F49" i="10"/>
  <c r="C47" i="10"/>
  <c r="M44" i="10"/>
  <c r="E44" i="10"/>
  <c r="L48" i="10"/>
  <c r="D48" i="10"/>
  <c r="M37" i="10"/>
  <c r="B39" i="10"/>
  <c r="B42" i="10"/>
  <c r="L44" i="10"/>
  <c r="H44" i="10"/>
  <c r="D44" i="10"/>
  <c r="K43" i="10"/>
  <c r="G43" i="10"/>
  <c r="C43" i="10"/>
  <c r="J42" i="10"/>
  <c r="F42" i="10"/>
  <c r="B47" i="10"/>
  <c r="L49" i="10"/>
  <c r="H49" i="10"/>
  <c r="D49" i="10"/>
  <c r="K48" i="10"/>
  <c r="G48" i="10"/>
  <c r="C48" i="10"/>
  <c r="J47" i="10"/>
  <c r="F47" i="10"/>
  <c r="I44" i="10"/>
  <c r="H48" i="10"/>
  <c r="L37" i="10"/>
  <c r="K39" i="10"/>
  <c r="B43" i="10"/>
  <c r="K44" i="10"/>
  <c r="G44" i="10"/>
  <c r="C44" i="10"/>
  <c r="J43" i="10"/>
  <c r="F43" i="10"/>
  <c r="M42" i="10"/>
  <c r="I42" i="10"/>
  <c r="E42" i="10"/>
  <c r="B48" i="10"/>
  <c r="K49" i="10"/>
  <c r="G49" i="10"/>
  <c r="C49" i="10"/>
  <c r="J48" i="10"/>
  <c r="F48" i="10"/>
  <c r="M47" i="10"/>
  <c r="I47" i="10"/>
  <c r="E47" i="10"/>
  <c r="G39" i="10"/>
  <c r="B44" i="10"/>
  <c r="J44" i="10"/>
  <c r="F44" i="10"/>
  <c r="M43" i="10"/>
  <c r="I43" i="10"/>
  <c r="E43" i="10"/>
  <c r="B49" i="10"/>
  <c r="M48" i="10"/>
  <c r="I48" i="10"/>
  <c r="E48" i="10"/>
  <c r="L47" i="10"/>
  <c r="H47" i="10"/>
  <c r="D47" i="10"/>
  <c r="F38" i="10"/>
  <c r="F39" i="10"/>
  <c r="I38" i="10"/>
  <c r="D26" i="10"/>
  <c r="J37" i="10"/>
  <c r="E37" i="10"/>
  <c r="M39" i="10"/>
  <c r="I39" i="10"/>
  <c r="E39" i="10"/>
  <c r="L38" i="10"/>
  <c r="H38" i="10"/>
  <c r="D38" i="10"/>
  <c r="J38" i="10"/>
  <c r="I22" i="10"/>
  <c r="F37" i="10"/>
  <c r="J39" i="10"/>
  <c r="M38" i="10"/>
  <c r="E38" i="10"/>
  <c r="C13" i="10"/>
  <c r="B37" i="10"/>
  <c r="I37" i="10"/>
  <c r="D37" i="10"/>
  <c r="L39" i="10"/>
  <c r="H39" i="10"/>
  <c r="D39" i="10"/>
  <c r="K38" i="10"/>
  <c r="G38" i="10"/>
  <c r="C38" i="10"/>
  <c r="M21" i="10"/>
  <c r="D33" i="10"/>
  <c r="M22" i="10"/>
  <c r="K32" i="10"/>
  <c r="K37" i="10"/>
  <c r="G37" i="10"/>
  <c r="C37" i="10"/>
  <c r="E22" i="10"/>
  <c r="M26" i="10"/>
  <c r="L33" i="10"/>
  <c r="G32" i="10"/>
  <c r="J27" i="10"/>
  <c r="F27" i="10"/>
  <c r="B31" i="10"/>
  <c r="I21" i="10"/>
  <c r="B14" i="10"/>
  <c r="E21" i="10"/>
  <c r="B27" i="10"/>
  <c r="I26" i="10"/>
  <c r="H33" i="10"/>
  <c r="C32" i="10"/>
  <c r="E11" i="10"/>
  <c r="F11" i="10" s="1"/>
  <c r="G11" i="10" s="1"/>
  <c r="H11" i="10" s="1"/>
  <c r="I11" i="10" s="1"/>
  <c r="J11" i="10" s="1"/>
  <c r="K11" i="10" s="1"/>
  <c r="L11" i="10" s="1"/>
  <c r="M11" i="10" s="1"/>
  <c r="M15" i="10" s="1"/>
  <c r="D15" i="10"/>
  <c r="F9" i="10"/>
  <c r="G9" i="10" s="1"/>
  <c r="H9" i="10" s="1"/>
  <c r="I9" i="10" s="1"/>
  <c r="E13" i="10"/>
  <c r="E10" i="10"/>
  <c r="F10" i="10" s="1"/>
  <c r="G10" i="10" s="1"/>
  <c r="H10" i="10" s="1"/>
  <c r="I10" i="10" s="1"/>
  <c r="J10" i="10" s="1"/>
  <c r="K10" i="10" s="1"/>
  <c r="L10" i="10" s="1"/>
  <c r="M10" i="10" s="1"/>
  <c r="D14" i="10"/>
  <c r="N8" i="10"/>
  <c r="Q8" i="10" s="1"/>
  <c r="R8" i="10" s="1"/>
  <c r="D23" i="10"/>
  <c r="G28" i="10"/>
  <c r="F31" i="10"/>
  <c r="B15" i="10"/>
  <c r="C15" i="10"/>
  <c r="J14" i="10"/>
  <c r="D13" i="10"/>
  <c r="N7" i="10"/>
  <c r="Q7" i="10" s="1"/>
  <c r="R7" i="10" s="1"/>
  <c r="L21" i="10"/>
  <c r="H21" i="10"/>
  <c r="D21" i="10"/>
  <c r="L22" i="10"/>
  <c r="H22" i="10"/>
  <c r="K23" i="10"/>
  <c r="G23" i="10"/>
  <c r="C23" i="10"/>
  <c r="B28" i="10"/>
  <c r="J28" i="10"/>
  <c r="F28" i="10"/>
  <c r="M27" i="10"/>
  <c r="I27" i="10"/>
  <c r="E27" i="10"/>
  <c r="L26" i="10"/>
  <c r="H26" i="10"/>
  <c r="C26" i="10"/>
  <c r="B32" i="10"/>
  <c r="K33" i="10"/>
  <c r="G33" i="10"/>
  <c r="C33" i="10"/>
  <c r="J32" i="10"/>
  <c r="F32" i="10"/>
  <c r="M31" i="10"/>
  <c r="I31" i="10"/>
  <c r="E31" i="10"/>
  <c r="K28" i="10"/>
  <c r="M14" i="10"/>
  <c r="B13" i="10"/>
  <c r="K21" i="10"/>
  <c r="G21" i="10"/>
  <c r="C21" i="10"/>
  <c r="C22" i="10"/>
  <c r="J23" i="10"/>
  <c r="F23" i="10"/>
  <c r="B22" i="10"/>
  <c r="E28" i="10"/>
  <c r="L27" i="10"/>
  <c r="H27" i="10"/>
  <c r="D27" i="10"/>
  <c r="K26" i="10"/>
  <c r="G26" i="10"/>
  <c r="J33" i="10"/>
  <c r="M32" i="10"/>
  <c r="I32" i="10"/>
  <c r="E32" i="10"/>
  <c r="L31" i="10"/>
  <c r="H31" i="10"/>
  <c r="D31" i="10"/>
  <c r="C28" i="10"/>
  <c r="L14" i="10"/>
  <c r="C14" i="10"/>
  <c r="N6" i="10"/>
  <c r="Q6" i="10" s="1"/>
  <c r="R6" i="10" s="1"/>
  <c r="J21" i="10"/>
  <c r="F21" i="10"/>
  <c r="B23" i="10"/>
  <c r="J8" i="9"/>
  <c r="H8" i="9"/>
  <c r="I8" i="9"/>
  <c r="H6" i="9"/>
  <c r="I6" i="9"/>
  <c r="J6" i="9"/>
  <c r="F6" i="9"/>
  <c r="G7" i="9"/>
  <c r="F8" i="9"/>
  <c r="E6" i="9"/>
  <c r="E8" i="9"/>
  <c r="J26" i="3"/>
  <c r="J30" i="3" s="1"/>
  <c r="J10" i="3"/>
  <c r="E7" i="6" s="1"/>
  <c r="M8" i="3"/>
  <c r="J24" i="3"/>
  <c r="J28" i="3" s="1"/>
  <c r="J17" i="3"/>
  <c r="J22" i="3" s="1"/>
  <c r="E28" i="6" s="1"/>
  <c r="J16" i="3"/>
  <c r="J21" i="3" s="1"/>
  <c r="E27" i="6" s="1"/>
  <c r="J15" i="3"/>
  <c r="J20" i="3" s="1"/>
  <c r="E26" i="6" s="1"/>
  <c r="J25" i="3"/>
  <c r="J29" i="3" s="1"/>
  <c r="R18" i="1"/>
  <c r="R23" i="1" s="1"/>
  <c r="R43" i="1" s="1"/>
  <c r="N13" i="1"/>
  <c r="N23" i="1"/>
  <c r="Q18" i="1"/>
  <c r="Q88" i="1"/>
  <c r="I26" i="3"/>
  <c r="I30" i="3" s="1"/>
  <c r="I25" i="3"/>
  <c r="I29" i="3" s="1"/>
  <c r="I10" i="3"/>
  <c r="E6" i="6" s="1"/>
  <c r="L8" i="3"/>
  <c r="I24" i="3"/>
  <c r="I28" i="3" s="1"/>
  <c r="I17" i="3"/>
  <c r="I22" i="3" s="1"/>
  <c r="E23" i="6" s="1"/>
  <c r="I16" i="3"/>
  <c r="I21" i="3" s="1"/>
  <c r="E22" i="6" s="1"/>
  <c r="I15" i="3"/>
  <c r="I20" i="3" s="1"/>
  <c r="E21" i="6" s="1"/>
  <c r="B13" i="6"/>
  <c r="C6" i="6"/>
  <c r="N14" i="1"/>
  <c r="R19" i="1"/>
  <c r="C7" i="6"/>
  <c r="B14" i="6"/>
  <c r="N15" i="1"/>
  <c r="R20" i="1"/>
  <c r="Q20" i="1"/>
  <c r="R80" i="1"/>
  <c r="Q19" i="1"/>
  <c r="R42" i="1"/>
  <c r="R66" i="1"/>
  <c r="F8" i="6"/>
  <c r="E15" i="6"/>
  <c r="B23" i="1"/>
  <c r="B43" i="1" s="1"/>
  <c r="B67" i="1" s="1"/>
  <c r="B81" i="1" s="1"/>
  <c r="B89" i="1" s="1"/>
  <c r="B93" i="1" s="1"/>
  <c r="Q27" i="1"/>
  <c r="Q31" i="1"/>
  <c r="Q35" i="1"/>
  <c r="Q39" i="1"/>
  <c r="Q48" i="1"/>
  <c r="Q54" i="1"/>
  <c r="Q60" i="1"/>
  <c r="Q64" i="1"/>
  <c r="Q75" i="1"/>
  <c r="Q84" i="1"/>
  <c r="N88" i="1"/>
  <c r="C8" i="6"/>
  <c r="B15" i="6"/>
  <c r="F26" i="3"/>
  <c r="F30" i="3" s="1"/>
  <c r="Q10" i="1"/>
  <c r="O23" i="1"/>
  <c r="Q26" i="1"/>
  <c r="Q30" i="1"/>
  <c r="Q34" i="1"/>
  <c r="Q38" i="1"/>
  <c r="N42" i="1"/>
  <c r="Q42" i="1" s="1"/>
  <c r="Q47" i="1"/>
  <c r="Q53" i="1"/>
  <c r="Q57" i="1"/>
  <c r="Q63" i="1"/>
  <c r="Q74" i="1"/>
  <c r="R75" i="1"/>
  <c r="Q78" i="1"/>
  <c r="Q91" i="1"/>
  <c r="H26" i="3"/>
  <c r="H30" i="3" s="1"/>
  <c r="H25" i="3"/>
  <c r="H29" i="3" s="1"/>
  <c r="F15" i="3"/>
  <c r="F20" i="3" s="1"/>
  <c r="B21" i="6" s="1"/>
  <c r="F16" i="3"/>
  <c r="F21" i="3" s="1"/>
  <c r="B22" i="6" s="1"/>
  <c r="F17" i="3"/>
  <c r="F22" i="3" s="1"/>
  <c r="B23" i="6" s="1"/>
  <c r="F24" i="3"/>
  <c r="F28" i="3" s="1"/>
  <c r="F25" i="3"/>
  <c r="F29" i="3" s="1"/>
  <c r="K25" i="3"/>
  <c r="K29" i="3" s="1"/>
  <c r="G26" i="3"/>
  <c r="G30" i="3" s="1"/>
  <c r="Q46" i="1"/>
  <c r="G15" i="3"/>
  <c r="G20" i="3" s="1"/>
  <c r="B26" i="6" s="1"/>
  <c r="K15" i="3"/>
  <c r="K20" i="3" s="1"/>
  <c r="E31" i="6" s="1"/>
  <c r="G16" i="3"/>
  <c r="G21" i="3" s="1"/>
  <c r="B27" i="6" s="1"/>
  <c r="K16" i="3"/>
  <c r="K21" i="3" s="1"/>
  <c r="E32" i="6" s="1"/>
  <c r="G17" i="3"/>
  <c r="G22" i="3" s="1"/>
  <c r="B28" i="6" s="1"/>
  <c r="K17" i="3"/>
  <c r="K22" i="3" s="1"/>
  <c r="E33" i="6" s="1"/>
  <c r="G24" i="3"/>
  <c r="G28" i="3" s="1"/>
  <c r="K24" i="3"/>
  <c r="K28" i="3" s="1"/>
  <c r="G25" i="3"/>
  <c r="G29" i="3" s="1"/>
  <c r="K26" i="3"/>
  <c r="K30" i="3" s="1"/>
  <c r="N8" i="3"/>
  <c r="H15" i="3"/>
  <c r="H20" i="3" s="1"/>
  <c r="B31" i="6" s="1"/>
  <c r="H16" i="3"/>
  <c r="H21" i="3" s="1"/>
  <c r="B32" i="6" s="1"/>
  <c r="H17" i="3"/>
  <c r="H22" i="3" s="1"/>
  <c r="B33" i="6" s="1"/>
  <c r="H24" i="3"/>
  <c r="H28" i="3" s="1"/>
  <c r="B87" i="8"/>
  <c r="B94" i="8" s="1"/>
  <c r="B95" i="8" s="1"/>
  <c r="C74" i="12" l="1"/>
  <c r="C85" i="12" s="1"/>
  <c r="D65" i="12"/>
  <c r="D67" i="12" s="1"/>
  <c r="D36" i="12"/>
  <c r="D42" i="12" s="1"/>
  <c r="D55" i="12" s="1"/>
  <c r="C70" i="13"/>
  <c r="C74" i="13" s="1"/>
  <c r="C85" i="13" s="1"/>
  <c r="D36" i="13"/>
  <c r="D42" i="13" s="1"/>
  <c r="D55" i="13" s="1"/>
  <c r="B90" i="10"/>
  <c r="N90" i="10" s="1"/>
  <c r="N88" i="10"/>
  <c r="H15" i="10"/>
  <c r="G14" i="10"/>
  <c r="H14" i="10"/>
  <c r="K14" i="10"/>
  <c r="F13" i="10"/>
  <c r="H13" i="10"/>
  <c r="G13" i="10"/>
  <c r="E15" i="10"/>
  <c r="G15" i="10"/>
  <c r="J15" i="10"/>
  <c r="E14" i="10"/>
  <c r="L15" i="10"/>
  <c r="I15" i="10"/>
  <c r="D16" i="10"/>
  <c r="C16" i="10"/>
  <c r="K15" i="10"/>
  <c r="F15" i="10"/>
  <c r="I14" i="10"/>
  <c r="F14" i="10"/>
  <c r="H16" i="10"/>
  <c r="B16" i="10"/>
  <c r="J9" i="10"/>
  <c r="I13" i="10"/>
  <c r="M6" i="9"/>
  <c r="K6" i="9"/>
  <c r="L6" i="9"/>
  <c r="I7" i="9"/>
  <c r="H7" i="9"/>
  <c r="J7" i="9"/>
  <c r="L8" i="9"/>
  <c r="M8" i="9"/>
  <c r="K8" i="9"/>
  <c r="R14" i="1"/>
  <c r="Q14" i="1"/>
  <c r="B16" i="6"/>
  <c r="C15" i="6"/>
  <c r="D8" i="6"/>
  <c r="D7" i="6"/>
  <c r="C14" i="6"/>
  <c r="E13" i="6"/>
  <c r="F6" i="6"/>
  <c r="N26" i="3"/>
  <c r="N30" i="3" s="1"/>
  <c r="N25" i="3"/>
  <c r="N29" i="3" s="1"/>
  <c r="N10" i="3"/>
  <c r="H8" i="6" s="1"/>
  <c r="H15" i="6" s="1"/>
  <c r="Q8" i="3"/>
  <c r="N24" i="3"/>
  <c r="N28" i="3" s="1"/>
  <c r="N17" i="3"/>
  <c r="N22" i="3" s="1"/>
  <c r="H33" i="6" s="1"/>
  <c r="N16" i="3"/>
  <c r="N21" i="3" s="1"/>
  <c r="H32" i="6" s="1"/>
  <c r="N15" i="3"/>
  <c r="N20" i="3" s="1"/>
  <c r="H31" i="6" s="1"/>
  <c r="O43" i="1"/>
  <c r="Q23" i="1"/>
  <c r="G8" i="6"/>
  <c r="G15" i="6" s="1"/>
  <c r="F15" i="6"/>
  <c r="R13" i="1"/>
  <c r="Q13" i="1"/>
  <c r="R15" i="1"/>
  <c r="Q15" i="1"/>
  <c r="D6" i="6"/>
  <c r="C13" i="6"/>
  <c r="N43" i="1"/>
  <c r="N67" i="1" s="1"/>
  <c r="N81" i="1" s="1"/>
  <c r="N89" i="1" s="1"/>
  <c r="N93" i="1" s="1"/>
  <c r="M26" i="3"/>
  <c r="M30" i="3" s="1"/>
  <c r="M25" i="3"/>
  <c r="M29" i="3" s="1"/>
  <c r="M10" i="3"/>
  <c r="H7" i="6" s="1"/>
  <c r="H14" i="6" s="1"/>
  <c r="P8" i="3"/>
  <c r="M24" i="3"/>
  <c r="M28" i="3" s="1"/>
  <c r="M17" i="3"/>
  <c r="M22" i="3" s="1"/>
  <c r="H28" i="6" s="1"/>
  <c r="M16" i="3"/>
  <c r="M21" i="3" s="1"/>
  <c r="H27" i="6" s="1"/>
  <c r="M15" i="3"/>
  <c r="M20" i="3" s="1"/>
  <c r="H26" i="6" s="1"/>
  <c r="E14" i="6"/>
  <c r="F7" i="6"/>
  <c r="B59" i="6"/>
  <c r="B123" i="4" s="1"/>
  <c r="E59" i="6"/>
  <c r="C123" i="4" s="1"/>
  <c r="L26" i="3"/>
  <c r="L30" i="3" s="1"/>
  <c r="L25" i="3"/>
  <c r="L29" i="3" s="1"/>
  <c r="L24" i="3"/>
  <c r="L28" i="3" s="1"/>
  <c r="L17" i="3"/>
  <c r="L22" i="3" s="1"/>
  <c r="H23" i="6" s="1"/>
  <c r="L16" i="3"/>
  <c r="L21" i="3" s="1"/>
  <c r="H22" i="6" s="1"/>
  <c r="L15" i="3"/>
  <c r="L20" i="3" s="1"/>
  <c r="H21" i="6" s="1"/>
  <c r="L10" i="3"/>
  <c r="H6" i="6" s="1"/>
  <c r="O8" i="3"/>
  <c r="R67" i="1"/>
  <c r="R81" i="1" s="1"/>
  <c r="R89" i="1" s="1"/>
  <c r="R93" i="1" s="1"/>
  <c r="D74" i="12" l="1"/>
  <c r="D85" i="12" s="1"/>
  <c r="E36" i="12"/>
  <c r="E42" i="12" s="1"/>
  <c r="E55" i="12" s="1"/>
  <c r="E74" i="12" s="1"/>
  <c r="E85" i="12" s="1"/>
  <c r="D70" i="13"/>
  <c r="D74" i="13" s="1"/>
  <c r="D85" i="13" s="1"/>
  <c r="E36" i="13"/>
  <c r="E42" i="13" s="1"/>
  <c r="E55" i="13" s="1"/>
  <c r="E70" i="13" s="1"/>
  <c r="E74" i="13" s="1"/>
  <c r="E85" i="13" s="1"/>
  <c r="G16" i="10"/>
  <c r="F16" i="10"/>
  <c r="E16" i="10"/>
  <c r="I16" i="10"/>
  <c r="N15" i="10"/>
  <c r="Q15" i="10" s="1"/>
  <c r="N14" i="10"/>
  <c r="Q14" i="10" s="1"/>
  <c r="K9" i="10"/>
  <c r="J13" i="10"/>
  <c r="J16" i="10" s="1"/>
  <c r="M7" i="9"/>
  <c r="K7" i="9"/>
  <c r="L7" i="9"/>
  <c r="O67" i="1"/>
  <c r="Q43" i="1"/>
  <c r="D10" i="4"/>
  <c r="H13" i="6"/>
  <c r="H16" i="6" s="1"/>
  <c r="G7" i="6"/>
  <c r="G14" i="6" s="1"/>
  <c r="F14" i="6"/>
  <c r="D13" i="6"/>
  <c r="B10" i="4"/>
  <c r="H59" i="6"/>
  <c r="D123" i="4" s="1"/>
  <c r="E16" i="6"/>
  <c r="C25" i="7"/>
  <c r="B77" i="7" s="1"/>
  <c r="B24" i="7"/>
  <c r="B29" i="7" s="1"/>
  <c r="B46" i="7" s="1"/>
  <c r="B54" i="7" s="1"/>
  <c r="P26" i="3"/>
  <c r="P30" i="3" s="1"/>
  <c r="P25" i="3"/>
  <c r="P29" i="3" s="1"/>
  <c r="P24" i="3"/>
  <c r="P28" i="3" s="1"/>
  <c r="P17" i="3"/>
  <c r="P22" i="3" s="1"/>
  <c r="K28" i="6" s="1"/>
  <c r="N28" i="6" s="1"/>
  <c r="P16" i="3"/>
  <c r="P21" i="3" s="1"/>
  <c r="K27" i="6" s="1"/>
  <c r="N27" i="6" s="1"/>
  <c r="P15" i="3"/>
  <c r="P20" i="3" s="1"/>
  <c r="K26" i="6" s="1"/>
  <c r="N26" i="6" s="1"/>
  <c r="P10" i="3"/>
  <c r="K7" i="6" s="1"/>
  <c r="K14" i="6" s="1"/>
  <c r="O26" i="3"/>
  <c r="O30" i="3" s="1"/>
  <c r="O25" i="3"/>
  <c r="O29" i="3" s="1"/>
  <c r="O10" i="3"/>
  <c r="K6" i="6" s="1"/>
  <c r="O24" i="3"/>
  <c r="O28" i="3" s="1"/>
  <c r="O17" i="3"/>
  <c r="O22" i="3" s="1"/>
  <c r="K23" i="6" s="1"/>
  <c r="N23" i="6" s="1"/>
  <c r="O16" i="3"/>
  <c r="O21" i="3" s="1"/>
  <c r="K22" i="6" s="1"/>
  <c r="N22" i="6" s="1"/>
  <c r="O15" i="3"/>
  <c r="O20" i="3" s="1"/>
  <c r="K21" i="6" s="1"/>
  <c r="D26" i="7"/>
  <c r="C77" i="7" s="1"/>
  <c r="C24" i="7"/>
  <c r="C29" i="7" s="1"/>
  <c r="C46" i="7" s="1"/>
  <c r="C54" i="7" s="1"/>
  <c r="N21" i="6"/>
  <c r="C16" i="6"/>
  <c r="C60" i="6" s="1"/>
  <c r="C85" i="6" s="1"/>
  <c r="Q26" i="3"/>
  <c r="Q30" i="3" s="1"/>
  <c r="Q25" i="3"/>
  <c r="Q29" i="3" s="1"/>
  <c r="Q10" i="3"/>
  <c r="K8" i="6" s="1"/>
  <c r="K15" i="6" s="1"/>
  <c r="Q24" i="3"/>
  <c r="Q28" i="3" s="1"/>
  <c r="Q17" i="3"/>
  <c r="Q22" i="3" s="1"/>
  <c r="K33" i="6" s="1"/>
  <c r="N33" i="6" s="1"/>
  <c r="Q16" i="3"/>
  <c r="Q21" i="3" s="1"/>
  <c r="K32" i="6" s="1"/>
  <c r="N32" i="6" s="1"/>
  <c r="Q15" i="3"/>
  <c r="Q20" i="3" s="1"/>
  <c r="K31" i="6" s="1"/>
  <c r="N31" i="6" s="1"/>
  <c r="F13" i="6"/>
  <c r="F16" i="6" s="1"/>
  <c r="F60" i="6" s="1"/>
  <c r="F85" i="6" s="1"/>
  <c r="G6" i="6"/>
  <c r="G13" i="6" s="1"/>
  <c r="G16" i="6" s="1"/>
  <c r="G60" i="6" s="1"/>
  <c r="G85" i="6" s="1"/>
  <c r="D14" i="6"/>
  <c r="N7" i="6"/>
  <c r="C10" i="4"/>
  <c r="D15" i="6"/>
  <c r="N15" i="6" s="1"/>
  <c r="B60" i="6"/>
  <c r="B85" i="6" s="1"/>
  <c r="N6" i="6"/>
  <c r="L9" i="10" l="1"/>
  <c r="K13" i="10"/>
  <c r="C13" i="4"/>
  <c r="C122" i="4" s="1"/>
  <c r="E60" i="6"/>
  <c r="E85" i="6" s="1"/>
  <c r="N8" i="6"/>
  <c r="N14" i="6"/>
  <c r="E27" i="7"/>
  <c r="D77" i="7" s="1"/>
  <c r="D24" i="7"/>
  <c r="D29" i="7" s="1"/>
  <c r="D46" i="7" s="1"/>
  <c r="D54" i="7" s="1"/>
  <c r="O81" i="1"/>
  <c r="Q67" i="1"/>
  <c r="N59" i="6"/>
  <c r="H60" i="6"/>
  <c r="H85" i="6" s="1"/>
  <c r="D13" i="4"/>
  <c r="D122" i="4" s="1"/>
  <c r="K59" i="6"/>
  <c r="E123" i="4" s="1"/>
  <c r="E10" i="4"/>
  <c r="F10" i="4" s="1"/>
  <c r="K13" i="6"/>
  <c r="K16" i="6" s="1"/>
  <c r="D16" i="6"/>
  <c r="K16" i="10" l="1"/>
  <c r="M9" i="10"/>
  <c r="M13" i="10" s="1"/>
  <c r="M16" i="10" s="1"/>
  <c r="L13" i="10"/>
  <c r="L16" i="10" s="1"/>
  <c r="F28" i="7"/>
  <c r="E24" i="7"/>
  <c r="E29" i="7" s="1"/>
  <c r="E46" i="7" s="1"/>
  <c r="E54" i="7" s="1"/>
  <c r="F123" i="4"/>
  <c r="O89" i="1"/>
  <c r="Q81" i="1"/>
  <c r="N13" i="6"/>
  <c r="N16" i="6" s="1"/>
  <c r="N60" i="6" s="1"/>
  <c r="N85" i="6" s="1"/>
  <c r="D60" i="6"/>
  <c r="D85" i="6" s="1"/>
  <c r="B13" i="4"/>
  <c r="E14" i="7"/>
  <c r="D71" i="7" s="1"/>
  <c r="D11" i="7"/>
  <c r="D16" i="7" s="1"/>
  <c r="D39" i="7" s="1"/>
  <c r="D124" i="4"/>
  <c r="D127" i="4" s="1"/>
  <c r="D130" i="4" s="1"/>
  <c r="K60" i="6"/>
  <c r="K85" i="6" s="1"/>
  <c r="E13" i="4"/>
  <c r="E122" i="4" s="1"/>
  <c r="D13" i="7"/>
  <c r="C71" i="7" s="1"/>
  <c r="C11" i="7"/>
  <c r="C124" i="4"/>
  <c r="C127" i="4" s="1"/>
  <c r="C130" i="4" s="1"/>
  <c r="N13" i="10" l="1"/>
  <c r="Q13" i="10" s="1"/>
  <c r="N16" i="10"/>
  <c r="F13" i="4"/>
  <c r="F11" i="4" s="1"/>
  <c r="B122" i="4"/>
  <c r="Q89" i="1"/>
  <c r="O93" i="1"/>
  <c r="Q93" i="1" s="1"/>
  <c r="D132" i="4"/>
  <c r="D80" i="7" s="1"/>
  <c r="D83" i="7" s="1"/>
  <c r="D131" i="4"/>
  <c r="C131" i="4"/>
  <c r="C132" i="4" s="1"/>
  <c r="C80" i="7" s="1"/>
  <c r="C83" i="7" s="1"/>
  <c r="F15" i="7"/>
  <c r="E11" i="7"/>
  <c r="E16" i="7" s="1"/>
  <c r="E39" i="7" s="1"/>
  <c r="E124" i="4"/>
  <c r="E127" i="4" s="1"/>
  <c r="E130" i="4" s="1"/>
  <c r="E77" i="7"/>
  <c r="F29" i="7"/>
  <c r="E131" i="4" l="1"/>
  <c r="E132" i="4" s="1"/>
  <c r="E80" i="7" s="1"/>
  <c r="E83" i="7" s="1"/>
  <c r="B124" i="4"/>
  <c r="B127" i="4" s="1"/>
  <c r="B130" i="4" s="1"/>
  <c r="F122" i="4"/>
  <c r="F124" i="4" s="1"/>
  <c r="F127" i="4" s="1"/>
  <c r="F130" i="4" s="1"/>
  <c r="C12" i="7"/>
  <c r="B11" i="7"/>
  <c r="B16" i="7" s="1"/>
  <c r="B39" i="7" s="1"/>
  <c r="B42" i="7" s="1"/>
  <c r="B55" i="7" s="1"/>
  <c r="E71" i="7"/>
  <c r="F16" i="7"/>
  <c r="B131" i="4" l="1"/>
  <c r="F131" i="4" s="1"/>
  <c r="F132" i="4" s="1"/>
  <c r="B70" i="7"/>
  <c r="B74" i="7" s="1"/>
  <c r="C36" i="7"/>
  <c r="B71" i="7"/>
  <c r="C16" i="7"/>
  <c r="C39" i="7" s="1"/>
  <c r="B132" i="4" l="1"/>
  <c r="B80" i="7" s="1"/>
  <c r="B83" i="7" s="1"/>
  <c r="B85" i="7" s="1"/>
  <c r="C42" i="7"/>
  <c r="C55" i="7" s="1"/>
  <c r="D36" i="7" l="1"/>
  <c r="D42" i="7" s="1"/>
  <c r="D55" i="7" s="1"/>
  <c r="C70" i="7"/>
  <c r="C74" i="7" s="1"/>
  <c r="C85" i="7" s="1"/>
  <c r="D70" i="7" l="1"/>
  <c r="D74" i="7" s="1"/>
  <c r="D85" i="7" s="1"/>
  <c r="E36" i="7"/>
  <c r="E42" i="7" s="1"/>
  <c r="E55" i="7" s="1"/>
  <c r="E70" i="7" s="1"/>
  <c r="E74" i="7" s="1"/>
  <c r="E85" i="7" s="1"/>
  <c r="B83" i="12"/>
  <c r="B85" i="12" s="1"/>
</calcChain>
</file>

<file path=xl/sharedStrings.xml><?xml version="1.0" encoding="utf-8"?>
<sst xmlns="http://schemas.openxmlformats.org/spreadsheetml/2006/main" count="868" uniqueCount="348">
  <si>
    <t>Budget</t>
  </si>
  <si>
    <t>Actual</t>
  </si>
  <si>
    <t>Variance</t>
  </si>
  <si>
    <t>Total</t>
  </si>
  <si>
    <t>Actual vs Budget</t>
  </si>
  <si>
    <t>ACCOUNT NAME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</si>
  <si>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</si>
  <si>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</si>
  <si>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</si>
  <si>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</si>
  <si>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</si>
  <si>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</si>
  <si>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</si>
  <si>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</si>
  <si>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</si>
  <si>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</si>
  <si>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</si>
  <si>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</si>
  <si>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Jan - Dec</t>
  </si>
  <si>
    <t>%</t>
  </si>
  <si>
    <t>$</t>
  </si>
  <si>
    <t>Volume</t>
  </si>
  <si>
    <t>[Product 1]</t>
  </si>
  <si>
    <t>[Product 2]</t>
  </si>
  <si>
    <t>[Product 3]</t>
  </si>
  <si>
    <t>Price per Unit</t>
  </si>
  <si>
    <t>Revenue</t>
  </si>
  <si>
    <t>Total Revenue</t>
  </si>
  <si>
    <t>Less Variable Costs:</t>
  </si>
  <si>
    <t>[Variable Cost 1]</t>
  </si>
  <si>
    <t>[Variable Cost 2]</t>
  </si>
  <si>
    <t>[Variable Cost 3]</t>
  </si>
  <si>
    <t>[Variable Cost 4]</t>
  </si>
  <si>
    <t>[Variable Cost 5]</t>
  </si>
  <si>
    <t>[Variable Cost 6]</t>
  </si>
  <si>
    <t>[Variable Cost 7]</t>
  </si>
  <si>
    <t>[Variable Cost 8]</t>
  </si>
  <si>
    <t>[Variable Cost 9]</t>
  </si>
  <si>
    <t>[Variable Cost 10]</t>
  </si>
  <si>
    <t>[Variable Cost 11]</t>
  </si>
  <si>
    <t>[Variable Cost 12]</t>
  </si>
  <si>
    <t>[Variable Cost 13]</t>
  </si>
  <si>
    <t>[Variable Cost 14]</t>
  </si>
  <si>
    <t>[Variable Cost 15]</t>
  </si>
  <si>
    <t>Total Variable Costs</t>
  </si>
  <si>
    <t>Contribution Margin</t>
  </si>
  <si>
    <t>Less Fixed Costs Group 1:</t>
  </si>
  <si>
    <t>[Fixed Cost 1]</t>
  </si>
  <si>
    <t>[Fixed Cost 2]</t>
  </si>
  <si>
    <t>[Fixed Cost 3]</t>
  </si>
  <si>
    <t>[Fixed Cost 4]</t>
  </si>
  <si>
    <t>[Fixed Cost 5]</t>
  </si>
  <si>
    <t/>
  </si>
  <si>
    <t>Less Fixed Costs Group 2:</t>
  </si>
  <si>
    <t>[Fixed Cost 6]</t>
  </si>
  <si>
    <t>[Fixed Cost 7]</t>
  </si>
  <si>
    <t>[Fixed Cost 8]</t>
  </si>
  <si>
    <t>[Fixed Cost 9]</t>
  </si>
  <si>
    <t>[Fixed Cost 10]</t>
  </si>
  <si>
    <t>Less Fixed Costs Group 3:</t>
  </si>
  <si>
    <t>[Fixed Cost 11]</t>
  </si>
  <si>
    <t>[Fixed Cost 12]</t>
  </si>
  <si>
    <t>[Fixed Cost 13]</t>
  </si>
  <si>
    <t>[Fixed Cost 14]</t>
  </si>
  <si>
    <t>[Fixed Cost 15]</t>
  </si>
  <si>
    <t>Total Fixed Costs</t>
  </si>
  <si>
    <t>Net Operating Margin</t>
  </si>
  <si>
    <t>Depreciation &amp; Amortisation</t>
  </si>
  <si>
    <t>[Depreciation]</t>
  </si>
  <si>
    <t>[Amortisation]</t>
  </si>
  <si>
    <t>Other Expenses</t>
  </si>
  <si>
    <t>[Other Cost 1]</t>
  </si>
  <si>
    <t>[Other Cost 2]</t>
  </si>
  <si>
    <t>[Other Cost 3]</t>
  </si>
  <si>
    <t>[Other Cost 4]</t>
  </si>
  <si>
    <t>[Other Cost 5]</t>
  </si>
  <si>
    <t>Depreciation and Other Expenses</t>
  </si>
  <si>
    <t>EBIT</t>
  </si>
  <si>
    <t>Interest Expenses</t>
  </si>
  <si>
    <t>[Interest Expense 1]</t>
  </si>
  <si>
    <t>[Interest Expense 2]</t>
  </si>
  <si>
    <t>[Interest Expense 3]</t>
  </si>
  <si>
    <t>Total Interest Expense</t>
  </si>
  <si>
    <t>EBT</t>
  </si>
  <si>
    <t>Income Tax</t>
  </si>
  <si>
    <t>Net Income</t>
  </si>
  <si>
    <t>FY 2019</t>
  </si>
  <si>
    <t xml:space="preserve">© Corporate Finance Institute. All rights reserved.  </t>
  </si>
  <si>
    <t>Operating Budget Template</t>
  </si>
  <si>
    <t>The assumptions on 2023/ 2024 Budget</t>
  </si>
  <si>
    <t>This Assumption is based on the number of midstream students we are aniticipating for the 2023/ 2024 Session.</t>
  </si>
  <si>
    <t xml:space="preserve">Assumption that the full fee Students  increase from 21 in 2022/2023 Sessions  to 70 in 2023/2024 Sessions. </t>
  </si>
  <si>
    <t>Scholarship Student also  reduced from 22 in 2022/2023 Session to 5 in 2023/2024 Session</t>
  </si>
  <si>
    <t>Assumptions that 2 out of the scholarship students will opted for Boarding facility</t>
  </si>
  <si>
    <t>Assumption that 10 out of the full fee Students will opted for boarding facilities</t>
  </si>
  <si>
    <t>Uniform, School fees insurance, School photograph , year book, caution deposits and pocket money  increased based on the number of midstream students</t>
  </si>
  <si>
    <t>Operating Expenditure</t>
  </si>
  <si>
    <t>Assumption that Salary and staff cost increased by 15% due to increase in number of staff  and 10 % inflation rate using the October 2022 Salary as the basis for both local and expariate Staff</t>
  </si>
  <si>
    <t>Utilites( Electricity Gas and diesel) has  90%  increase in addition to 1000KVA generator In JHCL</t>
  </si>
  <si>
    <t>Assumption that Cleaning, Disposal and Laundry has 10% infalation increase</t>
  </si>
  <si>
    <t>Assumption that number of students opting for boarding facilities reduced  aibeit increase cost</t>
  </si>
  <si>
    <t>Internal Examination Papers,Eduactional Expenses, School/ Office Administration, Tuck shop and other student pocket money needs  increased based on number of Students and Staff</t>
  </si>
  <si>
    <t>General facilities maintenance increased based on the new boarding  and school  structure to commence in 2023/2024 Session.</t>
  </si>
  <si>
    <t>Assumption that ICT Networking increased based on the new boarding facility and  School Structure to commence in 2023/2024 Session</t>
  </si>
  <si>
    <t>Work Devices/Office Equipment includes the gardening equipmemt, normal and interactive white boards for the new blocks</t>
  </si>
  <si>
    <t>includes gardening equipment, normal and Interactive white boards for the new block</t>
  </si>
  <si>
    <t>******</t>
  </si>
  <si>
    <t>This budget is built on the assumption that the total number of students fee paying students in 2022/23 session will be 129 while those on scholarship 55, totalling 184 students in all. Therefore this is subject to change, considering factors such as migration, finances, scholarship withdrawals etc</t>
  </si>
  <si>
    <t>where only 10 out of the 22 scholarship students in year 8 and 2 out of 5 scholarship students in year 7 take up boading spaces, while 17 out of the 31 fee paying students in year 8 (inclusind midstream) and 60 out of the 70 in year 7 take boarding spaces. And all midstream of year 10 take up boarding spaces</t>
  </si>
  <si>
    <t>Due to the volatility of NGN, this budget is also built on the assumption that the average cost of NGN to GBP and USD will be N95/GBP and N750/USD through out the period - for items projected to be purchased in foreign exchange</t>
  </si>
  <si>
    <t>Mike's Surf and Sea</t>
  </si>
  <si>
    <t>Operating Budgets</t>
  </si>
  <si>
    <t>For the year ending 12/31/04</t>
  </si>
  <si>
    <t>Sales Budget</t>
  </si>
  <si>
    <t>Quarter 1</t>
  </si>
  <si>
    <t>Quarter 2</t>
  </si>
  <si>
    <t>Quarter 3</t>
  </si>
  <si>
    <t>Quarter 4</t>
  </si>
  <si>
    <t>Year</t>
  </si>
  <si>
    <t>Expected unit sales</t>
  </si>
  <si>
    <t>Selling price</t>
  </si>
  <si>
    <t>Total Sales</t>
  </si>
  <si>
    <t>Production Budget</t>
  </si>
  <si>
    <t>Desired ending finished goods inventory</t>
  </si>
  <si>
    <t>Total units required</t>
  </si>
  <si>
    <t>Less: Beginning finished good inventory</t>
  </si>
  <si>
    <t>Required unit production</t>
  </si>
  <si>
    <t>Direct Materials Budget</t>
  </si>
  <si>
    <t>Raw materials per unit (pounds)</t>
  </si>
  <si>
    <t>Total pounds needed for production</t>
  </si>
  <si>
    <t>Desired ending raw materials inventory</t>
  </si>
  <si>
    <t>Total pounds required</t>
  </si>
  <si>
    <t>Less: Beginning raw materials inventory</t>
  </si>
  <si>
    <t>Raw materials purchases</t>
  </si>
  <si>
    <t>Cost per pound</t>
  </si>
  <si>
    <t>Total cost of raw materials purchases</t>
  </si>
  <si>
    <t>Direct Labor Budget</t>
  </si>
  <si>
    <t>Units to be produced</t>
  </si>
  <si>
    <t>Direct labor hours per unit</t>
  </si>
  <si>
    <t>Total direct labor hours required</t>
  </si>
  <si>
    <t>Direct labor cost per hour</t>
  </si>
  <si>
    <t>Total direct labor cost</t>
  </si>
  <si>
    <t>Manufacturing Overhead Budget</t>
  </si>
  <si>
    <t>Variable Costs</t>
  </si>
  <si>
    <t>Total variable costs</t>
  </si>
  <si>
    <t>Fixed Costs</t>
  </si>
  <si>
    <t>Total fixed costs</t>
  </si>
  <si>
    <t>Total manufacturing overhead</t>
  </si>
  <si>
    <t>Direct labor hours</t>
  </si>
  <si>
    <t>Manufacturing overhead rate per direct labor hour</t>
  </si>
  <si>
    <t>Selling and Administrative Expense Budget</t>
  </si>
  <si>
    <t>Variable Expenses</t>
  </si>
  <si>
    <t>Total variable expenses</t>
  </si>
  <si>
    <t>Fixed Expenses</t>
  </si>
  <si>
    <t>Total fixed expenses</t>
  </si>
  <si>
    <t>Total selling and administrative expenses</t>
  </si>
  <si>
    <t>Cost of One Unit</t>
  </si>
  <si>
    <t>Quantity</t>
  </si>
  <si>
    <t>Cost/Rate</t>
  </si>
  <si>
    <t>Direct materials</t>
  </si>
  <si>
    <t>Direct labor</t>
  </si>
  <si>
    <t>Manufacturing overhead</t>
  </si>
  <si>
    <t>Total unit cost</t>
  </si>
  <si>
    <t>Budgeted Income Statement</t>
  </si>
  <si>
    <t>Sales</t>
  </si>
  <si>
    <t>Cost of goods sold</t>
  </si>
  <si>
    <t>Gross profit</t>
  </si>
  <si>
    <t>Selling and administrative expenses</t>
  </si>
  <si>
    <t>Interest expense</t>
  </si>
  <si>
    <t>Income before income tax</t>
  </si>
  <si>
    <t>Income tax expense</t>
  </si>
  <si>
    <t>Net income / (loss)</t>
  </si>
  <si>
    <t>Financial Budgets</t>
  </si>
  <si>
    <t>Schedule of Expected Cash Collections</t>
  </si>
  <si>
    <t>Accounts receivable, 12/31/03</t>
  </si>
  <si>
    <t>First quarter</t>
  </si>
  <si>
    <t>Second quarter</t>
  </si>
  <si>
    <t>Third quarter</t>
  </si>
  <si>
    <t>Fourth quarter</t>
  </si>
  <si>
    <t>Total collections</t>
  </si>
  <si>
    <t>Schedule of Expected Cash Payments for Direct Materials</t>
  </si>
  <si>
    <t>Accounts payable, 12/31/03</t>
  </si>
  <si>
    <t>Total payments</t>
  </si>
  <si>
    <t>Cash Budget</t>
  </si>
  <si>
    <t>Beginning cash balance</t>
  </si>
  <si>
    <t>Add: Receipts</t>
  </si>
  <si>
    <t>Collections from customers</t>
  </si>
  <si>
    <t>Sale of securities</t>
  </si>
  <si>
    <t>Total receipts</t>
  </si>
  <si>
    <t>Total cash available</t>
  </si>
  <si>
    <t>Less: Disbursements</t>
  </si>
  <si>
    <t>Raw materials</t>
  </si>
  <si>
    <t>Equipment purchases</t>
  </si>
  <si>
    <t>Interest</t>
  </si>
  <si>
    <t>Total disbursements</t>
  </si>
  <si>
    <t>Ending Cash Balance</t>
  </si>
  <si>
    <t>Budgeted Balance Sheet</t>
  </si>
  <si>
    <t>Assets</t>
  </si>
  <si>
    <t>Cash</t>
  </si>
  <si>
    <t>Accounts Receivable</t>
  </si>
  <si>
    <t>Finished goods inventory</t>
  </si>
  <si>
    <t>Investments</t>
  </si>
  <si>
    <t>Equipment</t>
  </si>
  <si>
    <t>Less: Accumulated depreciation</t>
  </si>
  <si>
    <t>Total assets</t>
  </si>
  <si>
    <t>Liabilities and Stockholders' Equity</t>
  </si>
  <si>
    <t>Accounts payable</t>
  </si>
  <si>
    <t>Notes payable</t>
  </si>
  <si>
    <t>Common stock</t>
  </si>
  <si>
    <t>Retained earnings</t>
  </si>
  <si>
    <t>Total liabilities and stockholders' equity</t>
  </si>
  <si>
    <t>Master Budget</t>
  </si>
  <si>
    <t>Input Section</t>
  </si>
  <si>
    <t>Expected unit sales in the first quarter</t>
  </si>
  <si>
    <t>Sales increase per quarter</t>
  </si>
  <si>
    <t>Desired ending inventory</t>
  </si>
  <si>
    <t>% of next quarter sales</t>
  </si>
  <si>
    <t>Beginning Inventory</t>
  </si>
  <si>
    <t>units</t>
  </si>
  <si>
    <t>Cost of beginning inventory</t>
  </si>
  <si>
    <t>Raw Materials Budget</t>
  </si>
  <si>
    <t>Beginning inventory</t>
  </si>
  <si>
    <t>Indirect labor</t>
  </si>
  <si>
    <t>per hour</t>
  </si>
  <si>
    <t>Indirect materials</t>
  </si>
  <si>
    <t>Utilities</t>
  </si>
  <si>
    <t>Maintenance</t>
  </si>
  <si>
    <t>Supervisor salaries</t>
  </si>
  <si>
    <t>per year</t>
  </si>
  <si>
    <t>Rent</t>
  </si>
  <si>
    <t>Depreciation</t>
  </si>
  <si>
    <t>Insurance</t>
  </si>
  <si>
    <t>Sales commissions</t>
  </si>
  <si>
    <t>of sales</t>
  </si>
  <si>
    <t>Delivery expenses</t>
  </si>
  <si>
    <t>per unit</t>
  </si>
  <si>
    <t>Sales salaries</t>
  </si>
  <si>
    <t>Office salaries</t>
  </si>
  <si>
    <t>Advertising expense</t>
  </si>
  <si>
    <t>Depreciation expense</t>
  </si>
  <si>
    <t>Income Statement</t>
  </si>
  <si>
    <t>per quarter</t>
  </si>
  <si>
    <t>Income tax rate</t>
  </si>
  <si>
    <t>Cash Collections</t>
  </si>
  <si>
    <t>Collected in quarter of sale</t>
  </si>
  <si>
    <t>Collected in the quarter following sale</t>
  </si>
  <si>
    <t>Cash payments</t>
  </si>
  <si>
    <t>Paid in quarter of purchase</t>
  </si>
  <si>
    <t>Paid in following quarter</t>
  </si>
  <si>
    <t>fourth quarter</t>
  </si>
  <si>
    <t>Purchase of equipment</t>
  </si>
  <si>
    <t>first quarter</t>
  </si>
  <si>
    <t>Balance Sheet, 12/31/03</t>
  </si>
  <si>
    <t>Raw materials inventory</t>
  </si>
  <si>
    <t>Retained earnings, 12/31/03</t>
  </si>
  <si>
    <t>HOUSE OF ACCOUNTANTS PROFESSIONAL SERVICES</t>
  </si>
  <si>
    <t>Product A</t>
  </si>
  <si>
    <t>Product B</t>
  </si>
  <si>
    <t>Product C</t>
  </si>
  <si>
    <t>DEPARTMENTS</t>
  </si>
  <si>
    <t>Raw materials A per unit</t>
  </si>
  <si>
    <t>Raw materials B per unit</t>
  </si>
  <si>
    <t>Raw materials C per unit</t>
  </si>
  <si>
    <t>Packaging material</t>
  </si>
  <si>
    <t>wages</t>
  </si>
  <si>
    <t>lylon</t>
  </si>
  <si>
    <t>Label</t>
  </si>
  <si>
    <t>plastic</t>
  </si>
  <si>
    <t>Bottle</t>
  </si>
  <si>
    <t>Direct labor hours per unit-Skilled</t>
  </si>
  <si>
    <t>Direct labor cost per hour-unskilled</t>
  </si>
  <si>
    <t>Direct labor cost per hour-semi-skilled</t>
  </si>
  <si>
    <t>Other Variable Budget</t>
  </si>
  <si>
    <t>Practical Training on Budget</t>
  </si>
  <si>
    <t>Note A: The management have the following information based on trend from the past years</t>
  </si>
  <si>
    <t>Note B: The management will need to raplace the following assets</t>
  </si>
  <si>
    <t>Purchase of equipment in First quarter</t>
  </si>
  <si>
    <t>Purchase of Land in First quarter</t>
  </si>
  <si>
    <t xml:space="preserve">You are to prepare a financial budget ( operating, Income statement &amp; balance sheet) &amp; charts </t>
  </si>
  <si>
    <t>to be presented to the board of Directors using below departmental budgets.</t>
  </si>
  <si>
    <t xml:space="preserve"> the management Accountant of the company and each department has submitted the various budget.</t>
  </si>
  <si>
    <t>HOA manufactures three products namely; OROBO, LEPA AND OPEKE.  Assuming you are</t>
  </si>
  <si>
    <t>Operating Budget for 2023</t>
  </si>
  <si>
    <t>HOUSE OF ACCUNTANTS PROFESSIONAL SERVICES</t>
  </si>
  <si>
    <t>Orobo</t>
  </si>
  <si>
    <t>Opeke</t>
  </si>
  <si>
    <t>Lepa</t>
  </si>
  <si>
    <t>FIRST QUARTER</t>
  </si>
  <si>
    <t>SECOND QUARTER</t>
  </si>
  <si>
    <t>THIRD QUARTER</t>
  </si>
  <si>
    <t>FORTH QUARTER</t>
  </si>
  <si>
    <t>Units -Orobo</t>
  </si>
  <si>
    <t>Units Lepa</t>
  </si>
  <si>
    <t>Units -Opeke</t>
  </si>
  <si>
    <t>1st qt</t>
  </si>
  <si>
    <t>2 qt</t>
  </si>
  <si>
    <t>3 qt</t>
  </si>
  <si>
    <t>4 qt</t>
  </si>
  <si>
    <t>Selling Price-Orobo</t>
  </si>
  <si>
    <t>Selling Price-Lepa</t>
  </si>
  <si>
    <t>Selling Price-Opeke</t>
  </si>
  <si>
    <t>Revenue-Orobo</t>
  </si>
  <si>
    <t>Revenue-Lepa</t>
  </si>
  <si>
    <t>Revenue-Opeke</t>
  </si>
  <si>
    <t xml:space="preserve">Cost </t>
  </si>
  <si>
    <t>Monthly</t>
  </si>
  <si>
    <t>Variable Cost-Materials</t>
  </si>
  <si>
    <t>Variable Cost-Labour</t>
  </si>
  <si>
    <t>WORKINGS</t>
  </si>
  <si>
    <t>Other Variable Cost</t>
  </si>
  <si>
    <t>Gross Profit</t>
  </si>
  <si>
    <t>Manufacturing Overhead Cost</t>
  </si>
  <si>
    <t>Total Variable Cost (Direct Cost)</t>
  </si>
  <si>
    <t>Fixed Cost</t>
  </si>
  <si>
    <t>Selling and Administrative Expense Cost</t>
  </si>
  <si>
    <t>Total Fixed Cost</t>
  </si>
  <si>
    <t>SUB TOTAL Budget</t>
  </si>
  <si>
    <t>N</t>
  </si>
  <si>
    <t>Manufacturing Over head cost</t>
  </si>
  <si>
    <t>Interest on loan</t>
  </si>
  <si>
    <t>Income from operations (EBIDAT)</t>
  </si>
  <si>
    <t>Depreciation &amp; Amot</t>
  </si>
  <si>
    <t>0m to 25m</t>
  </si>
  <si>
    <t>25m to 100m</t>
  </si>
  <si>
    <t>100m to infinity</t>
  </si>
  <si>
    <t>0%</t>
  </si>
  <si>
    <t>20%</t>
  </si>
  <si>
    <t>30%</t>
  </si>
  <si>
    <t>Closing Bal Rec</t>
  </si>
  <si>
    <t>Current Asset</t>
  </si>
  <si>
    <t>Non Current Asset</t>
  </si>
  <si>
    <t>PPE</t>
  </si>
  <si>
    <t>Carrying Amount</t>
  </si>
  <si>
    <t xml:space="preserve">Profit </t>
  </si>
  <si>
    <t>Workings on Revenue</t>
  </si>
  <si>
    <t>Revenue heads</t>
  </si>
  <si>
    <t>ANNUAL</t>
  </si>
  <si>
    <t>Absulote</t>
  </si>
  <si>
    <t>Workings on Raw Materials</t>
  </si>
  <si>
    <t xml:space="preserve">Orobo                                  </t>
  </si>
  <si>
    <t>s</t>
  </si>
  <si>
    <t>SUB TOTAL</t>
  </si>
  <si>
    <t>Manufacturing Overhead Budget per qtr</t>
  </si>
  <si>
    <t>Selling and Administrative Expense Budget per qtr</t>
  </si>
  <si>
    <t>Income before tax</t>
  </si>
  <si>
    <t>Net Profit</t>
  </si>
  <si>
    <t>Purchase of new building in First quarter and fourth each</t>
  </si>
  <si>
    <t>Purchase of Motor Van in First quarter and fourth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</si>
</sst>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\(#,##0\)"/>
    <numFmt numFmtId="165" formatCode="0.0%"/>
    <numFmt numFmtId="166" formatCode="#,##0.0;\(#,##0.0\)"/>
    <numFmt numFmtId="167" formatCode="_(* #,##0_);_(* \(#,##0\);_(* &quot;-&quot;??_);_(@_)"/>
    <numFmt numFmtId="168" formatCode="_(* #,##0.00_);_(* \(#,##0.00\);_(* &quot;-&quot;??_);_(@_)"/>
    <numFmt numFmtId="169" formatCode="_(&quot;$&quot;* #,##0_);_(&quot;$&quot;* \(#,##0\);_(&quot;$&quot;* &quot;-&quot;??_);_(@_)"/>
    <numFmt numFmtId="170" formatCode="_(&quot;$&quot;* #,##0.00_);_(&quot;$&quot;* \(#,##0.00\);_(&quot;$&quot;* &quot;-&quot;??_);_(@_)"/>
    <numFmt numFmtId="171" formatCode="[$-409]mmmm\ d\,\ yyyy;@"/>
  </numFmts>
  <fonts count="36">
    <font>
      <sz val="11"/>
      <name val="Calibri"/>
    </font>
    <font>
      <sz val="10"/>
      <name val="Arial Narrow"/>
    </font>
    <font>
      <sz val="8"/>
      <color rgb="FFFFFFFF"/>
      <name val="Arial Narrow"/>
    </font>
    <font>
      <b/>
      <sz val="10"/>
      <color rgb="FFFFFFFF"/>
      <name val="Arial Narrow"/>
    </font>
    <font>
      <b/>
      <sz val="14"/>
      <color rgb="FFFFFFFF"/>
      <name val="Arial Narrow"/>
    </font>
    <font>
      <b/>
      <sz val="14"/>
      <color rgb="FFFFFFFF"/>
      <name val="Arial Narrow"/>
    </font>
    <font>
      <b/>
      <sz val="10"/>
      <color indexed="9"/>
      <name val="Arial Narrow"/>
    </font>
    <font>
      <b/>
      <sz val="10"/>
      <name val="Arial Narrow"/>
    </font>
    <font>
      <sz val="10"/>
      <color rgb="FF0000FF"/>
      <name val="Arial Narrow"/>
    </font>
    <font>
      <sz val="10"/>
      <color rgb="FF000000"/>
      <name val="Arial Narrow"/>
    </font>
    <font>
      <b/>
      <sz val="2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i/>
      <sz val="10"/>
      <color rgb="FF000000"/>
      <name val="Calibri"/>
    </font>
    <font>
      <i/>
      <sz val="10"/>
      <color rgb="FF000000"/>
      <name val="Calibri"/>
    </font>
    <font>
      <sz val="11"/>
      <color rgb="FF000000"/>
      <name val="Calibri"/>
    </font>
    <font>
      <b/>
      <sz val="18"/>
      <name val="Arial"/>
    </font>
    <font>
      <b/>
      <sz val="14"/>
      <name val="Arial"/>
    </font>
    <font>
      <b/>
      <sz val="10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0"/>
      <name val="Arial"/>
    </font>
    <font>
      <b/>
      <sz val="18"/>
      <color rgb="FF000000"/>
      <name val="Calibri"/>
    </font>
    <font>
      <b/>
      <sz val="10"/>
      <color rgb="FF000000"/>
      <name val="Arial Narrow"/>
    </font>
    <font>
      <sz val="11"/>
      <color rgb="FF000000"/>
      <name val="Arial Narrow"/>
    </font>
    <font>
      <sz val="10"/>
      <name val="Arial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  <font>
      <b/>
      <sz val="10"/>
      <name val="Arial"/>
      <family val="2"/>
    </font>
    <font>
      <b/>
      <sz val="18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DashDot">
        <color rgb="FFFF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/>
      <diagonal/>
    </border>
    <border>
      <left style="mediumDashDot">
        <color rgb="FFFF0000"/>
      </left>
      <right style="mediumDashDot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Dot">
        <color rgb="FFFF0000"/>
      </left>
      <right style="mediumDashDot">
        <color rgb="FFFF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DashDot">
        <color rgb="FFFF0000"/>
      </left>
      <right style="mediumDashDot">
        <color rgb="FFFF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Dot">
        <color rgb="FFFF0000"/>
      </left>
      <right style="mediumDashDot">
        <color rgb="FFFF0000"/>
      </right>
      <top style="medium">
        <color indexed="64"/>
      </top>
      <bottom style="mediumDashDot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23" fillId="0" borderId="0">
      <protection locked="0"/>
    </xf>
    <xf numFmtId="9" fontId="26" fillId="0" borderId="0">
      <alignment vertical="top"/>
      <protection locked="0"/>
    </xf>
    <xf numFmtId="168" fontId="27" fillId="0" borderId="0">
      <alignment vertical="top"/>
      <protection locked="0"/>
    </xf>
    <xf numFmtId="168" fontId="12" fillId="0" borderId="0">
      <alignment vertical="top"/>
      <protection locked="0"/>
    </xf>
    <xf numFmtId="9" fontId="27" fillId="0" borderId="0">
      <alignment vertical="top"/>
      <protection locked="0"/>
    </xf>
    <xf numFmtId="170" fontId="27" fillId="0" borderId="0">
      <alignment vertical="top"/>
      <protection locked="0"/>
    </xf>
  </cellStyleXfs>
  <cellXfs count="245">
    <xf numFmtId="0" fontId="0" fillId="0" borderId="0" xfId="0">
      <alignment vertical="center"/>
    </xf>
    <xf numFmtId="0" fontId="1" fillId="0" borderId="0" xfId="1" applyFont="1" applyProtection="1"/>
    <xf numFmtId="0" fontId="2" fillId="2" borderId="0" xfId="0" applyFont="1" applyFill="1" applyAlignment="1"/>
    <xf numFmtId="0" fontId="2" fillId="0" borderId="0" xfId="0" applyFont="1" applyAlignment="1"/>
    <xf numFmtId="0" fontId="3" fillId="2" borderId="1" xfId="1" applyFont="1" applyFill="1" applyBorder="1" applyAlignment="1" applyProtection="1">
      <alignment horizontal="centerContinuous"/>
    </xf>
    <xf numFmtId="0" fontId="4" fillId="2" borderId="0" xfId="0" applyFont="1" applyFill="1" applyAlignment="1">
      <alignment horizontal="left" vertical="center" readingOrder="1"/>
    </xf>
    <xf numFmtId="0" fontId="5" fillId="2" borderId="0" xfId="1" applyFont="1" applyFill="1" applyAlignment="1" applyProtection="1">
      <alignment horizontal="centerContinuous"/>
    </xf>
    <xf numFmtId="0" fontId="3" fillId="2" borderId="0" xfId="1" applyFont="1" applyFill="1" applyAlignment="1" applyProtection="1">
      <alignment horizontal="centerContinuous"/>
    </xf>
    <xf numFmtId="0" fontId="3" fillId="2" borderId="2" xfId="1" applyFont="1" applyFill="1" applyBorder="1" applyAlignment="1" applyProtection="1">
      <alignment horizontal="centerContinuous"/>
    </xf>
    <xf numFmtId="0" fontId="3" fillId="2" borderId="3" xfId="1" applyFont="1" applyFill="1" applyBorder="1" applyAlignment="1" applyProtection="1">
      <alignment horizontal="centerContinuous"/>
    </xf>
    <xf numFmtId="0" fontId="3" fillId="2" borderId="4" xfId="1" applyFont="1" applyFill="1" applyBorder="1" applyProtection="1"/>
    <xf numFmtId="0" fontId="3" fillId="2" borderId="0" xfId="1" applyFont="1" applyFill="1" applyAlignment="1" applyProtection="1">
      <alignment horizontal="center"/>
    </xf>
    <xf numFmtId="0" fontId="3" fillId="2" borderId="5" xfId="1" applyFont="1" applyFill="1" applyBorder="1" applyAlignment="1" applyProtection="1">
      <alignment horizontal="center"/>
    </xf>
    <xf numFmtId="0" fontId="3" fillId="2" borderId="3" xfId="1" applyFont="1" applyFill="1" applyBorder="1" applyAlignment="1" applyProtection="1">
      <alignment horizontal="center"/>
    </xf>
    <xf numFmtId="0" fontId="3" fillId="2" borderId="1" xfId="1" applyFont="1" applyFill="1" applyBorder="1" applyAlignment="1" applyProtection="1">
      <alignment horizontal="center"/>
    </xf>
    <xf numFmtId="0" fontId="3" fillId="2" borderId="6" xfId="1" applyFont="1" applyFill="1" applyBorder="1" applyAlignment="1" applyProtection="1">
      <alignment horizontal="center"/>
    </xf>
    <xf numFmtId="0" fontId="6" fillId="3" borderId="4" xfId="1" applyFont="1" applyFill="1" applyBorder="1" applyProtection="1"/>
    <xf numFmtId="0" fontId="6" fillId="3" borderId="7" xfId="1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/>
    </xf>
    <xf numFmtId="164" fontId="1" fillId="4" borderId="6" xfId="1" applyNumberFormat="1" applyFont="1" applyFill="1" applyBorder="1" applyAlignment="1" applyProtection="1">
      <alignment horizontal="right" indent="1"/>
    </xf>
    <xf numFmtId="164" fontId="1" fillId="4" borderId="3" xfId="1" applyNumberFormat="1" applyFont="1" applyFill="1" applyBorder="1" applyAlignment="1" applyProtection="1">
      <alignment horizontal="right" indent="1"/>
    </xf>
    <xf numFmtId="164" fontId="1" fillId="4" borderId="1" xfId="1" applyNumberFormat="1" applyFont="1" applyFill="1" applyBorder="1" applyAlignment="1" applyProtection="1">
      <alignment horizontal="right" indent="1"/>
    </xf>
    <xf numFmtId="0" fontId="7" fillId="3" borderId="4" xfId="1" applyFont="1" applyFill="1" applyBorder="1" applyAlignment="1" applyProtection="1">
      <alignment horizontal="left"/>
    </xf>
    <xf numFmtId="164" fontId="1" fillId="0" borderId="7" xfId="1" applyNumberFormat="1" applyFont="1" applyBorder="1" applyAlignment="1" applyProtection="1">
      <alignment horizontal="right" indent="1"/>
    </xf>
    <xf numFmtId="164" fontId="1" fillId="0" borderId="8" xfId="1" applyNumberFormat="1" applyFont="1" applyBorder="1" applyAlignment="1" applyProtection="1">
      <alignment horizontal="right" indent="1"/>
    </xf>
    <xf numFmtId="0" fontId="1" fillId="3" borderId="4" xfId="1" applyFont="1" applyFill="1" applyBorder="1" applyAlignment="1" applyProtection="1">
      <alignment horizontal="left" indent="1"/>
    </xf>
    <xf numFmtId="164" fontId="8" fillId="0" borderId="7" xfId="1" applyNumberFormat="1" applyFont="1" applyBorder="1" applyAlignment="1" applyProtection="1">
      <alignment horizontal="right" indent="1"/>
    </xf>
    <xf numFmtId="164" fontId="8" fillId="0" borderId="8" xfId="1" applyNumberFormat="1" applyFont="1" applyBorder="1" applyAlignment="1" applyProtection="1">
      <alignment horizontal="right" indent="1"/>
    </xf>
    <xf numFmtId="164" fontId="8" fillId="4" borderId="3" xfId="1" applyNumberFormat="1" applyFont="1" applyFill="1" applyBorder="1" applyAlignment="1" applyProtection="1">
      <alignment horizontal="right" indent="1"/>
    </xf>
    <xf numFmtId="165" fontId="1" fillId="4" borderId="1" xfId="2" applyNumberFormat="1" applyFont="1" applyFill="1" applyBorder="1" applyAlignment="1" applyProtection="1">
      <alignment horizontal="right" indent="1"/>
    </xf>
    <xf numFmtId="166" fontId="8" fillId="0" borderId="7" xfId="1" applyNumberFormat="1" applyFont="1" applyBorder="1" applyAlignment="1" applyProtection="1">
      <alignment horizontal="right" indent="1"/>
    </xf>
    <xf numFmtId="166" fontId="8" fillId="0" borderId="8" xfId="1" applyNumberFormat="1" applyFont="1" applyBorder="1" applyAlignment="1" applyProtection="1">
      <alignment horizontal="right" indent="1"/>
    </xf>
    <xf numFmtId="166" fontId="1" fillId="4" borderId="6" xfId="1" applyNumberFormat="1" applyFont="1" applyFill="1" applyBorder="1" applyAlignment="1" applyProtection="1">
      <alignment horizontal="right" indent="1"/>
    </xf>
    <xf numFmtId="166" fontId="8" fillId="4" borderId="3" xfId="1" applyNumberFormat="1" applyFont="1" applyFill="1" applyBorder="1" applyAlignment="1" applyProtection="1">
      <alignment horizontal="right" indent="1"/>
    </xf>
    <xf numFmtId="166" fontId="1" fillId="0" borderId="0" xfId="1" applyNumberFormat="1" applyFont="1" applyProtection="1"/>
    <xf numFmtId="166" fontId="1" fillId="4" borderId="1" xfId="2" applyNumberFormat="1" applyFont="1" applyFill="1" applyBorder="1" applyAlignment="1" applyProtection="1">
      <alignment horizontal="right" indent="1"/>
    </xf>
    <xf numFmtId="166" fontId="1" fillId="4" borderId="1" xfId="1" applyNumberFormat="1" applyFont="1" applyFill="1" applyBorder="1" applyAlignment="1" applyProtection="1">
      <alignment horizontal="right" indent="1"/>
    </xf>
    <xf numFmtId="3" fontId="9" fillId="0" borderId="8" xfId="0" applyNumberFormat="1" applyFont="1" applyBorder="1" applyAlignment="1"/>
    <xf numFmtId="164" fontId="7" fillId="5" borderId="9" xfId="1" applyNumberFormat="1" applyFont="1" applyFill="1" applyBorder="1" applyProtection="1"/>
    <xf numFmtId="164" fontId="7" fillId="5" borderId="10" xfId="1" applyNumberFormat="1" applyFont="1" applyFill="1" applyBorder="1" applyAlignment="1" applyProtection="1">
      <alignment horizontal="right" indent="1"/>
    </xf>
    <xf numFmtId="164" fontId="7" fillId="5" borderId="11" xfId="1" applyNumberFormat="1" applyFont="1" applyFill="1" applyBorder="1" applyAlignment="1" applyProtection="1">
      <alignment horizontal="right" indent="1"/>
    </xf>
    <xf numFmtId="164" fontId="7" fillId="5" borderId="12" xfId="1" applyNumberFormat="1" applyFont="1" applyFill="1" applyBorder="1" applyAlignment="1" applyProtection="1">
      <alignment horizontal="right" indent="1"/>
    </xf>
    <xf numFmtId="164" fontId="7" fillId="5" borderId="13" xfId="1" applyNumberFormat="1" applyFont="1" applyFill="1" applyBorder="1" applyAlignment="1" applyProtection="1">
      <alignment horizontal="right" indent="1"/>
    </xf>
    <xf numFmtId="9" fontId="7" fillId="5" borderId="14" xfId="2" applyFont="1" applyFill="1" applyBorder="1" applyAlignment="1" applyProtection="1">
      <alignment horizontal="right" indent="1"/>
    </xf>
    <xf numFmtId="164" fontId="7" fillId="5" borderId="14" xfId="1" applyNumberFormat="1" applyFont="1" applyFill="1" applyBorder="1" applyAlignment="1" applyProtection="1">
      <alignment horizontal="right" indent="1"/>
    </xf>
    <xf numFmtId="0" fontId="7" fillId="3" borderId="4" xfId="1" applyFont="1" applyFill="1" applyBorder="1" applyProtection="1"/>
    <xf numFmtId="164" fontId="1" fillId="0" borderId="0" xfId="1" applyNumberFormat="1" applyFont="1" applyProtection="1"/>
    <xf numFmtId="0" fontId="7" fillId="6" borderId="15" xfId="1" applyFont="1" applyFill="1" applyBorder="1" applyProtection="1"/>
    <xf numFmtId="164" fontId="7" fillId="6" borderId="16" xfId="1" applyNumberFormat="1" applyFont="1" applyFill="1" applyBorder="1" applyAlignment="1" applyProtection="1">
      <alignment horizontal="right" indent="1"/>
    </xf>
    <xf numFmtId="164" fontId="7" fillId="6" borderId="17" xfId="1" applyNumberFormat="1" applyFont="1" applyFill="1" applyBorder="1" applyAlignment="1" applyProtection="1">
      <alignment horizontal="right" indent="1"/>
    </xf>
    <xf numFmtId="164" fontId="7" fillId="6" borderId="18" xfId="1" applyNumberFormat="1" applyFont="1" applyFill="1" applyBorder="1" applyAlignment="1" applyProtection="1">
      <alignment horizontal="right" indent="1"/>
    </xf>
    <xf numFmtId="164" fontId="7" fillId="6" borderId="19" xfId="1" applyNumberFormat="1" applyFont="1" applyFill="1" applyBorder="1" applyAlignment="1" applyProtection="1">
      <alignment horizontal="right" indent="1"/>
    </xf>
    <xf numFmtId="9" fontId="7" fillId="6" borderId="20" xfId="2" applyFont="1" applyFill="1" applyBorder="1" applyAlignment="1" applyProtection="1">
      <alignment horizontal="right" indent="1"/>
    </xf>
    <xf numFmtId="164" fontId="7" fillId="6" borderId="20" xfId="1" applyNumberFormat="1" applyFont="1" applyFill="1" applyBorder="1" applyAlignment="1" applyProtection="1">
      <alignment horizontal="right" indent="1"/>
    </xf>
    <xf numFmtId="0" fontId="1" fillId="3" borderId="4" xfId="1" applyFont="1" applyFill="1" applyBorder="1" applyProtection="1"/>
    <xf numFmtId="164" fontId="8" fillId="4" borderId="1" xfId="1" applyNumberFormat="1" applyFont="1" applyFill="1" applyBorder="1" applyAlignment="1" applyProtection="1">
      <alignment horizontal="right" indent="1"/>
    </xf>
    <xf numFmtId="164" fontId="1" fillId="0" borderId="0" xfId="1" applyNumberFormat="1" applyFont="1" applyAlignment="1" applyProtection="1">
      <alignment vertical="center"/>
    </xf>
    <xf numFmtId="0" fontId="1" fillId="3" borderId="0" xfId="1" applyFont="1" applyFill="1" applyProtection="1"/>
    <xf numFmtId="0" fontId="7" fillId="6" borderId="9" xfId="1" applyFont="1" applyFill="1" applyBorder="1" applyProtection="1"/>
    <xf numFmtId="164" fontId="7" fillId="6" borderId="10" xfId="1" applyNumberFormat="1" applyFont="1" applyFill="1" applyBorder="1" applyAlignment="1" applyProtection="1">
      <alignment horizontal="right" indent="1"/>
    </xf>
    <xf numFmtId="164" fontId="7" fillId="6" borderId="11" xfId="1" applyNumberFormat="1" applyFont="1" applyFill="1" applyBorder="1" applyAlignment="1" applyProtection="1">
      <alignment horizontal="right" indent="1"/>
    </xf>
    <xf numFmtId="164" fontId="7" fillId="6" borderId="21" xfId="1" applyNumberFormat="1" applyFont="1" applyFill="1" applyBorder="1" applyAlignment="1" applyProtection="1">
      <alignment horizontal="right" indent="1"/>
    </xf>
    <xf numFmtId="164" fontId="7" fillId="6" borderId="13" xfId="1" applyNumberFormat="1" applyFont="1" applyFill="1" applyBorder="1" applyAlignment="1" applyProtection="1">
      <alignment horizontal="right" indent="1"/>
    </xf>
    <xf numFmtId="9" fontId="7" fillId="6" borderId="14" xfId="2" applyFont="1" applyFill="1" applyBorder="1" applyAlignment="1" applyProtection="1">
      <alignment horizontal="right" indent="1"/>
    </xf>
    <xf numFmtId="164" fontId="7" fillId="6" borderId="14" xfId="1" applyNumberFormat="1" applyFont="1" applyFill="1" applyBorder="1" applyAlignment="1" applyProtection="1">
      <alignment horizontal="right" indent="1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7" borderId="0" xfId="0" applyFont="1" applyFill="1" applyAlignment="1"/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/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67" fontId="17" fillId="0" borderId="0" xfId="3" applyNumberFormat="1" applyFont="1" applyAlignment="1" applyProtection="1"/>
    <xf numFmtId="168" fontId="17" fillId="0" borderId="0" xfId="4" applyFont="1" applyAlignment="1" applyProtection="1">
      <alignment horizontal="center"/>
    </xf>
    <xf numFmtId="167" fontId="17" fillId="0" borderId="0" xfId="3" applyNumberFormat="1" applyFont="1" applyAlignment="1" applyProtection="1">
      <alignment horizontal="center"/>
    </xf>
    <xf numFmtId="168" fontId="17" fillId="0" borderId="0" xfId="4" applyFont="1" applyAlignment="1" applyProtection="1"/>
    <xf numFmtId="167" fontId="18" fillId="0" borderId="0" xfId="3" applyNumberFormat="1" applyFont="1" applyAlignment="1" applyProtection="1"/>
    <xf numFmtId="167" fontId="20" fillId="0" borderId="0" xfId="3" applyNumberFormat="1" applyFont="1" applyAlignment="1" applyProtection="1">
      <alignment horizontal="center"/>
    </xf>
    <xf numFmtId="167" fontId="21" fillId="0" borderId="0" xfId="3" applyNumberFormat="1" applyFont="1" applyAlignment="1" applyProtection="1">
      <alignment horizontal="center"/>
    </xf>
    <xf numFmtId="168" fontId="21" fillId="8" borderId="0" xfId="4" applyFont="1" applyFill="1" applyAlignment="1" applyProtection="1"/>
    <xf numFmtId="168" fontId="21" fillId="0" borderId="0" xfId="4" applyFont="1" applyAlignment="1" applyProtection="1">
      <alignment horizontal="center"/>
    </xf>
    <xf numFmtId="167" fontId="17" fillId="0" borderId="0" xfId="3" applyNumberFormat="1" applyFont="1" applyAlignment="1" applyProtection="1">
      <alignment horizontal="left" indent="1"/>
    </xf>
    <xf numFmtId="9" fontId="17" fillId="0" borderId="0" xfId="2" applyFont="1" applyAlignment="1" applyProtection="1">
      <alignment horizontal="center"/>
    </xf>
    <xf numFmtId="9" fontId="17" fillId="0" borderId="0" xfId="5" applyFont="1" applyAlignment="1" applyProtection="1">
      <alignment horizontal="center"/>
    </xf>
    <xf numFmtId="167" fontId="17" fillId="9" borderId="0" xfId="3" applyNumberFormat="1" applyFont="1" applyFill="1" applyAlignment="1" applyProtection="1"/>
    <xf numFmtId="167" fontId="20" fillId="9" borderId="0" xfId="3" applyNumberFormat="1" applyFont="1" applyFill="1" applyAlignment="1" applyProtection="1"/>
    <xf numFmtId="168" fontId="17" fillId="9" borderId="0" xfId="4" applyFont="1" applyFill="1" applyAlignment="1" applyProtection="1">
      <alignment horizontal="center"/>
    </xf>
    <xf numFmtId="167" fontId="17" fillId="9" borderId="0" xfId="3" applyNumberFormat="1" applyFont="1" applyFill="1" applyAlignment="1" applyProtection="1">
      <alignment horizontal="center"/>
    </xf>
    <xf numFmtId="167" fontId="17" fillId="9" borderId="0" xfId="3" applyNumberFormat="1" applyFont="1" applyFill="1" applyAlignment="1" applyProtection="1">
      <alignment horizontal="left" indent="1"/>
    </xf>
    <xf numFmtId="167" fontId="12" fillId="9" borderId="0" xfId="3" applyNumberFormat="1" applyFont="1" applyFill="1" applyAlignment="1" applyProtection="1"/>
    <xf numFmtId="167" fontId="12" fillId="9" borderId="0" xfId="3" applyNumberFormat="1" applyFont="1" applyFill="1" applyAlignment="1" applyProtection="1">
      <alignment horizontal="left" indent="1"/>
    </xf>
    <xf numFmtId="168" fontId="12" fillId="9" borderId="0" xfId="4" applyFill="1" applyAlignment="1" applyProtection="1">
      <alignment horizontal="center"/>
    </xf>
    <xf numFmtId="167" fontId="21" fillId="0" borderId="0" xfId="3" applyNumberFormat="1" applyFont="1" applyAlignment="1" applyProtection="1">
      <alignment horizontal="left" indent="1"/>
    </xf>
    <xf numFmtId="167" fontId="12" fillId="10" borderId="0" xfId="3" applyNumberFormat="1" applyFont="1" applyFill="1" applyAlignment="1" applyProtection="1"/>
    <xf numFmtId="167" fontId="22" fillId="10" borderId="0" xfId="3" applyNumberFormat="1" applyFont="1" applyFill="1" applyAlignment="1" applyProtection="1"/>
    <xf numFmtId="168" fontId="12" fillId="10" borderId="0" xfId="4" applyFill="1" applyAlignment="1" applyProtection="1"/>
    <xf numFmtId="167" fontId="12" fillId="10" borderId="0" xfId="3" applyNumberFormat="1" applyFont="1" applyFill="1" applyAlignment="1" applyProtection="1">
      <alignment horizontal="center"/>
    </xf>
    <xf numFmtId="167" fontId="12" fillId="10" borderId="0" xfId="3" applyNumberFormat="1" applyFont="1" applyFill="1" applyAlignment="1" applyProtection="1">
      <alignment horizontal="left" indent="1"/>
    </xf>
    <xf numFmtId="167" fontId="20" fillId="0" borderId="0" xfId="3" applyNumberFormat="1" applyFont="1" applyAlignment="1" applyProtection="1"/>
    <xf numFmtId="167" fontId="17" fillId="0" borderId="0" xfId="4" applyNumberFormat="1" applyFont="1" applyAlignment="1" applyProtection="1">
      <alignment horizontal="center"/>
    </xf>
    <xf numFmtId="167" fontId="21" fillId="0" borderId="0" xfId="3" applyNumberFormat="1" applyFont="1" applyAlignment="1" applyProtection="1"/>
    <xf numFmtId="167" fontId="23" fillId="0" borderId="0" xfId="3" applyNumberFormat="1" applyFont="1" applyAlignment="1" applyProtection="1">
      <alignment horizontal="left" indent="1"/>
    </xf>
    <xf numFmtId="167" fontId="17" fillId="0" borderId="0" xfId="3" applyNumberFormat="1" applyFont="1" applyAlignment="1" applyProtection="1">
      <alignment horizontal="left" indent="2"/>
    </xf>
    <xf numFmtId="168" fontId="17" fillId="0" borderId="0" xfId="3" applyFont="1" applyAlignment="1" applyProtection="1"/>
    <xf numFmtId="167" fontId="17" fillId="0" borderId="0" xfId="4" applyNumberFormat="1" applyFont="1" applyAlignment="1" applyProtection="1"/>
    <xf numFmtId="167" fontId="20" fillId="0" borderId="22" xfId="3" applyNumberFormat="1" applyFont="1" applyBorder="1" applyAlignment="1" applyProtection="1">
      <alignment horizontal="center"/>
    </xf>
    <xf numFmtId="167" fontId="20" fillId="0" borderId="22" xfId="4" applyNumberFormat="1" applyFont="1" applyBorder="1" applyAlignment="1" applyProtection="1">
      <alignment horizontal="center"/>
    </xf>
    <xf numFmtId="169" fontId="17" fillId="0" borderId="0" xfId="6" applyNumberFormat="1" applyFont="1" applyAlignment="1" applyProtection="1"/>
    <xf numFmtId="167" fontId="17" fillId="0" borderId="23" xfId="4" applyNumberFormat="1" applyFont="1" applyBorder="1" applyAlignment="1" applyProtection="1"/>
    <xf numFmtId="167" fontId="17" fillId="0" borderId="23" xfId="3" applyNumberFormat="1" applyFont="1" applyBorder="1" applyAlignment="1" applyProtection="1"/>
    <xf numFmtId="168" fontId="17" fillId="0" borderId="0" xfId="3" applyFont="1" applyAlignment="1" applyProtection="1">
      <alignment wrapText="1"/>
    </xf>
    <xf numFmtId="167" fontId="17" fillId="0" borderId="24" xfId="3" applyNumberFormat="1" applyFont="1" applyBorder="1" applyAlignment="1" applyProtection="1"/>
    <xf numFmtId="168" fontId="17" fillId="0" borderId="24" xfId="3" applyFont="1" applyBorder="1" applyAlignment="1" applyProtection="1"/>
    <xf numFmtId="170" fontId="17" fillId="0" borderId="0" xfId="6" applyFont="1" applyAlignment="1" applyProtection="1"/>
    <xf numFmtId="169" fontId="17" fillId="0" borderId="23" xfId="6" applyNumberFormat="1" applyFont="1" applyBorder="1" applyAlignment="1" applyProtection="1"/>
    <xf numFmtId="168" fontId="17" fillId="0" borderId="0" xfId="3" applyFont="1" applyAlignment="1" applyProtection="1">
      <alignment horizontal="left" indent="1"/>
    </xf>
    <xf numFmtId="168" fontId="17" fillId="0" borderId="0" xfId="3" applyFont="1" applyAlignment="1" applyProtection="1">
      <alignment horizontal="left" indent="2"/>
    </xf>
    <xf numFmtId="167" fontId="17" fillId="0" borderId="25" xfId="3" applyNumberFormat="1" applyFont="1" applyBorder="1" applyAlignment="1" applyProtection="1"/>
    <xf numFmtId="167" fontId="17" fillId="0" borderId="26" xfId="3" applyNumberFormat="1" applyFont="1" applyBorder="1" applyAlignment="1" applyProtection="1"/>
    <xf numFmtId="170" fontId="17" fillId="0" borderId="26" xfId="6" applyFont="1" applyBorder="1" applyAlignment="1" applyProtection="1"/>
    <xf numFmtId="169" fontId="17" fillId="0" borderId="26" xfId="6" applyNumberFormat="1" applyFont="1" applyBorder="1" applyAlignment="1" applyProtection="1"/>
    <xf numFmtId="167" fontId="20" fillId="0" borderId="24" xfId="3" applyNumberFormat="1" applyFont="1" applyBorder="1" applyAlignment="1" applyProtection="1">
      <alignment horizontal="center"/>
    </xf>
    <xf numFmtId="170" fontId="17" fillId="0" borderId="23" xfId="6" applyFont="1" applyBorder="1" applyAlignment="1" applyProtection="1"/>
    <xf numFmtId="167" fontId="20" fillId="11" borderId="22" xfId="3" applyNumberFormat="1" applyFont="1" applyFill="1" applyBorder="1" applyAlignment="1" applyProtection="1">
      <alignment horizontal="center"/>
    </xf>
    <xf numFmtId="167" fontId="17" fillId="0" borderId="0" xfId="4" quotePrefix="1" applyNumberFormat="1" applyFont="1" applyAlignment="1" applyProtection="1"/>
    <xf numFmtId="168" fontId="17" fillId="11" borderId="0" xfId="4" applyFont="1" applyFill="1" applyAlignment="1" applyProtection="1"/>
    <xf numFmtId="168" fontId="17" fillId="8" borderId="0" xfId="4" applyFont="1" applyFill="1" applyAlignment="1" applyProtection="1"/>
    <xf numFmtId="167" fontId="17" fillId="11" borderId="24" xfId="3" applyNumberFormat="1" applyFont="1" applyFill="1" applyBorder="1" applyAlignment="1" applyProtection="1"/>
    <xf numFmtId="168" fontId="21" fillId="0" borderId="0" xfId="3" applyFont="1" applyAlignment="1" applyProtection="1"/>
    <xf numFmtId="168" fontId="21" fillId="0" borderId="0" xfId="4" applyFont="1" applyAlignment="1" applyProtection="1"/>
    <xf numFmtId="167" fontId="21" fillId="0" borderId="0" xfId="4" applyNumberFormat="1" applyFont="1" applyAlignment="1" applyProtection="1"/>
    <xf numFmtId="168" fontId="12" fillId="0" borderId="0" xfId="3" applyFont="1" applyAlignment="1" applyProtection="1"/>
    <xf numFmtId="167" fontId="12" fillId="0" borderId="0" xfId="3" applyNumberFormat="1" applyFont="1" applyAlignment="1" applyProtection="1"/>
    <xf numFmtId="168" fontId="21" fillId="8" borderId="0" xfId="3" applyFont="1" applyFill="1" applyAlignment="1" applyProtection="1"/>
    <xf numFmtId="167" fontId="17" fillId="11" borderId="0" xfId="3" applyNumberFormat="1" applyFont="1" applyFill="1" applyAlignment="1" applyProtection="1"/>
    <xf numFmtId="168" fontId="12" fillId="8" borderId="0" xfId="3" applyFont="1" applyFill="1" applyAlignment="1" applyProtection="1"/>
    <xf numFmtId="167" fontId="17" fillId="8" borderId="0" xfId="4" applyNumberFormat="1" applyFont="1" applyFill="1" applyAlignment="1" applyProtection="1"/>
    <xf numFmtId="168" fontId="17" fillId="11" borderId="23" xfId="4" applyFont="1" applyFill="1" applyBorder="1" applyAlignment="1" applyProtection="1"/>
    <xf numFmtId="0" fontId="17" fillId="12" borderId="0" xfId="0" applyFont="1" applyFill="1" applyAlignment="1"/>
    <xf numFmtId="0" fontId="17" fillId="0" borderId="0" xfId="0" applyFont="1" applyAlignment="1">
      <alignment horizontal="center"/>
    </xf>
    <xf numFmtId="0" fontId="21" fillId="0" borderId="0" xfId="0" applyFont="1" applyAlignment="1"/>
    <xf numFmtId="0" fontId="21" fillId="12" borderId="0" xfId="0" applyFont="1" applyFill="1" applyAlignment="1"/>
    <xf numFmtId="0" fontId="21" fillId="0" borderId="0" xfId="0" applyFont="1" applyAlignment="1">
      <alignment horizontal="center"/>
    </xf>
    <xf numFmtId="0" fontId="3" fillId="12" borderId="4" xfId="1" applyFont="1" applyFill="1" applyBorder="1" applyProtection="1"/>
    <xf numFmtId="168" fontId="3" fillId="2" borderId="0" xfId="4" applyFont="1" applyFill="1" applyAlignment="1" applyProtection="1">
      <alignment horizontal="center"/>
    </xf>
    <xf numFmtId="168" fontId="25" fillId="8" borderId="0" xfId="4" applyFont="1" applyFill="1" applyAlignment="1" applyProtection="1">
      <alignment horizontal="center"/>
    </xf>
    <xf numFmtId="168" fontId="3" fillId="2" borderId="6" xfId="4" applyFont="1" applyFill="1" applyBorder="1" applyAlignment="1" applyProtection="1">
      <alignment horizontal="center"/>
    </xf>
    <xf numFmtId="168" fontId="3" fillId="2" borderId="3" xfId="4" applyFont="1" applyFill="1" applyBorder="1" applyAlignment="1" applyProtection="1">
      <alignment horizontal="center"/>
    </xf>
    <xf numFmtId="0" fontId="21" fillId="11" borderId="0" xfId="0" applyFont="1" applyFill="1" applyAlignment="1"/>
    <xf numFmtId="168" fontId="21" fillId="11" borderId="23" xfId="4" applyFont="1" applyFill="1" applyBorder="1" applyAlignment="1" applyProtection="1"/>
    <xf numFmtId="168" fontId="21" fillId="11" borderId="0" xfId="4" applyFont="1" applyFill="1" applyAlignment="1" applyProtection="1"/>
    <xf numFmtId="0" fontId="21" fillId="11" borderId="0" xfId="0" applyFont="1" applyFill="1" applyAlignment="1">
      <alignment horizontal="center"/>
    </xf>
    <xf numFmtId="0" fontId="17" fillId="5" borderId="0" xfId="0" applyFont="1" applyFill="1" applyAlignment="1"/>
    <xf numFmtId="0" fontId="21" fillId="5" borderId="0" xfId="0" applyFont="1" applyFill="1" applyAlignment="1"/>
    <xf numFmtId="168" fontId="17" fillId="5" borderId="0" xfId="4" applyFont="1" applyFill="1" applyAlignment="1" applyProtection="1"/>
    <xf numFmtId="0" fontId="17" fillId="5" borderId="0" xfId="0" applyFont="1" applyFill="1" applyAlignment="1">
      <alignment horizontal="center"/>
    </xf>
    <xf numFmtId="167" fontId="17" fillId="5" borderId="0" xfId="3" applyNumberFormat="1" applyFont="1" applyFill="1" applyAlignment="1" applyProtection="1">
      <alignment horizontal="left" indent="1"/>
    </xf>
    <xf numFmtId="168" fontId="21" fillId="5" borderId="27" xfId="4" applyFont="1" applyFill="1" applyBorder="1" applyAlignment="1" applyProtection="1"/>
    <xf numFmtId="168" fontId="21" fillId="5" borderId="23" xfId="4" applyFont="1" applyFill="1" applyBorder="1" applyAlignment="1" applyProtection="1"/>
    <xf numFmtId="168" fontId="21" fillId="5" borderId="0" xfId="4" applyFont="1" applyFill="1" applyAlignment="1" applyProtection="1"/>
    <xf numFmtId="0" fontId="21" fillId="5" borderId="0" xfId="0" applyFont="1" applyFill="1" applyAlignment="1">
      <alignment horizontal="center"/>
    </xf>
    <xf numFmtId="168" fontId="21" fillId="0" borderId="23" xfId="4" applyFont="1" applyBorder="1" applyAlignment="1" applyProtection="1"/>
    <xf numFmtId="168" fontId="21" fillId="8" borderId="23" xfId="4" applyFont="1" applyFill="1" applyBorder="1" applyAlignment="1" applyProtection="1"/>
    <xf numFmtId="168" fontId="17" fillId="0" borderId="23" xfId="4" applyFont="1" applyBorder="1" applyAlignment="1" applyProtection="1"/>
    <xf numFmtId="167" fontId="17" fillId="0" borderId="27" xfId="3" applyNumberFormat="1" applyFont="1" applyBorder="1" applyAlignment="1" applyProtection="1"/>
    <xf numFmtId="167" fontId="21" fillId="0" borderId="27" xfId="3" applyNumberFormat="1" applyFont="1" applyBorder="1" applyAlignment="1" applyProtection="1"/>
    <xf numFmtId="167" fontId="21" fillId="0" borderId="0" xfId="3" applyNumberFormat="1" applyFont="1" applyAlignment="1" applyProtection="1">
      <alignment horizontal="left" indent="2"/>
    </xf>
    <xf numFmtId="167" fontId="21" fillId="0" borderId="23" xfId="3" applyNumberFormat="1" applyFont="1" applyBorder="1" applyAlignment="1" applyProtection="1"/>
    <xf numFmtId="9" fontId="17" fillId="0" borderId="0" xfId="5" applyFont="1" applyAlignment="1" applyProtection="1"/>
    <xf numFmtId="167" fontId="17" fillId="8" borderId="0" xfId="3" applyNumberFormat="1" applyFont="1" applyFill="1" applyAlignment="1" applyProtection="1"/>
    <xf numFmtId="167" fontId="20" fillId="8" borderId="0" xfId="3" applyNumberFormat="1" applyFont="1" applyFill="1" applyAlignment="1" applyProtection="1"/>
    <xf numFmtId="167" fontId="17" fillId="8" borderId="0" xfId="3" applyNumberFormat="1" applyFont="1" applyFill="1" applyAlignment="1" applyProtection="1">
      <alignment horizontal="left" indent="1"/>
    </xf>
    <xf numFmtId="167" fontId="19" fillId="0" borderId="0" xfId="3" applyNumberFormat="1" applyFont="1" applyAlignment="1" applyProtection="1">
      <alignment horizontal="center"/>
    </xf>
    <xf numFmtId="167" fontId="20" fillId="0" borderId="0" xfId="3" applyNumberFormat="1" applyFont="1" applyAlignment="1" applyProtection="1">
      <alignment horizontal="center"/>
    </xf>
    <xf numFmtId="167" fontId="17" fillId="0" borderId="0" xfId="3" applyNumberFormat="1" applyFont="1" applyAlignment="1" applyProtection="1">
      <alignment horizontal="left" wrapText="1"/>
    </xf>
    <xf numFmtId="168" fontId="21" fillId="0" borderId="0" xfId="4" applyFont="1" applyAlignment="1" applyProtection="1">
      <alignment horizontal="center"/>
    </xf>
    <xf numFmtId="168" fontId="19" fillId="0" borderId="0" xfId="3" applyFont="1" applyAlignment="1" applyProtection="1">
      <alignment horizontal="center"/>
    </xf>
    <xf numFmtId="167" fontId="20" fillId="0" borderId="24" xfId="3" applyNumberFormat="1" applyFont="1" applyBorder="1" applyAlignment="1" applyProtection="1">
      <alignment horizontal="center"/>
    </xf>
    <xf numFmtId="168" fontId="18" fillId="0" borderId="0" xfId="3" applyFont="1" applyAlignment="1" applyProtection="1">
      <alignment horizontal="center"/>
    </xf>
    <xf numFmtId="168" fontId="20" fillId="0" borderId="0" xfId="3" applyFont="1" applyAlignment="1" applyProtection="1">
      <alignment horizontal="center"/>
    </xf>
    <xf numFmtId="168" fontId="24" fillId="0" borderId="0" xfId="4" applyFont="1" applyAlignment="1" applyProtection="1">
      <alignment horizontal="center"/>
    </xf>
    <xf numFmtId="171" fontId="20" fillId="0" borderId="0" xfId="3" applyNumberFormat="1" applyFont="1" applyAlignment="1" applyProtection="1">
      <alignment horizontal="center"/>
    </xf>
    <xf numFmtId="167" fontId="18" fillId="0" borderId="0" xfId="3" applyNumberFormat="1" applyFont="1" applyAlignment="1" applyProtection="1">
      <alignment horizontal="center"/>
    </xf>
    <xf numFmtId="0" fontId="28" fillId="0" borderId="0" xfId="0" applyFont="1">
      <alignment vertical="center"/>
    </xf>
    <xf numFmtId="0" fontId="29" fillId="12" borderId="0" xfId="0" applyFont="1" applyFill="1" applyAlignment="1"/>
    <xf numFmtId="167" fontId="17" fillId="13" borderId="0" xfId="3" applyNumberFormat="1" applyFont="1" applyFill="1" applyAlignment="1" applyProtection="1"/>
    <xf numFmtId="168" fontId="17" fillId="13" borderId="0" xfId="4" applyFont="1" applyFill="1" applyAlignment="1" applyProtection="1"/>
    <xf numFmtId="168" fontId="21" fillId="13" borderId="0" xfId="4" applyFont="1" applyFill="1" applyAlignment="1" applyProtection="1">
      <alignment horizontal="center"/>
    </xf>
    <xf numFmtId="168" fontId="21" fillId="13" borderId="0" xfId="4" applyFont="1" applyFill="1" applyAlignment="1" applyProtection="1"/>
    <xf numFmtId="167" fontId="21" fillId="13" borderId="0" xfId="3" applyNumberFormat="1" applyFont="1" applyFill="1" applyAlignment="1" applyProtection="1">
      <alignment horizontal="center"/>
    </xf>
    <xf numFmtId="168" fontId="21" fillId="13" borderId="0" xfId="4" applyFont="1" applyFill="1" applyAlignment="1" applyProtection="1">
      <alignment horizontal="center"/>
    </xf>
    <xf numFmtId="167" fontId="12" fillId="13" borderId="0" xfId="3" applyNumberFormat="1" applyFont="1" applyFill="1" applyAlignment="1" applyProtection="1"/>
    <xf numFmtId="168" fontId="12" fillId="13" borderId="0" xfId="4" applyFill="1" applyAlignment="1" applyProtection="1"/>
    <xf numFmtId="168" fontId="12" fillId="0" borderId="0" xfId="4">
      <alignment vertical="top"/>
      <protection locked="0"/>
    </xf>
    <xf numFmtId="168" fontId="12" fillId="0" borderId="0" xfId="4">
      <alignment vertical="top"/>
      <protection locked="0"/>
    </xf>
    <xf numFmtId="168" fontId="30" fillId="0" borderId="0" xfId="4" applyFont="1">
      <alignment vertical="top"/>
      <protection locked="0"/>
    </xf>
    <xf numFmtId="0" fontId="31" fillId="0" borderId="0" xfId="0" applyFont="1">
      <alignment vertical="center"/>
    </xf>
    <xf numFmtId="0" fontId="29" fillId="11" borderId="23" xfId="0" applyFont="1" applyFill="1" applyBorder="1" applyAlignment="1"/>
    <xf numFmtId="168" fontId="29" fillId="0" borderId="23" xfId="4" applyFont="1" applyBorder="1">
      <alignment vertical="top"/>
      <protection locked="0"/>
    </xf>
    <xf numFmtId="0" fontId="28" fillId="0" borderId="23" xfId="0" applyFont="1" applyBorder="1">
      <alignment vertical="center"/>
    </xf>
    <xf numFmtId="168" fontId="29" fillId="0" borderId="0" xfId="4" applyFont="1" applyAlignment="1" applyProtection="1"/>
    <xf numFmtId="0" fontId="0" fillId="8" borderId="0" xfId="0" applyFill="1">
      <alignment vertical="center"/>
    </xf>
    <xf numFmtId="168" fontId="12" fillId="8" borderId="0" xfId="4" applyFill="1">
      <alignment vertical="top"/>
      <protection locked="0"/>
    </xf>
    <xf numFmtId="168" fontId="29" fillId="8" borderId="23" xfId="4" applyFont="1" applyFill="1" applyBorder="1">
      <alignment vertical="top"/>
      <protection locked="0"/>
    </xf>
    <xf numFmtId="168" fontId="32" fillId="8" borderId="3" xfId="4" applyFont="1" applyFill="1" applyBorder="1" applyAlignment="1" applyProtection="1">
      <alignment horizontal="center"/>
    </xf>
    <xf numFmtId="0" fontId="33" fillId="2" borderId="1" xfId="1" applyFont="1" applyFill="1" applyBorder="1" applyAlignment="1" applyProtection="1">
      <alignment horizontal="center"/>
    </xf>
    <xf numFmtId="0" fontId="29" fillId="5" borderId="0" xfId="0" applyFont="1" applyFill="1" applyAlignment="1"/>
    <xf numFmtId="0" fontId="29" fillId="5" borderId="23" xfId="0" applyFont="1" applyFill="1" applyBorder="1" applyAlignment="1"/>
    <xf numFmtId="168" fontId="29" fillId="0" borderId="0" xfId="4" applyFont="1">
      <alignment vertical="top"/>
      <protection locked="0"/>
    </xf>
    <xf numFmtId="168" fontId="29" fillId="8" borderId="0" xfId="4" applyFont="1" applyFill="1">
      <alignment vertical="top"/>
      <protection locked="0"/>
    </xf>
    <xf numFmtId="167" fontId="34" fillId="0" borderId="0" xfId="3" applyNumberFormat="1" applyFont="1" applyAlignment="1" applyProtection="1"/>
    <xf numFmtId="0" fontId="29" fillId="12" borderId="23" xfId="0" applyFont="1" applyFill="1" applyBorder="1" applyAlignment="1"/>
    <xf numFmtId="168" fontId="28" fillId="0" borderId="23" xfId="0" applyNumberFormat="1" applyFont="1" applyBorder="1">
      <alignment vertical="center"/>
    </xf>
    <xf numFmtId="0" fontId="28" fillId="8" borderId="23" xfId="0" applyFont="1" applyFill="1" applyBorder="1">
      <alignment vertical="center"/>
    </xf>
    <xf numFmtId="43" fontId="0" fillId="0" borderId="0" xfId="0" applyNumberFormat="1">
      <alignment vertical="center"/>
    </xf>
    <xf numFmtId="168" fontId="30" fillId="0" borderId="0" xfId="3" applyFont="1" applyAlignment="1" applyProtection="1"/>
    <xf numFmtId="168" fontId="24" fillId="0" borderId="0" xfId="4" applyFont="1" applyAlignment="1" applyProtection="1">
      <alignment horizontal="left"/>
    </xf>
    <xf numFmtId="167" fontId="12" fillId="0" borderId="0" xfId="4" applyNumberFormat="1">
      <alignment vertical="top"/>
      <protection locked="0"/>
    </xf>
    <xf numFmtId="167" fontId="34" fillId="11" borderId="22" xfId="3" applyNumberFormat="1" applyFont="1" applyFill="1" applyBorder="1" applyAlignment="1" applyProtection="1">
      <alignment horizontal="center"/>
    </xf>
    <xf numFmtId="167" fontId="29" fillId="0" borderId="0" xfId="4" applyNumberFormat="1" applyFont="1">
      <alignment vertical="top"/>
      <protection locked="0"/>
    </xf>
    <xf numFmtId="167" fontId="29" fillId="0" borderId="27" xfId="4" applyNumberFormat="1" applyFont="1" applyBorder="1">
      <alignment vertical="top"/>
      <protection locked="0"/>
    </xf>
    <xf numFmtId="168" fontId="29" fillId="0" borderId="0" xfId="3" applyFont="1" applyAlignment="1" applyProtection="1"/>
    <xf numFmtId="0" fontId="28" fillId="8" borderId="0" xfId="0" applyFont="1" applyFill="1">
      <alignment vertical="center"/>
    </xf>
    <xf numFmtId="168" fontId="28" fillId="0" borderId="0" xfId="0" applyNumberFormat="1" applyFont="1">
      <alignment vertical="center"/>
    </xf>
    <xf numFmtId="168" fontId="29" fillId="8" borderId="0" xfId="3" applyFont="1" applyFill="1" applyAlignment="1" applyProtection="1"/>
    <xf numFmtId="9" fontId="0" fillId="0" borderId="0" xfId="0" applyNumberFormat="1">
      <alignment vertical="center"/>
    </xf>
    <xf numFmtId="167" fontId="29" fillId="0" borderId="23" xfId="4" applyNumberFormat="1" applyFont="1" applyBorder="1">
      <alignment vertical="top"/>
      <protection locked="0"/>
    </xf>
    <xf numFmtId="168" fontId="35" fillId="0" borderId="0" xfId="4" applyFont="1" applyAlignment="1" applyProtection="1">
      <alignment horizontal="left"/>
    </xf>
    <xf numFmtId="168" fontId="29" fillId="0" borderId="23" xfId="4" applyFont="1" applyBorder="1" applyAlignment="1" applyProtection="1"/>
    <xf numFmtId="167" fontId="30" fillId="9" borderId="0" xfId="3" applyNumberFormat="1" applyFont="1" applyFill="1" applyAlignment="1" applyProtection="1">
      <alignment horizontal="left" indent="1"/>
    </xf>
    <xf numFmtId="167" fontId="30" fillId="0" borderId="0" xfId="3" applyNumberFormat="1" applyFont="1" applyAlignment="1" applyProtection="1"/>
    <xf numFmtId="167" fontId="20" fillId="14" borderId="0" xfId="3" applyNumberFormat="1" applyFont="1" applyFill="1" applyAlignment="1" applyProtection="1"/>
    <xf numFmtId="167" fontId="17" fillId="14" borderId="0" xfId="3" applyNumberFormat="1" applyFont="1" applyFill="1" applyAlignment="1" applyProtection="1"/>
    <xf numFmtId="167" fontId="17" fillId="14" borderId="27" xfId="3" applyNumberFormat="1" applyFont="1" applyFill="1" applyBorder="1" applyAlignment="1" applyProtection="1"/>
    <xf numFmtId="167" fontId="17" fillId="14" borderId="0" xfId="3" applyNumberFormat="1" applyFont="1" applyFill="1" applyAlignment="1" applyProtection="1">
      <alignment horizontal="left" indent="1"/>
    </xf>
    <xf numFmtId="167" fontId="21" fillId="14" borderId="0" xfId="3" applyNumberFormat="1" applyFont="1" applyFill="1" applyAlignment="1" applyProtection="1">
      <alignment horizontal="left" indent="1"/>
    </xf>
    <xf numFmtId="167" fontId="21" fillId="14" borderId="27" xfId="3" applyNumberFormat="1" applyFont="1" applyFill="1" applyBorder="1" applyAlignment="1" applyProtection="1"/>
    <xf numFmtId="167" fontId="21" fillId="14" borderId="0" xfId="3" applyNumberFormat="1" applyFont="1" applyFill="1" applyAlignment="1" applyProtection="1">
      <alignment horizontal="left" indent="2"/>
    </xf>
    <xf numFmtId="167" fontId="21" fillId="14" borderId="23" xfId="3" applyNumberFormat="1" applyFont="1" applyFill="1" applyBorder="1" applyAlignment="1" applyProtection="1"/>
    <xf numFmtId="167" fontId="21" fillId="14" borderId="0" xfId="3" applyNumberFormat="1" applyFont="1" applyFill="1" applyAlignment="1" applyProtection="1"/>
    <xf numFmtId="168" fontId="17" fillId="14" borderId="0" xfId="4" applyFont="1" applyFill="1" applyAlignment="1" applyProtection="1"/>
  </cellXfs>
  <cellStyles count="7">
    <cellStyle name="Comma" xfId="4" builtinId="3"/>
    <cellStyle name="Comma 2" xfId="3" xr:uid="{00000000-0005-0000-0000-000003000000}"/>
    <cellStyle name="Currency 2" xfId="6" xr:uid="{00000000-0005-0000-0000-000006000000}"/>
    <cellStyle name="Normal" xfId="0" builtinId="0"/>
    <cellStyle name="Normal 27" xfId="1" xr:uid="{00000000-0005-0000-0000-000001000000}"/>
    <cellStyle name="Percent" xfId="2" builtinId="5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www.wps.cn/officeDocument/2020/cellImage" Target="NUL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35914260717412"/>
          <c:y val="0.19486111111111112"/>
          <c:w val="0.79041863517060362"/>
          <c:h val="0.72088764946048411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'Operating Budgets'!$H$8:$L$8</c:f>
              <c:strCache>
                <c:ptCount val="5"/>
                <c:pt idx="0">
                  <c:v> Quarter 1 </c:v>
                </c:pt>
                <c:pt idx="1">
                  <c:v> Quarter 2 </c:v>
                </c:pt>
                <c:pt idx="2">
                  <c:v> Quarter 3 </c:v>
                </c:pt>
                <c:pt idx="3">
                  <c:v> Quarter 4 </c:v>
                </c:pt>
                <c:pt idx="4">
                  <c:v> Year </c:v>
                </c:pt>
              </c:strCache>
            </c:strRef>
          </c:cat>
          <c:val>
            <c:numRef>
              <c:f>'Operating Budgets'!$H$13:$L$13</c:f>
              <c:numCache>
                <c:formatCode>_(* #,##0_);_(* \(#,##0\);_(* "-"??_);_(@_)</c:formatCode>
                <c:ptCount val="5"/>
                <c:pt idx="0">
                  <c:v>26900000</c:v>
                </c:pt>
                <c:pt idx="1">
                  <c:v>28245000</c:v>
                </c:pt>
                <c:pt idx="2">
                  <c:v>29657250</c:v>
                </c:pt>
                <c:pt idx="3">
                  <c:v>31140112.5</c:v>
                </c:pt>
                <c:pt idx="4">
                  <c:v>115942362.5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4B8C-B927-954C2F92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73641424"/>
        <c:axId val="-1473621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'Operating Budgets'!$H$8:$L$8</c15:sqref>
                        </c15:formulaRef>
                      </c:ext>
                    </c:extLst>
                    <c:strCache>
                      <c:ptCount val="5"/>
                      <c:pt idx="0">
                        <c:v> Quarter 1 </c:v>
                      </c:pt>
                      <c:pt idx="1">
                        <c:v> Quarter 2 </c:v>
                      </c:pt>
                      <c:pt idx="2">
                        <c:v> Quarter 3 </c:v>
                      </c:pt>
                      <c:pt idx="3">
                        <c:v> Quarter 4 </c:v>
                      </c:pt>
                      <c:pt idx="4">
                        <c:v> Year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'Operating Budgets'!$H$9:$L$9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19F-4B8C-B927-954C2F92ABA7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'Operating Budgets'!$H$8:$L$8</c15:sqref>
                        </c15:formulaRef>
                      </c:ext>
                    </c:extLst>
                    <c:strCache>
                      <c:ptCount val="5"/>
                      <c:pt idx="0">
                        <c:v> Quarter 1 </c:v>
                      </c:pt>
                      <c:pt idx="1">
                        <c:v> Quarter 2 </c:v>
                      </c:pt>
                      <c:pt idx="2">
                        <c:v> Quarter 3 </c:v>
                      </c:pt>
                      <c:pt idx="3">
                        <c:v> Quarter 4 </c:v>
                      </c:pt>
                      <c:pt idx="4">
                        <c:v> Year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'Operating Budgets'!$H$10:$L$10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9F-4B8C-B927-954C2F92ABA7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'Operating Budgets'!$H$8:$L$8</c15:sqref>
                        </c15:formulaRef>
                      </c:ext>
                    </c:extLst>
                    <c:strCache>
                      <c:ptCount val="5"/>
                      <c:pt idx="0">
                        <c:v> Quarter 1 </c:v>
                      </c:pt>
                      <c:pt idx="1">
                        <c:v> Quarter 2 </c:v>
                      </c:pt>
                      <c:pt idx="2">
                        <c:v> Quarter 3 </c:v>
                      </c:pt>
                      <c:pt idx="3">
                        <c:v> Quarter 4 </c:v>
                      </c:pt>
                      <c:pt idx="4">
                        <c:v> Year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'Operating Budgets'!$H$11:$L$11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9F-4B8C-B927-954C2F92ABA7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'Operating Budgets'!$H$8:$L$8</c15:sqref>
                        </c15:formulaRef>
                      </c:ext>
                    </c:extLst>
                    <c:strCache>
                      <c:ptCount val="5"/>
                      <c:pt idx="0">
                        <c:v> Quarter 1 </c:v>
                      </c:pt>
                      <c:pt idx="1">
                        <c:v> Quarter 2 </c:v>
                      </c:pt>
                      <c:pt idx="2">
                        <c:v> Quarter 3 </c:v>
                      </c:pt>
                      <c:pt idx="3">
                        <c:v> Quarter 4 </c:v>
                      </c:pt>
                      <c:pt idx="4">
                        <c:v> Year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'Operating Budgets'!$H$12:$L$12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19F-4B8C-B927-954C2F92ABA7}"/>
                  </c:ext>
                </c:extLst>
              </c15:ser>
            </c15:filteredBarSeries>
          </c:ext>
        </c:extLst>
      </c:barChart>
      <c:catAx>
        <c:axId val="-14736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621840"/>
        <c:crosses val="autoZero"/>
        <c:auto val="1"/>
        <c:lblAlgn val="ctr"/>
        <c:lblOffset val="100"/>
        <c:noMultiLvlLbl val="0"/>
      </c:catAx>
      <c:valAx>
        <c:axId val="-14736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364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456869</xdr:colOff>
      <xdr:row>13</xdr:row>
      <xdr:rowOff>101575</xdr:rowOff>
    </xdr:from>
    <xdr:to>
      <xdr:col>11</xdr:col>
      <xdr:colOff>961128</xdr:colOff>
      <xdr:row>27</xdr:row>
      <xdr:rowOff>126503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r/CElliott/mining/Open%20Pit/Fairyland/work_march01/Economics/Lev_anl385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e%252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ilters"/>
      <sheetName val="Calc"/>
      <sheetName val="Input_Data"/>
      <sheetName val="Grade_Tonnes"/>
      <sheetName val="Graphs"/>
      <sheetName val="Module1"/>
      <sheetName val="Module2"/>
      <sheetName val="21Jan05-13Apr05"/>
    </sheetNames>
    <sheetDataSet>
      <sheetData sheetId="0"/>
      <sheetData sheetId="1"/>
      <sheetData sheetId="2"/>
      <sheetData sheetId="3"/>
      <sheetData sheetId="4"/>
      <sheetData sheetId="5">
        <row r="5">
          <cell r="K5">
            <v>1</v>
          </cell>
        </row>
        <row r="7">
          <cell r="K7">
            <v>0.23253563289931251</v>
          </cell>
        </row>
        <row r="8">
          <cell r="B8">
            <v>0.5</v>
          </cell>
          <cell r="C8">
            <v>0.69156301080363158</v>
          </cell>
          <cell r="E8">
            <v>0.74268335588123258</v>
          </cell>
          <cell r="G8">
            <v>0.55478524232601945</v>
          </cell>
          <cell r="I8">
            <v>-0.22260737883699033</v>
          </cell>
          <cell r="J8">
            <v>0.5</v>
          </cell>
          <cell r="K8">
            <v>-0.38373218355034378</v>
          </cell>
        </row>
        <row r="9">
          <cell r="B9">
            <v>0.6</v>
          </cell>
          <cell r="C9">
            <v>0.57430111680409934</v>
          </cell>
          <cell r="E9">
            <v>0.60945255368848328</v>
          </cell>
          <cell r="G9">
            <v>0.47752471537047358</v>
          </cell>
          <cell r="I9">
            <v>-0.11348517077771592</v>
          </cell>
          <cell r="J9">
            <v>0.6</v>
          </cell>
          <cell r="K9">
            <v>-0.26047862026041241</v>
          </cell>
        </row>
        <row r="10">
          <cell r="B10">
            <v>0.7</v>
          </cell>
          <cell r="C10">
            <v>0.47224285224138551</v>
          </cell>
          <cell r="E10">
            <v>0.49514633455996993</v>
          </cell>
          <cell r="G10">
            <v>0.40757916589632054</v>
          </cell>
          <cell r="I10">
            <v>-1.469458387257579E-2</v>
          </cell>
          <cell r="J10">
            <v>0.7</v>
          </cell>
          <cell r="K10">
            <v>-0.13722505697048129</v>
          </cell>
        </row>
        <row r="11">
          <cell r="B11">
            <v>0.8</v>
          </cell>
          <cell r="C11">
            <v>0.38261138527509175</v>
          </cell>
          <cell r="E11">
            <v>0.39599990685645164</v>
          </cell>
          <cell r="G11">
            <v>0.34395668446733252</v>
          </cell>
          <cell r="I11">
            <v>7.5165347573866143E-2</v>
          </cell>
          <cell r="J11">
            <v>0.8</v>
          </cell>
          <cell r="K11">
            <v>-1.3971493680549877E-2</v>
          </cell>
        </row>
        <row r="12">
          <cell r="B12">
            <v>0.9</v>
          </cell>
          <cell r="C12">
            <v>0.30326730157866993</v>
          </cell>
          <cell r="E12">
            <v>0.30918498357802143</v>
          </cell>
          <cell r="G12">
            <v>0.28583694312912827</v>
          </cell>
          <cell r="I12">
            <v>0.15725324881621544</v>
          </cell>
          <cell r="J12">
            <v>0.9</v>
          </cell>
          <cell r="K12">
            <v>0.10928206960938136</v>
          </cell>
        </row>
        <row r="13">
          <cell r="B13">
            <v>1</v>
          </cell>
          <cell r="C13">
            <v>0.23253563289931251</v>
          </cell>
          <cell r="E13">
            <v>0.23253563289931251</v>
          </cell>
          <cell r="G13">
            <v>0.23253563289931251</v>
          </cell>
          <cell r="I13">
            <v>0.23253563289931251</v>
          </cell>
          <cell r="J13">
            <v>1</v>
          </cell>
          <cell r="K13">
            <v>0.23253563289931251</v>
          </cell>
        </row>
        <row r="14">
          <cell r="B14">
            <v>1.1000000000000001</v>
          </cell>
          <cell r="C14">
            <v>0.16908631167794011</v>
          </cell>
          <cell r="E14">
            <v>0.16436510658544895</v>
          </cell>
          <cell r="G14">
            <v>0.18347739415982106</v>
          </cell>
          <cell r="I14">
            <v>0.30182513357580337</v>
          </cell>
          <cell r="J14">
            <v>1.1000000000000001</v>
          </cell>
          <cell r="K14">
            <v>0.35578919618924393</v>
          </cell>
        </row>
        <row r="15">
          <cell r="B15">
            <v>1.2</v>
          </cell>
          <cell r="C15">
            <v>0.11184974215658187</v>
          </cell>
          <cell r="E15">
            <v>0.10334026898074083</v>
          </cell>
          <cell r="G15">
            <v>0.1381749642478852</v>
          </cell>
          <cell r="I15">
            <v>0.36580995709746222</v>
          </cell>
          <cell r="J15">
            <v>1.2</v>
          </cell>
          <cell r="K15">
            <v>0.47904275947917502</v>
          </cell>
        </row>
        <row r="16">
          <cell r="B16">
            <v>1.3</v>
          </cell>
          <cell r="C16">
            <v>5.9956014949915475E-2</v>
          </cell>
          <cell r="E16">
            <v>4.8393546872797483E-2</v>
          </cell>
          <cell r="G16">
            <v>9.6212937743819518E-2</v>
          </cell>
          <cell r="I16">
            <v>0.42507681906696521</v>
          </cell>
          <cell r="J16">
            <v>1.3</v>
          </cell>
          <cell r="K16">
            <v>0.60229632276910638</v>
          </cell>
        </row>
        <row r="17">
          <cell r="B17">
            <v>1.4</v>
          </cell>
          <cell r="C17">
            <v>1.2690384904341417E-2</v>
          </cell>
          <cell r="E17">
            <v>-1.3400591531465011E-3</v>
          </cell>
          <cell r="G17">
            <v>5.7234991362869012E-2</v>
          </cell>
          <cell r="I17">
            <v>0.48012898790801661</v>
          </cell>
          <cell r="J17">
            <v>1.4</v>
          </cell>
          <cell r="K17">
            <v>0.72554988605903736</v>
          </cell>
        </row>
        <row r="18">
          <cell r="B18">
            <v>1.5</v>
          </cell>
          <cell r="C18">
            <v>-3.0539847542743345E-2</v>
          </cell>
          <cell r="E18">
            <v>-4.6568847022441372E-2</v>
          </cell>
          <cell r="G18">
            <v>2.0933740725908173E-2</v>
          </cell>
          <cell r="I18">
            <v>0.53140061108886238</v>
          </cell>
          <cell r="J18">
            <v>1.5</v>
          </cell>
          <cell r="K18">
            <v>0.84880344934896912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Operating Budgets"/>
      <sheetName val="Financial Budgets"/>
    </sheetNames>
    <sheetDataSet>
      <sheetData sheetId="0">
        <row r="29">
          <cell r="A29" t="str">
            <v>Indirect labor</v>
          </cell>
        </row>
        <row r="30">
          <cell r="A30" t="str">
            <v>Indirect materials</v>
          </cell>
        </row>
        <row r="31">
          <cell r="A31" t="str">
            <v>Utilities</v>
          </cell>
        </row>
        <row r="32">
          <cell r="A32" t="str">
            <v>Maintenance</v>
          </cell>
        </row>
        <row r="33">
          <cell r="A33" t="str">
            <v>Supervisor salaries</v>
          </cell>
        </row>
        <row r="34">
          <cell r="A34" t="str">
            <v>Rent</v>
          </cell>
        </row>
        <row r="35">
          <cell r="A35" t="str">
            <v>Depreciation</v>
          </cell>
        </row>
        <row r="36">
          <cell r="A36" t="str">
            <v>Insurance</v>
          </cell>
        </row>
        <row r="40">
          <cell r="A40" t="str">
            <v>Sales commissions</v>
          </cell>
        </row>
        <row r="41">
          <cell r="A41" t="str">
            <v>Delivery expenses</v>
          </cell>
        </row>
        <row r="42">
          <cell r="A42" t="str">
            <v>Sales salaries</v>
          </cell>
        </row>
        <row r="43">
          <cell r="A43" t="str">
            <v>Office salaries</v>
          </cell>
        </row>
        <row r="44">
          <cell r="A44" t="str">
            <v>Advertising expense</v>
          </cell>
        </row>
        <row r="45">
          <cell r="A45" t="str">
            <v>Depreciation expense</v>
          </cell>
        </row>
        <row r="46">
          <cell r="A46" t="str">
            <v>Insurance</v>
          </cell>
        </row>
        <row r="47">
          <cell r="A47" t="str">
            <v>Rent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3"/>
  <sheetViews>
    <sheetView showGridLines="0" showOutlineSymbols="0" workbookViewId="0">
      <pane ySplit="5" topLeftCell="A47" activePane="bottomLeft" state="frozen"/>
      <selection pane="bottomLeft" activeCell="A64" sqref="A64"/>
    </sheetView>
  </sheetViews>
  <sheetFormatPr defaultColWidth="9.28515625" defaultRowHeight="12.75"/>
  <cols>
    <col min="1" max="1" width="29.28515625" style="1" bestFit="1" customWidth="1"/>
    <col min="2" max="13" width="11.5703125" style="1" customWidth="1"/>
    <col min="14" max="15" width="13.42578125" style="1" customWidth="1"/>
    <col min="16" max="16" width="2.5703125" style="1" customWidth="1"/>
    <col min="17" max="18" width="13.42578125" style="1" customWidth="1"/>
    <col min="19" max="19" width="15.28515625" style="1" customWidth="1"/>
    <col min="20" max="16384" width="9.28515625" style="1"/>
  </cols>
  <sheetData>
    <row r="1" spans="1:18" ht="13.5">
      <c r="A1" s="2" t="s">
        <v>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2"/>
    </row>
    <row r="2" spans="1:18" ht="18">
      <c r="A2" s="5" t="s">
        <v>88</v>
      </c>
      <c r="B2" s="6" t="s">
        <v>86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9"/>
      <c r="Q2" s="4"/>
      <c r="R2" s="4"/>
    </row>
    <row r="3" spans="1:18" ht="15.75" customHeight="1">
      <c r="A3" s="10"/>
      <c r="B3" s="11" t="s">
        <v>0</v>
      </c>
      <c r="C3" s="11" t="s">
        <v>0</v>
      </c>
      <c r="D3" s="11" t="s">
        <v>0</v>
      </c>
      <c r="E3" s="11" t="s">
        <v>0</v>
      </c>
      <c r="F3" s="11" t="s">
        <v>0</v>
      </c>
      <c r="G3" s="11" t="s">
        <v>0</v>
      </c>
      <c r="H3" s="11" t="s">
        <v>0</v>
      </c>
      <c r="I3" s="11" t="s">
        <v>0</v>
      </c>
      <c r="J3" s="11" t="s">
        <v>0</v>
      </c>
      <c r="K3" s="11" t="s">
        <v>0</v>
      </c>
      <c r="L3" s="11" t="s">
        <v>0</v>
      </c>
      <c r="M3" s="11" t="s">
        <v>0</v>
      </c>
      <c r="N3" s="12" t="s">
        <v>0</v>
      </c>
      <c r="O3" s="13" t="s">
        <v>1</v>
      </c>
      <c r="Q3" s="14" t="s">
        <v>2</v>
      </c>
      <c r="R3" s="14" t="s">
        <v>2</v>
      </c>
    </row>
    <row r="4" spans="1:18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5" t="s">
        <v>3</v>
      </c>
      <c r="O4" s="13" t="s">
        <v>3</v>
      </c>
      <c r="Q4" s="14" t="s">
        <v>4</v>
      </c>
      <c r="R4" s="14" t="s">
        <v>4</v>
      </c>
    </row>
    <row r="5" spans="1:18">
      <c r="A5" s="10" t="s">
        <v>5</v>
      </c>
      <c r="B5" s="11" t="s">
        <v>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1" t="s">
        <v>12</v>
      </c>
      <c r="I5" s="11" t="s">
        <v>13</v>
      </c>
      <c r="J5" s="11" t="s">
        <v>14</v>
      </c>
      <c r="K5" s="11" t="s">
        <v>15</v>
      </c>
      <c r="L5" s="11" t="s">
        <v>16</v>
      </c>
      <c r="M5" s="11" t="s">
        <v>17</v>
      </c>
      <c r="N5" s="15" t="s">
        <v>18</v>
      </c>
      <c r="O5" s="13" t="s">
        <v>18</v>
      </c>
      <c r="Q5" s="14" t="s">
        <v>19</v>
      </c>
      <c r="R5" s="14" t="s">
        <v>20</v>
      </c>
    </row>
    <row r="6" spans="1:18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9"/>
      <c r="O6" s="20"/>
      <c r="Q6" s="21"/>
      <c r="R6" s="21"/>
    </row>
    <row r="7" spans="1:18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  <c r="N7" s="19"/>
      <c r="O7" s="20"/>
      <c r="Q7" s="21"/>
      <c r="R7" s="21"/>
    </row>
    <row r="8" spans="1:18">
      <c r="A8" s="25" t="s">
        <v>22</v>
      </c>
      <c r="B8" s="26">
        <v>500000</v>
      </c>
      <c r="C8" s="26">
        <v>500000</v>
      </c>
      <c r="D8" s="26">
        <v>500000</v>
      </c>
      <c r="E8" s="26">
        <v>500000</v>
      </c>
      <c r="F8" s="26">
        <v>500000</v>
      </c>
      <c r="G8" s="26">
        <v>500000</v>
      </c>
      <c r="H8" s="26">
        <v>500000</v>
      </c>
      <c r="I8" s="26">
        <v>500000</v>
      </c>
      <c r="J8" s="26">
        <v>500000</v>
      </c>
      <c r="K8" s="26">
        <v>500000</v>
      </c>
      <c r="L8" s="26">
        <v>500000</v>
      </c>
      <c r="M8" s="27">
        <v>500000</v>
      </c>
      <c r="N8" s="19">
        <f>SUM(B8:M8)</f>
        <v>6000000</v>
      </c>
      <c r="O8" s="28">
        <v>5000000</v>
      </c>
      <c r="Q8" s="29">
        <f t="shared" ref="Q8:Q10" si="0">IFERROR(O8/N8-1,"na")</f>
        <v>-0.16666666666666663</v>
      </c>
      <c r="R8" s="21">
        <f>O8-N8</f>
        <v>-1000000</v>
      </c>
    </row>
    <row r="9" spans="1:18">
      <c r="A9" s="25" t="s">
        <v>23</v>
      </c>
      <c r="B9" s="26">
        <v>750000</v>
      </c>
      <c r="C9" s="26">
        <v>750000</v>
      </c>
      <c r="D9" s="26">
        <v>750000</v>
      </c>
      <c r="E9" s="26">
        <v>750000</v>
      </c>
      <c r="F9" s="26">
        <v>750000</v>
      </c>
      <c r="G9" s="26">
        <v>750000</v>
      </c>
      <c r="H9" s="26">
        <v>750000</v>
      </c>
      <c r="I9" s="26">
        <v>750000</v>
      </c>
      <c r="J9" s="26">
        <v>750000</v>
      </c>
      <c r="K9" s="26">
        <v>750000</v>
      </c>
      <c r="L9" s="26">
        <v>750000</v>
      </c>
      <c r="M9" s="27">
        <v>750000</v>
      </c>
      <c r="N9" s="19">
        <f t="shared" ref="N9:N10" si="1">SUM(B9:M9)</f>
        <v>9000000</v>
      </c>
      <c r="O9" s="28">
        <v>10000000</v>
      </c>
      <c r="Q9" s="29">
        <f t="shared" si="0"/>
        <v>0.11111111111111116</v>
      </c>
      <c r="R9" s="21">
        <f t="shared" ref="R9:R10" si="2">O9-N9</f>
        <v>1000000</v>
      </c>
    </row>
    <row r="10" spans="1:18">
      <c r="A10" s="25" t="s">
        <v>24</v>
      </c>
      <c r="B10" s="26">
        <v>300000</v>
      </c>
      <c r="C10" s="26">
        <v>300000</v>
      </c>
      <c r="D10" s="26">
        <v>300000</v>
      </c>
      <c r="E10" s="26">
        <v>300000</v>
      </c>
      <c r="F10" s="26">
        <v>300000</v>
      </c>
      <c r="G10" s="26">
        <v>300000</v>
      </c>
      <c r="H10" s="26">
        <v>300000</v>
      </c>
      <c r="I10" s="26">
        <v>300000</v>
      </c>
      <c r="J10" s="26">
        <v>300000</v>
      </c>
      <c r="K10" s="26">
        <v>300000</v>
      </c>
      <c r="L10" s="26">
        <v>300000</v>
      </c>
      <c r="M10" s="27">
        <v>300000</v>
      </c>
      <c r="N10" s="19">
        <f t="shared" si="1"/>
        <v>3600000</v>
      </c>
      <c r="O10" s="28">
        <v>4000000</v>
      </c>
      <c r="Q10" s="29">
        <f t="shared" si="0"/>
        <v>0.11111111111111116</v>
      </c>
      <c r="R10" s="21">
        <f t="shared" si="2"/>
        <v>400000</v>
      </c>
    </row>
    <row r="11" spans="1:18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8"/>
      <c r="N11" s="19"/>
      <c r="O11" s="20"/>
      <c r="Q11" s="21"/>
      <c r="R11" s="21"/>
    </row>
    <row r="12" spans="1:18">
      <c r="A12" s="22" t="s">
        <v>25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4"/>
      <c r="N12" s="19"/>
      <c r="O12" s="20"/>
      <c r="Q12" s="21"/>
      <c r="R12" s="21"/>
    </row>
    <row r="13" spans="1:18">
      <c r="A13" s="25" t="s">
        <v>22</v>
      </c>
      <c r="B13" s="30">
        <v>25</v>
      </c>
      <c r="C13" s="30">
        <v>25</v>
      </c>
      <c r="D13" s="30">
        <v>25</v>
      </c>
      <c r="E13" s="30">
        <v>25</v>
      </c>
      <c r="F13" s="30">
        <v>25</v>
      </c>
      <c r="G13" s="30">
        <v>25</v>
      </c>
      <c r="H13" s="30">
        <v>25</v>
      </c>
      <c r="I13" s="30">
        <v>25</v>
      </c>
      <c r="J13" s="30">
        <v>25</v>
      </c>
      <c r="K13" s="30">
        <v>25</v>
      </c>
      <c r="L13" s="30">
        <v>25</v>
      </c>
      <c r="M13" s="31">
        <v>25</v>
      </c>
      <c r="N13" s="32">
        <f>N18/N8</f>
        <v>25</v>
      </c>
      <c r="O13" s="33">
        <v>24.5</v>
      </c>
      <c r="P13" s="34"/>
      <c r="Q13" s="35">
        <f t="shared" ref="Q13:Q15" si="3">IFERROR(O13/N13-1,"na")</f>
        <v>-2.0000000000000018E-2</v>
      </c>
      <c r="R13" s="36">
        <f t="shared" ref="R13:R15" si="4">O13-N13</f>
        <v>-0.5</v>
      </c>
    </row>
    <row r="14" spans="1:18">
      <c r="A14" s="25" t="s">
        <v>23</v>
      </c>
      <c r="B14" s="30">
        <v>12</v>
      </c>
      <c r="C14" s="30">
        <v>12</v>
      </c>
      <c r="D14" s="30">
        <v>12</v>
      </c>
      <c r="E14" s="30">
        <v>12</v>
      </c>
      <c r="F14" s="30">
        <v>12</v>
      </c>
      <c r="G14" s="30">
        <v>12</v>
      </c>
      <c r="H14" s="30">
        <v>12</v>
      </c>
      <c r="I14" s="30">
        <v>12</v>
      </c>
      <c r="J14" s="30">
        <v>12</v>
      </c>
      <c r="K14" s="30">
        <v>12</v>
      </c>
      <c r="L14" s="30">
        <v>12</v>
      </c>
      <c r="M14" s="31">
        <v>12</v>
      </c>
      <c r="N14" s="32">
        <f t="shared" ref="N14:N15" si="5">N19/N9</f>
        <v>12</v>
      </c>
      <c r="O14" s="33">
        <v>13</v>
      </c>
      <c r="P14" s="34"/>
      <c r="Q14" s="35">
        <f t="shared" si="3"/>
        <v>8.3333333333333259E-2</v>
      </c>
      <c r="R14" s="36">
        <f t="shared" si="4"/>
        <v>1</v>
      </c>
    </row>
    <row r="15" spans="1:18">
      <c r="A15" s="25" t="s">
        <v>24</v>
      </c>
      <c r="B15" s="30">
        <v>18</v>
      </c>
      <c r="C15" s="30">
        <v>18</v>
      </c>
      <c r="D15" s="30">
        <v>18</v>
      </c>
      <c r="E15" s="30">
        <v>18</v>
      </c>
      <c r="F15" s="30">
        <v>18</v>
      </c>
      <c r="G15" s="30">
        <v>18</v>
      </c>
      <c r="H15" s="30">
        <v>18</v>
      </c>
      <c r="I15" s="30">
        <v>18</v>
      </c>
      <c r="J15" s="30">
        <v>18</v>
      </c>
      <c r="K15" s="30">
        <v>18</v>
      </c>
      <c r="L15" s="30">
        <v>18</v>
      </c>
      <c r="M15" s="31">
        <v>18</v>
      </c>
      <c r="N15" s="32">
        <f t="shared" si="5"/>
        <v>18</v>
      </c>
      <c r="O15" s="33">
        <v>19.75</v>
      </c>
      <c r="P15" s="34"/>
      <c r="Q15" s="35">
        <f t="shared" si="3"/>
        <v>9.7222222222222321E-2</v>
      </c>
      <c r="R15" s="36">
        <f t="shared" si="4"/>
        <v>1.75</v>
      </c>
    </row>
    <row r="16" spans="1:18">
      <c r="A16" s="25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N16" s="19"/>
      <c r="O16" s="20"/>
      <c r="Q16" s="21"/>
      <c r="R16" s="21"/>
    </row>
    <row r="17" spans="1:18">
      <c r="A17" s="22" t="s">
        <v>26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4"/>
      <c r="N17" s="19"/>
      <c r="O17" s="20"/>
      <c r="Q17" s="21"/>
      <c r="R17" s="21"/>
    </row>
    <row r="18" spans="1:18">
      <c r="A18" s="25" t="s">
        <v>22</v>
      </c>
      <c r="B18" s="23">
        <f>B8*B13</f>
        <v>12500000</v>
      </c>
      <c r="C18" s="23">
        <f t="shared" ref="C18:M18" si="6">C8*C13</f>
        <v>12500000</v>
      </c>
      <c r="D18" s="23">
        <f t="shared" si="6"/>
        <v>12500000</v>
      </c>
      <c r="E18" s="23">
        <f t="shared" si="6"/>
        <v>12500000</v>
      </c>
      <c r="F18" s="23">
        <f t="shared" si="6"/>
        <v>12500000</v>
      </c>
      <c r="G18" s="23">
        <f t="shared" si="6"/>
        <v>12500000</v>
      </c>
      <c r="H18" s="23">
        <f t="shared" si="6"/>
        <v>12500000</v>
      </c>
      <c r="I18" s="23">
        <f t="shared" si="6"/>
        <v>12500000</v>
      </c>
      <c r="J18" s="23">
        <f t="shared" si="6"/>
        <v>12500000</v>
      </c>
      <c r="K18" s="23">
        <f t="shared" si="6"/>
        <v>12500000</v>
      </c>
      <c r="L18" s="23">
        <f t="shared" si="6"/>
        <v>12500000</v>
      </c>
      <c r="M18" s="24">
        <f t="shared" si="6"/>
        <v>12500000</v>
      </c>
      <c r="N18" s="19">
        <f t="shared" ref="N18:N20" si="7">SUM(B18:M18)</f>
        <v>150000000</v>
      </c>
      <c r="O18" s="20">
        <f t="shared" ref="O18" si="8">O8*O13</f>
        <v>122500000</v>
      </c>
      <c r="Q18" s="29">
        <f t="shared" ref="Q18:Q20" si="9">IFERROR(O18/N18-1,"na")</f>
        <v>-0.18333333333333335</v>
      </c>
      <c r="R18" s="21">
        <f t="shared" ref="R18:R20" si="10">O18-N18</f>
        <v>-27500000</v>
      </c>
    </row>
    <row r="19" spans="1:18">
      <c r="A19" s="25" t="s">
        <v>23</v>
      </c>
      <c r="B19" s="23">
        <f t="shared" ref="B19:M20" si="11">B9*B14</f>
        <v>9000000</v>
      </c>
      <c r="C19" s="23">
        <f t="shared" si="11"/>
        <v>9000000</v>
      </c>
      <c r="D19" s="23">
        <f t="shared" si="11"/>
        <v>9000000</v>
      </c>
      <c r="E19" s="23">
        <f t="shared" si="11"/>
        <v>9000000</v>
      </c>
      <c r="F19" s="23">
        <f t="shared" si="11"/>
        <v>9000000</v>
      </c>
      <c r="G19" s="23">
        <f t="shared" si="11"/>
        <v>9000000</v>
      </c>
      <c r="H19" s="23">
        <f t="shared" si="11"/>
        <v>9000000</v>
      </c>
      <c r="I19" s="23">
        <f t="shared" si="11"/>
        <v>9000000</v>
      </c>
      <c r="J19" s="23">
        <f t="shared" si="11"/>
        <v>9000000</v>
      </c>
      <c r="K19" s="23">
        <f t="shared" si="11"/>
        <v>9000000</v>
      </c>
      <c r="L19" s="23">
        <f t="shared" si="11"/>
        <v>9000000</v>
      </c>
      <c r="M19" s="24">
        <f t="shared" si="11"/>
        <v>9000000</v>
      </c>
      <c r="N19" s="19">
        <f t="shared" si="7"/>
        <v>108000000</v>
      </c>
      <c r="O19" s="20">
        <f t="shared" ref="O19" si="12">O9*O14</f>
        <v>130000000</v>
      </c>
      <c r="Q19" s="29">
        <f t="shared" si="9"/>
        <v>0.20370370370370372</v>
      </c>
      <c r="R19" s="21">
        <f t="shared" si="10"/>
        <v>22000000</v>
      </c>
    </row>
    <row r="20" spans="1:18">
      <c r="A20" s="25" t="s">
        <v>24</v>
      </c>
      <c r="B20" s="23">
        <f t="shared" si="11"/>
        <v>5400000</v>
      </c>
      <c r="C20" s="23">
        <f t="shared" si="11"/>
        <v>5400000</v>
      </c>
      <c r="D20" s="23">
        <f t="shared" si="11"/>
        <v>5400000</v>
      </c>
      <c r="E20" s="23">
        <f t="shared" si="11"/>
        <v>5400000</v>
      </c>
      <c r="F20" s="23">
        <f t="shared" si="11"/>
        <v>5400000</v>
      </c>
      <c r="G20" s="23">
        <f t="shared" si="11"/>
        <v>5400000</v>
      </c>
      <c r="H20" s="23">
        <f t="shared" si="11"/>
        <v>5400000</v>
      </c>
      <c r="I20" s="23">
        <f t="shared" si="11"/>
        <v>5400000</v>
      </c>
      <c r="J20" s="23">
        <f t="shared" si="11"/>
        <v>5400000</v>
      </c>
      <c r="K20" s="23">
        <f t="shared" si="11"/>
        <v>5400000</v>
      </c>
      <c r="L20" s="23">
        <f t="shared" si="11"/>
        <v>5400000</v>
      </c>
      <c r="M20" s="24">
        <f t="shared" si="11"/>
        <v>5400000</v>
      </c>
      <c r="N20" s="19">
        <f t="shared" si="7"/>
        <v>64800000</v>
      </c>
      <c r="O20" s="20">
        <f t="shared" ref="O20" si="13">O10*O15</f>
        <v>79000000</v>
      </c>
      <c r="Q20" s="29">
        <f t="shared" si="9"/>
        <v>0.21913580246913589</v>
      </c>
      <c r="R20" s="21">
        <f t="shared" si="10"/>
        <v>14200000</v>
      </c>
    </row>
    <row r="21" spans="1:18">
      <c r="A21" s="25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19"/>
      <c r="O21" s="20"/>
      <c r="Q21" s="21"/>
      <c r="R21" s="21"/>
    </row>
    <row r="22" spans="1:18">
      <c r="A22" s="25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7"/>
      <c r="N22" s="19"/>
      <c r="O22" s="20"/>
      <c r="Q22" s="21"/>
      <c r="R22" s="21"/>
    </row>
    <row r="23" spans="1:18">
      <c r="A23" s="38" t="s">
        <v>27</v>
      </c>
      <c r="B23" s="39">
        <f>SUM(B18:B20)</f>
        <v>26900000</v>
      </c>
      <c r="C23" s="39">
        <f t="shared" ref="C23:R23" si="14">SUM(C18:C20)</f>
        <v>26900000</v>
      </c>
      <c r="D23" s="39">
        <f t="shared" si="14"/>
        <v>26900000</v>
      </c>
      <c r="E23" s="39">
        <f t="shared" si="14"/>
        <v>26900000</v>
      </c>
      <c r="F23" s="39">
        <f t="shared" si="14"/>
        <v>26900000</v>
      </c>
      <c r="G23" s="39">
        <f t="shared" si="14"/>
        <v>26900000</v>
      </c>
      <c r="H23" s="39">
        <f t="shared" si="14"/>
        <v>26900000</v>
      </c>
      <c r="I23" s="39">
        <f t="shared" si="14"/>
        <v>26900000</v>
      </c>
      <c r="J23" s="39">
        <f t="shared" si="14"/>
        <v>26900000</v>
      </c>
      <c r="K23" s="39">
        <f t="shared" si="14"/>
        <v>26900000</v>
      </c>
      <c r="L23" s="39">
        <f t="shared" si="14"/>
        <v>26900000</v>
      </c>
      <c r="M23" s="40">
        <f t="shared" si="14"/>
        <v>26900000</v>
      </c>
      <c r="N23" s="41">
        <f t="shared" si="14"/>
        <v>322800000</v>
      </c>
      <c r="O23" s="42">
        <f t="shared" si="14"/>
        <v>331500000</v>
      </c>
      <c r="Q23" s="43">
        <f t="shared" ref="Q23" si="15">IFERROR(O23/N23-1,"na")</f>
        <v>2.695167286245348E-2</v>
      </c>
      <c r="R23" s="44">
        <f t="shared" si="14"/>
        <v>8700000</v>
      </c>
    </row>
    <row r="24" spans="1:18">
      <c r="A24" s="25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  <c r="N24" s="19"/>
      <c r="O24" s="20"/>
      <c r="Q24" s="21"/>
      <c r="R24" s="21"/>
    </row>
    <row r="25" spans="1:18">
      <c r="A25" s="45" t="s">
        <v>28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4"/>
      <c r="N25" s="19"/>
      <c r="O25" s="20"/>
      <c r="Q25" s="21"/>
      <c r="R25" s="21"/>
    </row>
    <row r="26" spans="1:18">
      <c r="A26" s="25" t="s">
        <v>29</v>
      </c>
      <c r="B26" s="26">
        <v>250000</v>
      </c>
      <c r="C26" s="26">
        <v>250000</v>
      </c>
      <c r="D26" s="26">
        <v>250000</v>
      </c>
      <c r="E26" s="26">
        <v>250000</v>
      </c>
      <c r="F26" s="26">
        <v>250000</v>
      </c>
      <c r="G26" s="26">
        <v>250000</v>
      </c>
      <c r="H26" s="26">
        <v>250000</v>
      </c>
      <c r="I26" s="26">
        <v>250000</v>
      </c>
      <c r="J26" s="26">
        <v>250000</v>
      </c>
      <c r="K26" s="26">
        <v>250000</v>
      </c>
      <c r="L26" s="26">
        <v>250000</v>
      </c>
      <c r="M26" s="27">
        <v>250000</v>
      </c>
      <c r="N26" s="19">
        <f t="shared" ref="N26:N40" si="16">SUM(B26:M26)</f>
        <v>3000000</v>
      </c>
      <c r="O26" s="28">
        <v>2750000</v>
      </c>
      <c r="Q26" s="29">
        <f t="shared" ref="Q26:Q40" si="17">IFERROR(O26/N26-1,"na")</f>
        <v>-8.333333333333337E-2</v>
      </c>
      <c r="R26" s="21">
        <f t="shared" ref="R26:R40" si="18">O26-N26</f>
        <v>-250000</v>
      </c>
    </row>
    <row r="27" spans="1:18">
      <c r="A27" s="25" t="s">
        <v>30</v>
      </c>
      <c r="B27" s="26">
        <v>250000</v>
      </c>
      <c r="C27" s="26">
        <v>250000</v>
      </c>
      <c r="D27" s="26">
        <v>250000</v>
      </c>
      <c r="E27" s="26">
        <v>250000</v>
      </c>
      <c r="F27" s="26">
        <v>250000</v>
      </c>
      <c r="G27" s="26">
        <v>250000</v>
      </c>
      <c r="H27" s="26">
        <v>250000</v>
      </c>
      <c r="I27" s="26">
        <v>250000</v>
      </c>
      <c r="J27" s="26">
        <v>250000</v>
      </c>
      <c r="K27" s="26">
        <v>250000</v>
      </c>
      <c r="L27" s="26">
        <v>250000</v>
      </c>
      <c r="M27" s="27">
        <v>250000</v>
      </c>
      <c r="N27" s="19">
        <f t="shared" si="16"/>
        <v>3000000</v>
      </c>
      <c r="O27" s="28">
        <v>2750000</v>
      </c>
      <c r="Q27" s="29">
        <f t="shared" si="17"/>
        <v>-8.333333333333337E-2</v>
      </c>
      <c r="R27" s="21">
        <f t="shared" si="18"/>
        <v>-250000</v>
      </c>
    </row>
    <row r="28" spans="1:18">
      <c r="A28" s="25" t="s">
        <v>31</v>
      </c>
      <c r="B28" s="26">
        <v>250000</v>
      </c>
      <c r="C28" s="26">
        <v>250000</v>
      </c>
      <c r="D28" s="26">
        <v>250000</v>
      </c>
      <c r="E28" s="26">
        <v>250000</v>
      </c>
      <c r="F28" s="26">
        <v>250000</v>
      </c>
      <c r="G28" s="26">
        <v>250000</v>
      </c>
      <c r="H28" s="26">
        <v>250000</v>
      </c>
      <c r="I28" s="26">
        <v>250000</v>
      </c>
      <c r="J28" s="26">
        <v>250000</v>
      </c>
      <c r="K28" s="26">
        <v>250000</v>
      </c>
      <c r="L28" s="26">
        <v>250000</v>
      </c>
      <c r="M28" s="27">
        <v>250000</v>
      </c>
      <c r="N28" s="19">
        <f t="shared" si="16"/>
        <v>3000000</v>
      </c>
      <c r="O28" s="28">
        <v>2750000</v>
      </c>
      <c r="Q28" s="29">
        <f t="shared" si="17"/>
        <v>-8.333333333333337E-2</v>
      </c>
      <c r="R28" s="21">
        <f t="shared" si="18"/>
        <v>-250000</v>
      </c>
    </row>
    <row r="29" spans="1:18">
      <c r="A29" s="25" t="s">
        <v>32</v>
      </c>
      <c r="B29" s="26">
        <v>250000</v>
      </c>
      <c r="C29" s="26">
        <v>250000</v>
      </c>
      <c r="D29" s="26">
        <v>250000</v>
      </c>
      <c r="E29" s="26">
        <v>250000</v>
      </c>
      <c r="F29" s="26">
        <v>250000</v>
      </c>
      <c r="G29" s="26">
        <v>250000</v>
      </c>
      <c r="H29" s="26">
        <v>250000</v>
      </c>
      <c r="I29" s="26">
        <v>250000</v>
      </c>
      <c r="J29" s="26">
        <v>250000</v>
      </c>
      <c r="K29" s="26">
        <v>250000</v>
      </c>
      <c r="L29" s="26">
        <v>250000</v>
      </c>
      <c r="M29" s="27">
        <v>250000</v>
      </c>
      <c r="N29" s="19">
        <f t="shared" si="16"/>
        <v>3000000</v>
      </c>
      <c r="O29" s="28">
        <v>2750000</v>
      </c>
      <c r="Q29" s="29">
        <f t="shared" si="17"/>
        <v>-8.333333333333337E-2</v>
      </c>
      <c r="R29" s="21">
        <f t="shared" si="18"/>
        <v>-250000</v>
      </c>
    </row>
    <row r="30" spans="1:18">
      <c r="A30" s="25" t="s">
        <v>33</v>
      </c>
      <c r="B30" s="26">
        <v>250000</v>
      </c>
      <c r="C30" s="26">
        <v>250000</v>
      </c>
      <c r="D30" s="26">
        <v>250000</v>
      </c>
      <c r="E30" s="26">
        <v>250000</v>
      </c>
      <c r="F30" s="26">
        <v>250000</v>
      </c>
      <c r="G30" s="26">
        <v>250000</v>
      </c>
      <c r="H30" s="26">
        <v>250000</v>
      </c>
      <c r="I30" s="26">
        <v>250000</v>
      </c>
      <c r="J30" s="26">
        <v>250000</v>
      </c>
      <c r="K30" s="26">
        <v>250000</v>
      </c>
      <c r="L30" s="26">
        <v>250000</v>
      </c>
      <c r="M30" s="27">
        <v>250000</v>
      </c>
      <c r="N30" s="19">
        <f t="shared" si="16"/>
        <v>3000000</v>
      </c>
      <c r="O30" s="28">
        <v>2750000</v>
      </c>
      <c r="Q30" s="29">
        <f t="shared" si="17"/>
        <v>-8.333333333333337E-2</v>
      </c>
      <c r="R30" s="21">
        <f t="shared" si="18"/>
        <v>-250000</v>
      </c>
    </row>
    <row r="31" spans="1:18">
      <c r="A31" s="25" t="s">
        <v>34</v>
      </c>
      <c r="B31" s="26">
        <v>250000</v>
      </c>
      <c r="C31" s="26">
        <v>250000</v>
      </c>
      <c r="D31" s="26">
        <v>250000</v>
      </c>
      <c r="E31" s="26">
        <v>250000</v>
      </c>
      <c r="F31" s="26">
        <v>250000</v>
      </c>
      <c r="G31" s="26">
        <v>250000</v>
      </c>
      <c r="H31" s="26">
        <v>250000</v>
      </c>
      <c r="I31" s="26">
        <v>250000</v>
      </c>
      <c r="J31" s="26">
        <v>250000</v>
      </c>
      <c r="K31" s="26">
        <v>250000</v>
      </c>
      <c r="L31" s="26">
        <v>250000</v>
      </c>
      <c r="M31" s="27">
        <v>250000</v>
      </c>
      <c r="N31" s="19">
        <f>SUM(B31:M31)</f>
        <v>3000000</v>
      </c>
      <c r="O31" s="28">
        <v>2750000</v>
      </c>
      <c r="Q31" s="29">
        <f t="shared" si="17"/>
        <v>-8.333333333333337E-2</v>
      </c>
      <c r="R31" s="21">
        <f t="shared" si="18"/>
        <v>-250000</v>
      </c>
    </row>
    <row r="32" spans="1:18">
      <c r="A32" s="25" t="s">
        <v>35</v>
      </c>
      <c r="B32" s="26">
        <v>250000</v>
      </c>
      <c r="C32" s="26">
        <v>250000</v>
      </c>
      <c r="D32" s="26">
        <v>250000</v>
      </c>
      <c r="E32" s="26">
        <v>250000</v>
      </c>
      <c r="F32" s="26">
        <v>250000</v>
      </c>
      <c r="G32" s="26">
        <v>250000</v>
      </c>
      <c r="H32" s="26">
        <v>250000</v>
      </c>
      <c r="I32" s="26">
        <v>250000</v>
      </c>
      <c r="J32" s="26">
        <v>250000</v>
      </c>
      <c r="K32" s="26">
        <v>250000</v>
      </c>
      <c r="L32" s="26">
        <v>250000</v>
      </c>
      <c r="M32" s="27">
        <v>250000</v>
      </c>
      <c r="N32" s="19">
        <f t="shared" si="16"/>
        <v>3000000</v>
      </c>
      <c r="O32" s="28">
        <v>2750000</v>
      </c>
      <c r="Q32" s="29">
        <f t="shared" si="17"/>
        <v>-8.333333333333337E-2</v>
      </c>
      <c r="R32" s="21">
        <f t="shared" si="18"/>
        <v>-250000</v>
      </c>
    </row>
    <row r="33" spans="1:19">
      <c r="A33" s="25" t="s">
        <v>36</v>
      </c>
      <c r="B33" s="26">
        <v>250000</v>
      </c>
      <c r="C33" s="26">
        <v>250000</v>
      </c>
      <c r="D33" s="26">
        <v>250000</v>
      </c>
      <c r="E33" s="26">
        <v>250000</v>
      </c>
      <c r="F33" s="26">
        <v>250000</v>
      </c>
      <c r="G33" s="26">
        <v>250000</v>
      </c>
      <c r="H33" s="26">
        <v>250000</v>
      </c>
      <c r="I33" s="26">
        <v>250000</v>
      </c>
      <c r="J33" s="26">
        <v>250000</v>
      </c>
      <c r="K33" s="26">
        <v>250000</v>
      </c>
      <c r="L33" s="26">
        <v>250000</v>
      </c>
      <c r="M33" s="27">
        <v>250000</v>
      </c>
      <c r="N33" s="19">
        <f t="shared" si="16"/>
        <v>3000000</v>
      </c>
      <c r="O33" s="28">
        <v>2750000</v>
      </c>
      <c r="Q33" s="29">
        <f t="shared" si="17"/>
        <v>-8.333333333333337E-2</v>
      </c>
      <c r="R33" s="21">
        <f t="shared" si="18"/>
        <v>-250000</v>
      </c>
    </row>
    <row r="34" spans="1:19">
      <c r="A34" s="25" t="s">
        <v>37</v>
      </c>
      <c r="B34" s="26">
        <v>250000</v>
      </c>
      <c r="C34" s="26">
        <v>250000</v>
      </c>
      <c r="D34" s="26">
        <v>250000</v>
      </c>
      <c r="E34" s="26">
        <v>250000</v>
      </c>
      <c r="F34" s="26">
        <v>250000</v>
      </c>
      <c r="G34" s="26">
        <v>250000</v>
      </c>
      <c r="H34" s="26">
        <v>250000</v>
      </c>
      <c r="I34" s="26">
        <v>250000</v>
      </c>
      <c r="J34" s="26">
        <v>250000</v>
      </c>
      <c r="K34" s="26">
        <v>250000</v>
      </c>
      <c r="L34" s="26">
        <v>250000</v>
      </c>
      <c r="M34" s="27">
        <v>250000</v>
      </c>
      <c r="N34" s="19">
        <f t="shared" si="16"/>
        <v>3000000</v>
      </c>
      <c r="O34" s="28">
        <v>2750000</v>
      </c>
      <c r="Q34" s="29">
        <f t="shared" si="17"/>
        <v>-8.333333333333337E-2</v>
      </c>
      <c r="R34" s="21">
        <f t="shared" si="18"/>
        <v>-250000</v>
      </c>
    </row>
    <row r="35" spans="1:19">
      <c r="A35" s="25" t="s">
        <v>38</v>
      </c>
      <c r="B35" s="26">
        <v>250000</v>
      </c>
      <c r="C35" s="26">
        <v>250000</v>
      </c>
      <c r="D35" s="26">
        <v>250000</v>
      </c>
      <c r="E35" s="26">
        <v>250000</v>
      </c>
      <c r="F35" s="26">
        <v>250000</v>
      </c>
      <c r="G35" s="26">
        <v>250000</v>
      </c>
      <c r="H35" s="26">
        <v>250000</v>
      </c>
      <c r="I35" s="26">
        <v>250000</v>
      </c>
      <c r="J35" s="26">
        <v>250000</v>
      </c>
      <c r="K35" s="26">
        <v>250000</v>
      </c>
      <c r="L35" s="26">
        <v>250000</v>
      </c>
      <c r="M35" s="27">
        <v>250000</v>
      </c>
      <c r="N35" s="19">
        <f t="shared" si="16"/>
        <v>3000000</v>
      </c>
      <c r="O35" s="28">
        <v>2750000</v>
      </c>
      <c r="Q35" s="29">
        <f t="shared" si="17"/>
        <v>-8.333333333333337E-2</v>
      </c>
      <c r="R35" s="21">
        <f t="shared" si="18"/>
        <v>-250000</v>
      </c>
    </row>
    <row r="36" spans="1:19">
      <c r="A36" s="25" t="s">
        <v>39</v>
      </c>
      <c r="B36" s="26">
        <v>250000</v>
      </c>
      <c r="C36" s="26">
        <v>250000</v>
      </c>
      <c r="D36" s="26">
        <v>250000</v>
      </c>
      <c r="E36" s="26">
        <v>250000</v>
      </c>
      <c r="F36" s="26">
        <v>250000</v>
      </c>
      <c r="G36" s="26">
        <v>250000</v>
      </c>
      <c r="H36" s="26">
        <v>250000</v>
      </c>
      <c r="I36" s="26">
        <v>250000</v>
      </c>
      <c r="J36" s="26">
        <v>250000</v>
      </c>
      <c r="K36" s="26">
        <v>250000</v>
      </c>
      <c r="L36" s="26">
        <v>250000</v>
      </c>
      <c r="M36" s="27">
        <v>250000</v>
      </c>
      <c r="N36" s="19">
        <f t="shared" si="16"/>
        <v>3000000</v>
      </c>
      <c r="O36" s="28">
        <v>2750000</v>
      </c>
      <c r="Q36" s="29">
        <f t="shared" si="17"/>
        <v>-8.333333333333337E-2</v>
      </c>
      <c r="R36" s="21">
        <f t="shared" si="18"/>
        <v>-250000</v>
      </c>
      <c r="S36" s="46"/>
    </row>
    <row r="37" spans="1:19">
      <c r="A37" s="25" t="s">
        <v>40</v>
      </c>
      <c r="B37" s="26">
        <v>250000</v>
      </c>
      <c r="C37" s="26">
        <v>250000</v>
      </c>
      <c r="D37" s="26">
        <v>250000</v>
      </c>
      <c r="E37" s="26">
        <v>250000</v>
      </c>
      <c r="F37" s="26">
        <v>250000</v>
      </c>
      <c r="G37" s="26">
        <v>250000</v>
      </c>
      <c r="H37" s="26">
        <v>250000</v>
      </c>
      <c r="I37" s="26">
        <v>250000</v>
      </c>
      <c r="J37" s="26">
        <v>250000</v>
      </c>
      <c r="K37" s="26">
        <v>250000</v>
      </c>
      <c r="L37" s="26">
        <v>250000</v>
      </c>
      <c r="M37" s="27">
        <v>250000</v>
      </c>
      <c r="N37" s="19">
        <f t="shared" si="16"/>
        <v>3000000</v>
      </c>
      <c r="O37" s="28">
        <v>2750000</v>
      </c>
      <c r="Q37" s="29">
        <f t="shared" si="17"/>
        <v>-8.333333333333337E-2</v>
      </c>
      <c r="R37" s="21">
        <f t="shared" si="18"/>
        <v>-250000</v>
      </c>
    </row>
    <row r="38" spans="1:19">
      <c r="A38" s="25" t="s">
        <v>41</v>
      </c>
      <c r="B38" s="26">
        <v>250000</v>
      </c>
      <c r="C38" s="26">
        <v>250000</v>
      </c>
      <c r="D38" s="26">
        <v>250000</v>
      </c>
      <c r="E38" s="26">
        <v>250000</v>
      </c>
      <c r="F38" s="26">
        <v>250000</v>
      </c>
      <c r="G38" s="26">
        <v>250000</v>
      </c>
      <c r="H38" s="26">
        <v>250000</v>
      </c>
      <c r="I38" s="26">
        <v>250000</v>
      </c>
      <c r="J38" s="26">
        <v>250000</v>
      </c>
      <c r="K38" s="26">
        <v>250000</v>
      </c>
      <c r="L38" s="26">
        <v>250000</v>
      </c>
      <c r="M38" s="27">
        <v>250000</v>
      </c>
      <c r="N38" s="19">
        <f t="shared" si="16"/>
        <v>3000000</v>
      </c>
      <c r="O38" s="28">
        <v>2750000</v>
      </c>
      <c r="Q38" s="29">
        <f t="shared" si="17"/>
        <v>-8.333333333333337E-2</v>
      </c>
      <c r="R38" s="21">
        <f t="shared" si="18"/>
        <v>-250000</v>
      </c>
      <c r="S38" s="46"/>
    </row>
    <row r="39" spans="1:19">
      <c r="A39" s="25" t="s">
        <v>42</v>
      </c>
      <c r="B39" s="26">
        <v>250000</v>
      </c>
      <c r="C39" s="26">
        <v>250000</v>
      </c>
      <c r="D39" s="26">
        <v>250000</v>
      </c>
      <c r="E39" s="26">
        <v>250000</v>
      </c>
      <c r="F39" s="26">
        <v>250000</v>
      </c>
      <c r="G39" s="26">
        <v>250000</v>
      </c>
      <c r="H39" s="26">
        <v>250000</v>
      </c>
      <c r="I39" s="26">
        <v>250000</v>
      </c>
      <c r="J39" s="26">
        <v>250000</v>
      </c>
      <c r="K39" s="26">
        <v>250000</v>
      </c>
      <c r="L39" s="26">
        <v>250000</v>
      </c>
      <c r="M39" s="27">
        <v>250000</v>
      </c>
      <c r="N39" s="19">
        <f t="shared" si="16"/>
        <v>3000000</v>
      </c>
      <c r="O39" s="28">
        <v>2750000</v>
      </c>
      <c r="Q39" s="29">
        <f t="shared" si="17"/>
        <v>-8.333333333333337E-2</v>
      </c>
      <c r="R39" s="21">
        <f t="shared" si="18"/>
        <v>-250000</v>
      </c>
      <c r="S39" s="46"/>
    </row>
    <row r="40" spans="1:19">
      <c r="A40" s="25" t="s">
        <v>43</v>
      </c>
      <c r="B40" s="26">
        <v>250000</v>
      </c>
      <c r="C40" s="26">
        <v>250000</v>
      </c>
      <c r="D40" s="26">
        <v>250000</v>
      </c>
      <c r="E40" s="26">
        <v>250000</v>
      </c>
      <c r="F40" s="26">
        <v>250000</v>
      </c>
      <c r="G40" s="26">
        <v>250000</v>
      </c>
      <c r="H40" s="26">
        <v>250000</v>
      </c>
      <c r="I40" s="26">
        <v>250000</v>
      </c>
      <c r="J40" s="26">
        <v>250000</v>
      </c>
      <c r="K40" s="26">
        <v>250000</v>
      </c>
      <c r="L40" s="26">
        <v>250000</v>
      </c>
      <c r="M40" s="27">
        <v>250000</v>
      </c>
      <c r="N40" s="19">
        <f t="shared" si="16"/>
        <v>3000000</v>
      </c>
      <c r="O40" s="28">
        <v>2750000</v>
      </c>
      <c r="Q40" s="29">
        <f t="shared" si="17"/>
        <v>-8.333333333333337E-2</v>
      </c>
      <c r="R40" s="21">
        <f t="shared" si="18"/>
        <v>-250000</v>
      </c>
      <c r="S40" s="46"/>
    </row>
    <row r="41" spans="1:19">
      <c r="A41" s="25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4"/>
      <c r="N41" s="19"/>
      <c r="O41" s="20"/>
      <c r="Q41" s="21"/>
      <c r="R41" s="21"/>
    </row>
    <row r="42" spans="1:19">
      <c r="A42" s="38" t="s">
        <v>44</v>
      </c>
      <c r="B42" s="39">
        <f>SUM(B26:B40)</f>
        <v>3750000</v>
      </c>
      <c r="C42" s="39">
        <f t="shared" ref="C42:R42" si="19">SUM(C26:C40)</f>
        <v>3750000</v>
      </c>
      <c r="D42" s="39">
        <f t="shared" si="19"/>
        <v>3750000</v>
      </c>
      <c r="E42" s="39">
        <f t="shared" si="19"/>
        <v>3750000</v>
      </c>
      <c r="F42" s="39">
        <f t="shared" si="19"/>
        <v>3750000</v>
      </c>
      <c r="G42" s="39">
        <f t="shared" si="19"/>
        <v>3750000</v>
      </c>
      <c r="H42" s="39">
        <f t="shared" si="19"/>
        <v>3750000</v>
      </c>
      <c r="I42" s="39">
        <f t="shared" si="19"/>
        <v>3750000</v>
      </c>
      <c r="J42" s="39">
        <f t="shared" si="19"/>
        <v>3750000</v>
      </c>
      <c r="K42" s="39">
        <f t="shared" si="19"/>
        <v>3750000</v>
      </c>
      <c r="L42" s="39">
        <f t="shared" si="19"/>
        <v>3750000</v>
      </c>
      <c r="M42" s="40">
        <f t="shared" si="19"/>
        <v>3750000</v>
      </c>
      <c r="N42" s="41">
        <f t="shared" si="19"/>
        <v>45000000</v>
      </c>
      <c r="O42" s="42">
        <f t="shared" si="19"/>
        <v>41250000</v>
      </c>
      <c r="Q42" s="43">
        <f t="shared" ref="Q42:Q43" si="20">IFERROR(O42/N42-1,"na")</f>
        <v>-8.333333333333337E-2</v>
      </c>
      <c r="R42" s="44">
        <f t="shared" si="19"/>
        <v>-3750000</v>
      </c>
      <c r="S42" s="46"/>
    </row>
    <row r="43" spans="1:19">
      <c r="A43" s="47" t="s">
        <v>45</v>
      </c>
      <c r="B43" s="48">
        <f>B23-B42</f>
        <v>23150000</v>
      </c>
      <c r="C43" s="48">
        <f t="shared" ref="C43:R43" si="21">C23-C42</f>
        <v>23150000</v>
      </c>
      <c r="D43" s="48">
        <f t="shared" si="21"/>
        <v>23150000</v>
      </c>
      <c r="E43" s="48">
        <f t="shared" si="21"/>
        <v>23150000</v>
      </c>
      <c r="F43" s="48">
        <f t="shared" si="21"/>
        <v>23150000</v>
      </c>
      <c r="G43" s="48">
        <f t="shared" si="21"/>
        <v>23150000</v>
      </c>
      <c r="H43" s="48">
        <f t="shared" si="21"/>
        <v>23150000</v>
      </c>
      <c r="I43" s="48">
        <f t="shared" si="21"/>
        <v>23150000</v>
      </c>
      <c r="J43" s="48">
        <f t="shared" si="21"/>
        <v>23150000</v>
      </c>
      <c r="K43" s="48">
        <f t="shared" si="21"/>
        <v>23150000</v>
      </c>
      <c r="L43" s="48">
        <f t="shared" si="21"/>
        <v>23150000</v>
      </c>
      <c r="M43" s="49">
        <f t="shared" si="21"/>
        <v>23150000</v>
      </c>
      <c r="N43" s="50">
        <f t="shared" si="21"/>
        <v>277800000</v>
      </c>
      <c r="O43" s="51">
        <f t="shared" si="21"/>
        <v>290250000</v>
      </c>
      <c r="Q43" s="52">
        <f t="shared" si="20"/>
        <v>4.4816414686825068E-2</v>
      </c>
      <c r="R43" s="53">
        <f t="shared" si="21"/>
        <v>12450000</v>
      </c>
    </row>
    <row r="44" spans="1:19">
      <c r="A44" s="25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4"/>
      <c r="N44" s="19"/>
      <c r="O44" s="20"/>
      <c r="Q44" s="21"/>
      <c r="R44" s="21"/>
    </row>
    <row r="45" spans="1:19">
      <c r="A45" s="45" t="s">
        <v>46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4"/>
      <c r="N45" s="19"/>
      <c r="O45" s="20"/>
      <c r="Q45" s="21"/>
      <c r="R45" s="21"/>
    </row>
    <row r="46" spans="1:19">
      <c r="A46" s="25" t="s">
        <v>47</v>
      </c>
      <c r="B46" s="26">
        <v>1000000</v>
      </c>
      <c r="C46" s="26">
        <v>1000000</v>
      </c>
      <c r="D46" s="26">
        <v>1000000</v>
      </c>
      <c r="E46" s="26">
        <v>1000000</v>
      </c>
      <c r="F46" s="26">
        <v>1000000</v>
      </c>
      <c r="G46" s="26">
        <v>1000000</v>
      </c>
      <c r="H46" s="26">
        <v>1000000</v>
      </c>
      <c r="I46" s="26">
        <v>1000000</v>
      </c>
      <c r="J46" s="26">
        <v>1000000</v>
      </c>
      <c r="K46" s="26">
        <v>1000000</v>
      </c>
      <c r="L46" s="26">
        <v>1000000</v>
      </c>
      <c r="M46" s="27">
        <v>1000000</v>
      </c>
      <c r="N46" s="19">
        <f t="shared" ref="N46:N50" si="22">SUM(B46:M46)</f>
        <v>12000000</v>
      </c>
      <c r="O46" s="28">
        <v>12500000</v>
      </c>
      <c r="Q46" s="29">
        <f t="shared" ref="Q46:Q50" si="23">IFERROR(O46/N46-1,"na")</f>
        <v>4.1666666666666741E-2</v>
      </c>
      <c r="R46" s="21">
        <f t="shared" ref="R46:R50" si="24">O46-N46</f>
        <v>500000</v>
      </c>
    </row>
    <row r="47" spans="1:19">
      <c r="A47" s="25" t="s">
        <v>48</v>
      </c>
      <c r="B47" s="26">
        <v>1000000</v>
      </c>
      <c r="C47" s="26">
        <v>1000000</v>
      </c>
      <c r="D47" s="26">
        <v>1000000</v>
      </c>
      <c r="E47" s="26">
        <v>1000000</v>
      </c>
      <c r="F47" s="26">
        <v>1000000</v>
      </c>
      <c r="G47" s="26">
        <v>1000000</v>
      </c>
      <c r="H47" s="26">
        <v>1000000</v>
      </c>
      <c r="I47" s="26">
        <v>1000000</v>
      </c>
      <c r="J47" s="26">
        <v>1000000</v>
      </c>
      <c r="K47" s="26">
        <v>1000000</v>
      </c>
      <c r="L47" s="26">
        <v>1000000</v>
      </c>
      <c r="M47" s="27">
        <v>1000000</v>
      </c>
      <c r="N47" s="19">
        <f t="shared" si="22"/>
        <v>12000000</v>
      </c>
      <c r="O47" s="28">
        <v>12500000</v>
      </c>
      <c r="Q47" s="29">
        <f t="shared" si="23"/>
        <v>4.1666666666666741E-2</v>
      </c>
      <c r="R47" s="21">
        <f t="shared" si="24"/>
        <v>500000</v>
      </c>
    </row>
    <row r="48" spans="1:19">
      <c r="A48" s="25" t="s">
        <v>49</v>
      </c>
      <c r="B48" s="26">
        <v>1000000</v>
      </c>
      <c r="C48" s="26">
        <v>1000000</v>
      </c>
      <c r="D48" s="26">
        <v>1000000</v>
      </c>
      <c r="E48" s="26">
        <v>1000000</v>
      </c>
      <c r="F48" s="26">
        <v>1000000</v>
      </c>
      <c r="G48" s="26">
        <v>1000000</v>
      </c>
      <c r="H48" s="26">
        <v>1000000</v>
      </c>
      <c r="I48" s="26">
        <v>1000000</v>
      </c>
      <c r="J48" s="26">
        <v>1000000</v>
      </c>
      <c r="K48" s="26">
        <v>1000000</v>
      </c>
      <c r="L48" s="26">
        <v>1000000</v>
      </c>
      <c r="M48" s="27">
        <v>1000000</v>
      </c>
      <c r="N48" s="19">
        <f t="shared" si="22"/>
        <v>12000000</v>
      </c>
      <c r="O48" s="28">
        <v>12500000</v>
      </c>
      <c r="Q48" s="29">
        <f t="shared" si="23"/>
        <v>4.1666666666666741E-2</v>
      </c>
      <c r="R48" s="21">
        <f t="shared" si="24"/>
        <v>500000</v>
      </c>
    </row>
    <row r="49" spans="1:18">
      <c r="A49" s="25" t="s">
        <v>50</v>
      </c>
      <c r="B49" s="26">
        <v>1000000</v>
      </c>
      <c r="C49" s="26">
        <v>1000000</v>
      </c>
      <c r="D49" s="26">
        <v>1000000</v>
      </c>
      <c r="E49" s="26">
        <v>1000000</v>
      </c>
      <c r="F49" s="26">
        <v>1000000</v>
      </c>
      <c r="G49" s="26">
        <v>1000000</v>
      </c>
      <c r="H49" s="26">
        <v>1000000</v>
      </c>
      <c r="I49" s="26">
        <v>1000000</v>
      </c>
      <c r="J49" s="26">
        <v>1000000</v>
      </c>
      <c r="K49" s="26">
        <v>1000000</v>
      </c>
      <c r="L49" s="26">
        <v>1000000</v>
      </c>
      <c r="M49" s="27">
        <v>1000000</v>
      </c>
      <c r="N49" s="19">
        <f t="shared" si="22"/>
        <v>12000000</v>
      </c>
      <c r="O49" s="28">
        <v>12500000</v>
      </c>
      <c r="Q49" s="29">
        <f t="shared" si="23"/>
        <v>4.1666666666666741E-2</v>
      </c>
      <c r="R49" s="21">
        <f t="shared" si="24"/>
        <v>500000</v>
      </c>
    </row>
    <row r="50" spans="1:18">
      <c r="A50" s="25" t="s">
        <v>51</v>
      </c>
      <c r="B50" s="26">
        <v>1000000</v>
      </c>
      <c r="C50" s="26">
        <v>1000000</v>
      </c>
      <c r="D50" s="26">
        <v>1000000</v>
      </c>
      <c r="E50" s="26">
        <v>1000000</v>
      </c>
      <c r="F50" s="26">
        <v>1000000</v>
      </c>
      <c r="G50" s="26">
        <v>1000000</v>
      </c>
      <c r="H50" s="26">
        <v>1000000</v>
      </c>
      <c r="I50" s="26">
        <v>1000000</v>
      </c>
      <c r="J50" s="26">
        <v>1000000</v>
      </c>
      <c r="K50" s="26">
        <v>1000000</v>
      </c>
      <c r="L50" s="26">
        <v>1000000</v>
      </c>
      <c r="M50" s="27">
        <v>1000000</v>
      </c>
      <c r="N50" s="19">
        <f t="shared" si="22"/>
        <v>12000000</v>
      </c>
      <c r="O50" s="28">
        <v>12500000</v>
      </c>
      <c r="Q50" s="29">
        <f t="shared" si="23"/>
        <v>4.1666666666666741E-2</v>
      </c>
      <c r="R50" s="21">
        <f t="shared" si="24"/>
        <v>500000</v>
      </c>
    </row>
    <row r="51" spans="1:18">
      <c r="A51" s="25"/>
      <c r="B51" s="23"/>
      <c r="C51" s="23"/>
      <c r="D51" s="23"/>
      <c r="E51" s="23"/>
      <c r="F51" s="23"/>
      <c r="G51" s="23" t="s">
        <v>52</v>
      </c>
      <c r="H51" s="23"/>
      <c r="I51" s="23"/>
      <c r="J51" s="23"/>
      <c r="K51" s="23"/>
      <c r="L51" s="23"/>
      <c r="M51" s="24"/>
      <c r="N51" s="19"/>
      <c r="O51" s="20"/>
      <c r="Q51" s="21"/>
      <c r="R51" s="21"/>
    </row>
    <row r="52" spans="1:18">
      <c r="A52" s="45" t="s">
        <v>53</v>
      </c>
      <c r="B52" s="23"/>
      <c r="C52" s="23"/>
      <c r="D52" s="23"/>
      <c r="E52" s="23"/>
      <c r="F52" s="23"/>
      <c r="G52" s="23" t="s">
        <v>52</v>
      </c>
      <c r="H52" s="23"/>
      <c r="I52" s="23"/>
      <c r="J52" s="23"/>
      <c r="K52" s="23"/>
      <c r="L52" s="23"/>
      <c r="M52" s="24"/>
      <c r="N52" s="19"/>
      <c r="O52" s="20"/>
      <c r="Q52" s="21"/>
      <c r="R52" s="21"/>
    </row>
    <row r="53" spans="1:18">
      <c r="A53" s="25" t="s">
        <v>54</v>
      </c>
      <c r="B53" s="26">
        <v>1000000</v>
      </c>
      <c r="C53" s="26">
        <v>1000000</v>
      </c>
      <c r="D53" s="26">
        <v>1000000</v>
      </c>
      <c r="E53" s="26">
        <v>1000000</v>
      </c>
      <c r="F53" s="26">
        <v>1000000</v>
      </c>
      <c r="G53" s="26">
        <v>1000000</v>
      </c>
      <c r="H53" s="26">
        <v>1000000</v>
      </c>
      <c r="I53" s="26">
        <v>1000000</v>
      </c>
      <c r="J53" s="26">
        <v>1000000</v>
      </c>
      <c r="K53" s="26">
        <v>1000000</v>
      </c>
      <c r="L53" s="26">
        <v>1000000</v>
      </c>
      <c r="M53" s="27">
        <v>1000000</v>
      </c>
      <c r="N53" s="19">
        <f t="shared" ref="N53:N57" si="25">SUM(B53:M53)</f>
        <v>12000000</v>
      </c>
      <c r="O53" s="28">
        <v>12500000</v>
      </c>
      <c r="Q53" s="29">
        <f t="shared" ref="Q53:Q57" si="26">IFERROR(O53/N53-1,"na")</f>
        <v>4.1666666666666741E-2</v>
      </c>
      <c r="R53" s="21">
        <f t="shared" ref="R53:R57" si="27">O53-N53</f>
        <v>500000</v>
      </c>
    </row>
    <row r="54" spans="1:18">
      <c r="A54" s="25" t="s">
        <v>55</v>
      </c>
      <c r="B54" s="26">
        <v>1000000</v>
      </c>
      <c r="C54" s="26">
        <v>1000000</v>
      </c>
      <c r="D54" s="26">
        <v>1000000</v>
      </c>
      <c r="E54" s="26">
        <v>1000000</v>
      </c>
      <c r="F54" s="26">
        <v>1000000</v>
      </c>
      <c r="G54" s="26">
        <v>1000000</v>
      </c>
      <c r="H54" s="26">
        <v>1000000</v>
      </c>
      <c r="I54" s="26">
        <v>1000000</v>
      </c>
      <c r="J54" s="26">
        <v>1000000</v>
      </c>
      <c r="K54" s="26">
        <v>1000000</v>
      </c>
      <c r="L54" s="26">
        <v>1000000</v>
      </c>
      <c r="M54" s="27">
        <v>1000000</v>
      </c>
      <c r="N54" s="19">
        <f t="shared" si="25"/>
        <v>12000000</v>
      </c>
      <c r="O54" s="28">
        <v>12500000</v>
      </c>
      <c r="Q54" s="29">
        <f t="shared" si="26"/>
        <v>4.1666666666666741E-2</v>
      </c>
      <c r="R54" s="21">
        <f t="shared" si="27"/>
        <v>500000</v>
      </c>
    </row>
    <row r="55" spans="1:18">
      <c r="A55" s="25" t="s">
        <v>56</v>
      </c>
      <c r="B55" s="26">
        <v>1000000</v>
      </c>
      <c r="C55" s="26">
        <v>1000000</v>
      </c>
      <c r="D55" s="26">
        <v>1000000</v>
      </c>
      <c r="E55" s="26">
        <v>1000000</v>
      </c>
      <c r="F55" s="26">
        <v>1000000</v>
      </c>
      <c r="G55" s="26">
        <v>1000000</v>
      </c>
      <c r="H55" s="26">
        <v>1000000</v>
      </c>
      <c r="I55" s="26">
        <v>1000000</v>
      </c>
      <c r="J55" s="26">
        <v>1000000</v>
      </c>
      <c r="K55" s="26">
        <v>1000000</v>
      </c>
      <c r="L55" s="26">
        <v>1000000</v>
      </c>
      <c r="M55" s="27">
        <v>1000000</v>
      </c>
      <c r="N55" s="19">
        <f t="shared" si="25"/>
        <v>12000000</v>
      </c>
      <c r="O55" s="28">
        <v>12500000</v>
      </c>
      <c r="Q55" s="29">
        <f t="shared" si="26"/>
        <v>4.1666666666666741E-2</v>
      </c>
      <c r="R55" s="21">
        <f t="shared" si="27"/>
        <v>500000</v>
      </c>
    </row>
    <row r="56" spans="1:18">
      <c r="A56" s="25" t="s">
        <v>57</v>
      </c>
      <c r="B56" s="26">
        <v>1000000</v>
      </c>
      <c r="C56" s="26">
        <v>1000000</v>
      </c>
      <c r="D56" s="26">
        <v>1000000</v>
      </c>
      <c r="E56" s="26">
        <v>1000000</v>
      </c>
      <c r="F56" s="26">
        <v>1000000</v>
      </c>
      <c r="G56" s="26">
        <v>1000000</v>
      </c>
      <c r="H56" s="26">
        <v>1000000</v>
      </c>
      <c r="I56" s="26">
        <v>1000000</v>
      </c>
      <c r="J56" s="26">
        <v>1000000</v>
      </c>
      <c r="K56" s="26">
        <v>1000000</v>
      </c>
      <c r="L56" s="26">
        <v>1000000</v>
      </c>
      <c r="M56" s="27">
        <v>1000000</v>
      </c>
      <c r="N56" s="19">
        <f t="shared" si="25"/>
        <v>12000000</v>
      </c>
      <c r="O56" s="28">
        <v>12500000</v>
      </c>
      <c r="Q56" s="29">
        <f t="shared" si="26"/>
        <v>4.1666666666666741E-2</v>
      </c>
      <c r="R56" s="21">
        <f t="shared" si="27"/>
        <v>500000</v>
      </c>
    </row>
    <row r="57" spans="1:18">
      <c r="A57" s="25" t="s">
        <v>58</v>
      </c>
      <c r="B57" s="26">
        <v>1000000</v>
      </c>
      <c r="C57" s="26">
        <v>1000000</v>
      </c>
      <c r="D57" s="26">
        <v>1000000</v>
      </c>
      <c r="E57" s="26">
        <v>1000000</v>
      </c>
      <c r="F57" s="26">
        <v>1000000</v>
      </c>
      <c r="G57" s="26">
        <v>1000000</v>
      </c>
      <c r="H57" s="26">
        <v>1000000</v>
      </c>
      <c r="I57" s="26">
        <v>1000000</v>
      </c>
      <c r="J57" s="26">
        <v>1000000</v>
      </c>
      <c r="K57" s="26">
        <v>1000000</v>
      </c>
      <c r="L57" s="26">
        <v>1000000</v>
      </c>
      <c r="M57" s="27">
        <v>1000000</v>
      </c>
      <c r="N57" s="19">
        <f t="shared" si="25"/>
        <v>12000000</v>
      </c>
      <c r="O57" s="28">
        <v>12500000</v>
      </c>
      <c r="Q57" s="29">
        <f t="shared" si="26"/>
        <v>4.1666666666666741E-2</v>
      </c>
      <c r="R57" s="21">
        <f t="shared" si="27"/>
        <v>500000</v>
      </c>
    </row>
    <row r="58" spans="1:18">
      <c r="A58" s="25"/>
      <c r="B58" s="23"/>
      <c r="C58" s="23"/>
      <c r="D58" s="23"/>
      <c r="E58" s="23"/>
      <c r="F58" s="23"/>
      <c r="G58" s="23" t="s">
        <v>52</v>
      </c>
      <c r="H58" s="23"/>
      <c r="I58" s="23"/>
      <c r="J58" s="23"/>
      <c r="K58" s="23"/>
      <c r="L58" s="23"/>
      <c r="M58" s="24"/>
      <c r="N58" s="19"/>
      <c r="O58" s="20"/>
      <c r="Q58" s="21"/>
      <c r="R58" s="21"/>
    </row>
    <row r="59" spans="1:18">
      <c r="A59" s="45" t="s">
        <v>59</v>
      </c>
      <c r="B59" s="23"/>
      <c r="C59" s="23"/>
      <c r="D59" s="23"/>
      <c r="E59" s="23"/>
      <c r="F59" s="23"/>
      <c r="G59" s="23" t="s">
        <v>52</v>
      </c>
      <c r="H59" s="23"/>
      <c r="I59" s="23"/>
      <c r="J59" s="23"/>
      <c r="K59" s="23"/>
      <c r="L59" s="23"/>
      <c r="M59" s="24"/>
      <c r="N59" s="19"/>
      <c r="O59" s="20"/>
      <c r="Q59" s="21"/>
      <c r="R59" s="21"/>
    </row>
    <row r="60" spans="1:18">
      <c r="A60" s="25" t="s">
        <v>60</v>
      </c>
      <c r="B60" s="26">
        <v>1000000</v>
      </c>
      <c r="C60" s="26">
        <v>1000000</v>
      </c>
      <c r="D60" s="26">
        <v>1000000</v>
      </c>
      <c r="E60" s="26">
        <v>1000000</v>
      </c>
      <c r="F60" s="26">
        <v>1000000</v>
      </c>
      <c r="G60" s="26">
        <v>1000000</v>
      </c>
      <c r="H60" s="26">
        <v>1000000</v>
      </c>
      <c r="I60" s="26">
        <v>1000000</v>
      </c>
      <c r="J60" s="26">
        <v>1000000</v>
      </c>
      <c r="K60" s="26">
        <v>1000000</v>
      </c>
      <c r="L60" s="26">
        <v>1000000</v>
      </c>
      <c r="M60" s="27">
        <v>1000000</v>
      </c>
      <c r="N60" s="19">
        <f t="shared" ref="N60:N64" si="28">SUM(B60:M60)</f>
        <v>12000000</v>
      </c>
      <c r="O60" s="28">
        <v>12500000</v>
      </c>
      <c r="Q60" s="29">
        <f t="shared" ref="Q60:Q64" si="29">IFERROR(O60/N60-1,"na")</f>
        <v>4.1666666666666741E-2</v>
      </c>
      <c r="R60" s="21">
        <f t="shared" ref="R60:R64" si="30">O60-N60</f>
        <v>500000</v>
      </c>
    </row>
    <row r="61" spans="1:18">
      <c r="A61" s="25" t="s">
        <v>61</v>
      </c>
      <c r="B61" s="26">
        <v>1000000</v>
      </c>
      <c r="C61" s="26">
        <v>1000000</v>
      </c>
      <c r="D61" s="26">
        <v>1000000</v>
      </c>
      <c r="E61" s="26">
        <v>1000000</v>
      </c>
      <c r="F61" s="26">
        <v>1000000</v>
      </c>
      <c r="G61" s="26">
        <v>1000000</v>
      </c>
      <c r="H61" s="26">
        <v>1000000</v>
      </c>
      <c r="I61" s="26">
        <v>1000000</v>
      </c>
      <c r="J61" s="26">
        <v>1000000</v>
      </c>
      <c r="K61" s="26">
        <v>1000000</v>
      </c>
      <c r="L61" s="26">
        <v>1000000</v>
      </c>
      <c r="M61" s="27">
        <v>1000000</v>
      </c>
      <c r="N61" s="19">
        <f t="shared" si="28"/>
        <v>12000000</v>
      </c>
      <c r="O61" s="28">
        <v>12500000</v>
      </c>
      <c r="Q61" s="29">
        <f t="shared" si="29"/>
        <v>4.1666666666666741E-2</v>
      </c>
      <c r="R61" s="21">
        <f t="shared" si="30"/>
        <v>500000</v>
      </c>
    </row>
    <row r="62" spans="1:18">
      <c r="A62" s="25" t="s">
        <v>62</v>
      </c>
      <c r="B62" s="26">
        <v>1000000</v>
      </c>
      <c r="C62" s="26">
        <v>1000000</v>
      </c>
      <c r="D62" s="26">
        <v>1000000</v>
      </c>
      <c r="E62" s="26">
        <v>1000000</v>
      </c>
      <c r="F62" s="26">
        <v>1000000</v>
      </c>
      <c r="G62" s="26">
        <v>1000000</v>
      </c>
      <c r="H62" s="26">
        <v>1000000</v>
      </c>
      <c r="I62" s="26">
        <v>1000000</v>
      </c>
      <c r="J62" s="26">
        <v>1000000</v>
      </c>
      <c r="K62" s="26">
        <v>1000000</v>
      </c>
      <c r="L62" s="26">
        <v>1000000</v>
      </c>
      <c r="M62" s="27">
        <v>1000000</v>
      </c>
      <c r="N62" s="19">
        <f t="shared" si="28"/>
        <v>12000000</v>
      </c>
      <c r="O62" s="28">
        <v>12500000</v>
      </c>
      <c r="Q62" s="29">
        <f t="shared" si="29"/>
        <v>4.1666666666666741E-2</v>
      </c>
      <c r="R62" s="21">
        <f t="shared" si="30"/>
        <v>500000</v>
      </c>
    </row>
    <row r="63" spans="1:18">
      <c r="A63" s="25" t="s">
        <v>63</v>
      </c>
      <c r="B63" s="26">
        <v>1000000</v>
      </c>
      <c r="C63" s="26">
        <v>1000000</v>
      </c>
      <c r="D63" s="26">
        <v>1000000</v>
      </c>
      <c r="E63" s="26">
        <v>1000000</v>
      </c>
      <c r="F63" s="26">
        <v>1000000</v>
      </c>
      <c r="G63" s="26">
        <v>1000000</v>
      </c>
      <c r="H63" s="26">
        <v>1000000</v>
      </c>
      <c r="I63" s="26">
        <v>1000000</v>
      </c>
      <c r="J63" s="26">
        <v>1000000</v>
      </c>
      <c r="K63" s="26">
        <v>1000000</v>
      </c>
      <c r="L63" s="26">
        <v>1000000</v>
      </c>
      <c r="M63" s="27">
        <v>1000000</v>
      </c>
      <c r="N63" s="19">
        <f t="shared" si="28"/>
        <v>12000000</v>
      </c>
      <c r="O63" s="28">
        <v>12500000</v>
      </c>
      <c r="Q63" s="29">
        <f t="shared" si="29"/>
        <v>4.1666666666666741E-2</v>
      </c>
      <c r="R63" s="21">
        <f t="shared" si="30"/>
        <v>500000</v>
      </c>
    </row>
    <row r="64" spans="1:18">
      <c r="A64" s="25" t="s">
        <v>64</v>
      </c>
      <c r="B64" s="26">
        <v>1000000</v>
      </c>
      <c r="C64" s="26">
        <v>1000000</v>
      </c>
      <c r="D64" s="26">
        <v>1000000</v>
      </c>
      <c r="E64" s="26">
        <v>1000000</v>
      </c>
      <c r="F64" s="26">
        <v>1000000</v>
      </c>
      <c r="G64" s="26">
        <v>1000000</v>
      </c>
      <c r="H64" s="26">
        <v>1000000</v>
      </c>
      <c r="I64" s="26">
        <v>1000000</v>
      </c>
      <c r="J64" s="26">
        <v>1000000</v>
      </c>
      <c r="K64" s="26">
        <v>1000000</v>
      </c>
      <c r="L64" s="26">
        <v>1000000</v>
      </c>
      <c r="M64" s="27">
        <v>1000000</v>
      </c>
      <c r="N64" s="19">
        <f t="shared" si="28"/>
        <v>12000000</v>
      </c>
      <c r="O64" s="28">
        <v>12500000</v>
      </c>
      <c r="Q64" s="29">
        <f t="shared" si="29"/>
        <v>4.1666666666666741E-2</v>
      </c>
      <c r="R64" s="21">
        <f t="shared" si="30"/>
        <v>500000</v>
      </c>
    </row>
    <row r="65" spans="1:18">
      <c r="A65" s="5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4"/>
      <c r="N65" s="19"/>
      <c r="O65" s="20"/>
      <c r="Q65" s="29"/>
      <c r="R65" s="21"/>
    </row>
    <row r="66" spans="1:18">
      <c r="A66" s="38" t="s">
        <v>65</v>
      </c>
      <c r="B66" s="39">
        <f>SUM(B46:B64)</f>
        <v>15000000</v>
      </c>
      <c r="C66" s="39">
        <f t="shared" ref="C66:R66" si="31">SUM(C46:C64)</f>
        <v>15000000</v>
      </c>
      <c r="D66" s="39">
        <f>SUM(D46:D64)</f>
        <v>15000000</v>
      </c>
      <c r="E66" s="39">
        <f t="shared" si="31"/>
        <v>15000000</v>
      </c>
      <c r="F66" s="39">
        <f t="shared" si="31"/>
        <v>15000000</v>
      </c>
      <c r="G66" s="39">
        <f t="shared" si="31"/>
        <v>15000000</v>
      </c>
      <c r="H66" s="39">
        <f t="shared" si="31"/>
        <v>15000000</v>
      </c>
      <c r="I66" s="39">
        <f t="shared" si="31"/>
        <v>15000000</v>
      </c>
      <c r="J66" s="39">
        <f t="shared" si="31"/>
        <v>15000000</v>
      </c>
      <c r="K66" s="39">
        <f t="shared" si="31"/>
        <v>15000000</v>
      </c>
      <c r="L66" s="39">
        <f t="shared" si="31"/>
        <v>15000000</v>
      </c>
      <c r="M66" s="40">
        <f t="shared" si="31"/>
        <v>15000000</v>
      </c>
      <c r="N66" s="41">
        <f t="shared" si="31"/>
        <v>180000000</v>
      </c>
      <c r="O66" s="42">
        <f t="shared" si="31"/>
        <v>187500000</v>
      </c>
      <c r="Q66" s="43">
        <f t="shared" ref="Q66:Q67" si="32">IFERROR(O66/N66-1,"na")</f>
        <v>4.1666666666666741E-2</v>
      </c>
      <c r="R66" s="44">
        <f t="shared" si="31"/>
        <v>7500000</v>
      </c>
    </row>
    <row r="67" spans="1:18">
      <c r="A67" s="47" t="s">
        <v>66</v>
      </c>
      <c r="B67" s="48">
        <f>+B43-B66</f>
        <v>8150000</v>
      </c>
      <c r="C67" s="48">
        <f t="shared" ref="C67:R67" si="33">+C43-C66</f>
        <v>8150000</v>
      </c>
      <c r="D67" s="48">
        <f t="shared" si="33"/>
        <v>8150000</v>
      </c>
      <c r="E67" s="48">
        <f t="shared" si="33"/>
        <v>8150000</v>
      </c>
      <c r="F67" s="48">
        <f t="shared" si="33"/>
        <v>8150000</v>
      </c>
      <c r="G67" s="48">
        <f t="shared" si="33"/>
        <v>8150000</v>
      </c>
      <c r="H67" s="48">
        <f t="shared" si="33"/>
        <v>8150000</v>
      </c>
      <c r="I67" s="48">
        <f t="shared" si="33"/>
        <v>8150000</v>
      </c>
      <c r="J67" s="48">
        <f t="shared" si="33"/>
        <v>8150000</v>
      </c>
      <c r="K67" s="48">
        <f t="shared" si="33"/>
        <v>8150000</v>
      </c>
      <c r="L67" s="48">
        <f t="shared" si="33"/>
        <v>8150000</v>
      </c>
      <c r="M67" s="49">
        <f t="shared" si="33"/>
        <v>8150000</v>
      </c>
      <c r="N67" s="50">
        <f t="shared" si="33"/>
        <v>97800000</v>
      </c>
      <c r="O67" s="51">
        <f t="shared" si="33"/>
        <v>102750000</v>
      </c>
      <c r="Q67" s="52">
        <f t="shared" si="32"/>
        <v>5.0613496932515378E-2</v>
      </c>
      <c r="R67" s="53">
        <f t="shared" si="33"/>
        <v>4950000</v>
      </c>
    </row>
    <row r="68" spans="1:18">
      <c r="A68" s="25"/>
      <c r="B68" s="23"/>
      <c r="C68" s="23"/>
      <c r="D68" s="23"/>
      <c r="E68" s="23"/>
      <c r="F68" s="23"/>
      <c r="G68" s="23" t="s">
        <v>52</v>
      </c>
      <c r="H68" s="23"/>
      <c r="I68" s="23"/>
      <c r="J68" s="23"/>
      <c r="K68" s="23"/>
      <c r="L68" s="23"/>
      <c r="M68" s="24"/>
      <c r="N68" s="19"/>
      <c r="O68" s="20"/>
      <c r="Q68" s="21"/>
      <c r="R68" s="21"/>
    </row>
    <row r="69" spans="1:18">
      <c r="A69" s="45" t="s">
        <v>67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4"/>
      <c r="N69" s="19"/>
      <c r="O69" s="20"/>
      <c r="Q69" s="21"/>
      <c r="R69" s="21"/>
    </row>
    <row r="70" spans="1:18">
      <c r="A70" s="25" t="s">
        <v>68</v>
      </c>
      <c r="B70" s="26">
        <v>2000000</v>
      </c>
      <c r="C70" s="26">
        <v>2000000</v>
      </c>
      <c r="D70" s="26">
        <v>2000000</v>
      </c>
      <c r="E70" s="26">
        <v>2000000</v>
      </c>
      <c r="F70" s="26">
        <v>2000000</v>
      </c>
      <c r="G70" s="26">
        <v>2000000</v>
      </c>
      <c r="H70" s="26">
        <v>2000000</v>
      </c>
      <c r="I70" s="26">
        <v>2000000</v>
      </c>
      <c r="J70" s="26">
        <v>2000000</v>
      </c>
      <c r="K70" s="26">
        <v>2000000</v>
      </c>
      <c r="L70" s="26">
        <v>2000000</v>
      </c>
      <c r="M70" s="27">
        <v>2000000</v>
      </c>
      <c r="N70" s="19">
        <f t="shared" ref="N70:N71" si="34">SUM(B70:M70)</f>
        <v>24000000</v>
      </c>
      <c r="O70" s="28">
        <v>25000000</v>
      </c>
      <c r="Q70" s="29">
        <f t="shared" ref="Q70:Q71" si="35">IFERROR(O70/N70-1,"na")</f>
        <v>4.1666666666666741E-2</v>
      </c>
      <c r="R70" s="21">
        <f t="shared" ref="R70:R71" si="36">O70-N70</f>
        <v>1000000</v>
      </c>
    </row>
    <row r="71" spans="1:18">
      <c r="A71" s="25" t="s">
        <v>69</v>
      </c>
      <c r="B71" s="26">
        <v>2000000</v>
      </c>
      <c r="C71" s="26">
        <v>2000000</v>
      </c>
      <c r="D71" s="26">
        <v>2000000</v>
      </c>
      <c r="E71" s="26">
        <v>2000000</v>
      </c>
      <c r="F71" s="26">
        <v>2000000</v>
      </c>
      <c r="G71" s="26">
        <v>2000000</v>
      </c>
      <c r="H71" s="26">
        <v>2000000</v>
      </c>
      <c r="I71" s="26">
        <v>2000000</v>
      </c>
      <c r="J71" s="26">
        <v>2000000</v>
      </c>
      <c r="K71" s="26">
        <v>2000000</v>
      </c>
      <c r="L71" s="26">
        <v>2000000</v>
      </c>
      <c r="M71" s="27">
        <v>2000000</v>
      </c>
      <c r="N71" s="19">
        <f t="shared" si="34"/>
        <v>24000000</v>
      </c>
      <c r="O71" s="28">
        <v>25000000</v>
      </c>
      <c r="Q71" s="29">
        <f t="shared" si="35"/>
        <v>4.1666666666666741E-2</v>
      </c>
      <c r="R71" s="21">
        <f t="shared" si="36"/>
        <v>1000000</v>
      </c>
    </row>
    <row r="72" spans="1:18">
      <c r="A72" s="25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4"/>
      <c r="N72" s="19"/>
      <c r="O72" s="20"/>
      <c r="Q72" s="21"/>
      <c r="R72" s="21"/>
    </row>
    <row r="73" spans="1:18">
      <c r="A73" s="45" t="s">
        <v>70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4"/>
      <c r="N73" s="19"/>
      <c r="O73" s="20"/>
      <c r="Q73" s="21"/>
      <c r="R73" s="21"/>
    </row>
    <row r="74" spans="1:18">
      <c r="A74" s="25" t="s">
        <v>71</v>
      </c>
      <c r="B74" s="26">
        <v>500000</v>
      </c>
      <c r="C74" s="26">
        <v>500000</v>
      </c>
      <c r="D74" s="26">
        <v>500000</v>
      </c>
      <c r="E74" s="26">
        <v>500000</v>
      </c>
      <c r="F74" s="26">
        <v>500000</v>
      </c>
      <c r="G74" s="26">
        <v>500000</v>
      </c>
      <c r="H74" s="26">
        <v>500000</v>
      </c>
      <c r="I74" s="26">
        <v>500000</v>
      </c>
      <c r="J74" s="26">
        <v>500000</v>
      </c>
      <c r="K74" s="26">
        <v>500000</v>
      </c>
      <c r="L74" s="26">
        <v>500000</v>
      </c>
      <c r="M74" s="27">
        <v>500000</v>
      </c>
      <c r="N74" s="19">
        <f t="shared" ref="N74:N78" si="37">SUM(B74:M74)</f>
        <v>6000000</v>
      </c>
      <c r="O74" s="28">
        <v>5500000</v>
      </c>
      <c r="Q74" s="29">
        <f t="shared" ref="Q74:Q81" si="38">IFERROR(O74/N74-1,"na")</f>
        <v>-8.333333333333337E-2</v>
      </c>
      <c r="R74" s="21">
        <f t="shared" ref="R74:R78" si="39">O74-N74</f>
        <v>-500000</v>
      </c>
    </row>
    <row r="75" spans="1:18">
      <c r="A75" s="25" t="s">
        <v>72</v>
      </c>
      <c r="B75" s="26">
        <v>500000</v>
      </c>
      <c r="C75" s="26">
        <v>500000</v>
      </c>
      <c r="D75" s="26">
        <v>500000</v>
      </c>
      <c r="E75" s="26">
        <v>500000</v>
      </c>
      <c r="F75" s="26">
        <v>500000</v>
      </c>
      <c r="G75" s="26">
        <v>500000</v>
      </c>
      <c r="H75" s="26">
        <v>500000</v>
      </c>
      <c r="I75" s="26">
        <v>500000</v>
      </c>
      <c r="J75" s="26">
        <v>500000</v>
      </c>
      <c r="K75" s="26">
        <v>500000</v>
      </c>
      <c r="L75" s="26">
        <v>500000</v>
      </c>
      <c r="M75" s="27">
        <v>500000</v>
      </c>
      <c r="N75" s="19">
        <f t="shared" si="37"/>
        <v>6000000</v>
      </c>
      <c r="O75" s="28">
        <v>5500000</v>
      </c>
      <c r="Q75" s="29">
        <f t="shared" si="38"/>
        <v>-8.333333333333337E-2</v>
      </c>
      <c r="R75" s="21">
        <f t="shared" si="39"/>
        <v>-500000</v>
      </c>
    </row>
    <row r="76" spans="1:18">
      <c r="A76" s="25" t="s">
        <v>73</v>
      </c>
      <c r="B76" s="26">
        <v>500000</v>
      </c>
      <c r="C76" s="26">
        <v>500000</v>
      </c>
      <c r="D76" s="26">
        <v>500000</v>
      </c>
      <c r="E76" s="26">
        <v>500000</v>
      </c>
      <c r="F76" s="26">
        <v>500000</v>
      </c>
      <c r="G76" s="26">
        <v>500000</v>
      </c>
      <c r="H76" s="26">
        <v>500000</v>
      </c>
      <c r="I76" s="26">
        <v>500000</v>
      </c>
      <c r="J76" s="26">
        <v>500000</v>
      </c>
      <c r="K76" s="26">
        <v>500000</v>
      </c>
      <c r="L76" s="26">
        <v>500000</v>
      </c>
      <c r="M76" s="27">
        <v>500000</v>
      </c>
      <c r="N76" s="19">
        <f t="shared" si="37"/>
        <v>6000000</v>
      </c>
      <c r="O76" s="28">
        <v>5500000</v>
      </c>
      <c r="Q76" s="29">
        <f t="shared" si="38"/>
        <v>-8.333333333333337E-2</v>
      </c>
      <c r="R76" s="21">
        <f t="shared" si="39"/>
        <v>-500000</v>
      </c>
    </row>
    <row r="77" spans="1:18">
      <c r="A77" s="25" t="s">
        <v>74</v>
      </c>
      <c r="B77" s="26">
        <v>500000</v>
      </c>
      <c r="C77" s="26">
        <v>500000</v>
      </c>
      <c r="D77" s="26">
        <v>500000</v>
      </c>
      <c r="E77" s="26">
        <v>500000</v>
      </c>
      <c r="F77" s="26">
        <v>500000</v>
      </c>
      <c r="G77" s="26">
        <v>500000</v>
      </c>
      <c r="H77" s="26">
        <v>500000</v>
      </c>
      <c r="I77" s="26">
        <v>500000</v>
      </c>
      <c r="J77" s="26">
        <v>500000</v>
      </c>
      <c r="K77" s="26">
        <v>500000</v>
      </c>
      <c r="L77" s="26">
        <v>500000</v>
      </c>
      <c r="M77" s="27">
        <v>500000</v>
      </c>
      <c r="N77" s="19">
        <f t="shared" si="37"/>
        <v>6000000</v>
      </c>
      <c r="O77" s="28">
        <v>5500000</v>
      </c>
      <c r="Q77" s="29">
        <f t="shared" si="38"/>
        <v>-8.333333333333337E-2</v>
      </c>
      <c r="R77" s="21">
        <f t="shared" si="39"/>
        <v>-500000</v>
      </c>
    </row>
    <row r="78" spans="1:18">
      <c r="A78" s="25" t="s">
        <v>75</v>
      </c>
      <c r="B78" s="26">
        <v>500000</v>
      </c>
      <c r="C78" s="26">
        <v>500000</v>
      </c>
      <c r="D78" s="26">
        <v>500000</v>
      </c>
      <c r="E78" s="26">
        <v>500000</v>
      </c>
      <c r="F78" s="26">
        <v>500000</v>
      </c>
      <c r="G78" s="26">
        <v>500000</v>
      </c>
      <c r="H78" s="26">
        <v>500000</v>
      </c>
      <c r="I78" s="26">
        <v>500000</v>
      </c>
      <c r="J78" s="26">
        <v>500000</v>
      </c>
      <c r="K78" s="26">
        <v>500000</v>
      </c>
      <c r="L78" s="26">
        <v>500000</v>
      </c>
      <c r="M78" s="27">
        <v>500000</v>
      </c>
      <c r="N78" s="19">
        <f t="shared" si="37"/>
        <v>6000000</v>
      </c>
      <c r="O78" s="28">
        <v>5500000</v>
      </c>
      <c r="Q78" s="29">
        <f t="shared" si="38"/>
        <v>-8.333333333333337E-2</v>
      </c>
      <c r="R78" s="21">
        <f t="shared" si="39"/>
        <v>-500000</v>
      </c>
    </row>
    <row r="79" spans="1:18">
      <c r="A79" s="25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4"/>
      <c r="N79" s="19"/>
      <c r="O79" s="20"/>
      <c r="Q79" s="21"/>
      <c r="R79" s="21"/>
    </row>
    <row r="80" spans="1:18">
      <c r="A80" s="38" t="s">
        <v>76</v>
      </c>
      <c r="B80" s="39">
        <f>SUM(B70:B78)</f>
        <v>6500000</v>
      </c>
      <c r="C80" s="39">
        <f t="shared" ref="C80:R80" si="40">SUM(C70:C78)</f>
        <v>6500000</v>
      </c>
      <c r="D80" s="39">
        <f t="shared" si="40"/>
        <v>6500000</v>
      </c>
      <c r="E80" s="39">
        <f t="shared" si="40"/>
        <v>6500000</v>
      </c>
      <c r="F80" s="39">
        <f t="shared" si="40"/>
        <v>6500000</v>
      </c>
      <c r="G80" s="39">
        <f t="shared" si="40"/>
        <v>6500000</v>
      </c>
      <c r="H80" s="39">
        <f t="shared" si="40"/>
        <v>6500000</v>
      </c>
      <c r="I80" s="39">
        <f t="shared" si="40"/>
        <v>6500000</v>
      </c>
      <c r="J80" s="39">
        <f t="shared" si="40"/>
        <v>6500000</v>
      </c>
      <c r="K80" s="39">
        <f t="shared" si="40"/>
        <v>6500000</v>
      </c>
      <c r="L80" s="39">
        <f t="shared" si="40"/>
        <v>6500000</v>
      </c>
      <c r="M80" s="40">
        <f t="shared" si="40"/>
        <v>6500000</v>
      </c>
      <c r="N80" s="41">
        <f t="shared" si="40"/>
        <v>78000000</v>
      </c>
      <c r="O80" s="42">
        <f t="shared" si="40"/>
        <v>77500000</v>
      </c>
      <c r="Q80" s="43">
        <f t="shared" si="38"/>
        <v>-6.4102564102563875E-3</v>
      </c>
      <c r="R80" s="44">
        <f t="shared" si="40"/>
        <v>-500000</v>
      </c>
    </row>
    <row r="81" spans="1:19">
      <c r="A81" s="47" t="s">
        <v>77</v>
      </c>
      <c r="B81" s="48">
        <f>B67-B80</f>
        <v>1650000</v>
      </c>
      <c r="C81" s="48">
        <f t="shared" ref="C81:R81" si="41">C67-C80</f>
        <v>1650000</v>
      </c>
      <c r="D81" s="48">
        <f t="shared" si="41"/>
        <v>1650000</v>
      </c>
      <c r="E81" s="48">
        <f t="shared" si="41"/>
        <v>1650000</v>
      </c>
      <c r="F81" s="48">
        <f t="shared" si="41"/>
        <v>1650000</v>
      </c>
      <c r="G81" s="48">
        <f t="shared" si="41"/>
        <v>1650000</v>
      </c>
      <c r="H81" s="48">
        <f t="shared" si="41"/>
        <v>1650000</v>
      </c>
      <c r="I81" s="48">
        <f t="shared" si="41"/>
        <v>1650000</v>
      </c>
      <c r="J81" s="48">
        <f t="shared" si="41"/>
        <v>1650000</v>
      </c>
      <c r="K81" s="48">
        <f t="shared" si="41"/>
        <v>1650000</v>
      </c>
      <c r="L81" s="48">
        <f t="shared" si="41"/>
        <v>1650000</v>
      </c>
      <c r="M81" s="49">
        <f t="shared" si="41"/>
        <v>1650000</v>
      </c>
      <c r="N81" s="50">
        <f t="shared" si="41"/>
        <v>19800000</v>
      </c>
      <c r="O81" s="51">
        <f t="shared" si="41"/>
        <v>25250000</v>
      </c>
      <c r="Q81" s="52">
        <f t="shared" si="38"/>
        <v>0.2752525252525253</v>
      </c>
      <c r="R81" s="53">
        <f t="shared" si="41"/>
        <v>5450000</v>
      </c>
    </row>
    <row r="82" spans="1:19">
      <c r="A82" s="25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4"/>
      <c r="N82" s="19"/>
      <c r="O82" s="20"/>
      <c r="Q82" s="55"/>
      <c r="R82" s="55"/>
      <c r="S82" s="56"/>
    </row>
    <row r="83" spans="1:19">
      <c r="A83" s="45" t="s">
        <v>78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4"/>
      <c r="N83" s="19"/>
      <c r="O83" s="20"/>
      <c r="Q83" s="21"/>
      <c r="R83" s="21"/>
      <c r="S83" s="56"/>
    </row>
    <row r="84" spans="1:19">
      <c r="A84" s="25" t="s">
        <v>79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7">
        <v>0</v>
      </c>
      <c r="N84" s="19">
        <f t="shared" ref="N84:N86" si="42">SUM(B84:M84)</f>
        <v>0</v>
      </c>
      <c r="O84" s="28">
        <v>0</v>
      </c>
      <c r="Q84" s="29" t="str">
        <f>IFERROR(O84/N84-1,"na")</f>
        <v>na</v>
      </c>
      <c r="R84" s="21">
        <f t="shared" ref="R84:R86" si="43">O84-N84</f>
        <v>0</v>
      </c>
      <c r="S84" s="56"/>
    </row>
    <row r="85" spans="1:19">
      <c r="A85" s="25" t="s">
        <v>80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7">
        <v>0</v>
      </c>
      <c r="N85" s="19">
        <f t="shared" si="42"/>
        <v>0</v>
      </c>
      <c r="O85" s="28">
        <v>0</v>
      </c>
      <c r="Q85" s="29" t="str">
        <f t="shared" ref="Q85:Q86" si="44">IFERROR(O85/N85-1,"na")</f>
        <v>na</v>
      </c>
      <c r="R85" s="21">
        <f t="shared" si="43"/>
        <v>0</v>
      </c>
      <c r="S85" s="56"/>
    </row>
    <row r="86" spans="1:19">
      <c r="A86" s="25" t="s">
        <v>81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7">
        <v>0</v>
      </c>
      <c r="N86" s="19">
        <f t="shared" si="42"/>
        <v>0</v>
      </c>
      <c r="O86" s="28">
        <v>0</v>
      </c>
      <c r="Q86" s="29" t="str">
        <f t="shared" si="44"/>
        <v>na</v>
      </c>
      <c r="R86" s="21">
        <f t="shared" si="43"/>
        <v>0</v>
      </c>
      <c r="S86" s="56"/>
    </row>
    <row r="87" spans="1:19">
      <c r="A87" s="54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4"/>
      <c r="N87" s="19"/>
      <c r="O87" s="20"/>
      <c r="Q87" s="21"/>
      <c r="R87" s="21"/>
    </row>
    <row r="88" spans="1:19">
      <c r="A88" s="38" t="s">
        <v>82</v>
      </c>
      <c r="B88" s="39">
        <f>SUM(B84:B86)</f>
        <v>0</v>
      </c>
      <c r="C88" s="39">
        <f t="shared" ref="C88:R88" si="45">SUM(C84:C86)</f>
        <v>0</v>
      </c>
      <c r="D88" s="39">
        <f t="shared" si="45"/>
        <v>0</v>
      </c>
      <c r="E88" s="39">
        <f t="shared" si="45"/>
        <v>0</v>
      </c>
      <c r="F88" s="39">
        <f t="shared" si="45"/>
        <v>0</v>
      </c>
      <c r="G88" s="39">
        <f t="shared" si="45"/>
        <v>0</v>
      </c>
      <c r="H88" s="39">
        <f t="shared" si="45"/>
        <v>0</v>
      </c>
      <c r="I88" s="39">
        <f t="shared" si="45"/>
        <v>0</v>
      </c>
      <c r="J88" s="39">
        <f t="shared" si="45"/>
        <v>0</v>
      </c>
      <c r="K88" s="39">
        <f t="shared" si="45"/>
        <v>0</v>
      </c>
      <c r="L88" s="39">
        <f t="shared" si="45"/>
        <v>0</v>
      </c>
      <c r="M88" s="40">
        <f t="shared" si="45"/>
        <v>0</v>
      </c>
      <c r="N88" s="41">
        <f t="shared" si="45"/>
        <v>0</v>
      </c>
      <c r="O88" s="42">
        <f t="shared" si="45"/>
        <v>0</v>
      </c>
      <c r="Q88" s="43" t="str">
        <f t="shared" ref="Q88:Q89" si="46">IFERROR(O88/N88-1,"na")</f>
        <v>na</v>
      </c>
      <c r="R88" s="44">
        <f t="shared" si="45"/>
        <v>0</v>
      </c>
    </row>
    <row r="89" spans="1:19">
      <c r="A89" s="47" t="s">
        <v>83</v>
      </c>
      <c r="B89" s="48">
        <f>B81-B88</f>
        <v>1650000</v>
      </c>
      <c r="C89" s="48">
        <f t="shared" ref="C89:R89" si="47">C81-C88</f>
        <v>1650000</v>
      </c>
      <c r="D89" s="48">
        <f t="shared" si="47"/>
        <v>1650000</v>
      </c>
      <c r="E89" s="48">
        <f t="shared" si="47"/>
        <v>1650000</v>
      </c>
      <c r="F89" s="48">
        <f t="shared" si="47"/>
        <v>1650000</v>
      </c>
      <c r="G89" s="48">
        <f t="shared" si="47"/>
        <v>1650000</v>
      </c>
      <c r="H89" s="48">
        <f t="shared" si="47"/>
        <v>1650000</v>
      </c>
      <c r="I89" s="48">
        <f t="shared" si="47"/>
        <v>1650000</v>
      </c>
      <c r="J89" s="48">
        <f t="shared" si="47"/>
        <v>1650000</v>
      </c>
      <c r="K89" s="48">
        <f t="shared" si="47"/>
        <v>1650000</v>
      </c>
      <c r="L89" s="48">
        <f t="shared" si="47"/>
        <v>1650000</v>
      </c>
      <c r="M89" s="49">
        <f t="shared" si="47"/>
        <v>1650000</v>
      </c>
      <c r="N89" s="50">
        <f t="shared" si="47"/>
        <v>19800000</v>
      </c>
      <c r="O89" s="51">
        <f t="shared" si="47"/>
        <v>25250000</v>
      </c>
      <c r="Q89" s="52">
        <f t="shared" si="46"/>
        <v>0.2752525252525253</v>
      </c>
      <c r="R89" s="53">
        <f t="shared" si="47"/>
        <v>5450000</v>
      </c>
    </row>
    <row r="90" spans="1:19">
      <c r="A90" s="4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4"/>
      <c r="N90" s="19"/>
      <c r="O90" s="20"/>
      <c r="Q90" s="21"/>
      <c r="R90" s="21"/>
      <c r="S90" s="57"/>
    </row>
    <row r="91" spans="1:19">
      <c r="A91" s="54" t="s">
        <v>84</v>
      </c>
      <c r="B91" s="26">
        <v>250000</v>
      </c>
      <c r="C91" s="26">
        <v>250000</v>
      </c>
      <c r="D91" s="26">
        <v>250000</v>
      </c>
      <c r="E91" s="26">
        <v>250000</v>
      </c>
      <c r="F91" s="26">
        <v>250000</v>
      </c>
      <c r="G91" s="26">
        <v>250000</v>
      </c>
      <c r="H91" s="26">
        <v>250000</v>
      </c>
      <c r="I91" s="26">
        <v>250000</v>
      </c>
      <c r="J91" s="26">
        <v>250000</v>
      </c>
      <c r="K91" s="26">
        <v>250000</v>
      </c>
      <c r="L91" s="26">
        <v>250000</v>
      </c>
      <c r="M91" s="27">
        <v>250000</v>
      </c>
      <c r="N91" s="19">
        <f t="shared" ref="N91" si="48">SUM(B91:M91)</f>
        <v>3000000</v>
      </c>
      <c r="O91" s="28">
        <v>2750000</v>
      </c>
      <c r="Q91" s="29">
        <f>IFERROR(O91/N91-1,"na")</f>
        <v>-8.333333333333337E-2</v>
      </c>
      <c r="R91" s="21">
        <f t="shared" ref="R91" si="49">O91-N91</f>
        <v>-250000</v>
      </c>
      <c r="S91" s="57"/>
    </row>
    <row r="92" spans="1:19">
      <c r="A92" s="2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4"/>
      <c r="N92" s="19"/>
      <c r="O92" s="20"/>
      <c r="Q92" s="21"/>
      <c r="R92" s="21"/>
    </row>
    <row r="93" spans="1:19">
      <c r="A93" s="58" t="s">
        <v>85</v>
      </c>
      <c r="B93" s="59">
        <f>B89-B91</f>
        <v>1400000</v>
      </c>
      <c r="C93" s="59">
        <f t="shared" ref="C93:R93" si="50">C89-C91</f>
        <v>1400000</v>
      </c>
      <c r="D93" s="59">
        <f t="shared" si="50"/>
        <v>1400000</v>
      </c>
      <c r="E93" s="59">
        <f t="shared" si="50"/>
        <v>1400000</v>
      </c>
      <c r="F93" s="59">
        <f t="shared" si="50"/>
        <v>1400000</v>
      </c>
      <c r="G93" s="59">
        <f t="shared" si="50"/>
        <v>1400000</v>
      </c>
      <c r="H93" s="59">
        <f t="shared" si="50"/>
        <v>1400000</v>
      </c>
      <c r="I93" s="59">
        <f t="shared" si="50"/>
        <v>1400000</v>
      </c>
      <c r="J93" s="59">
        <f t="shared" si="50"/>
        <v>1400000</v>
      </c>
      <c r="K93" s="59">
        <f t="shared" si="50"/>
        <v>1400000</v>
      </c>
      <c r="L93" s="59">
        <f t="shared" si="50"/>
        <v>1400000</v>
      </c>
      <c r="M93" s="60">
        <f t="shared" si="50"/>
        <v>1400000</v>
      </c>
      <c r="N93" s="61">
        <f t="shared" si="50"/>
        <v>16800000</v>
      </c>
      <c r="O93" s="62">
        <f t="shared" si="50"/>
        <v>22500000</v>
      </c>
      <c r="Q93" s="63">
        <f t="shared" ref="Q93" si="51">IFERROR(O93/N93-1,"na")</f>
        <v>0.33928571428571419</v>
      </c>
      <c r="R93" s="64">
        <f t="shared" si="50"/>
        <v>5700000</v>
      </c>
    </row>
  </sheetData>
  <dataValidations count="2">
    <dataValidation type="list" allowBlank="1" showInputMessage="1" showErrorMessage="1" sqref="C982875" xr:uid="{00000000-0002-0000-0000-000000000000}">
      <formula1>#REF!</formula1>
    </dataValidation>
    <dataValidation type="list" allowBlank="1" showInputMessage="1" showErrorMessage="1" sqref="C524123 C261979 C327515 C393051 C851803 C720731 C589659 C917339 C458587 C65371 C130907 C196443 C786267 C655195" xr:uid="{00000000-0002-0000-0000-000001000000}">
      <formula1>#REF!</formula1>
    </dataValidation>
  </dataValidations>
  <pageMargins left="0.51181102362204722" right="0" top="0" bottom="0.19685039370078741" header="0" footer="0"/>
  <pageSetup paperSize="8" scale="71" orientation="landscape" copies="3"/>
  <headerFooter alignWithMargins="0">
    <oddFooter>&amp;C&amp;F&amp;R&amp;D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3" workbookViewId="0">
      <selection activeCell="A32" sqref="A32"/>
    </sheetView>
  </sheetViews>
  <sheetFormatPr default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5"/>
  <sheetViews>
    <sheetView topLeftCell="A79" zoomScale="120" workbookViewId="0">
      <selection activeCell="A95" sqref="A95"/>
    </sheetView>
  </sheetViews>
  <sheetFormatPr defaultColWidth="14" defaultRowHeight="15"/>
  <cols>
    <col min="1" max="1" width="34.140625" style="142" customWidth="1"/>
    <col min="2" max="10" width="14.28515625" style="79"/>
    <col min="11" max="13" width="14.85546875" style="79" customWidth="1"/>
    <col min="14" max="14" width="17.85546875" style="79" customWidth="1"/>
    <col min="15" max="15" width="14.28515625" style="79"/>
    <col min="16" max="16" width="3.28515625" customWidth="1"/>
    <col min="17" max="18" width="14.28515625" style="143"/>
  </cols>
  <sheetData>
    <row r="1" spans="1:18" ht="23.25">
      <c r="C1" s="184" t="s">
        <v>283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</row>
    <row r="2" spans="1:18">
      <c r="C2" s="133"/>
      <c r="D2" s="133"/>
      <c r="E2" s="84" t="s">
        <v>282</v>
      </c>
      <c r="F2" s="84"/>
      <c r="G2" s="84"/>
      <c r="H2" s="84"/>
      <c r="I2" s="84"/>
      <c r="J2" s="84"/>
      <c r="K2" s="84"/>
      <c r="L2" s="133"/>
      <c r="M2" s="133"/>
    </row>
    <row r="3" spans="1:18" s="144" customFormat="1">
      <c r="A3" s="145"/>
      <c r="B3" s="179" t="s">
        <v>287</v>
      </c>
      <c r="C3" s="179"/>
      <c r="D3" s="179"/>
      <c r="E3" s="179" t="s">
        <v>288</v>
      </c>
      <c r="F3" s="179"/>
      <c r="G3" s="179"/>
      <c r="H3" s="179" t="s">
        <v>289</v>
      </c>
      <c r="I3" s="179"/>
      <c r="J3" s="179"/>
      <c r="K3" s="179" t="s">
        <v>290</v>
      </c>
      <c r="L3" s="179"/>
      <c r="M3" s="179"/>
      <c r="N3" s="84" t="s">
        <v>316</v>
      </c>
      <c r="O3" s="133" t="s">
        <v>1</v>
      </c>
      <c r="Q3" s="146" t="s">
        <v>2</v>
      </c>
      <c r="R3" s="146"/>
    </row>
    <row r="4" spans="1:18" s="1" customFormat="1" ht="12.75">
      <c r="A4" s="147" t="s">
        <v>5</v>
      </c>
      <c r="B4" s="148" t="s">
        <v>6</v>
      </c>
      <c r="C4" s="148" t="s">
        <v>7</v>
      </c>
      <c r="D4" s="148" t="s">
        <v>8</v>
      </c>
      <c r="E4" s="149" t="s">
        <v>9</v>
      </c>
      <c r="F4" s="149" t="s">
        <v>10</v>
      </c>
      <c r="G4" s="149" t="s">
        <v>11</v>
      </c>
      <c r="H4" s="148" t="s">
        <v>12</v>
      </c>
      <c r="I4" s="148" t="s">
        <v>13</v>
      </c>
      <c r="J4" s="148" t="s">
        <v>14</v>
      </c>
      <c r="K4" s="149" t="s">
        <v>15</v>
      </c>
      <c r="L4" s="149" t="s">
        <v>16</v>
      </c>
      <c r="M4" s="149" t="s">
        <v>17</v>
      </c>
      <c r="N4" s="150" t="s">
        <v>18</v>
      </c>
      <c r="O4" s="151" t="s">
        <v>18</v>
      </c>
      <c r="Q4" s="14" t="s">
        <v>19</v>
      </c>
      <c r="R4" s="14" t="s">
        <v>317</v>
      </c>
    </row>
    <row r="5" spans="1:18">
      <c r="A5" s="145" t="s">
        <v>26</v>
      </c>
    </row>
    <row r="6" spans="1:18">
      <c r="A6" s="142" t="s">
        <v>291</v>
      </c>
      <c r="B6" s="79">
        <f>Input!F10</f>
        <v>166666.66666666666</v>
      </c>
      <c r="C6" s="79">
        <f t="shared" ref="C6:D8" si="0">B6</f>
        <v>166666.66666666666</v>
      </c>
      <c r="D6" s="79">
        <f t="shared" si="0"/>
        <v>166666.66666666666</v>
      </c>
      <c r="E6" s="79">
        <f>Input!I10</f>
        <v>175000</v>
      </c>
      <c r="F6" s="79">
        <f>E6</f>
        <v>175000</v>
      </c>
      <c r="G6" s="79">
        <f>F6</f>
        <v>175000</v>
      </c>
      <c r="H6" s="79">
        <f>Input!L10</f>
        <v>183750</v>
      </c>
      <c r="I6" s="79">
        <v>183750</v>
      </c>
      <c r="J6" s="79">
        <v>183750</v>
      </c>
      <c r="K6" s="79">
        <f>Input!O10</f>
        <v>192937.5</v>
      </c>
      <c r="L6" s="79">
        <v>192937.5</v>
      </c>
      <c r="M6" s="79">
        <v>192937.5</v>
      </c>
      <c r="N6" s="79">
        <f>SUM(B6:M6)</f>
        <v>2155062.5</v>
      </c>
    </row>
    <row r="7" spans="1:18">
      <c r="A7" s="142" t="s">
        <v>292</v>
      </c>
      <c r="B7" s="79">
        <f>Input!G10</f>
        <v>250000</v>
      </c>
      <c r="C7" s="79">
        <f t="shared" si="0"/>
        <v>250000</v>
      </c>
      <c r="D7" s="79">
        <f t="shared" si="0"/>
        <v>250000</v>
      </c>
      <c r="E7" s="79">
        <f>Input!J10</f>
        <v>262500</v>
      </c>
      <c r="F7" s="79">
        <f t="shared" ref="F7:G8" si="1">E7</f>
        <v>262500</v>
      </c>
      <c r="G7" s="79">
        <f t="shared" si="1"/>
        <v>262500</v>
      </c>
      <c r="H7" s="79">
        <f>Input!M10</f>
        <v>275625</v>
      </c>
      <c r="I7" s="79">
        <v>275625</v>
      </c>
      <c r="J7" s="79">
        <v>275625</v>
      </c>
      <c r="K7" s="79">
        <f>Input!P10</f>
        <v>289406.25</v>
      </c>
      <c r="L7" s="79">
        <v>289406.25</v>
      </c>
      <c r="M7" s="79">
        <v>289406.25</v>
      </c>
      <c r="N7" s="79">
        <f t="shared" ref="N7:N15" si="2">SUM(B7:M7)</f>
        <v>3232593.75</v>
      </c>
    </row>
    <row r="8" spans="1:18">
      <c r="A8" s="142" t="s">
        <v>293</v>
      </c>
      <c r="B8" s="79">
        <f>Input!H10</f>
        <v>100000</v>
      </c>
      <c r="C8" s="79">
        <f t="shared" si="0"/>
        <v>100000</v>
      </c>
      <c r="D8" s="79">
        <f t="shared" si="0"/>
        <v>100000</v>
      </c>
      <c r="E8" s="79">
        <f>Input!K10</f>
        <v>105000</v>
      </c>
      <c r="F8" s="79">
        <f t="shared" si="1"/>
        <v>105000</v>
      </c>
      <c r="G8" s="79">
        <f t="shared" si="1"/>
        <v>105000</v>
      </c>
      <c r="H8" s="79">
        <f>Input!N10</f>
        <v>110250</v>
      </c>
      <c r="I8" s="79">
        <v>110250</v>
      </c>
      <c r="J8" s="79">
        <v>110250</v>
      </c>
      <c r="K8" s="79">
        <f>Input!Q10</f>
        <v>115762.5</v>
      </c>
      <c r="L8" s="79">
        <v>115762.5</v>
      </c>
      <c r="M8" s="79">
        <v>115762.5</v>
      </c>
      <c r="N8" s="79">
        <f t="shared" si="2"/>
        <v>1293037.5</v>
      </c>
    </row>
    <row r="9" spans="1:18">
      <c r="A9" s="142" t="s">
        <v>298</v>
      </c>
      <c r="B9" s="79">
        <v>25</v>
      </c>
      <c r="C9" s="79">
        <v>25</v>
      </c>
      <c r="D9" s="79">
        <v>25</v>
      </c>
      <c r="E9" s="79">
        <v>25</v>
      </c>
      <c r="F9" s="79">
        <v>25</v>
      </c>
      <c r="G9" s="79">
        <v>25</v>
      </c>
      <c r="H9" s="79">
        <v>25</v>
      </c>
      <c r="I9" s="79">
        <v>25</v>
      </c>
      <c r="J9" s="79">
        <v>25</v>
      </c>
      <c r="K9" s="79">
        <v>25</v>
      </c>
      <c r="L9" s="79">
        <v>25</v>
      </c>
      <c r="M9" s="79">
        <v>25</v>
      </c>
      <c r="N9" s="79">
        <f t="shared" si="2"/>
        <v>300</v>
      </c>
    </row>
    <row r="10" spans="1:18">
      <c r="A10" s="142" t="s">
        <v>299</v>
      </c>
      <c r="B10" s="79">
        <v>12</v>
      </c>
      <c r="C10" s="79">
        <v>12</v>
      </c>
      <c r="D10" s="79">
        <v>12</v>
      </c>
      <c r="E10" s="79">
        <v>12</v>
      </c>
      <c r="F10" s="79">
        <v>12</v>
      </c>
      <c r="G10" s="79">
        <v>12</v>
      </c>
      <c r="H10" s="79">
        <v>12</v>
      </c>
      <c r="I10" s="79">
        <v>12</v>
      </c>
      <c r="J10" s="79">
        <v>12</v>
      </c>
      <c r="K10" s="79">
        <v>12</v>
      </c>
      <c r="L10" s="79">
        <v>12</v>
      </c>
      <c r="M10" s="79">
        <v>12</v>
      </c>
      <c r="N10" s="79">
        <f t="shared" si="2"/>
        <v>144</v>
      </c>
    </row>
    <row r="11" spans="1:18">
      <c r="A11" s="142" t="s">
        <v>300</v>
      </c>
      <c r="B11" s="79">
        <v>18</v>
      </c>
      <c r="C11" s="79">
        <v>18</v>
      </c>
      <c r="D11" s="79">
        <v>18</v>
      </c>
      <c r="E11" s="79">
        <v>18</v>
      </c>
      <c r="F11" s="79">
        <v>18</v>
      </c>
      <c r="G11" s="79">
        <v>18</v>
      </c>
      <c r="H11" s="79">
        <v>18</v>
      </c>
      <c r="I11" s="79">
        <v>18</v>
      </c>
      <c r="J11" s="79">
        <v>18</v>
      </c>
      <c r="K11" s="79">
        <v>18</v>
      </c>
      <c r="L11" s="79">
        <v>18</v>
      </c>
      <c r="M11" s="79">
        <v>18</v>
      </c>
      <c r="N11" s="79">
        <f t="shared" si="2"/>
        <v>216</v>
      </c>
    </row>
    <row r="12" spans="1:18">
      <c r="N12" s="79">
        <f t="shared" si="2"/>
        <v>0</v>
      </c>
    </row>
    <row r="13" spans="1:18">
      <c r="A13" s="142" t="s">
        <v>301</v>
      </c>
      <c r="B13" s="79">
        <f>B6*B9</f>
        <v>4166666.6666666665</v>
      </c>
      <c r="C13" s="79">
        <f>C6*C9</f>
        <v>4166666.6666666665</v>
      </c>
      <c r="D13" s="79">
        <f t="shared" ref="D13:M13" si="3">D6*D9</f>
        <v>4166666.6666666665</v>
      </c>
      <c r="E13" s="79">
        <f t="shared" si="3"/>
        <v>4375000</v>
      </c>
      <c r="F13" s="79">
        <f t="shared" si="3"/>
        <v>4375000</v>
      </c>
      <c r="G13" s="79">
        <f t="shared" si="3"/>
        <v>4375000</v>
      </c>
      <c r="H13" s="79">
        <f t="shared" si="3"/>
        <v>4593750</v>
      </c>
      <c r="I13" s="79">
        <f t="shared" si="3"/>
        <v>4593750</v>
      </c>
      <c r="J13" s="79">
        <f t="shared" si="3"/>
        <v>4593750</v>
      </c>
      <c r="K13" s="79">
        <f t="shared" si="3"/>
        <v>4823437.5</v>
      </c>
      <c r="L13" s="79">
        <f t="shared" si="3"/>
        <v>4823437.5</v>
      </c>
      <c r="M13" s="79">
        <f t="shared" si="3"/>
        <v>4823437.5</v>
      </c>
      <c r="N13" s="79">
        <f t="shared" si="2"/>
        <v>53876562.5</v>
      </c>
    </row>
    <row r="14" spans="1:18">
      <c r="A14" s="142" t="s">
        <v>302</v>
      </c>
      <c r="B14" s="79">
        <f>B7*B10</f>
        <v>3000000</v>
      </c>
      <c r="C14" s="79">
        <f t="shared" ref="C14:L14" si="4">C7*C10</f>
        <v>3000000</v>
      </c>
      <c r="D14" s="79">
        <f t="shared" si="4"/>
        <v>3000000</v>
      </c>
      <c r="E14" s="79">
        <f t="shared" si="4"/>
        <v>3150000</v>
      </c>
      <c r="F14" s="79">
        <f t="shared" si="4"/>
        <v>3150000</v>
      </c>
      <c r="G14" s="79">
        <f t="shared" si="4"/>
        <v>3150000</v>
      </c>
      <c r="H14" s="79">
        <f t="shared" si="4"/>
        <v>3307500</v>
      </c>
      <c r="I14" s="79">
        <f t="shared" si="4"/>
        <v>3307500</v>
      </c>
      <c r="J14" s="79">
        <f t="shared" si="4"/>
        <v>3307500</v>
      </c>
      <c r="K14" s="79">
        <f t="shared" si="4"/>
        <v>3472875</v>
      </c>
      <c r="L14" s="79">
        <f t="shared" si="4"/>
        <v>3472875</v>
      </c>
      <c r="M14" s="79">
        <f>M7*M10</f>
        <v>3472875</v>
      </c>
      <c r="N14" s="79">
        <f t="shared" si="2"/>
        <v>38791125</v>
      </c>
    </row>
    <row r="15" spans="1:18">
      <c r="A15" s="142" t="s">
        <v>303</v>
      </c>
      <c r="B15" s="79">
        <f>B8*B11</f>
        <v>1800000</v>
      </c>
      <c r="C15" s="79">
        <f t="shared" ref="C15:M15" si="5">C8*C11</f>
        <v>1800000</v>
      </c>
      <c r="D15" s="79">
        <f t="shared" si="5"/>
        <v>1800000</v>
      </c>
      <c r="E15" s="79">
        <f t="shared" si="5"/>
        <v>1890000</v>
      </c>
      <c r="F15" s="79">
        <f t="shared" si="5"/>
        <v>1890000</v>
      </c>
      <c r="G15" s="79">
        <f t="shared" si="5"/>
        <v>1890000</v>
      </c>
      <c r="H15" s="79">
        <f t="shared" si="5"/>
        <v>1984500</v>
      </c>
      <c r="I15" s="79">
        <f t="shared" si="5"/>
        <v>1984500</v>
      </c>
      <c r="J15" s="79">
        <f t="shared" si="5"/>
        <v>1984500</v>
      </c>
      <c r="K15" s="79">
        <f t="shared" si="5"/>
        <v>2083725</v>
      </c>
      <c r="L15" s="79">
        <f t="shared" si="5"/>
        <v>2083725</v>
      </c>
      <c r="M15" s="79">
        <f t="shared" si="5"/>
        <v>2083725</v>
      </c>
      <c r="N15" s="79">
        <f t="shared" si="2"/>
        <v>23274675</v>
      </c>
    </row>
    <row r="16" spans="1:18" s="152" customFormat="1">
      <c r="A16" s="152" t="s">
        <v>27</v>
      </c>
      <c r="B16" s="153">
        <f>SUM(B13:B15)</f>
        <v>8966666.666666666</v>
      </c>
      <c r="C16" s="153">
        <f>SUM(C13:C15)</f>
        <v>8966666.666666666</v>
      </c>
      <c r="D16" s="153">
        <f t="shared" ref="D16:L16" si="6">SUM(D13:D15)</f>
        <v>8966666.666666666</v>
      </c>
      <c r="E16" s="153">
        <f t="shared" si="6"/>
        <v>9415000</v>
      </c>
      <c r="F16" s="153">
        <f t="shared" si="6"/>
        <v>9415000</v>
      </c>
      <c r="G16" s="153">
        <f t="shared" si="6"/>
        <v>9415000</v>
      </c>
      <c r="H16" s="153">
        <f t="shared" si="6"/>
        <v>9885750</v>
      </c>
      <c r="I16" s="153">
        <f t="shared" si="6"/>
        <v>9885750</v>
      </c>
      <c r="J16" s="153">
        <f t="shared" si="6"/>
        <v>9885750</v>
      </c>
      <c r="K16" s="153">
        <f t="shared" si="6"/>
        <v>10380037.5</v>
      </c>
      <c r="L16" s="153">
        <f t="shared" si="6"/>
        <v>10380037.5</v>
      </c>
      <c r="M16" s="153">
        <f>SUM(M13:M15)</f>
        <v>10380037.5</v>
      </c>
      <c r="N16" s="153">
        <f>SUM(N13:N15)</f>
        <v>115942362.5</v>
      </c>
      <c r="O16" s="154"/>
      <c r="Q16" s="155"/>
      <c r="R16" s="155"/>
    </row>
    <row r="18" spans="1:18" s="156" customFormat="1">
      <c r="A18" s="157" t="s">
        <v>304</v>
      </c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Q18" s="159"/>
      <c r="R18" s="159"/>
    </row>
    <row r="19" spans="1:18" s="156" customFormat="1">
      <c r="A19" s="157" t="s">
        <v>306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Q19" s="159"/>
      <c r="R19" s="159"/>
    </row>
    <row r="20" spans="1:18" s="156" customFormat="1">
      <c r="A20" s="157" t="s">
        <v>284</v>
      </c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Q20" s="159"/>
      <c r="R20" s="159"/>
    </row>
    <row r="21" spans="1:18" s="156" customFormat="1">
      <c r="A21" s="160" t="s">
        <v>260</v>
      </c>
      <c r="B21" s="158">
        <f>Input!F20</f>
        <v>83333.333333333328</v>
      </c>
      <c r="C21" s="158">
        <v>83333.333333333328</v>
      </c>
      <c r="D21" s="158">
        <v>83333.333333333328</v>
      </c>
      <c r="E21" s="158">
        <f>Input!I20</f>
        <v>87500</v>
      </c>
      <c r="F21" s="158">
        <v>87500</v>
      </c>
      <c r="G21" s="158">
        <v>87500</v>
      </c>
      <c r="H21" s="158">
        <f>Input!L20</f>
        <v>91875</v>
      </c>
      <c r="I21" s="158">
        <v>91875</v>
      </c>
      <c r="J21" s="158">
        <v>91875</v>
      </c>
      <c r="K21" s="158">
        <f>Input!O20</f>
        <v>96468.75</v>
      </c>
      <c r="L21" s="158">
        <v>96468.75</v>
      </c>
      <c r="M21" s="158">
        <v>96468.75</v>
      </c>
      <c r="N21" s="79">
        <f>SUM(B21:M21)</f>
        <v>1077531.25</v>
      </c>
      <c r="O21" s="158"/>
      <c r="Q21" s="159"/>
      <c r="R21" s="159"/>
    </row>
    <row r="22" spans="1:18" s="156" customFormat="1">
      <c r="A22" s="160" t="s">
        <v>261</v>
      </c>
      <c r="B22" s="158">
        <f>Input!F21</f>
        <v>83333.333333333328</v>
      </c>
      <c r="C22" s="158">
        <v>83333.333333333328</v>
      </c>
      <c r="D22" s="158">
        <v>83333.333333333328</v>
      </c>
      <c r="E22" s="158">
        <f>Input!I21</f>
        <v>87500</v>
      </c>
      <c r="F22" s="158">
        <v>87500</v>
      </c>
      <c r="G22" s="158">
        <v>87500</v>
      </c>
      <c r="H22" s="158">
        <f>Input!L21</f>
        <v>91875</v>
      </c>
      <c r="I22" s="158">
        <v>91875</v>
      </c>
      <c r="J22" s="158">
        <v>91875</v>
      </c>
      <c r="K22" s="158">
        <f>Input!O21</f>
        <v>96468.75</v>
      </c>
      <c r="L22" s="158">
        <v>96468.75</v>
      </c>
      <c r="M22" s="158">
        <v>96468.75</v>
      </c>
      <c r="N22" s="79">
        <f t="shared" ref="N22:N84" si="7">SUM(B22:M22)</f>
        <v>1077531.25</v>
      </c>
      <c r="O22" s="158"/>
      <c r="Q22" s="159"/>
      <c r="R22" s="159"/>
    </row>
    <row r="23" spans="1:18" s="156" customFormat="1">
      <c r="A23" s="160" t="s">
        <v>262</v>
      </c>
      <c r="B23" s="158">
        <f>Input!F22</f>
        <v>83333.333333333328</v>
      </c>
      <c r="C23" s="158">
        <v>83333.333333333328</v>
      </c>
      <c r="D23" s="158">
        <v>83333.333333333328</v>
      </c>
      <c r="E23" s="158">
        <f>Input!I22</f>
        <v>87500</v>
      </c>
      <c r="F23" s="158">
        <v>87500</v>
      </c>
      <c r="G23" s="158">
        <v>87500</v>
      </c>
      <c r="H23" s="158">
        <f>Input!L22</f>
        <v>91875</v>
      </c>
      <c r="I23" s="158">
        <v>91875</v>
      </c>
      <c r="J23" s="158">
        <v>91875</v>
      </c>
      <c r="K23" s="158">
        <f>Input!O22</f>
        <v>96468.75</v>
      </c>
      <c r="L23" s="158">
        <v>96468.75</v>
      </c>
      <c r="M23" s="158">
        <v>96468.75</v>
      </c>
      <c r="N23" s="79">
        <f t="shared" si="7"/>
        <v>1077531.25</v>
      </c>
      <c r="O23" s="158"/>
      <c r="Q23" s="159"/>
      <c r="R23" s="159"/>
    </row>
    <row r="24" spans="1:18" s="156" customFormat="1"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79">
        <f t="shared" si="7"/>
        <v>0</v>
      </c>
      <c r="O24" s="158"/>
      <c r="Q24" s="159"/>
      <c r="R24" s="159"/>
    </row>
    <row r="25" spans="1:18" s="156" customFormat="1">
      <c r="A25" s="157" t="s">
        <v>286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79">
        <f t="shared" si="7"/>
        <v>0</v>
      </c>
      <c r="O25" s="158"/>
      <c r="Q25" s="159"/>
      <c r="R25" s="159"/>
    </row>
    <row r="26" spans="1:18" s="156" customFormat="1">
      <c r="A26" s="160" t="s">
        <v>260</v>
      </c>
      <c r="B26" s="158">
        <f>Input!G20</f>
        <v>83333.333333333328</v>
      </c>
      <c r="C26" s="158">
        <v>83333.333333333328</v>
      </c>
      <c r="D26" s="158">
        <v>83333.333333333328</v>
      </c>
      <c r="E26" s="158">
        <f>Input!J20</f>
        <v>87500</v>
      </c>
      <c r="F26" s="158">
        <v>87500</v>
      </c>
      <c r="G26" s="158">
        <v>87500</v>
      </c>
      <c r="H26" s="158">
        <f>Input!M20</f>
        <v>91875</v>
      </c>
      <c r="I26" s="158">
        <v>91875</v>
      </c>
      <c r="J26" s="158">
        <v>91875</v>
      </c>
      <c r="K26" s="158">
        <f>Input!P20</f>
        <v>96468.75</v>
      </c>
      <c r="L26" s="158">
        <v>96468.75</v>
      </c>
      <c r="M26" s="158">
        <v>96468.75</v>
      </c>
      <c r="N26" s="79">
        <f t="shared" si="7"/>
        <v>1077531.25</v>
      </c>
      <c r="O26" s="158"/>
      <c r="Q26" s="159"/>
      <c r="R26" s="159"/>
    </row>
    <row r="27" spans="1:18" s="156" customFormat="1">
      <c r="A27" s="160" t="s">
        <v>261</v>
      </c>
      <c r="B27" s="158">
        <f>Input!G21</f>
        <v>83333.333333333328</v>
      </c>
      <c r="C27" s="158">
        <v>83333.333333333328</v>
      </c>
      <c r="D27" s="158">
        <v>83333.333333333328</v>
      </c>
      <c r="E27" s="158">
        <f>Input!J21</f>
        <v>87500</v>
      </c>
      <c r="F27" s="158">
        <v>87500</v>
      </c>
      <c r="G27" s="158">
        <v>87500</v>
      </c>
      <c r="H27" s="158">
        <f>Input!M21</f>
        <v>91875</v>
      </c>
      <c r="I27" s="158">
        <v>91875</v>
      </c>
      <c r="J27" s="158">
        <v>91875</v>
      </c>
      <c r="K27" s="158">
        <f>Input!P21</f>
        <v>96468.75</v>
      </c>
      <c r="L27" s="158">
        <v>96468.75</v>
      </c>
      <c r="M27" s="158">
        <v>96468.75</v>
      </c>
      <c r="N27" s="79">
        <f t="shared" si="7"/>
        <v>1077531.25</v>
      </c>
      <c r="O27" s="158"/>
      <c r="Q27" s="159"/>
      <c r="R27" s="159"/>
    </row>
    <row r="28" spans="1:18" s="156" customFormat="1">
      <c r="A28" s="160" t="s">
        <v>262</v>
      </c>
      <c r="B28" s="158">
        <f>Input!G22</f>
        <v>83333.333333333328</v>
      </c>
      <c r="C28" s="158">
        <v>83333.333333333328</v>
      </c>
      <c r="D28" s="158">
        <v>83333.333333333328</v>
      </c>
      <c r="E28" s="158">
        <f>Input!J22</f>
        <v>87500</v>
      </c>
      <c r="F28" s="158">
        <v>87500</v>
      </c>
      <c r="G28" s="158">
        <v>87500</v>
      </c>
      <c r="H28" s="158">
        <f>Input!M22</f>
        <v>91875</v>
      </c>
      <c r="I28" s="158">
        <v>91875</v>
      </c>
      <c r="J28" s="158">
        <v>91875</v>
      </c>
      <c r="K28" s="158">
        <f>Input!P22</f>
        <v>96468.75</v>
      </c>
      <c r="L28" s="158">
        <v>96468.75</v>
      </c>
      <c r="M28" s="158">
        <v>96468.75</v>
      </c>
      <c r="N28" s="79">
        <f t="shared" si="7"/>
        <v>1077531.25</v>
      </c>
      <c r="O28" s="158"/>
      <c r="Q28" s="159"/>
      <c r="R28" s="159"/>
    </row>
    <row r="29" spans="1:18" s="156" customFormat="1"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79">
        <f t="shared" si="7"/>
        <v>0</v>
      </c>
      <c r="O29" s="158"/>
      <c r="Q29" s="159"/>
      <c r="R29" s="159"/>
    </row>
    <row r="30" spans="1:18" s="156" customFormat="1">
      <c r="A30" s="157" t="s">
        <v>285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79">
        <f t="shared" si="7"/>
        <v>0</v>
      </c>
      <c r="O30" s="158"/>
      <c r="Q30" s="159"/>
      <c r="R30" s="159"/>
    </row>
    <row r="31" spans="1:18" s="156" customFormat="1">
      <c r="A31" s="160" t="s">
        <v>260</v>
      </c>
      <c r="B31" s="158">
        <f>Input!H20</f>
        <v>83333.333333333328</v>
      </c>
      <c r="C31" s="158">
        <v>83333.333333333328</v>
      </c>
      <c r="D31" s="158">
        <v>83333.333333333328</v>
      </c>
      <c r="E31" s="158">
        <f>Input!K20</f>
        <v>87500</v>
      </c>
      <c r="F31" s="158">
        <v>87500</v>
      </c>
      <c r="G31" s="158">
        <v>87500</v>
      </c>
      <c r="H31" s="158">
        <f>Input!N20</f>
        <v>91875</v>
      </c>
      <c r="I31" s="158">
        <v>91875</v>
      </c>
      <c r="J31" s="158">
        <v>91875</v>
      </c>
      <c r="K31" s="158">
        <f>Input!Q20</f>
        <v>96468.75</v>
      </c>
      <c r="L31" s="158">
        <v>96468.75</v>
      </c>
      <c r="M31" s="158">
        <v>96468.75</v>
      </c>
      <c r="N31" s="79">
        <f t="shared" si="7"/>
        <v>1077531.25</v>
      </c>
      <c r="O31" s="158"/>
      <c r="Q31" s="159"/>
      <c r="R31" s="159"/>
    </row>
    <row r="32" spans="1:18" s="156" customFormat="1">
      <c r="A32" s="160" t="s">
        <v>261</v>
      </c>
      <c r="B32" s="158">
        <f>Input!H21</f>
        <v>83333.333333333328</v>
      </c>
      <c r="C32" s="158">
        <v>83333.333333333328</v>
      </c>
      <c r="D32" s="158">
        <v>83333.333333333328</v>
      </c>
      <c r="E32" s="158">
        <f>Input!K21</f>
        <v>87500</v>
      </c>
      <c r="F32" s="158">
        <v>87500</v>
      </c>
      <c r="G32" s="158">
        <v>87500</v>
      </c>
      <c r="H32" s="158">
        <f>Input!N21</f>
        <v>91875</v>
      </c>
      <c r="I32" s="158">
        <v>91875</v>
      </c>
      <c r="J32" s="158">
        <v>91875</v>
      </c>
      <c r="K32" s="158">
        <f>Input!Q21</f>
        <v>96468.75</v>
      </c>
      <c r="L32" s="158">
        <v>96468.75</v>
      </c>
      <c r="M32" s="158">
        <v>96468.75</v>
      </c>
      <c r="N32" s="79">
        <f t="shared" si="7"/>
        <v>1077531.25</v>
      </c>
      <c r="O32" s="158"/>
      <c r="Q32" s="159"/>
      <c r="R32" s="159"/>
    </row>
    <row r="33" spans="1:18" s="156" customFormat="1">
      <c r="A33" s="160" t="s">
        <v>262</v>
      </c>
      <c r="B33" s="158">
        <f>Input!H22</f>
        <v>83333.333333333328</v>
      </c>
      <c r="C33" s="158">
        <v>83333.333333333328</v>
      </c>
      <c r="D33" s="158">
        <v>83333.333333333328</v>
      </c>
      <c r="E33" s="158">
        <f>Input!K22</f>
        <v>87500</v>
      </c>
      <c r="F33" s="158">
        <v>87500</v>
      </c>
      <c r="G33" s="158">
        <v>87500</v>
      </c>
      <c r="H33" s="158">
        <f>Input!N22</f>
        <v>91875</v>
      </c>
      <c r="I33" s="158">
        <v>91875</v>
      </c>
      <c r="J33" s="158">
        <v>91875</v>
      </c>
      <c r="K33" s="158">
        <f>Input!Q22</f>
        <v>96468.75</v>
      </c>
      <c r="L33" s="158">
        <v>96468.75</v>
      </c>
      <c r="M33" s="158">
        <v>96468.75</v>
      </c>
      <c r="N33" s="79">
        <f t="shared" si="7"/>
        <v>1077531.25</v>
      </c>
      <c r="O33" s="158"/>
      <c r="Q33" s="159"/>
      <c r="R33" s="159"/>
    </row>
    <row r="34" spans="1:18" s="156" customFormat="1">
      <c r="A34" s="160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79">
        <f t="shared" si="7"/>
        <v>0</v>
      </c>
      <c r="O34" s="158"/>
      <c r="Q34" s="159"/>
      <c r="R34" s="159"/>
    </row>
    <row r="35" spans="1:18" s="156" customFormat="1">
      <c r="A35" s="157" t="s">
        <v>307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79">
        <f t="shared" si="7"/>
        <v>0</v>
      </c>
      <c r="O35" s="158"/>
      <c r="Q35" s="159"/>
      <c r="R35" s="159"/>
    </row>
    <row r="36" spans="1:18" s="156" customFormat="1">
      <c r="A36" s="157" t="s">
        <v>284</v>
      </c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79">
        <f t="shared" si="7"/>
        <v>0</v>
      </c>
      <c r="O36" s="158"/>
      <c r="Q36" s="159"/>
      <c r="R36" s="159"/>
    </row>
    <row r="37" spans="1:18" s="156" customFormat="1">
      <c r="A37" s="160" t="s">
        <v>269</v>
      </c>
      <c r="B37" s="158">
        <v>83333.333333333328</v>
      </c>
      <c r="C37" s="158">
        <v>83333.333333333328</v>
      </c>
      <c r="D37" s="158">
        <v>83333.333333333328</v>
      </c>
      <c r="E37" s="158">
        <v>87500</v>
      </c>
      <c r="F37" s="158">
        <v>87500</v>
      </c>
      <c r="G37" s="158">
        <v>87500</v>
      </c>
      <c r="H37" s="158">
        <v>91875</v>
      </c>
      <c r="I37" s="158">
        <v>91875</v>
      </c>
      <c r="J37" s="158">
        <v>91875</v>
      </c>
      <c r="K37" s="158">
        <v>96468.75</v>
      </c>
      <c r="L37" s="158">
        <v>96468.75</v>
      </c>
      <c r="M37" s="158">
        <v>96468.75</v>
      </c>
      <c r="N37" s="79">
        <f t="shared" si="7"/>
        <v>1077531.25</v>
      </c>
      <c r="O37" s="158"/>
      <c r="Q37" s="159"/>
      <c r="R37" s="159"/>
    </row>
    <row r="38" spans="1:18" s="156" customFormat="1">
      <c r="A38" s="160" t="s">
        <v>271</v>
      </c>
      <c r="B38" s="158">
        <v>83333.333333333328</v>
      </c>
      <c r="C38" s="158">
        <v>83333.333333333328</v>
      </c>
      <c r="D38" s="158">
        <v>83333.333333333328</v>
      </c>
      <c r="E38" s="158">
        <v>87500</v>
      </c>
      <c r="F38" s="158">
        <v>87500</v>
      </c>
      <c r="G38" s="158">
        <v>87500</v>
      </c>
      <c r="H38" s="158">
        <v>91875</v>
      </c>
      <c r="I38" s="158">
        <v>91875</v>
      </c>
      <c r="J38" s="158">
        <v>91875</v>
      </c>
      <c r="K38" s="158">
        <v>96468.75</v>
      </c>
      <c r="L38" s="158">
        <v>96468.75</v>
      </c>
      <c r="M38" s="158">
        <v>96468.75</v>
      </c>
      <c r="N38" s="79">
        <f t="shared" si="7"/>
        <v>1077531.25</v>
      </c>
      <c r="O38" s="158"/>
      <c r="Q38" s="159"/>
      <c r="R38" s="159"/>
    </row>
    <row r="39" spans="1:18" s="156" customFormat="1">
      <c r="A39" s="160" t="s">
        <v>270</v>
      </c>
      <c r="B39" s="158">
        <v>83333.333333333328</v>
      </c>
      <c r="C39" s="158">
        <v>83333.333333333328</v>
      </c>
      <c r="D39" s="158">
        <v>83333.333333333328</v>
      </c>
      <c r="E39" s="158">
        <v>87500</v>
      </c>
      <c r="F39" s="158">
        <v>87500</v>
      </c>
      <c r="G39" s="158">
        <v>87500</v>
      </c>
      <c r="H39" s="158">
        <v>91875</v>
      </c>
      <c r="I39" s="158">
        <v>91875</v>
      </c>
      <c r="J39" s="158">
        <v>91875</v>
      </c>
      <c r="K39" s="158">
        <v>96468.75</v>
      </c>
      <c r="L39" s="158">
        <v>96468.75</v>
      </c>
      <c r="M39" s="158">
        <v>96468.75</v>
      </c>
      <c r="N39" s="79">
        <f t="shared" si="7"/>
        <v>1077531.25</v>
      </c>
      <c r="O39" s="158"/>
      <c r="Q39" s="159"/>
      <c r="R39" s="159"/>
    </row>
    <row r="40" spans="1:18" s="156" customFormat="1">
      <c r="A40" s="157" t="s">
        <v>286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79">
        <f t="shared" si="7"/>
        <v>0</v>
      </c>
      <c r="O40" s="158"/>
      <c r="Q40" s="159"/>
      <c r="R40" s="159"/>
    </row>
    <row r="41" spans="1:18" s="156" customFormat="1">
      <c r="A41" s="160" t="s">
        <v>269</v>
      </c>
      <c r="B41" s="158">
        <v>83333.333333333328</v>
      </c>
      <c r="C41" s="158">
        <v>83333.333333333328</v>
      </c>
      <c r="D41" s="158">
        <v>83333.333333333328</v>
      </c>
      <c r="E41" s="158">
        <v>87500</v>
      </c>
      <c r="F41" s="158">
        <v>87500</v>
      </c>
      <c r="G41" s="158">
        <v>87500</v>
      </c>
      <c r="H41" s="158">
        <v>91875</v>
      </c>
      <c r="I41" s="158">
        <v>91875</v>
      </c>
      <c r="J41" s="158">
        <v>91875</v>
      </c>
      <c r="K41" s="158">
        <v>96468.75</v>
      </c>
      <c r="L41" s="158">
        <v>96468.75</v>
      </c>
      <c r="M41" s="158">
        <v>96468.75</v>
      </c>
      <c r="N41" s="79">
        <f t="shared" si="7"/>
        <v>1077531.25</v>
      </c>
      <c r="O41" s="158"/>
      <c r="Q41" s="159"/>
      <c r="R41" s="159"/>
    </row>
    <row r="42" spans="1:18" s="156" customFormat="1">
      <c r="A42" s="160" t="s">
        <v>271</v>
      </c>
      <c r="B42" s="158">
        <v>83333.333333333328</v>
      </c>
      <c r="C42" s="158">
        <v>83333.333333333328</v>
      </c>
      <c r="D42" s="158">
        <v>83333.333333333328</v>
      </c>
      <c r="E42" s="158">
        <v>87500</v>
      </c>
      <c r="F42" s="158">
        <v>87500</v>
      </c>
      <c r="G42" s="158">
        <v>87500</v>
      </c>
      <c r="H42" s="158">
        <v>91875</v>
      </c>
      <c r="I42" s="158">
        <v>91875</v>
      </c>
      <c r="J42" s="158">
        <v>91875</v>
      </c>
      <c r="K42" s="158">
        <v>96468.75</v>
      </c>
      <c r="L42" s="158">
        <v>96468.75</v>
      </c>
      <c r="M42" s="158">
        <v>96468.75</v>
      </c>
      <c r="N42" s="79">
        <f t="shared" si="7"/>
        <v>1077531.25</v>
      </c>
      <c r="O42" s="158"/>
      <c r="Q42" s="159"/>
      <c r="R42" s="159"/>
    </row>
    <row r="43" spans="1:18" s="156" customFormat="1">
      <c r="A43" s="160" t="s">
        <v>270</v>
      </c>
      <c r="B43" s="158">
        <v>83333.333333333328</v>
      </c>
      <c r="C43" s="158">
        <v>83333.333333333328</v>
      </c>
      <c r="D43" s="158">
        <v>83333.333333333328</v>
      </c>
      <c r="E43" s="158">
        <v>87500</v>
      </c>
      <c r="F43" s="158">
        <v>87500</v>
      </c>
      <c r="G43" s="158">
        <v>87500</v>
      </c>
      <c r="H43" s="158">
        <v>91875</v>
      </c>
      <c r="I43" s="158">
        <v>91875</v>
      </c>
      <c r="J43" s="158">
        <v>91875</v>
      </c>
      <c r="K43" s="158">
        <v>96468.75</v>
      </c>
      <c r="L43" s="158">
        <v>96468.75</v>
      </c>
      <c r="M43" s="158">
        <v>96468.75</v>
      </c>
      <c r="N43" s="79">
        <f t="shared" si="7"/>
        <v>1077531.25</v>
      </c>
      <c r="O43" s="158"/>
      <c r="Q43" s="159"/>
      <c r="R43" s="159"/>
    </row>
    <row r="44" spans="1:18" s="156" customFormat="1"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79">
        <f t="shared" si="7"/>
        <v>0</v>
      </c>
      <c r="O44" s="158"/>
      <c r="Q44" s="159"/>
      <c r="R44" s="159"/>
    </row>
    <row r="45" spans="1:18" s="156" customFormat="1">
      <c r="A45" s="157" t="s">
        <v>285</v>
      </c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79">
        <f t="shared" si="7"/>
        <v>0</v>
      </c>
      <c r="O45" s="158"/>
      <c r="Q45" s="159"/>
      <c r="R45" s="159"/>
    </row>
    <row r="46" spans="1:18" s="156" customFormat="1">
      <c r="A46" s="160" t="s">
        <v>269</v>
      </c>
      <c r="B46" s="158">
        <v>83333.333333333328</v>
      </c>
      <c r="C46" s="158">
        <v>83333.333333333328</v>
      </c>
      <c r="D46" s="158">
        <v>83333.333333333328</v>
      </c>
      <c r="E46" s="158">
        <v>87500</v>
      </c>
      <c r="F46" s="158">
        <v>87500</v>
      </c>
      <c r="G46" s="158">
        <v>87500</v>
      </c>
      <c r="H46" s="158">
        <v>91875</v>
      </c>
      <c r="I46" s="158">
        <v>91875</v>
      </c>
      <c r="J46" s="158">
        <v>91875</v>
      </c>
      <c r="K46" s="158">
        <v>96468.75</v>
      </c>
      <c r="L46" s="158">
        <v>96468.75</v>
      </c>
      <c r="M46" s="158">
        <v>96468.75</v>
      </c>
      <c r="N46" s="79">
        <f t="shared" si="7"/>
        <v>1077531.25</v>
      </c>
      <c r="O46" s="158"/>
      <c r="Q46" s="159"/>
      <c r="R46" s="159"/>
    </row>
    <row r="47" spans="1:18" s="156" customFormat="1">
      <c r="A47" s="160" t="s">
        <v>271</v>
      </c>
      <c r="B47" s="158">
        <v>83333.333333333328</v>
      </c>
      <c r="C47" s="158">
        <v>83333.333333333328</v>
      </c>
      <c r="D47" s="158">
        <v>83333.333333333328</v>
      </c>
      <c r="E47" s="158">
        <v>87500</v>
      </c>
      <c r="F47" s="158">
        <v>87500</v>
      </c>
      <c r="G47" s="158">
        <v>87500</v>
      </c>
      <c r="H47" s="158">
        <v>91875</v>
      </c>
      <c r="I47" s="158">
        <v>91875</v>
      </c>
      <c r="J47" s="158">
        <v>91875</v>
      </c>
      <c r="K47" s="158">
        <v>96468.75</v>
      </c>
      <c r="L47" s="158">
        <v>96468.75</v>
      </c>
      <c r="M47" s="158">
        <v>96468.75</v>
      </c>
      <c r="N47" s="79">
        <f t="shared" si="7"/>
        <v>1077531.25</v>
      </c>
      <c r="O47" s="158"/>
      <c r="Q47" s="159"/>
      <c r="R47" s="159"/>
    </row>
    <row r="48" spans="1:18" s="156" customFormat="1">
      <c r="A48" s="160" t="s">
        <v>270</v>
      </c>
      <c r="B48" s="158">
        <v>83333.333333333328</v>
      </c>
      <c r="C48" s="158">
        <v>83333.333333333328</v>
      </c>
      <c r="D48" s="158">
        <v>83333.333333333328</v>
      </c>
      <c r="E48" s="158">
        <v>87500</v>
      </c>
      <c r="F48" s="158">
        <v>87500</v>
      </c>
      <c r="G48" s="158">
        <v>87500</v>
      </c>
      <c r="H48" s="158">
        <v>91875</v>
      </c>
      <c r="I48" s="158">
        <v>91875</v>
      </c>
      <c r="J48" s="158">
        <v>91875</v>
      </c>
      <c r="K48" s="158">
        <v>96468.75</v>
      </c>
      <c r="L48" s="158">
        <v>96468.75</v>
      </c>
      <c r="M48" s="158">
        <v>96468.75</v>
      </c>
      <c r="N48" s="79">
        <f t="shared" si="7"/>
        <v>1077531.25</v>
      </c>
      <c r="O48" s="158"/>
      <c r="Q48" s="159"/>
      <c r="R48" s="159"/>
    </row>
    <row r="49" spans="1:18" s="156" customFormat="1"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79">
        <f t="shared" si="7"/>
        <v>0</v>
      </c>
      <c r="O49" s="158"/>
      <c r="Q49" s="159"/>
      <c r="R49" s="159"/>
    </row>
    <row r="50" spans="1:18" s="156" customFormat="1">
      <c r="A50" s="157" t="s">
        <v>309</v>
      </c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79">
        <f t="shared" si="7"/>
        <v>0</v>
      </c>
      <c r="O50" s="158"/>
      <c r="Q50" s="159"/>
      <c r="R50" s="159"/>
    </row>
    <row r="51" spans="1:18" s="156" customFormat="1">
      <c r="A51" s="160" t="s">
        <v>225</v>
      </c>
      <c r="B51" s="158">
        <v>83333.333333333299</v>
      </c>
      <c r="C51" s="158">
        <v>83333.333333333328</v>
      </c>
      <c r="D51" s="158">
        <v>83333.333333333328</v>
      </c>
      <c r="E51" s="158">
        <v>87500</v>
      </c>
      <c r="F51" s="158">
        <v>87500</v>
      </c>
      <c r="G51" s="158">
        <v>87500</v>
      </c>
      <c r="H51" s="158">
        <v>91875</v>
      </c>
      <c r="I51" s="158">
        <v>91875</v>
      </c>
      <c r="J51" s="158">
        <v>91875</v>
      </c>
      <c r="K51" s="158">
        <v>96468.75</v>
      </c>
      <c r="L51" s="158">
        <v>96468.75</v>
      </c>
      <c r="M51" s="158">
        <v>96468.75</v>
      </c>
      <c r="N51" s="79">
        <f t="shared" si="7"/>
        <v>1077531.25</v>
      </c>
      <c r="O51" s="158"/>
      <c r="Q51" s="159"/>
      <c r="R51" s="159"/>
    </row>
    <row r="52" spans="1:18" s="156" customFormat="1">
      <c r="A52" s="160" t="s">
        <v>263</v>
      </c>
      <c r="B52" s="158">
        <v>83333.333333333299</v>
      </c>
      <c r="C52" s="158">
        <v>83333.333333333328</v>
      </c>
      <c r="D52" s="158">
        <v>83333.333333333328</v>
      </c>
      <c r="E52" s="158">
        <v>87500</v>
      </c>
      <c r="F52" s="158">
        <v>87500</v>
      </c>
      <c r="G52" s="158">
        <v>87500</v>
      </c>
      <c r="H52" s="158">
        <v>91875</v>
      </c>
      <c r="I52" s="158">
        <v>91875</v>
      </c>
      <c r="J52" s="158">
        <v>91875</v>
      </c>
      <c r="K52" s="158">
        <v>96468.75</v>
      </c>
      <c r="L52" s="158">
        <v>96468.75</v>
      </c>
      <c r="M52" s="158">
        <v>96468.75</v>
      </c>
      <c r="N52" s="79">
        <f t="shared" si="7"/>
        <v>1077531.25</v>
      </c>
      <c r="O52" s="158"/>
      <c r="Q52" s="159"/>
      <c r="R52" s="159"/>
    </row>
    <row r="53" spans="1:18" s="156" customFormat="1">
      <c r="A53" s="160" t="s">
        <v>264</v>
      </c>
      <c r="B53" s="158">
        <v>83333.333333333299</v>
      </c>
      <c r="C53" s="158">
        <v>83333.333333333328</v>
      </c>
      <c r="D53" s="158">
        <v>83333.333333333328</v>
      </c>
      <c r="E53" s="158">
        <v>87500</v>
      </c>
      <c r="F53" s="158">
        <v>87500</v>
      </c>
      <c r="G53" s="158">
        <v>87500</v>
      </c>
      <c r="H53" s="158">
        <v>91875</v>
      </c>
      <c r="I53" s="158">
        <v>91875</v>
      </c>
      <c r="J53" s="158">
        <v>91875</v>
      </c>
      <c r="K53" s="158">
        <v>96468.75</v>
      </c>
      <c r="L53" s="158">
        <v>96468.75</v>
      </c>
      <c r="M53" s="158">
        <v>96468.75</v>
      </c>
      <c r="N53" s="79">
        <f t="shared" si="7"/>
        <v>1077531.25</v>
      </c>
      <c r="O53" s="158"/>
      <c r="Q53" s="159"/>
      <c r="R53" s="159"/>
    </row>
    <row r="54" spans="1:18" s="156" customFormat="1">
      <c r="A54" s="160" t="s">
        <v>265</v>
      </c>
      <c r="B54" s="158">
        <v>83333.333333333299</v>
      </c>
      <c r="C54" s="158">
        <v>83333.333333333328</v>
      </c>
      <c r="D54" s="158">
        <v>83333.333333333328</v>
      </c>
      <c r="E54" s="158">
        <v>87500</v>
      </c>
      <c r="F54" s="158">
        <v>87500</v>
      </c>
      <c r="G54" s="158">
        <v>87500</v>
      </c>
      <c r="H54" s="158">
        <v>91875</v>
      </c>
      <c r="I54" s="158">
        <v>91875</v>
      </c>
      <c r="J54" s="158">
        <v>91875</v>
      </c>
      <c r="K54" s="158">
        <v>96468.75</v>
      </c>
      <c r="L54" s="158">
        <v>96468.75</v>
      </c>
      <c r="M54" s="158">
        <v>96468.75</v>
      </c>
      <c r="N54" s="79">
        <f t="shared" si="7"/>
        <v>1077531.25</v>
      </c>
      <c r="O54" s="158"/>
      <c r="Q54" s="159"/>
      <c r="R54" s="159"/>
    </row>
    <row r="55" spans="1:18" s="156" customFormat="1">
      <c r="A55" s="160" t="s">
        <v>266</v>
      </c>
      <c r="B55" s="158">
        <v>83333.333333333299</v>
      </c>
      <c r="C55" s="158">
        <v>83333.333333333328</v>
      </c>
      <c r="D55" s="158">
        <v>83333.333333333328</v>
      </c>
      <c r="E55" s="158">
        <v>87500</v>
      </c>
      <c r="F55" s="158">
        <v>87500</v>
      </c>
      <c r="G55" s="158">
        <v>87500</v>
      </c>
      <c r="H55" s="158">
        <v>91875</v>
      </c>
      <c r="I55" s="158">
        <v>91875</v>
      </c>
      <c r="J55" s="158">
        <v>91875</v>
      </c>
      <c r="K55" s="158">
        <v>96468.75</v>
      </c>
      <c r="L55" s="158">
        <v>96468.75</v>
      </c>
      <c r="M55" s="158">
        <v>96468.75</v>
      </c>
      <c r="N55" s="79">
        <f t="shared" si="7"/>
        <v>1077531.25</v>
      </c>
      <c r="O55" s="158"/>
      <c r="Q55" s="159"/>
      <c r="R55" s="159"/>
    </row>
    <row r="56" spans="1:18" s="156" customFormat="1">
      <c r="A56" s="160" t="s">
        <v>267</v>
      </c>
      <c r="B56" s="158">
        <v>83333.333333333299</v>
      </c>
      <c r="C56" s="158">
        <v>83333.333333333328</v>
      </c>
      <c r="D56" s="158">
        <v>83333.333333333328</v>
      </c>
      <c r="E56" s="158">
        <v>87500</v>
      </c>
      <c r="F56" s="158">
        <v>87500</v>
      </c>
      <c r="G56" s="158">
        <v>87500</v>
      </c>
      <c r="H56" s="158">
        <v>91875</v>
      </c>
      <c r="I56" s="158">
        <v>91875</v>
      </c>
      <c r="J56" s="158">
        <v>91875</v>
      </c>
      <c r="K56" s="158">
        <v>96468.75</v>
      </c>
      <c r="L56" s="158">
        <v>96468.75</v>
      </c>
      <c r="M56" s="158">
        <v>96468.75</v>
      </c>
      <c r="N56" s="79">
        <f t="shared" si="7"/>
        <v>1077531.25</v>
      </c>
      <c r="O56" s="158"/>
      <c r="Q56" s="159"/>
      <c r="R56" s="159"/>
    </row>
    <row r="57" spans="1:18" s="156" customFormat="1">
      <c r="A57" s="160" t="s">
        <v>268</v>
      </c>
      <c r="B57" s="158">
        <v>83333.333333333299</v>
      </c>
      <c r="C57" s="158">
        <v>83333.333333333328</v>
      </c>
      <c r="D57" s="158">
        <v>83333.333333333328</v>
      </c>
      <c r="E57" s="158">
        <v>87500</v>
      </c>
      <c r="F57" s="158">
        <v>87500</v>
      </c>
      <c r="G57" s="158">
        <v>87500</v>
      </c>
      <c r="H57" s="158">
        <v>91875</v>
      </c>
      <c r="I57" s="158">
        <v>91875</v>
      </c>
      <c r="J57" s="158">
        <v>91875</v>
      </c>
      <c r="K57" s="158">
        <v>96468.75</v>
      </c>
      <c r="L57" s="158">
        <v>96468.75</v>
      </c>
      <c r="M57" s="158">
        <v>96468.75</v>
      </c>
      <c r="N57" s="79">
        <f t="shared" si="7"/>
        <v>1077531.25</v>
      </c>
      <c r="O57" s="158"/>
      <c r="Q57" s="159"/>
      <c r="R57" s="159"/>
    </row>
    <row r="58" spans="1:18" s="156" customFormat="1">
      <c r="A58" s="160" t="s">
        <v>226</v>
      </c>
      <c r="B58" s="158">
        <v>83333.333333333299</v>
      </c>
      <c r="C58" s="158">
        <v>83333.333333333328</v>
      </c>
      <c r="D58" s="158">
        <v>83333.333333333328</v>
      </c>
      <c r="E58" s="158">
        <v>87500</v>
      </c>
      <c r="F58" s="158">
        <v>87500</v>
      </c>
      <c r="G58" s="158">
        <v>87500</v>
      </c>
      <c r="H58" s="158">
        <v>91875</v>
      </c>
      <c r="I58" s="158">
        <v>91875</v>
      </c>
      <c r="J58" s="158">
        <v>91875</v>
      </c>
      <c r="K58" s="158">
        <v>96468.75</v>
      </c>
      <c r="L58" s="158">
        <v>96468.75</v>
      </c>
      <c r="M58" s="158">
        <v>96468.75</v>
      </c>
      <c r="N58" s="79">
        <f t="shared" si="7"/>
        <v>1077531.25</v>
      </c>
      <c r="O58" s="158"/>
      <c r="Q58" s="159"/>
      <c r="R58" s="159"/>
    </row>
    <row r="59" spans="1:18" s="157" customFormat="1">
      <c r="A59" s="157" t="s">
        <v>312</v>
      </c>
      <c r="B59" s="161">
        <f>SUM(B21:B58)</f>
        <v>2166666.666666666</v>
      </c>
      <c r="C59" s="162">
        <f t="shared" ref="C59:M59" si="8">SUM(C21:C58)</f>
        <v>2166666.666666666</v>
      </c>
      <c r="D59" s="162">
        <f t="shared" si="8"/>
        <v>2166666.666666666</v>
      </c>
      <c r="E59" s="162">
        <f t="shared" si="8"/>
        <v>2275000</v>
      </c>
      <c r="F59" s="162">
        <f t="shared" si="8"/>
        <v>2275000</v>
      </c>
      <c r="G59" s="162">
        <f>SUM(G21:G58)</f>
        <v>2275000</v>
      </c>
      <c r="H59" s="162">
        <f t="shared" si="8"/>
        <v>2388750</v>
      </c>
      <c r="I59" s="162">
        <f t="shared" si="8"/>
        <v>2388750</v>
      </c>
      <c r="J59" s="162">
        <f t="shared" si="8"/>
        <v>2388750</v>
      </c>
      <c r="K59" s="162">
        <f t="shared" si="8"/>
        <v>2508187.5</v>
      </c>
      <c r="L59" s="162">
        <f t="shared" si="8"/>
        <v>2508187.5</v>
      </c>
      <c r="M59" s="162">
        <f t="shared" si="8"/>
        <v>2508187.5</v>
      </c>
      <c r="N59" s="162">
        <f>SUM(N21:N58)</f>
        <v>28015812.5</v>
      </c>
      <c r="O59" s="163"/>
      <c r="Q59" s="164"/>
      <c r="R59" s="164"/>
    </row>
    <row r="60" spans="1:18">
      <c r="A60" s="145" t="s">
        <v>310</v>
      </c>
      <c r="B60" s="165">
        <f>B16-B59</f>
        <v>6800000</v>
      </c>
      <c r="C60" s="165">
        <f t="shared" ref="C60:M60" si="9">C16-C59</f>
        <v>6800000</v>
      </c>
      <c r="D60" s="165">
        <f t="shared" si="9"/>
        <v>6800000</v>
      </c>
      <c r="E60" s="165">
        <f t="shared" si="9"/>
        <v>7140000</v>
      </c>
      <c r="F60" s="165">
        <f t="shared" si="9"/>
        <v>7140000</v>
      </c>
      <c r="G60" s="165">
        <f t="shared" si="9"/>
        <v>7140000</v>
      </c>
      <c r="H60" s="165">
        <f t="shared" si="9"/>
        <v>7497000</v>
      </c>
      <c r="I60" s="165">
        <f t="shared" si="9"/>
        <v>7497000</v>
      </c>
      <c r="J60" s="165">
        <f t="shared" si="9"/>
        <v>7497000</v>
      </c>
      <c r="K60" s="165">
        <f t="shared" si="9"/>
        <v>7871850</v>
      </c>
      <c r="L60" s="165">
        <f t="shared" si="9"/>
        <v>7871850</v>
      </c>
      <c r="M60" s="165">
        <f t="shared" si="9"/>
        <v>7871850</v>
      </c>
      <c r="N60" s="165">
        <f>N16-N59</f>
        <v>87926550</v>
      </c>
    </row>
    <row r="61" spans="1:18">
      <c r="N61" s="79">
        <f t="shared" si="7"/>
        <v>0</v>
      </c>
    </row>
    <row r="62" spans="1:18">
      <c r="A62" s="145" t="s">
        <v>313</v>
      </c>
      <c r="N62" s="79">
        <f t="shared" si="7"/>
        <v>0</v>
      </c>
    </row>
    <row r="63" spans="1:18">
      <c r="A63" s="102" t="s">
        <v>311</v>
      </c>
      <c r="N63" s="79">
        <f t="shared" si="7"/>
        <v>0</v>
      </c>
    </row>
    <row r="64" spans="1:18">
      <c r="A64" s="85" t="s">
        <v>222</v>
      </c>
      <c r="B64" s="79">
        <v>333333.33333333331</v>
      </c>
      <c r="C64" s="79">
        <v>333333.33333333331</v>
      </c>
      <c r="D64" s="79">
        <v>333333.33333333331</v>
      </c>
      <c r="E64" s="79">
        <v>333333.33333333331</v>
      </c>
      <c r="F64" s="79">
        <v>333333.33333333331</v>
      </c>
      <c r="G64" s="79">
        <v>333333.33333333331</v>
      </c>
      <c r="H64" s="79">
        <v>333333.33333333331</v>
      </c>
      <c r="I64" s="79">
        <v>333333.33333333331</v>
      </c>
      <c r="J64" s="79">
        <v>333333.33333333331</v>
      </c>
      <c r="K64" s="79">
        <v>333333.33333333331</v>
      </c>
      <c r="L64" s="79">
        <v>333333.33333333331</v>
      </c>
      <c r="M64" s="79">
        <v>333333.33333333331</v>
      </c>
      <c r="N64" s="79">
        <f t="shared" si="7"/>
        <v>4000000.0000000005</v>
      </c>
    </row>
    <row r="65" spans="1:18">
      <c r="A65" s="85" t="s">
        <v>224</v>
      </c>
      <c r="B65" s="79">
        <v>333333.33333333331</v>
      </c>
      <c r="C65" s="79">
        <v>333333.33333333331</v>
      </c>
      <c r="D65" s="79">
        <v>333333.33333333331</v>
      </c>
      <c r="E65" s="79">
        <v>333333.33333333331</v>
      </c>
      <c r="F65" s="79">
        <v>333333.33333333331</v>
      </c>
      <c r="G65" s="79">
        <v>333333.33333333331</v>
      </c>
      <c r="H65" s="79">
        <v>333333.33333333331</v>
      </c>
      <c r="I65" s="79">
        <v>333333.33333333331</v>
      </c>
      <c r="J65" s="79">
        <v>333333.33333333331</v>
      </c>
      <c r="K65" s="79">
        <v>333333.33333333331</v>
      </c>
      <c r="L65" s="79">
        <v>333333.33333333331</v>
      </c>
      <c r="M65" s="79">
        <v>333333.33333333331</v>
      </c>
      <c r="N65" s="79">
        <f t="shared" si="7"/>
        <v>4000000.0000000005</v>
      </c>
    </row>
    <row r="66" spans="1:18">
      <c r="A66" s="85" t="s">
        <v>225</v>
      </c>
      <c r="B66" s="79">
        <v>333333.33333333331</v>
      </c>
      <c r="C66" s="79">
        <v>333333.33333333331</v>
      </c>
      <c r="D66" s="79">
        <v>333333.33333333331</v>
      </c>
      <c r="E66" s="79">
        <v>333333.33333333331</v>
      </c>
      <c r="F66" s="79">
        <v>333333.33333333331</v>
      </c>
      <c r="G66" s="79">
        <v>333333.33333333331</v>
      </c>
      <c r="H66" s="79">
        <v>333333.33333333331</v>
      </c>
      <c r="I66" s="79">
        <v>333333.33333333331</v>
      </c>
      <c r="J66" s="79">
        <v>333333.33333333331</v>
      </c>
      <c r="K66" s="79">
        <v>333333.33333333331</v>
      </c>
      <c r="L66" s="79">
        <v>333333.33333333331</v>
      </c>
      <c r="M66" s="79">
        <v>333333.33333333331</v>
      </c>
      <c r="N66" s="79">
        <f t="shared" si="7"/>
        <v>4000000.0000000005</v>
      </c>
    </row>
    <row r="67" spans="1:18">
      <c r="A67" s="85" t="s">
        <v>226</v>
      </c>
      <c r="B67" s="79">
        <v>333333.33333333331</v>
      </c>
      <c r="C67" s="79">
        <v>333333.33333333331</v>
      </c>
      <c r="D67" s="79">
        <v>333333.33333333331</v>
      </c>
      <c r="E67" s="79">
        <v>333333.33333333331</v>
      </c>
      <c r="F67" s="79">
        <v>333333.33333333331</v>
      </c>
      <c r="G67" s="79">
        <v>333333.33333333331</v>
      </c>
      <c r="H67" s="79">
        <v>333333.33333333331</v>
      </c>
      <c r="I67" s="79">
        <v>333333.33333333331</v>
      </c>
      <c r="J67" s="79">
        <v>333333.33333333331</v>
      </c>
      <c r="K67" s="79">
        <v>333333.33333333331</v>
      </c>
      <c r="L67" s="79">
        <v>333333.33333333331</v>
      </c>
      <c r="M67" s="79">
        <v>333333.33333333331</v>
      </c>
      <c r="N67" s="79">
        <f t="shared" si="7"/>
        <v>4000000.0000000005</v>
      </c>
    </row>
    <row r="68" spans="1:18">
      <c r="A68" s="85" t="s">
        <v>227</v>
      </c>
      <c r="B68" s="79">
        <v>333333.33333333331</v>
      </c>
      <c r="C68" s="79">
        <v>333333.33333333331</v>
      </c>
      <c r="D68" s="79">
        <v>333333.33333333331</v>
      </c>
      <c r="E68" s="79">
        <v>333333.33333333331</v>
      </c>
      <c r="F68" s="79">
        <v>333333.33333333331</v>
      </c>
      <c r="G68" s="79">
        <v>333333.33333333331</v>
      </c>
      <c r="H68" s="79">
        <v>333333.33333333331</v>
      </c>
      <c r="I68" s="79">
        <v>333333.33333333331</v>
      </c>
      <c r="J68" s="79">
        <v>333333.33333333331</v>
      </c>
      <c r="K68" s="79">
        <v>333333.33333333331</v>
      </c>
      <c r="L68" s="79">
        <v>333333.33333333331</v>
      </c>
      <c r="M68" s="79">
        <v>333333.33333333331</v>
      </c>
      <c r="N68" s="79">
        <f t="shared" si="7"/>
        <v>4000000.0000000005</v>
      </c>
    </row>
    <row r="69" spans="1:18">
      <c r="A69" s="85" t="s">
        <v>230</v>
      </c>
      <c r="B69" s="79">
        <v>333333.33333333331</v>
      </c>
      <c r="C69" s="79">
        <v>333333.33333333331</v>
      </c>
      <c r="D69" s="79">
        <v>333333.33333333331</v>
      </c>
      <c r="E69" s="79">
        <v>333333.33333333331</v>
      </c>
      <c r="F69" s="79">
        <v>333333.33333333331</v>
      </c>
      <c r="G69" s="79">
        <v>333333.33333333331</v>
      </c>
      <c r="H69" s="79">
        <v>333333.33333333331</v>
      </c>
      <c r="I69" s="79">
        <v>333333.33333333331</v>
      </c>
      <c r="J69" s="79">
        <v>333333.33333333331</v>
      </c>
      <c r="K69" s="79">
        <v>333333.33333333331</v>
      </c>
      <c r="L69" s="79">
        <v>333333.33333333331</v>
      </c>
      <c r="M69" s="79">
        <v>333333.33333333331</v>
      </c>
      <c r="N69" s="79">
        <f t="shared" si="7"/>
        <v>4000000.0000000005</v>
      </c>
    </row>
    <row r="70" spans="1:18">
      <c r="A70" s="85" t="s">
        <v>231</v>
      </c>
      <c r="B70" s="79">
        <v>333333.33333333331</v>
      </c>
      <c r="C70" s="79">
        <v>333333.33333333331</v>
      </c>
      <c r="D70" s="79">
        <v>333333.33333333331</v>
      </c>
      <c r="E70" s="79">
        <v>333333.33333333331</v>
      </c>
      <c r="F70" s="79">
        <v>333333.33333333331</v>
      </c>
      <c r="G70" s="79">
        <v>333333.33333333331</v>
      </c>
      <c r="H70" s="79">
        <v>333333.33333333331</v>
      </c>
      <c r="I70" s="79">
        <v>333333.33333333331</v>
      </c>
      <c r="J70" s="79">
        <v>333333.33333333331</v>
      </c>
      <c r="K70" s="79">
        <v>333333.33333333331</v>
      </c>
      <c r="L70" s="79">
        <v>333333.33333333331</v>
      </c>
      <c r="M70" s="79">
        <v>333333.33333333331</v>
      </c>
      <c r="N70" s="79">
        <f t="shared" si="7"/>
        <v>4000000.0000000005</v>
      </c>
    </row>
    <row r="71" spans="1:18">
      <c r="A71" s="85" t="s">
        <v>229</v>
      </c>
      <c r="B71" s="79">
        <v>333333.33333333331</v>
      </c>
      <c r="C71" s="79">
        <v>333333.33333333331</v>
      </c>
      <c r="D71" s="79">
        <v>333333.33333333331</v>
      </c>
      <c r="E71" s="79">
        <v>333333.33333333331</v>
      </c>
      <c r="F71" s="79">
        <v>333333.33333333331</v>
      </c>
      <c r="G71" s="79">
        <v>333333.33333333331</v>
      </c>
      <c r="H71" s="79">
        <v>333333.33333333331</v>
      </c>
      <c r="I71" s="79">
        <v>333333.33333333331</v>
      </c>
      <c r="J71" s="79">
        <v>333333.33333333331</v>
      </c>
      <c r="K71" s="79">
        <v>333333.33333333331</v>
      </c>
      <c r="L71" s="79">
        <v>333333.33333333331</v>
      </c>
      <c r="M71" s="79">
        <v>333333.33333333331</v>
      </c>
      <c r="N71" s="79">
        <f t="shared" si="7"/>
        <v>4000000.0000000005</v>
      </c>
    </row>
    <row r="72" spans="1:18" s="144" customFormat="1">
      <c r="A72" s="145"/>
      <c r="B72" s="133">
        <f>SUM(B64:B71)</f>
        <v>2666666.6666666665</v>
      </c>
      <c r="C72" s="133">
        <f t="shared" ref="C72:N72" si="10">SUM(C64:C71)</f>
        <v>2666666.6666666665</v>
      </c>
      <c r="D72" s="133">
        <f t="shared" si="10"/>
        <v>2666666.6666666665</v>
      </c>
      <c r="E72" s="133">
        <f t="shared" si="10"/>
        <v>2666666.6666666665</v>
      </c>
      <c r="F72" s="133">
        <f t="shared" si="10"/>
        <v>2666666.6666666665</v>
      </c>
      <c r="G72" s="133">
        <f t="shared" si="10"/>
        <v>2666666.6666666665</v>
      </c>
      <c r="H72" s="133">
        <f t="shared" si="10"/>
        <v>2666666.6666666665</v>
      </c>
      <c r="I72" s="133">
        <f t="shared" si="10"/>
        <v>2666666.6666666665</v>
      </c>
      <c r="J72" s="133">
        <f t="shared" si="10"/>
        <v>2666666.6666666665</v>
      </c>
      <c r="K72" s="133">
        <f t="shared" si="10"/>
        <v>2666666.6666666665</v>
      </c>
      <c r="L72" s="133">
        <f t="shared" si="10"/>
        <v>2666666.6666666665</v>
      </c>
      <c r="M72" s="133">
        <f t="shared" si="10"/>
        <v>2666666.6666666665</v>
      </c>
      <c r="N72" s="133">
        <f t="shared" si="10"/>
        <v>32000000.000000004</v>
      </c>
      <c r="O72" s="133"/>
      <c r="Q72" s="146"/>
      <c r="R72" s="146"/>
    </row>
    <row r="73" spans="1:18">
      <c r="A73" s="102" t="s">
        <v>314</v>
      </c>
      <c r="N73" s="79">
        <f t="shared" si="7"/>
        <v>0</v>
      </c>
    </row>
    <row r="74" spans="1:18">
      <c r="A74" s="85" t="s">
        <v>232</v>
      </c>
      <c r="B74" s="79">
        <v>333333.33333333331</v>
      </c>
      <c r="C74" s="79">
        <v>333333.33333333331</v>
      </c>
      <c r="D74" s="79">
        <v>333333.33333333331</v>
      </c>
      <c r="E74" s="79">
        <v>333333.33333333331</v>
      </c>
      <c r="F74" s="79">
        <v>333333.33333333331</v>
      </c>
      <c r="G74" s="79">
        <v>333333.33333333331</v>
      </c>
      <c r="H74" s="79">
        <v>333333.33333333331</v>
      </c>
      <c r="I74" s="79">
        <v>333333.33333333331</v>
      </c>
      <c r="J74" s="79">
        <v>333333.33333333331</v>
      </c>
      <c r="K74" s="79">
        <v>333333.33333333331</v>
      </c>
      <c r="L74" s="79">
        <v>333333.33333333331</v>
      </c>
      <c r="M74" s="79">
        <v>333333.33333333331</v>
      </c>
      <c r="N74" s="79">
        <f t="shared" si="7"/>
        <v>4000000.0000000005</v>
      </c>
    </row>
    <row r="75" spans="1:18">
      <c r="A75" s="85" t="s">
        <v>234</v>
      </c>
      <c r="B75" s="79">
        <v>333333.33333333331</v>
      </c>
      <c r="C75" s="79">
        <v>333333.33333333331</v>
      </c>
      <c r="D75" s="79">
        <v>333333.33333333331</v>
      </c>
      <c r="E75" s="79">
        <v>333333.33333333331</v>
      </c>
      <c r="F75" s="79">
        <v>333333.33333333331</v>
      </c>
      <c r="G75" s="79">
        <v>333333.33333333331</v>
      </c>
      <c r="H75" s="79">
        <v>333333.33333333331</v>
      </c>
      <c r="I75" s="79">
        <v>333333.33333333331</v>
      </c>
      <c r="J75" s="79">
        <v>333333.33333333331</v>
      </c>
      <c r="K75" s="79">
        <v>333333.33333333331</v>
      </c>
      <c r="L75" s="79">
        <v>333333.33333333331</v>
      </c>
      <c r="M75" s="79">
        <v>333333.33333333331</v>
      </c>
      <c r="N75" s="79">
        <f t="shared" si="7"/>
        <v>4000000.0000000005</v>
      </c>
    </row>
    <row r="76" spans="1:18">
      <c r="A76" s="85" t="s">
        <v>236</v>
      </c>
      <c r="B76" s="79">
        <v>333333.33333333331</v>
      </c>
      <c r="C76" s="79">
        <v>333333.33333333331</v>
      </c>
      <c r="D76" s="79">
        <v>333333.33333333331</v>
      </c>
      <c r="E76" s="79">
        <v>333333.33333333331</v>
      </c>
      <c r="F76" s="79">
        <v>333333.33333333331</v>
      </c>
      <c r="G76" s="79">
        <v>333333.33333333331</v>
      </c>
      <c r="H76" s="79">
        <v>333333.33333333331</v>
      </c>
      <c r="I76" s="79">
        <v>333333.33333333331</v>
      </c>
      <c r="J76" s="79">
        <v>333333.33333333331</v>
      </c>
      <c r="K76" s="79">
        <v>333333.33333333331</v>
      </c>
      <c r="L76" s="79">
        <v>333333.33333333331</v>
      </c>
      <c r="M76" s="79">
        <v>333333.33333333331</v>
      </c>
      <c r="N76" s="79">
        <f t="shared" si="7"/>
        <v>4000000.0000000005</v>
      </c>
    </row>
    <row r="77" spans="1:18">
      <c r="A77" s="85" t="s">
        <v>237</v>
      </c>
      <c r="B77" s="79">
        <v>333333.33333333331</v>
      </c>
      <c r="C77" s="79">
        <v>333333.33333333331</v>
      </c>
      <c r="D77" s="79">
        <v>333333.33333333331</v>
      </c>
      <c r="E77" s="79">
        <v>333333.33333333331</v>
      </c>
      <c r="F77" s="79">
        <v>333333.33333333331</v>
      </c>
      <c r="G77" s="79">
        <v>333333.33333333331</v>
      </c>
      <c r="H77" s="79">
        <v>333333.33333333331</v>
      </c>
      <c r="I77" s="79">
        <v>333333.33333333331</v>
      </c>
      <c r="J77" s="79">
        <v>333333.33333333331</v>
      </c>
      <c r="K77" s="79">
        <v>333333.33333333331</v>
      </c>
      <c r="L77" s="79">
        <v>333333.33333333331</v>
      </c>
      <c r="M77" s="79">
        <v>333333.33333333331</v>
      </c>
      <c r="N77" s="79">
        <f t="shared" si="7"/>
        <v>4000000.0000000005</v>
      </c>
    </row>
    <row r="78" spans="1:18">
      <c r="A78" s="85" t="s">
        <v>238</v>
      </c>
      <c r="B78" s="79">
        <v>333333.33333333331</v>
      </c>
      <c r="C78" s="79">
        <v>333333.33333333331</v>
      </c>
      <c r="D78" s="79">
        <v>333333.33333333331</v>
      </c>
      <c r="E78" s="79">
        <v>333333.33333333331</v>
      </c>
      <c r="F78" s="79">
        <v>333333.33333333331</v>
      </c>
      <c r="G78" s="79">
        <v>333333.33333333331</v>
      </c>
      <c r="H78" s="79">
        <v>333333.33333333331</v>
      </c>
      <c r="I78" s="79">
        <v>333333.33333333331</v>
      </c>
      <c r="J78" s="79">
        <v>333333.33333333331</v>
      </c>
      <c r="K78" s="79">
        <v>333333.33333333331</v>
      </c>
      <c r="L78" s="79">
        <v>333333.33333333331</v>
      </c>
      <c r="M78" s="79">
        <v>333333.33333333331</v>
      </c>
      <c r="N78" s="79">
        <f t="shared" si="7"/>
        <v>4000000.0000000005</v>
      </c>
    </row>
    <row r="79" spans="1:18">
      <c r="A79" s="85" t="s">
        <v>239</v>
      </c>
      <c r="B79" s="79">
        <v>333333.33333333331</v>
      </c>
      <c r="C79" s="79">
        <v>333333.33333333331</v>
      </c>
      <c r="D79" s="79">
        <v>333333.33333333331</v>
      </c>
      <c r="E79" s="79">
        <v>333333.33333333331</v>
      </c>
      <c r="F79" s="79">
        <v>333333.33333333331</v>
      </c>
      <c r="G79" s="79">
        <v>333333.33333333331</v>
      </c>
      <c r="H79" s="79">
        <v>333333.33333333331</v>
      </c>
      <c r="I79" s="79">
        <v>333333.33333333331</v>
      </c>
      <c r="J79" s="79">
        <v>333333.33333333331</v>
      </c>
      <c r="K79" s="79">
        <v>333333.33333333331</v>
      </c>
      <c r="L79" s="79">
        <v>333333.33333333331</v>
      </c>
      <c r="M79" s="79">
        <v>333333.33333333331</v>
      </c>
      <c r="N79" s="79">
        <f t="shared" si="7"/>
        <v>4000000.0000000005</v>
      </c>
    </row>
    <row r="80" spans="1:18">
      <c r="A80" s="85" t="s">
        <v>231</v>
      </c>
      <c r="B80" s="79">
        <v>333333.33333333331</v>
      </c>
      <c r="C80" s="79">
        <v>333333.33333333331</v>
      </c>
      <c r="D80" s="79">
        <v>333333.33333333331</v>
      </c>
      <c r="E80" s="79">
        <v>333333.33333333331</v>
      </c>
      <c r="F80" s="79">
        <v>333333.33333333331</v>
      </c>
      <c r="G80" s="79">
        <v>333333.33333333331</v>
      </c>
      <c r="H80" s="79">
        <v>333333.33333333331</v>
      </c>
      <c r="I80" s="79">
        <v>333333.33333333331</v>
      </c>
      <c r="J80" s="79">
        <v>333333.33333333331</v>
      </c>
      <c r="K80" s="79">
        <v>333333.33333333331</v>
      </c>
      <c r="L80" s="79">
        <v>333333.33333333331</v>
      </c>
      <c r="M80" s="79">
        <v>333333.33333333331</v>
      </c>
      <c r="N80" s="79">
        <f t="shared" si="7"/>
        <v>4000000.0000000005</v>
      </c>
    </row>
    <row r="81" spans="1:18">
      <c r="A81" s="85"/>
      <c r="B81" s="133">
        <f>SUM(B74:B80)</f>
        <v>2333333.333333333</v>
      </c>
      <c r="C81" s="133">
        <f t="shared" ref="C81:N81" si="11">SUM(C74:C80)</f>
        <v>2333333.333333333</v>
      </c>
      <c r="D81" s="133">
        <f t="shared" si="11"/>
        <v>2333333.333333333</v>
      </c>
      <c r="E81" s="133">
        <f t="shared" si="11"/>
        <v>2333333.333333333</v>
      </c>
      <c r="F81" s="133">
        <f t="shared" si="11"/>
        <v>2333333.333333333</v>
      </c>
      <c r="G81" s="133">
        <f t="shared" si="11"/>
        <v>2333333.333333333</v>
      </c>
      <c r="H81" s="133">
        <f t="shared" si="11"/>
        <v>2333333.333333333</v>
      </c>
      <c r="I81" s="133">
        <f t="shared" si="11"/>
        <v>2333333.333333333</v>
      </c>
      <c r="J81" s="133">
        <f t="shared" si="11"/>
        <v>2333333.333333333</v>
      </c>
      <c r="K81" s="133">
        <f t="shared" si="11"/>
        <v>2333333.333333333</v>
      </c>
      <c r="L81" s="133">
        <f t="shared" si="11"/>
        <v>2333333.333333333</v>
      </c>
      <c r="M81" s="133">
        <f t="shared" si="11"/>
        <v>2333333.333333333</v>
      </c>
      <c r="N81" s="133">
        <f t="shared" si="11"/>
        <v>28000000.000000004</v>
      </c>
    </row>
    <row r="82" spans="1:18">
      <c r="N82" s="79">
        <f t="shared" si="7"/>
        <v>0</v>
      </c>
    </row>
    <row r="83" spans="1:18" s="144" customFormat="1">
      <c r="A83" s="145" t="s">
        <v>315</v>
      </c>
      <c r="B83" s="165">
        <f>B72+B81</f>
        <v>5000000</v>
      </c>
      <c r="C83" s="165">
        <f t="shared" ref="C83:N83" si="12">C72+C81</f>
        <v>5000000</v>
      </c>
      <c r="D83" s="165">
        <f t="shared" si="12"/>
        <v>5000000</v>
      </c>
      <c r="E83" s="165">
        <f t="shared" si="12"/>
        <v>5000000</v>
      </c>
      <c r="F83" s="165">
        <f t="shared" si="12"/>
        <v>5000000</v>
      </c>
      <c r="G83" s="165">
        <f t="shared" si="12"/>
        <v>5000000</v>
      </c>
      <c r="H83" s="165">
        <f t="shared" si="12"/>
        <v>5000000</v>
      </c>
      <c r="I83" s="165">
        <f t="shared" si="12"/>
        <v>5000000</v>
      </c>
      <c r="J83" s="165">
        <f t="shared" si="12"/>
        <v>5000000</v>
      </c>
      <c r="K83" s="165">
        <f t="shared" si="12"/>
        <v>5000000</v>
      </c>
      <c r="L83" s="165">
        <f t="shared" si="12"/>
        <v>5000000</v>
      </c>
      <c r="M83" s="165">
        <f t="shared" si="12"/>
        <v>5000000</v>
      </c>
      <c r="N83" s="165">
        <f t="shared" si="12"/>
        <v>60000000.000000007</v>
      </c>
      <c r="O83" s="133"/>
      <c r="Q83" s="146"/>
      <c r="R83" s="146"/>
    </row>
    <row r="84" spans="1:18">
      <c r="N84" s="79">
        <f t="shared" si="7"/>
        <v>0</v>
      </c>
    </row>
    <row r="85" spans="1:18">
      <c r="A85" s="145" t="s">
        <v>85</v>
      </c>
      <c r="B85" s="165">
        <f>B60-B83</f>
        <v>1800000</v>
      </c>
      <c r="C85" s="165">
        <f t="shared" ref="C85:N85" si="13">C60-C83</f>
        <v>1800000</v>
      </c>
      <c r="D85" s="165">
        <f t="shared" si="13"/>
        <v>1800000</v>
      </c>
      <c r="E85" s="165">
        <f t="shared" si="13"/>
        <v>2140000</v>
      </c>
      <c r="F85" s="165">
        <f t="shared" si="13"/>
        <v>2140000</v>
      </c>
      <c r="G85" s="165">
        <f t="shared" si="13"/>
        <v>2140000</v>
      </c>
      <c r="H85" s="165">
        <f t="shared" si="13"/>
        <v>2497000</v>
      </c>
      <c r="I85" s="165">
        <f t="shared" si="13"/>
        <v>2497000</v>
      </c>
      <c r="J85" s="165">
        <f t="shared" si="13"/>
        <v>2497000</v>
      </c>
      <c r="K85" s="165">
        <f t="shared" si="13"/>
        <v>2871850</v>
      </c>
      <c r="L85" s="165">
        <f t="shared" si="13"/>
        <v>2871850</v>
      </c>
      <c r="M85" s="165">
        <f t="shared" si="13"/>
        <v>2871850</v>
      </c>
      <c r="N85" s="166">
        <f t="shared" si="13"/>
        <v>27926549.999999993</v>
      </c>
    </row>
  </sheetData>
  <mergeCells count="5">
    <mergeCell ref="C1:M1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5"/>
  <sheetViews>
    <sheetView workbookViewId="0">
      <selection sqref="A1:XFD1048576"/>
    </sheetView>
  </sheetViews>
  <sheetFormatPr defaultColWidth="10" defaultRowHeight="15"/>
  <cols>
    <col min="1" max="1" width="38.85546875" style="76" bestFit="1" customWidth="1"/>
    <col min="2" max="2" width="14.42578125" style="76" customWidth="1"/>
    <col min="3" max="3" width="15.85546875" style="76" customWidth="1"/>
    <col min="4" max="4" width="14.28515625" style="76" customWidth="1"/>
    <col min="5" max="5" width="14.140625" style="76" customWidth="1"/>
    <col min="6" max="6" width="15.5703125" style="76" customWidth="1"/>
    <col min="7" max="256" width="9.140625" style="76"/>
    <col min="257" max="257" width="38.85546875" style="76" bestFit="1" customWidth="1"/>
    <col min="258" max="261" width="12.7109375" style="76" customWidth="1"/>
    <col min="262" max="512" width="9.140625" style="76"/>
    <col min="513" max="513" width="38.85546875" style="76" bestFit="1" customWidth="1"/>
    <col min="514" max="517" width="12.7109375" style="76" customWidth="1"/>
    <col min="518" max="768" width="9.140625" style="76"/>
    <col min="769" max="769" width="38.85546875" style="76" bestFit="1" customWidth="1"/>
    <col min="770" max="773" width="12.7109375" style="76" customWidth="1"/>
    <col min="774" max="1024" width="9.140625" style="76"/>
    <col min="1025" max="1025" width="38.85546875" style="76" bestFit="1" customWidth="1"/>
    <col min="1026" max="1029" width="12.7109375" style="76" customWidth="1"/>
    <col min="1030" max="1280" width="9.140625" style="76"/>
    <col min="1281" max="1281" width="38.85546875" style="76" bestFit="1" customWidth="1"/>
    <col min="1282" max="1285" width="12.7109375" style="76" customWidth="1"/>
    <col min="1286" max="1536" width="9.140625" style="76"/>
    <col min="1537" max="1537" width="38.85546875" style="76" bestFit="1" customWidth="1"/>
    <col min="1538" max="1541" width="12.7109375" style="76" customWidth="1"/>
    <col min="1542" max="1792" width="9.140625" style="76"/>
    <col min="1793" max="1793" width="38.85546875" style="76" bestFit="1" customWidth="1"/>
    <col min="1794" max="1797" width="12.7109375" style="76" customWidth="1"/>
    <col min="1798" max="2048" width="9.140625" style="76"/>
    <col min="2049" max="2049" width="38.85546875" style="76" bestFit="1" customWidth="1"/>
    <col min="2050" max="2053" width="12.7109375" style="76" customWidth="1"/>
    <col min="2054" max="2304" width="9.140625" style="76"/>
    <col min="2305" max="2305" width="38.85546875" style="76" bestFit="1" customWidth="1"/>
    <col min="2306" max="2309" width="12.7109375" style="76" customWidth="1"/>
    <col min="2310" max="2560" width="9.140625" style="76"/>
    <col min="2561" max="2561" width="38.85546875" style="76" bestFit="1" customWidth="1"/>
    <col min="2562" max="2565" width="12.7109375" style="76" customWidth="1"/>
    <col min="2566" max="2816" width="9.140625" style="76"/>
    <col min="2817" max="2817" width="38.85546875" style="76" bestFit="1" customWidth="1"/>
    <col min="2818" max="2821" width="12.7109375" style="76" customWidth="1"/>
    <col min="2822" max="3072" width="9.140625" style="76"/>
    <col min="3073" max="3073" width="38.85546875" style="76" bestFit="1" customWidth="1"/>
    <col min="3074" max="3077" width="12.7109375" style="76" customWidth="1"/>
    <col min="3078" max="3328" width="9.140625" style="76"/>
    <col min="3329" max="3329" width="38.85546875" style="76" bestFit="1" customWidth="1"/>
    <col min="3330" max="3333" width="12.7109375" style="76" customWidth="1"/>
    <col min="3334" max="3584" width="9.140625" style="76"/>
    <col min="3585" max="3585" width="38.85546875" style="76" bestFit="1" customWidth="1"/>
    <col min="3586" max="3589" width="12.7109375" style="76" customWidth="1"/>
    <col min="3590" max="3840" width="9.140625" style="76"/>
    <col min="3841" max="3841" width="38.85546875" style="76" bestFit="1" customWidth="1"/>
    <col min="3842" max="3845" width="12.7109375" style="76" customWidth="1"/>
    <col min="3846" max="4096" width="9.140625" style="76"/>
    <col min="4097" max="4097" width="38.85546875" style="76" bestFit="1" customWidth="1"/>
    <col min="4098" max="4101" width="12.7109375" style="76" customWidth="1"/>
    <col min="4102" max="4352" width="9.140625" style="76"/>
    <col min="4353" max="4353" width="38.85546875" style="76" bestFit="1" customWidth="1"/>
    <col min="4354" max="4357" width="12.7109375" style="76" customWidth="1"/>
    <col min="4358" max="4608" width="9.140625" style="76"/>
    <col min="4609" max="4609" width="38.85546875" style="76" bestFit="1" customWidth="1"/>
    <col min="4610" max="4613" width="12.7109375" style="76" customWidth="1"/>
    <col min="4614" max="4864" width="9.140625" style="76"/>
    <col min="4865" max="4865" width="38.85546875" style="76" bestFit="1" customWidth="1"/>
    <col min="4866" max="4869" width="12.7109375" style="76" customWidth="1"/>
    <col min="4870" max="5120" width="9.140625" style="76"/>
    <col min="5121" max="5121" width="38.85546875" style="76" bestFit="1" customWidth="1"/>
    <col min="5122" max="5125" width="12.7109375" style="76" customWidth="1"/>
    <col min="5126" max="5376" width="9.140625" style="76"/>
    <col min="5377" max="5377" width="38.85546875" style="76" bestFit="1" customWidth="1"/>
    <col min="5378" max="5381" width="12.7109375" style="76" customWidth="1"/>
    <col min="5382" max="5632" width="9.140625" style="76"/>
    <col min="5633" max="5633" width="38.85546875" style="76" bestFit="1" customWidth="1"/>
    <col min="5634" max="5637" width="12.7109375" style="76" customWidth="1"/>
    <col min="5638" max="5888" width="9.140625" style="76"/>
    <col min="5889" max="5889" width="38.85546875" style="76" bestFit="1" customWidth="1"/>
    <col min="5890" max="5893" width="12.7109375" style="76" customWidth="1"/>
    <col min="5894" max="6144" width="9.140625" style="76"/>
    <col min="6145" max="6145" width="38.85546875" style="76" bestFit="1" customWidth="1"/>
    <col min="6146" max="6149" width="12.7109375" style="76" customWidth="1"/>
    <col min="6150" max="6400" width="9.140625" style="76"/>
    <col min="6401" max="6401" width="38.85546875" style="76" bestFit="1" customWidth="1"/>
    <col min="6402" max="6405" width="12.7109375" style="76" customWidth="1"/>
    <col min="6406" max="6656" width="9.140625" style="76"/>
    <col min="6657" max="6657" width="38.85546875" style="76" bestFit="1" customWidth="1"/>
    <col min="6658" max="6661" width="12.7109375" style="76" customWidth="1"/>
    <col min="6662" max="6912" width="9.140625" style="76"/>
    <col min="6913" max="6913" width="38.85546875" style="76" bestFit="1" customWidth="1"/>
    <col min="6914" max="6917" width="12.7109375" style="76" customWidth="1"/>
    <col min="6918" max="7168" width="9.140625" style="76"/>
    <col min="7169" max="7169" width="38.85546875" style="76" bestFit="1" customWidth="1"/>
    <col min="7170" max="7173" width="12.7109375" style="76" customWidth="1"/>
    <col min="7174" max="7424" width="9.140625" style="76"/>
    <col min="7425" max="7425" width="38.85546875" style="76" bestFit="1" customWidth="1"/>
    <col min="7426" max="7429" width="12.7109375" style="76" customWidth="1"/>
    <col min="7430" max="7680" width="9.140625" style="76"/>
    <col min="7681" max="7681" width="38.85546875" style="76" bestFit="1" customWidth="1"/>
    <col min="7682" max="7685" width="12.7109375" style="76" customWidth="1"/>
    <col min="7686" max="7936" width="9.140625" style="76"/>
    <col min="7937" max="7937" width="38.85546875" style="76" bestFit="1" customWidth="1"/>
    <col min="7938" max="7941" width="12.7109375" style="76" customWidth="1"/>
    <col min="7942" max="8192" width="9.140625" style="76"/>
    <col min="8193" max="8193" width="38.85546875" style="76" bestFit="1" customWidth="1"/>
    <col min="8194" max="8197" width="12.7109375" style="76" customWidth="1"/>
    <col min="8198" max="8448" width="9.140625" style="76"/>
    <col min="8449" max="8449" width="38.85546875" style="76" bestFit="1" customWidth="1"/>
    <col min="8450" max="8453" width="12.7109375" style="76" customWidth="1"/>
    <col min="8454" max="8704" width="9.140625" style="76"/>
    <col min="8705" max="8705" width="38.85546875" style="76" bestFit="1" customWidth="1"/>
    <col min="8706" max="8709" width="12.7109375" style="76" customWidth="1"/>
    <col min="8710" max="8960" width="9.140625" style="76"/>
    <col min="8961" max="8961" width="38.85546875" style="76" bestFit="1" customWidth="1"/>
    <col min="8962" max="8965" width="12.7109375" style="76" customWidth="1"/>
    <col min="8966" max="9216" width="9.140625" style="76"/>
    <col min="9217" max="9217" width="38.85546875" style="76" bestFit="1" customWidth="1"/>
    <col min="9218" max="9221" width="12.7109375" style="76" customWidth="1"/>
    <col min="9222" max="9472" width="9.140625" style="76"/>
    <col min="9473" max="9473" width="38.85546875" style="76" bestFit="1" customWidth="1"/>
    <col min="9474" max="9477" width="12.7109375" style="76" customWidth="1"/>
    <col min="9478" max="9728" width="9.140625" style="76"/>
    <col min="9729" max="9729" width="38.85546875" style="76" bestFit="1" customWidth="1"/>
    <col min="9730" max="9733" width="12.7109375" style="76" customWidth="1"/>
    <col min="9734" max="9984" width="9.140625" style="76"/>
    <col min="9985" max="9985" width="38.85546875" style="76" bestFit="1" customWidth="1"/>
    <col min="9986" max="9989" width="12.7109375" style="76" customWidth="1"/>
    <col min="9990" max="10240" width="9.140625" style="76"/>
    <col min="10241" max="10241" width="38.85546875" style="76" bestFit="1" customWidth="1"/>
    <col min="10242" max="10245" width="12.7109375" style="76" customWidth="1"/>
    <col min="10246" max="10496" width="9.140625" style="76"/>
    <col min="10497" max="10497" width="38.85546875" style="76" bestFit="1" customWidth="1"/>
    <col min="10498" max="10501" width="12.7109375" style="76" customWidth="1"/>
    <col min="10502" max="10752" width="9.140625" style="76"/>
    <col min="10753" max="10753" width="38.85546875" style="76" bestFit="1" customWidth="1"/>
    <col min="10754" max="10757" width="12.7109375" style="76" customWidth="1"/>
    <col min="10758" max="11008" width="9.140625" style="76"/>
    <col min="11009" max="11009" width="38.85546875" style="76" bestFit="1" customWidth="1"/>
    <col min="11010" max="11013" width="12.7109375" style="76" customWidth="1"/>
    <col min="11014" max="11264" width="9.140625" style="76"/>
    <col min="11265" max="11265" width="38.85546875" style="76" bestFit="1" customWidth="1"/>
    <col min="11266" max="11269" width="12.7109375" style="76" customWidth="1"/>
    <col min="11270" max="11520" width="9.140625" style="76"/>
    <col min="11521" max="11521" width="38.85546875" style="76" bestFit="1" customWidth="1"/>
    <col min="11522" max="11525" width="12.7109375" style="76" customWidth="1"/>
    <col min="11526" max="11776" width="9.140625" style="76"/>
    <col min="11777" max="11777" width="38.85546875" style="76" bestFit="1" customWidth="1"/>
    <col min="11778" max="11781" width="12.7109375" style="76" customWidth="1"/>
    <col min="11782" max="12032" width="9.140625" style="76"/>
    <col min="12033" max="12033" width="38.85546875" style="76" bestFit="1" customWidth="1"/>
    <col min="12034" max="12037" width="12.7109375" style="76" customWidth="1"/>
    <col min="12038" max="12288" width="9.140625" style="76"/>
    <col min="12289" max="12289" width="38.85546875" style="76" bestFit="1" customWidth="1"/>
    <col min="12290" max="12293" width="12.7109375" style="76" customWidth="1"/>
    <col min="12294" max="12544" width="9.140625" style="76"/>
    <col min="12545" max="12545" width="38.85546875" style="76" bestFit="1" customWidth="1"/>
    <col min="12546" max="12549" width="12.7109375" style="76" customWidth="1"/>
    <col min="12550" max="12800" width="9.140625" style="76"/>
    <col min="12801" max="12801" width="38.85546875" style="76" bestFit="1" customWidth="1"/>
    <col min="12802" max="12805" width="12.7109375" style="76" customWidth="1"/>
    <col min="12806" max="13056" width="9.140625" style="76"/>
    <col min="13057" max="13057" width="38.85546875" style="76" bestFit="1" customWidth="1"/>
    <col min="13058" max="13061" width="12.7109375" style="76" customWidth="1"/>
    <col min="13062" max="13312" width="9.140625" style="76"/>
    <col min="13313" max="13313" width="38.85546875" style="76" bestFit="1" customWidth="1"/>
    <col min="13314" max="13317" width="12.7109375" style="76" customWidth="1"/>
    <col min="13318" max="13568" width="9.140625" style="76"/>
    <col min="13569" max="13569" width="38.85546875" style="76" bestFit="1" customWidth="1"/>
    <col min="13570" max="13573" width="12.7109375" style="76" customWidth="1"/>
    <col min="13574" max="13824" width="9.140625" style="76"/>
    <col min="13825" max="13825" width="38.85546875" style="76" bestFit="1" customWidth="1"/>
    <col min="13826" max="13829" width="12.7109375" style="76" customWidth="1"/>
    <col min="13830" max="14080" width="9.140625" style="76"/>
    <col min="14081" max="14081" width="38.85546875" style="76" bestFit="1" customWidth="1"/>
    <col min="14082" max="14085" width="12.7109375" style="76" customWidth="1"/>
    <col min="14086" max="14336" width="9.140625" style="76"/>
    <col min="14337" max="14337" width="38.85546875" style="76" bestFit="1" customWidth="1"/>
    <col min="14338" max="14341" width="12.7109375" style="76" customWidth="1"/>
    <col min="14342" max="14592" width="9.140625" style="76"/>
    <col min="14593" max="14593" width="38.85546875" style="76" bestFit="1" customWidth="1"/>
    <col min="14594" max="14597" width="12.7109375" style="76" customWidth="1"/>
    <col min="14598" max="14848" width="9.140625" style="76"/>
    <col min="14849" max="14849" width="38.85546875" style="76" bestFit="1" customWidth="1"/>
    <col min="14850" max="14853" width="12.7109375" style="76" customWidth="1"/>
    <col min="14854" max="15104" width="9.140625" style="76"/>
    <col min="15105" max="15105" width="38.85546875" style="76" bestFit="1" customWidth="1"/>
    <col min="15106" max="15109" width="12.7109375" style="76" customWidth="1"/>
    <col min="15110" max="15360" width="9.140625" style="76"/>
    <col min="15361" max="15361" width="38.85546875" style="76" bestFit="1" customWidth="1"/>
    <col min="15362" max="15365" width="12.7109375" style="76" customWidth="1"/>
    <col min="15366" max="15616" width="9.140625" style="76"/>
    <col min="15617" max="15617" width="38.85546875" style="76" bestFit="1" customWidth="1"/>
    <col min="15618" max="15621" width="12.7109375" style="76" customWidth="1"/>
    <col min="15622" max="15872" width="9.140625" style="76"/>
    <col min="15873" max="15873" width="38.85546875" style="76" bestFit="1" customWidth="1"/>
    <col min="15874" max="15877" width="12.7109375" style="76" customWidth="1"/>
    <col min="15878" max="16128" width="9.140625" style="76"/>
    <col min="16129" max="16129" width="38.85546875" style="76" bestFit="1" customWidth="1"/>
    <col min="16130" max="16133" width="12.7109375" style="76" customWidth="1"/>
    <col min="16134" max="16384" width="9.140625" style="76"/>
  </cols>
  <sheetData>
    <row r="1" spans="1:6" ht="23.25">
      <c r="A1" s="186"/>
      <c r="B1" s="186"/>
      <c r="C1" s="186"/>
      <c r="D1" s="186"/>
      <c r="E1" s="186"/>
    </row>
    <row r="2" spans="1:6" ht="18">
      <c r="A2" s="176" t="s">
        <v>172</v>
      </c>
      <c r="B2" s="176"/>
      <c r="C2" s="176"/>
      <c r="D2" s="176"/>
      <c r="E2" s="176"/>
      <c r="F2" s="102"/>
    </row>
    <row r="3" spans="1:6">
      <c r="A3" s="177"/>
      <c r="B3" s="177"/>
      <c r="C3" s="177"/>
      <c r="D3" s="177"/>
      <c r="E3" s="177"/>
    </row>
    <row r="6" spans="1:6" ht="18">
      <c r="A6" s="176" t="s">
        <v>173</v>
      </c>
      <c r="B6" s="176"/>
      <c r="C6" s="176"/>
      <c r="D6" s="176"/>
      <c r="E6" s="176"/>
    </row>
    <row r="8" spans="1:6">
      <c r="B8" s="109" t="s">
        <v>114</v>
      </c>
      <c r="C8" s="109" t="s">
        <v>115</v>
      </c>
      <c r="D8" s="109" t="s">
        <v>116</v>
      </c>
      <c r="E8" s="109" t="s">
        <v>117</v>
      </c>
      <c r="F8" s="76" t="s">
        <v>328</v>
      </c>
    </row>
    <row r="10" spans="1:6">
      <c r="A10" s="76" t="s">
        <v>174</v>
      </c>
      <c r="B10" s="79">
        <v>0</v>
      </c>
      <c r="C10" s="79"/>
      <c r="D10" s="79"/>
      <c r="E10" s="79"/>
    </row>
    <row r="11" spans="1:6">
      <c r="A11" s="76" t="s">
        <v>175</v>
      </c>
      <c r="B11" s="79">
        <f>'Operating Budgets'!B122*40%</f>
        <v>10760000</v>
      </c>
      <c r="C11" s="79">
        <f>'Operating Budgets'!C122*40%</f>
        <v>11298000</v>
      </c>
      <c r="D11" s="79">
        <f>'Operating Budgets'!D122*40%</f>
        <v>11862900</v>
      </c>
      <c r="E11" s="79">
        <f>'Operating Budgets'!E122*40%</f>
        <v>12456045</v>
      </c>
    </row>
    <row r="12" spans="1:6">
      <c r="A12" s="76" t="s">
        <v>176</v>
      </c>
      <c r="B12" s="79"/>
      <c r="C12" s="79">
        <f>'Operating Budgets'!B122*60%</f>
        <v>16140000</v>
      </c>
      <c r="D12" s="79"/>
      <c r="E12" s="79"/>
    </row>
    <row r="13" spans="1:6">
      <c r="A13" s="76" t="s">
        <v>177</v>
      </c>
      <c r="B13" s="79"/>
      <c r="C13" s="79"/>
      <c r="D13" s="79">
        <f>'Operating Budgets'!C122*60%</f>
        <v>16947000</v>
      </c>
    </row>
    <row r="14" spans="1:6">
      <c r="A14" s="76" t="s">
        <v>178</v>
      </c>
      <c r="B14" s="79"/>
      <c r="C14" s="79"/>
      <c r="D14" s="79"/>
      <c r="E14" s="79">
        <f>'Operating Budgets'!D122*60%</f>
        <v>17794350</v>
      </c>
    </row>
    <row r="15" spans="1:6">
      <c r="B15" s="79"/>
      <c r="C15" s="79"/>
      <c r="D15" s="79"/>
      <c r="E15" s="79"/>
      <c r="F15" s="76">
        <f>'Operating Budgets'!E122*60%</f>
        <v>18684067.5</v>
      </c>
    </row>
    <row r="16" spans="1:6">
      <c r="A16" s="76" t="s">
        <v>179</v>
      </c>
      <c r="B16" s="167">
        <f>SUM(B10:B15)</f>
        <v>10760000</v>
      </c>
      <c r="C16" s="167">
        <f t="shared" ref="C16:F16" si="0">SUM(C10:C15)</f>
        <v>27438000</v>
      </c>
      <c r="D16" s="167">
        <f t="shared" si="0"/>
        <v>28809900</v>
      </c>
      <c r="E16" s="167">
        <f t="shared" si="0"/>
        <v>30250395</v>
      </c>
      <c r="F16" s="167">
        <f t="shared" si="0"/>
        <v>18684067.5</v>
      </c>
    </row>
    <row r="19" spans="1:6" ht="18">
      <c r="A19" s="176" t="s">
        <v>180</v>
      </c>
      <c r="B19" s="176"/>
      <c r="C19" s="176"/>
      <c r="D19" s="176"/>
      <c r="E19" s="176"/>
    </row>
    <row r="21" spans="1:6">
      <c r="B21" s="109" t="s">
        <v>114</v>
      </c>
      <c r="C21" s="109" t="s">
        <v>115</v>
      </c>
      <c r="D21" s="109" t="s">
        <v>116</v>
      </c>
      <c r="E21" s="109" t="s">
        <v>117</v>
      </c>
    </row>
    <row r="23" spans="1:6">
      <c r="A23" s="76" t="s">
        <v>181</v>
      </c>
      <c r="B23" s="79">
        <v>0</v>
      </c>
    </row>
    <row r="24" spans="1:6">
      <c r="A24" s="76" t="s">
        <v>175</v>
      </c>
      <c r="B24" s="76">
        <f>'Operating Budgets'!B123*70%</f>
        <v>-4549999.9999999981</v>
      </c>
      <c r="C24" s="79">
        <f>'Operating Budgets'!C123*70%</f>
        <v>-4777500</v>
      </c>
      <c r="D24" s="76">
        <f>'Operating Budgets'!D123*70%</f>
        <v>-5016375</v>
      </c>
      <c r="E24" s="76">
        <f>'Operating Budgets'!E123*70%</f>
        <v>-5267193.75</v>
      </c>
    </row>
    <row r="25" spans="1:6">
      <c r="A25" s="76" t="s">
        <v>176</v>
      </c>
      <c r="C25" s="76">
        <f>'Operating Budgets'!B123*30%</f>
        <v>-1949999.9999999993</v>
      </c>
    </row>
    <row r="26" spans="1:6">
      <c r="A26" s="76" t="s">
        <v>177</v>
      </c>
      <c r="D26" s="79">
        <f>'Operating Budgets'!C123*30%</f>
        <v>-2047500</v>
      </c>
      <c r="E26" s="111"/>
    </row>
    <row r="27" spans="1:6">
      <c r="A27" s="76" t="s">
        <v>178</v>
      </c>
      <c r="E27" s="76">
        <f>'Operating Budgets'!D123*30%</f>
        <v>-2149875</v>
      </c>
    </row>
    <row r="28" spans="1:6">
      <c r="F28" s="76">
        <f>'Operating Budgets'!E123*30%</f>
        <v>-2257368.75</v>
      </c>
    </row>
    <row r="29" spans="1:6">
      <c r="A29" s="76" t="s">
        <v>182</v>
      </c>
      <c r="B29" s="167">
        <f>SUM(B23:B28)</f>
        <v>-4549999.9999999981</v>
      </c>
      <c r="C29" s="167">
        <f t="shared" ref="C29:E29" si="1">SUM(C23:C28)</f>
        <v>-6727499.9999999991</v>
      </c>
      <c r="D29" s="167">
        <f t="shared" si="1"/>
        <v>-7063875</v>
      </c>
      <c r="E29" s="167">
        <f t="shared" si="1"/>
        <v>-7417068.75</v>
      </c>
      <c r="F29" s="167">
        <f>SUM(F23:F28)</f>
        <v>-2257368.75</v>
      </c>
    </row>
    <row r="32" spans="1:6" ht="18">
      <c r="A32" s="176" t="s">
        <v>183</v>
      </c>
      <c r="B32" s="176"/>
      <c r="C32" s="176"/>
      <c r="D32" s="176"/>
      <c r="E32" s="176"/>
    </row>
    <row r="34" spans="1:5">
      <c r="B34" s="109" t="s">
        <v>114</v>
      </c>
      <c r="C34" s="109" t="s">
        <v>115</v>
      </c>
      <c r="D34" s="109" t="s">
        <v>116</v>
      </c>
      <c r="E34" s="109" t="s">
        <v>117</v>
      </c>
    </row>
    <row r="36" spans="1:5">
      <c r="A36" s="111" t="s">
        <v>184</v>
      </c>
      <c r="B36" s="111"/>
      <c r="C36" s="79">
        <f>B55</f>
        <v>6210000.0000000019</v>
      </c>
      <c r="D36" s="79">
        <f>C55</f>
        <v>26920500</v>
      </c>
      <c r="E36" s="79">
        <f>D55</f>
        <v>48666525</v>
      </c>
    </row>
    <row r="38" spans="1:5">
      <c r="A38" s="76" t="s">
        <v>185</v>
      </c>
    </row>
    <row r="39" spans="1:5">
      <c r="A39" s="85" t="s">
        <v>186</v>
      </c>
      <c r="B39" s="76">
        <f>B16</f>
        <v>10760000</v>
      </c>
      <c r="C39" s="76">
        <f>C16</f>
        <v>27438000</v>
      </c>
      <c r="D39" s="76">
        <f>D16</f>
        <v>28809900</v>
      </c>
      <c r="E39" s="76">
        <f>E16</f>
        <v>30250395</v>
      </c>
    </row>
    <row r="40" spans="1:5">
      <c r="A40" s="85" t="s">
        <v>187</v>
      </c>
    </row>
    <row r="42" spans="1:5">
      <c r="A42" s="106" t="s">
        <v>188</v>
      </c>
      <c r="B42" s="121">
        <f>SUM(B36:B41)</f>
        <v>10760000</v>
      </c>
      <c r="C42" s="121">
        <f t="shared" ref="C42:E42" si="2">SUM(C36:C41)</f>
        <v>33648000</v>
      </c>
      <c r="D42" s="121">
        <f>SUM(D36:D41)</f>
        <v>55730400</v>
      </c>
      <c r="E42" s="121">
        <f t="shared" si="2"/>
        <v>78916920</v>
      </c>
    </row>
    <row r="43" spans="1:5">
      <c r="A43" s="76" t="s">
        <v>189</v>
      </c>
      <c r="B43" s="121"/>
      <c r="C43" s="121"/>
      <c r="D43" s="121"/>
      <c r="E43" s="121"/>
    </row>
    <row r="45" spans="1:5">
      <c r="A45" s="76" t="s">
        <v>190</v>
      </c>
    </row>
    <row r="46" spans="1:5">
      <c r="A46" s="85" t="s">
        <v>191</v>
      </c>
      <c r="B46" s="76">
        <f>B29</f>
        <v>-4549999.9999999981</v>
      </c>
      <c r="C46" s="76">
        <f>C29</f>
        <v>-6727499.9999999991</v>
      </c>
      <c r="D46" s="76">
        <f>D29</f>
        <v>-7063875</v>
      </c>
      <c r="E46" s="76">
        <f>E29</f>
        <v>-7417068.75</v>
      </c>
    </row>
    <row r="47" spans="1:5">
      <c r="A47" s="85" t="s">
        <v>160</v>
      </c>
    </row>
    <row r="48" spans="1:5">
      <c r="A48" s="85" t="s">
        <v>161</v>
      </c>
    </row>
    <row r="49" spans="1:5">
      <c r="A49" s="85" t="s">
        <v>167</v>
      </c>
    </row>
    <row r="50" spans="1:5">
      <c r="A50" s="85" t="s">
        <v>192</v>
      </c>
    </row>
    <row r="51" spans="1:5">
      <c r="A51" s="85" t="s">
        <v>193</v>
      </c>
    </row>
    <row r="52" spans="1:5">
      <c r="A52" s="85" t="s">
        <v>170</v>
      </c>
    </row>
    <row r="53" spans="1:5">
      <c r="A53" s="85"/>
    </row>
    <row r="54" spans="1:5">
      <c r="A54" s="106" t="s">
        <v>194</v>
      </c>
      <c r="B54" s="121">
        <f>SUM(B46:B53)</f>
        <v>-4549999.9999999981</v>
      </c>
      <c r="C54" s="121">
        <f t="shared" ref="C54:E54" si="3">SUM(C46:C53)</f>
        <v>-6727499.9999999991</v>
      </c>
      <c r="D54" s="121">
        <f t="shared" si="3"/>
        <v>-7063875</v>
      </c>
      <c r="E54" s="121">
        <f t="shared" si="3"/>
        <v>-7417068.75</v>
      </c>
    </row>
    <row r="55" spans="1:5">
      <c r="A55" s="76" t="s">
        <v>195</v>
      </c>
      <c r="B55" s="113">
        <f>B42+B54</f>
        <v>6210000.0000000019</v>
      </c>
      <c r="C55" s="113">
        <f t="shared" ref="C55" si="4">C42+C54</f>
        <v>26920500</v>
      </c>
      <c r="D55" s="113">
        <f>D42+D54</f>
        <v>48666525</v>
      </c>
      <c r="E55" s="113">
        <f>E42+E54</f>
        <v>71499851.25</v>
      </c>
    </row>
    <row r="58" spans="1:5" ht="18">
      <c r="A58" s="176" t="s">
        <v>196</v>
      </c>
      <c r="B58" s="176"/>
      <c r="C58" s="176"/>
      <c r="D58" s="176"/>
      <c r="E58" s="102"/>
    </row>
    <row r="59" spans="1:5">
      <c r="A59" s="185">
        <v>38352</v>
      </c>
      <c r="B59" s="185"/>
      <c r="C59" s="185"/>
      <c r="D59" s="185"/>
    </row>
    <row r="60" spans="1:5">
      <c r="B60" s="81"/>
    </row>
    <row r="62" spans="1:5">
      <c r="A62" s="102" t="s">
        <v>197</v>
      </c>
    </row>
    <row r="63" spans="1:5">
      <c r="A63" s="102" t="s">
        <v>330</v>
      </c>
    </row>
    <row r="64" spans="1:5">
      <c r="A64" s="102" t="s">
        <v>331</v>
      </c>
      <c r="B64" s="138">
        <f>Input!B80+Input!B81+Input!B82+Input!B83</f>
        <v>38000000</v>
      </c>
      <c r="C64" s="76">
        <v>0</v>
      </c>
      <c r="D64" s="76">
        <v>0</v>
      </c>
      <c r="E64" s="76">
        <f>Input!B80+Input!B82</f>
        <v>30000000</v>
      </c>
    </row>
    <row r="65" spans="1:5">
      <c r="A65" s="102"/>
      <c r="B65" s="168">
        <f t="shared" ref="B65:E65" si="5">SUM(B64)</f>
        <v>38000000</v>
      </c>
      <c r="C65" s="168">
        <f t="shared" si="5"/>
        <v>0</v>
      </c>
      <c r="D65" s="168">
        <f t="shared" si="5"/>
        <v>0</v>
      </c>
      <c r="E65" s="168">
        <f t="shared" si="5"/>
        <v>30000000</v>
      </c>
    </row>
    <row r="66" spans="1:5">
      <c r="A66" s="85" t="s">
        <v>203</v>
      </c>
      <c r="B66" s="76">
        <f>'Operating Budgets'!B128</f>
        <v>-200000</v>
      </c>
      <c r="C66" s="76">
        <f>'Operating Budgets'!C128</f>
        <v>-200000</v>
      </c>
      <c r="D66" s="76">
        <f>'Operating Budgets'!D128</f>
        <v>-200000</v>
      </c>
      <c r="E66" s="76">
        <f>'Operating Budgets'!E128</f>
        <v>-200000</v>
      </c>
    </row>
    <row r="67" spans="1:5">
      <c r="A67" s="96" t="s">
        <v>332</v>
      </c>
      <c r="B67" s="169">
        <f>SUM(B65:B66)</f>
        <v>37800000</v>
      </c>
      <c r="C67" s="169">
        <f t="shared" ref="C67:E67" si="6">SUM(C65:C66)</f>
        <v>-200000</v>
      </c>
      <c r="D67" s="169">
        <f t="shared" si="6"/>
        <v>-200000</v>
      </c>
      <c r="E67" s="169">
        <f t="shared" si="6"/>
        <v>29800000</v>
      </c>
    </row>
    <row r="68" spans="1:5">
      <c r="A68" s="85"/>
    </row>
    <row r="69" spans="1:5">
      <c r="A69" s="102" t="s">
        <v>329</v>
      </c>
    </row>
    <row r="70" spans="1:5">
      <c r="A70" s="85" t="s">
        <v>198</v>
      </c>
      <c r="B70" s="138">
        <f>B55</f>
        <v>6210000.0000000019</v>
      </c>
      <c r="C70" s="76">
        <f>C55</f>
        <v>26920500</v>
      </c>
      <c r="D70" s="76">
        <f>D55</f>
        <v>48666525</v>
      </c>
      <c r="E70" s="76">
        <f>E55</f>
        <v>71499851.25</v>
      </c>
    </row>
    <row r="71" spans="1:5">
      <c r="A71" s="85" t="s">
        <v>199</v>
      </c>
      <c r="B71" s="138">
        <f>C12</f>
        <v>16140000</v>
      </c>
      <c r="C71" s="76">
        <f>D13</f>
        <v>16947000</v>
      </c>
      <c r="D71" s="76">
        <f>E14</f>
        <v>17794350</v>
      </c>
      <c r="E71" s="76">
        <f>F15</f>
        <v>18684067.5</v>
      </c>
    </row>
    <row r="72" spans="1:5">
      <c r="A72" s="85" t="s">
        <v>200</v>
      </c>
    </row>
    <row r="74" spans="1:5" s="104" customFormat="1">
      <c r="A74" s="170" t="s">
        <v>204</v>
      </c>
      <c r="B74" s="171">
        <f>SUM(B67:B73)</f>
        <v>60150000</v>
      </c>
      <c r="C74" s="171">
        <f t="shared" ref="C74:E74" si="7">SUM(C67:C73)</f>
        <v>43667500</v>
      </c>
      <c r="D74" s="171">
        <f t="shared" si="7"/>
        <v>66260875</v>
      </c>
      <c r="E74" s="171">
        <f t="shared" si="7"/>
        <v>119983918.75</v>
      </c>
    </row>
    <row r="76" spans="1:5">
      <c r="A76" s="102" t="s">
        <v>205</v>
      </c>
    </row>
    <row r="77" spans="1:5">
      <c r="A77" s="85" t="s">
        <v>206</v>
      </c>
      <c r="B77" s="138">
        <f>-C25</f>
        <v>1949999.9999999993</v>
      </c>
      <c r="C77" s="76">
        <f>-D26</f>
        <v>2047500</v>
      </c>
      <c r="D77" s="79">
        <f>-E27</f>
        <v>2149875</v>
      </c>
      <c r="E77" s="76">
        <f>-F28</f>
        <v>2257368.75</v>
      </c>
    </row>
    <row r="78" spans="1:5">
      <c r="A78" s="85" t="s">
        <v>207</v>
      </c>
    </row>
    <row r="79" spans="1:5">
      <c r="A79" s="85" t="s">
        <v>208</v>
      </c>
    </row>
    <row r="80" spans="1:5">
      <c r="A80" s="85" t="s">
        <v>333</v>
      </c>
      <c r="B80" s="76">
        <f>'Operating Budgets'!B132</f>
        <v>3430000.0000000009</v>
      </c>
      <c r="C80" s="76">
        <f>'Operating Budgets'!C132</f>
        <v>4144000.0000000009</v>
      </c>
      <c r="D80" s="76">
        <f>'Operating Budgets'!D132</f>
        <v>4893700.0000000009</v>
      </c>
      <c r="E80" s="76">
        <f>'Operating Budgets'!E132</f>
        <v>5680885</v>
      </c>
    </row>
    <row r="81" spans="1:5">
      <c r="A81" s="85" t="s">
        <v>209</v>
      </c>
      <c r="B81" s="76">
        <v>54770000</v>
      </c>
      <c r="C81" s="76">
        <v>37476000</v>
      </c>
      <c r="D81" s="76">
        <v>59217300</v>
      </c>
      <c r="E81" s="76">
        <v>112045665</v>
      </c>
    </row>
    <row r="82" spans="1:5">
      <c r="A82" s="85"/>
    </row>
    <row r="83" spans="1:5">
      <c r="A83" s="106" t="s">
        <v>210</v>
      </c>
      <c r="B83" s="171">
        <f>SUM(B77:B82)</f>
        <v>60150000</v>
      </c>
      <c r="C83" s="171">
        <f t="shared" ref="C83:E83" si="8">SUM(C77:C82)</f>
        <v>43667500</v>
      </c>
      <c r="D83" s="171">
        <f t="shared" si="8"/>
        <v>66260875</v>
      </c>
      <c r="E83" s="171">
        <f t="shared" si="8"/>
        <v>119983918.75</v>
      </c>
    </row>
    <row r="84" spans="1:5">
      <c r="D84" s="124"/>
    </row>
    <row r="85" spans="1:5">
      <c r="B85" s="76">
        <f>B74-B83</f>
        <v>0</v>
      </c>
      <c r="C85" s="76">
        <f t="shared" ref="C85:E85" si="9">C74-C83</f>
        <v>0</v>
      </c>
      <c r="D85" s="76">
        <f t="shared" si="9"/>
        <v>0</v>
      </c>
      <c r="E85" s="76">
        <f t="shared" si="9"/>
        <v>0</v>
      </c>
    </row>
  </sheetData>
  <mergeCells count="8">
    <mergeCell ref="A58:D58"/>
    <mergeCell ref="A59:D59"/>
    <mergeCell ref="A32:E32"/>
    <mergeCell ref="A1:E1"/>
    <mergeCell ref="A2:E2"/>
    <mergeCell ref="A3:E3"/>
    <mergeCell ref="A6:E6"/>
    <mergeCell ref="A19:E19"/>
  </mergeCell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5"/>
  <sheetViews>
    <sheetView topLeftCell="A4" workbookViewId="0">
      <selection activeCell="A11" sqref="A11:C14"/>
    </sheetView>
  </sheetViews>
  <sheetFormatPr defaultColWidth="10" defaultRowHeight="15"/>
  <cols>
    <col min="1" max="1" width="42.5703125" style="76" bestFit="1" customWidth="1"/>
    <col min="2" max="2" width="14" style="79" bestFit="1" customWidth="1"/>
    <col min="3" max="3" width="21.7109375" style="76" bestFit="1" customWidth="1"/>
    <col min="4" max="4" width="13.85546875" style="76" customWidth="1"/>
    <col min="5" max="256" width="9.140625" style="76"/>
    <col min="257" max="257" width="42.5703125" style="76" bestFit="1" customWidth="1"/>
    <col min="258" max="258" width="14" style="76" bestFit="1" customWidth="1"/>
    <col min="259" max="259" width="21.7109375" style="76" bestFit="1" customWidth="1"/>
    <col min="260" max="512" width="9.140625" style="76"/>
    <col min="513" max="513" width="42.5703125" style="76" bestFit="1" customWidth="1"/>
    <col min="514" max="514" width="14" style="76" bestFit="1" customWidth="1"/>
    <col min="515" max="515" width="21.7109375" style="76" bestFit="1" customWidth="1"/>
    <col min="516" max="768" width="9.140625" style="76"/>
    <col min="769" max="769" width="42.5703125" style="76" bestFit="1" customWidth="1"/>
    <col min="770" max="770" width="14" style="76" bestFit="1" customWidth="1"/>
    <col min="771" max="771" width="21.7109375" style="76" bestFit="1" customWidth="1"/>
    <col min="772" max="1024" width="9.140625" style="76"/>
    <col min="1025" max="1025" width="42.5703125" style="76" bestFit="1" customWidth="1"/>
    <col min="1026" max="1026" width="14" style="76" bestFit="1" customWidth="1"/>
    <col min="1027" max="1027" width="21.7109375" style="76" bestFit="1" customWidth="1"/>
    <col min="1028" max="1280" width="9.140625" style="76"/>
    <col min="1281" max="1281" width="42.5703125" style="76" bestFit="1" customWidth="1"/>
    <col min="1282" max="1282" width="14" style="76" bestFit="1" customWidth="1"/>
    <col min="1283" max="1283" width="21.7109375" style="76" bestFit="1" customWidth="1"/>
    <col min="1284" max="1536" width="9.140625" style="76"/>
    <col min="1537" max="1537" width="42.5703125" style="76" bestFit="1" customWidth="1"/>
    <col min="1538" max="1538" width="14" style="76" bestFit="1" customWidth="1"/>
    <col min="1539" max="1539" width="21.7109375" style="76" bestFit="1" customWidth="1"/>
    <col min="1540" max="1792" width="9.140625" style="76"/>
    <col min="1793" max="1793" width="42.5703125" style="76" bestFit="1" customWidth="1"/>
    <col min="1794" max="1794" width="14" style="76" bestFit="1" customWidth="1"/>
    <col min="1795" max="1795" width="21.7109375" style="76" bestFit="1" customWidth="1"/>
    <col min="1796" max="2048" width="9.140625" style="76"/>
    <col min="2049" max="2049" width="42.5703125" style="76" bestFit="1" customWidth="1"/>
    <col min="2050" max="2050" width="14" style="76" bestFit="1" customWidth="1"/>
    <col min="2051" max="2051" width="21.7109375" style="76" bestFit="1" customWidth="1"/>
    <col min="2052" max="2304" width="9.140625" style="76"/>
    <col min="2305" max="2305" width="42.5703125" style="76" bestFit="1" customWidth="1"/>
    <col min="2306" max="2306" width="14" style="76" bestFit="1" customWidth="1"/>
    <col min="2307" max="2307" width="21.7109375" style="76" bestFit="1" customWidth="1"/>
    <col min="2308" max="2560" width="9.140625" style="76"/>
    <col min="2561" max="2561" width="42.5703125" style="76" bestFit="1" customWidth="1"/>
    <col min="2562" max="2562" width="14" style="76" bestFit="1" customWidth="1"/>
    <col min="2563" max="2563" width="21.7109375" style="76" bestFit="1" customWidth="1"/>
    <col min="2564" max="2816" width="9.140625" style="76"/>
    <col min="2817" max="2817" width="42.5703125" style="76" bestFit="1" customWidth="1"/>
    <col min="2818" max="2818" width="14" style="76" bestFit="1" customWidth="1"/>
    <col min="2819" max="2819" width="21.7109375" style="76" bestFit="1" customWidth="1"/>
    <col min="2820" max="3072" width="9.140625" style="76"/>
    <col min="3073" max="3073" width="42.5703125" style="76" bestFit="1" customWidth="1"/>
    <col min="3074" max="3074" width="14" style="76" bestFit="1" customWidth="1"/>
    <col min="3075" max="3075" width="21.7109375" style="76" bestFit="1" customWidth="1"/>
    <col min="3076" max="3328" width="9.140625" style="76"/>
    <col min="3329" max="3329" width="42.5703125" style="76" bestFit="1" customWidth="1"/>
    <col min="3330" max="3330" width="14" style="76" bestFit="1" customWidth="1"/>
    <col min="3331" max="3331" width="21.7109375" style="76" bestFit="1" customWidth="1"/>
    <col min="3332" max="3584" width="9.140625" style="76"/>
    <col min="3585" max="3585" width="42.5703125" style="76" bestFit="1" customWidth="1"/>
    <col min="3586" max="3586" width="14" style="76" bestFit="1" customWidth="1"/>
    <col min="3587" max="3587" width="21.7109375" style="76" bestFit="1" customWidth="1"/>
    <col min="3588" max="3840" width="9.140625" style="76"/>
    <col min="3841" max="3841" width="42.5703125" style="76" bestFit="1" customWidth="1"/>
    <col min="3842" max="3842" width="14" style="76" bestFit="1" customWidth="1"/>
    <col min="3843" max="3843" width="21.7109375" style="76" bestFit="1" customWidth="1"/>
    <col min="3844" max="4096" width="9.140625" style="76"/>
    <col min="4097" max="4097" width="42.5703125" style="76" bestFit="1" customWidth="1"/>
    <col min="4098" max="4098" width="14" style="76" bestFit="1" customWidth="1"/>
    <col min="4099" max="4099" width="21.7109375" style="76" bestFit="1" customWidth="1"/>
    <col min="4100" max="4352" width="9.140625" style="76"/>
    <col min="4353" max="4353" width="42.5703125" style="76" bestFit="1" customWidth="1"/>
    <col min="4354" max="4354" width="14" style="76" bestFit="1" customWidth="1"/>
    <col min="4355" max="4355" width="21.7109375" style="76" bestFit="1" customWidth="1"/>
    <col min="4356" max="4608" width="9.140625" style="76"/>
    <col min="4609" max="4609" width="42.5703125" style="76" bestFit="1" customWidth="1"/>
    <col min="4610" max="4610" width="14" style="76" bestFit="1" customWidth="1"/>
    <col min="4611" max="4611" width="21.7109375" style="76" bestFit="1" customWidth="1"/>
    <col min="4612" max="4864" width="9.140625" style="76"/>
    <col min="4865" max="4865" width="42.5703125" style="76" bestFit="1" customWidth="1"/>
    <col min="4866" max="4866" width="14" style="76" bestFit="1" customWidth="1"/>
    <col min="4867" max="4867" width="21.7109375" style="76" bestFit="1" customWidth="1"/>
    <col min="4868" max="5120" width="9.140625" style="76"/>
    <col min="5121" max="5121" width="42.5703125" style="76" bestFit="1" customWidth="1"/>
    <col min="5122" max="5122" width="14" style="76" bestFit="1" customWidth="1"/>
    <col min="5123" max="5123" width="21.7109375" style="76" bestFit="1" customWidth="1"/>
    <col min="5124" max="5376" width="9.140625" style="76"/>
    <col min="5377" max="5377" width="42.5703125" style="76" bestFit="1" customWidth="1"/>
    <col min="5378" max="5378" width="14" style="76" bestFit="1" customWidth="1"/>
    <col min="5379" max="5379" width="21.7109375" style="76" bestFit="1" customWidth="1"/>
    <col min="5380" max="5632" width="9.140625" style="76"/>
    <col min="5633" max="5633" width="42.5703125" style="76" bestFit="1" customWidth="1"/>
    <col min="5634" max="5634" width="14" style="76" bestFit="1" customWidth="1"/>
    <col min="5635" max="5635" width="21.7109375" style="76" bestFit="1" customWidth="1"/>
    <col min="5636" max="5888" width="9.140625" style="76"/>
    <col min="5889" max="5889" width="42.5703125" style="76" bestFit="1" customWidth="1"/>
    <col min="5890" max="5890" width="14" style="76" bestFit="1" customWidth="1"/>
    <col min="5891" max="5891" width="21.7109375" style="76" bestFit="1" customWidth="1"/>
    <col min="5892" max="6144" width="9.140625" style="76"/>
    <col min="6145" max="6145" width="42.5703125" style="76" bestFit="1" customWidth="1"/>
    <col min="6146" max="6146" width="14" style="76" bestFit="1" customWidth="1"/>
    <col min="6147" max="6147" width="21.7109375" style="76" bestFit="1" customWidth="1"/>
    <col min="6148" max="6400" width="9.140625" style="76"/>
    <col min="6401" max="6401" width="42.5703125" style="76" bestFit="1" customWidth="1"/>
    <col min="6402" max="6402" width="14" style="76" bestFit="1" customWidth="1"/>
    <col min="6403" max="6403" width="21.7109375" style="76" bestFit="1" customWidth="1"/>
    <col min="6404" max="6656" width="9.140625" style="76"/>
    <col min="6657" max="6657" width="42.5703125" style="76" bestFit="1" customWidth="1"/>
    <col min="6658" max="6658" width="14" style="76" bestFit="1" customWidth="1"/>
    <col min="6659" max="6659" width="21.7109375" style="76" bestFit="1" customWidth="1"/>
    <col min="6660" max="6912" width="9.140625" style="76"/>
    <col min="6913" max="6913" width="42.5703125" style="76" bestFit="1" customWidth="1"/>
    <col min="6914" max="6914" width="14" style="76" bestFit="1" customWidth="1"/>
    <col min="6915" max="6915" width="21.7109375" style="76" bestFit="1" customWidth="1"/>
    <col min="6916" max="7168" width="9.140625" style="76"/>
    <col min="7169" max="7169" width="42.5703125" style="76" bestFit="1" customWidth="1"/>
    <col min="7170" max="7170" width="14" style="76" bestFit="1" customWidth="1"/>
    <col min="7171" max="7171" width="21.7109375" style="76" bestFit="1" customWidth="1"/>
    <col min="7172" max="7424" width="9.140625" style="76"/>
    <col min="7425" max="7425" width="42.5703125" style="76" bestFit="1" customWidth="1"/>
    <col min="7426" max="7426" width="14" style="76" bestFit="1" customWidth="1"/>
    <col min="7427" max="7427" width="21.7109375" style="76" bestFit="1" customWidth="1"/>
    <col min="7428" max="7680" width="9.140625" style="76"/>
    <col min="7681" max="7681" width="42.5703125" style="76" bestFit="1" customWidth="1"/>
    <col min="7682" max="7682" width="14" style="76" bestFit="1" customWidth="1"/>
    <col min="7683" max="7683" width="21.7109375" style="76" bestFit="1" customWidth="1"/>
    <col min="7684" max="7936" width="9.140625" style="76"/>
    <col min="7937" max="7937" width="42.5703125" style="76" bestFit="1" customWidth="1"/>
    <col min="7938" max="7938" width="14" style="76" bestFit="1" customWidth="1"/>
    <col min="7939" max="7939" width="21.7109375" style="76" bestFit="1" customWidth="1"/>
    <col min="7940" max="8192" width="9.140625" style="76"/>
    <col min="8193" max="8193" width="42.5703125" style="76" bestFit="1" customWidth="1"/>
    <col min="8194" max="8194" width="14" style="76" bestFit="1" customWidth="1"/>
    <col min="8195" max="8195" width="21.7109375" style="76" bestFit="1" customWidth="1"/>
    <col min="8196" max="8448" width="9.140625" style="76"/>
    <col min="8449" max="8449" width="42.5703125" style="76" bestFit="1" customWidth="1"/>
    <col min="8450" max="8450" width="14" style="76" bestFit="1" customWidth="1"/>
    <col min="8451" max="8451" width="21.7109375" style="76" bestFit="1" customWidth="1"/>
    <col min="8452" max="8704" width="9.140625" style="76"/>
    <col min="8705" max="8705" width="42.5703125" style="76" bestFit="1" customWidth="1"/>
    <col min="8706" max="8706" width="14" style="76" bestFit="1" customWidth="1"/>
    <col min="8707" max="8707" width="21.7109375" style="76" bestFit="1" customWidth="1"/>
    <col min="8708" max="8960" width="9.140625" style="76"/>
    <col min="8961" max="8961" width="42.5703125" style="76" bestFit="1" customWidth="1"/>
    <col min="8962" max="8962" width="14" style="76" bestFit="1" customWidth="1"/>
    <col min="8963" max="8963" width="21.7109375" style="76" bestFit="1" customWidth="1"/>
    <col min="8964" max="9216" width="9.140625" style="76"/>
    <col min="9217" max="9217" width="42.5703125" style="76" bestFit="1" customWidth="1"/>
    <col min="9218" max="9218" width="14" style="76" bestFit="1" customWidth="1"/>
    <col min="9219" max="9219" width="21.7109375" style="76" bestFit="1" customWidth="1"/>
    <col min="9220" max="9472" width="9.140625" style="76"/>
    <col min="9473" max="9473" width="42.5703125" style="76" bestFit="1" customWidth="1"/>
    <col min="9474" max="9474" width="14" style="76" bestFit="1" customWidth="1"/>
    <col min="9475" max="9475" width="21.7109375" style="76" bestFit="1" customWidth="1"/>
    <col min="9476" max="9728" width="9.140625" style="76"/>
    <col min="9729" max="9729" width="42.5703125" style="76" bestFit="1" customWidth="1"/>
    <col min="9730" max="9730" width="14" style="76" bestFit="1" customWidth="1"/>
    <col min="9731" max="9731" width="21.7109375" style="76" bestFit="1" customWidth="1"/>
    <col min="9732" max="9984" width="9.140625" style="76"/>
    <col min="9985" max="9985" width="42.5703125" style="76" bestFit="1" customWidth="1"/>
    <col min="9986" max="9986" width="14" style="76" bestFit="1" customWidth="1"/>
    <col min="9987" max="9987" width="21.7109375" style="76" bestFit="1" customWidth="1"/>
    <col min="9988" max="10240" width="9.140625" style="76"/>
    <col min="10241" max="10241" width="42.5703125" style="76" bestFit="1" customWidth="1"/>
    <col min="10242" max="10242" width="14" style="76" bestFit="1" customWidth="1"/>
    <col min="10243" max="10243" width="21.7109375" style="76" bestFit="1" customWidth="1"/>
    <col min="10244" max="10496" width="9.140625" style="76"/>
    <col min="10497" max="10497" width="42.5703125" style="76" bestFit="1" customWidth="1"/>
    <col min="10498" max="10498" width="14" style="76" bestFit="1" customWidth="1"/>
    <col min="10499" max="10499" width="21.7109375" style="76" bestFit="1" customWidth="1"/>
    <col min="10500" max="10752" width="9.140625" style="76"/>
    <col min="10753" max="10753" width="42.5703125" style="76" bestFit="1" customWidth="1"/>
    <col min="10754" max="10754" width="14" style="76" bestFit="1" customWidth="1"/>
    <col min="10755" max="10755" width="21.7109375" style="76" bestFit="1" customWidth="1"/>
    <col min="10756" max="11008" width="9.140625" style="76"/>
    <col min="11009" max="11009" width="42.5703125" style="76" bestFit="1" customWidth="1"/>
    <col min="11010" max="11010" width="14" style="76" bestFit="1" customWidth="1"/>
    <col min="11011" max="11011" width="21.7109375" style="76" bestFit="1" customWidth="1"/>
    <col min="11012" max="11264" width="9.140625" style="76"/>
    <col min="11265" max="11265" width="42.5703125" style="76" bestFit="1" customWidth="1"/>
    <col min="11266" max="11266" width="14" style="76" bestFit="1" customWidth="1"/>
    <col min="11267" max="11267" width="21.7109375" style="76" bestFit="1" customWidth="1"/>
    <col min="11268" max="11520" width="9.140625" style="76"/>
    <col min="11521" max="11521" width="42.5703125" style="76" bestFit="1" customWidth="1"/>
    <col min="11522" max="11522" width="14" style="76" bestFit="1" customWidth="1"/>
    <col min="11523" max="11523" width="21.7109375" style="76" bestFit="1" customWidth="1"/>
    <col min="11524" max="11776" width="9.140625" style="76"/>
    <col min="11777" max="11777" width="42.5703125" style="76" bestFit="1" customWidth="1"/>
    <col min="11778" max="11778" width="14" style="76" bestFit="1" customWidth="1"/>
    <col min="11779" max="11779" width="21.7109375" style="76" bestFit="1" customWidth="1"/>
    <col min="11780" max="12032" width="9.140625" style="76"/>
    <col min="12033" max="12033" width="42.5703125" style="76" bestFit="1" customWidth="1"/>
    <col min="12034" max="12034" width="14" style="76" bestFit="1" customWidth="1"/>
    <col min="12035" max="12035" width="21.7109375" style="76" bestFit="1" customWidth="1"/>
    <col min="12036" max="12288" width="9.140625" style="76"/>
    <col min="12289" max="12289" width="42.5703125" style="76" bestFit="1" customWidth="1"/>
    <col min="12290" max="12290" width="14" style="76" bestFit="1" customWidth="1"/>
    <col min="12291" max="12291" width="21.7109375" style="76" bestFit="1" customWidth="1"/>
    <col min="12292" max="12544" width="9.140625" style="76"/>
    <col min="12545" max="12545" width="42.5703125" style="76" bestFit="1" customWidth="1"/>
    <col min="12546" max="12546" width="14" style="76" bestFit="1" customWidth="1"/>
    <col min="12547" max="12547" width="21.7109375" style="76" bestFit="1" customWidth="1"/>
    <col min="12548" max="12800" width="9.140625" style="76"/>
    <col min="12801" max="12801" width="42.5703125" style="76" bestFit="1" customWidth="1"/>
    <col min="12802" max="12802" width="14" style="76" bestFit="1" customWidth="1"/>
    <col min="12803" max="12803" width="21.7109375" style="76" bestFit="1" customWidth="1"/>
    <col min="12804" max="13056" width="9.140625" style="76"/>
    <col min="13057" max="13057" width="42.5703125" style="76" bestFit="1" customWidth="1"/>
    <col min="13058" max="13058" width="14" style="76" bestFit="1" customWidth="1"/>
    <col min="13059" max="13059" width="21.7109375" style="76" bestFit="1" customWidth="1"/>
    <col min="13060" max="13312" width="9.140625" style="76"/>
    <col min="13313" max="13313" width="42.5703125" style="76" bestFit="1" customWidth="1"/>
    <col min="13314" max="13314" width="14" style="76" bestFit="1" customWidth="1"/>
    <col min="13315" max="13315" width="21.7109375" style="76" bestFit="1" customWidth="1"/>
    <col min="13316" max="13568" width="9.140625" style="76"/>
    <col min="13569" max="13569" width="42.5703125" style="76" bestFit="1" customWidth="1"/>
    <col min="13570" max="13570" width="14" style="76" bestFit="1" customWidth="1"/>
    <col min="13571" max="13571" width="21.7109375" style="76" bestFit="1" customWidth="1"/>
    <col min="13572" max="13824" width="9.140625" style="76"/>
    <col min="13825" max="13825" width="42.5703125" style="76" bestFit="1" customWidth="1"/>
    <col min="13826" max="13826" width="14" style="76" bestFit="1" customWidth="1"/>
    <col min="13827" max="13827" width="21.7109375" style="76" bestFit="1" customWidth="1"/>
    <col min="13828" max="14080" width="9.140625" style="76"/>
    <col min="14081" max="14081" width="42.5703125" style="76" bestFit="1" customWidth="1"/>
    <col min="14082" max="14082" width="14" style="76" bestFit="1" customWidth="1"/>
    <col min="14083" max="14083" width="21.7109375" style="76" bestFit="1" customWidth="1"/>
    <col min="14084" max="14336" width="9.140625" style="76"/>
    <col min="14337" max="14337" width="42.5703125" style="76" bestFit="1" customWidth="1"/>
    <col min="14338" max="14338" width="14" style="76" bestFit="1" customWidth="1"/>
    <col min="14339" max="14339" width="21.7109375" style="76" bestFit="1" customWidth="1"/>
    <col min="14340" max="14592" width="9.140625" style="76"/>
    <col min="14593" max="14593" width="42.5703125" style="76" bestFit="1" customWidth="1"/>
    <col min="14594" max="14594" width="14" style="76" bestFit="1" customWidth="1"/>
    <col min="14595" max="14595" width="21.7109375" style="76" bestFit="1" customWidth="1"/>
    <col min="14596" max="14848" width="9.140625" style="76"/>
    <col min="14849" max="14849" width="42.5703125" style="76" bestFit="1" customWidth="1"/>
    <col min="14850" max="14850" width="14" style="76" bestFit="1" customWidth="1"/>
    <col min="14851" max="14851" width="21.7109375" style="76" bestFit="1" customWidth="1"/>
    <col min="14852" max="15104" width="9.140625" style="76"/>
    <col min="15105" max="15105" width="42.5703125" style="76" bestFit="1" customWidth="1"/>
    <col min="15106" max="15106" width="14" style="76" bestFit="1" customWidth="1"/>
    <col min="15107" max="15107" width="21.7109375" style="76" bestFit="1" customWidth="1"/>
    <col min="15108" max="15360" width="9.140625" style="76"/>
    <col min="15361" max="15361" width="42.5703125" style="76" bestFit="1" customWidth="1"/>
    <col min="15362" max="15362" width="14" style="76" bestFit="1" customWidth="1"/>
    <col min="15363" max="15363" width="21.7109375" style="76" bestFit="1" customWidth="1"/>
    <col min="15364" max="15616" width="9.140625" style="76"/>
    <col min="15617" max="15617" width="42.5703125" style="76" bestFit="1" customWidth="1"/>
    <col min="15618" max="15618" width="14" style="76" bestFit="1" customWidth="1"/>
    <col min="15619" max="15619" width="21.7109375" style="76" bestFit="1" customWidth="1"/>
    <col min="15620" max="15872" width="9.140625" style="76"/>
    <col min="15873" max="15873" width="42.5703125" style="76" bestFit="1" customWidth="1"/>
    <col min="15874" max="15874" width="14" style="76" bestFit="1" customWidth="1"/>
    <col min="15875" max="15875" width="21.7109375" style="76" bestFit="1" customWidth="1"/>
    <col min="15876" max="16128" width="9.140625" style="76"/>
    <col min="16129" max="16129" width="42.5703125" style="76" bestFit="1" customWidth="1"/>
    <col min="16130" max="16130" width="14" style="76" bestFit="1" customWidth="1"/>
    <col min="16131" max="16131" width="21.7109375" style="76" bestFit="1" customWidth="1"/>
    <col min="16132" max="16384" width="9.140625" style="76"/>
  </cols>
  <sheetData>
    <row r="1" spans="1:4" ht="23.25">
      <c r="A1" s="186" t="s">
        <v>110</v>
      </c>
      <c r="B1" s="186"/>
      <c r="C1" s="186"/>
    </row>
    <row r="2" spans="1:4" ht="18">
      <c r="A2" s="176" t="s">
        <v>211</v>
      </c>
      <c r="B2" s="176"/>
      <c r="C2" s="176"/>
    </row>
    <row r="3" spans="1:4">
      <c r="A3" s="177" t="s">
        <v>212</v>
      </c>
      <c r="B3" s="177"/>
      <c r="C3" s="177"/>
    </row>
    <row r="5" spans="1:4">
      <c r="A5" s="82" t="s">
        <v>259</v>
      </c>
    </row>
    <row r="6" spans="1:4">
      <c r="A6" s="102" t="s">
        <v>113</v>
      </c>
      <c r="B6" s="79" t="s">
        <v>256</v>
      </c>
      <c r="C6" s="76" t="s">
        <v>257</v>
      </c>
      <c r="D6" s="76" t="s">
        <v>258</v>
      </c>
    </row>
    <row r="7" spans="1:4">
      <c r="A7" s="85" t="s">
        <v>213</v>
      </c>
      <c r="B7" s="79">
        <f>'Operating Budget Template'!B8</f>
        <v>500000</v>
      </c>
      <c r="C7" s="76">
        <f>'Operating Budget Template'!B9</f>
        <v>750000</v>
      </c>
      <c r="D7" s="76">
        <f>'Operating Budget Template'!B10</f>
        <v>300000</v>
      </c>
    </row>
    <row r="8" spans="1:4">
      <c r="A8" s="85" t="s">
        <v>214</v>
      </c>
      <c r="B8" s="79">
        <v>0.05</v>
      </c>
      <c r="C8" s="172">
        <v>0.05</v>
      </c>
      <c r="D8" s="172">
        <v>0.05</v>
      </c>
    </row>
    <row r="9" spans="1:4">
      <c r="A9" s="85" t="s">
        <v>120</v>
      </c>
      <c r="B9" s="79">
        <f>'Operating Budget Template'!B13</f>
        <v>25</v>
      </c>
      <c r="C9" s="76">
        <f>'Operating Budget Template'!B14</f>
        <v>12</v>
      </c>
      <c r="D9" s="76">
        <f>'Operating Budget Template'!B15</f>
        <v>18</v>
      </c>
    </row>
    <row r="11" spans="1:4" s="173" customFormat="1">
      <c r="A11" s="174" t="s">
        <v>122</v>
      </c>
      <c r="B11" s="130"/>
    </row>
    <row r="12" spans="1:4" s="173" customFormat="1">
      <c r="A12" s="175" t="s">
        <v>215</v>
      </c>
      <c r="B12" s="130">
        <v>0.1</v>
      </c>
      <c r="C12" s="173" t="s">
        <v>216</v>
      </c>
    </row>
    <row r="13" spans="1:4" s="173" customFormat="1">
      <c r="A13" s="175" t="s">
        <v>217</v>
      </c>
      <c r="B13" s="130">
        <v>15000</v>
      </c>
      <c r="C13" s="173" t="s">
        <v>218</v>
      </c>
    </row>
    <row r="14" spans="1:4" s="173" customFormat="1">
      <c r="A14" s="175" t="s">
        <v>219</v>
      </c>
      <c r="B14" s="130">
        <v>7.4</v>
      </c>
    </row>
    <row r="16" spans="1:4">
      <c r="A16" s="102" t="s">
        <v>220</v>
      </c>
    </row>
    <row r="17" spans="1:2">
      <c r="A17" s="85" t="s">
        <v>260</v>
      </c>
      <c r="B17" s="79">
        <f>'Operating Budget Template'!B26</f>
        <v>250000</v>
      </c>
    </row>
    <row r="18" spans="1:2">
      <c r="A18" s="85" t="s">
        <v>261</v>
      </c>
      <c r="B18" s="79">
        <f>'Operating Budget Template'!B27</f>
        <v>250000</v>
      </c>
    </row>
    <row r="19" spans="1:2">
      <c r="A19" s="85" t="s">
        <v>262</v>
      </c>
      <c r="B19" s="79">
        <f>'Operating Budget Template'!B28</f>
        <v>250000</v>
      </c>
    </row>
    <row r="20" spans="1:2">
      <c r="A20" s="85"/>
      <c r="B20" s="79">
        <f>'Operating Budget Template'!B29</f>
        <v>250000</v>
      </c>
    </row>
    <row r="21" spans="1:2">
      <c r="A21" s="85"/>
      <c r="B21" s="79">
        <f>'Operating Budget Template'!B30</f>
        <v>250000</v>
      </c>
    </row>
    <row r="22" spans="1:2">
      <c r="A22" s="85"/>
      <c r="B22" s="79">
        <f>'Operating Budget Template'!B31</f>
        <v>250000</v>
      </c>
    </row>
    <row r="23" spans="1:2">
      <c r="A23" s="85"/>
      <c r="B23" s="79">
        <f>'Operating Budget Template'!B32</f>
        <v>250000</v>
      </c>
    </row>
    <row r="24" spans="1:2">
      <c r="A24" s="85"/>
      <c r="B24" s="79">
        <f>'Operating Budget Template'!B33</f>
        <v>250000</v>
      </c>
    </row>
    <row r="25" spans="1:2">
      <c r="A25" s="85"/>
      <c r="B25" s="79">
        <f>'Operating Budget Template'!B34</f>
        <v>250000</v>
      </c>
    </row>
    <row r="26" spans="1:2">
      <c r="A26" s="85" t="s">
        <v>134</v>
      </c>
      <c r="B26" s="79">
        <f>'Operating Budget Template'!B35</f>
        <v>250000</v>
      </c>
    </row>
    <row r="27" spans="1:2">
      <c r="A27" s="85" t="s">
        <v>215</v>
      </c>
      <c r="B27" s="79">
        <f>'Operating Budget Template'!B36</f>
        <v>250000</v>
      </c>
    </row>
    <row r="28" spans="1:2">
      <c r="A28" s="85" t="s">
        <v>221</v>
      </c>
      <c r="B28" s="79">
        <f>'Operating Budget Template'!B37</f>
        <v>250000</v>
      </c>
    </row>
    <row r="29" spans="1:2">
      <c r="B29" s="79">
        <f>'Operating Budget Template'!B38</f>
        <v>250000</v>
      </c>
    </row>
    <row r="30" spans="1:2">
      <c r="B30" s="79">
        <f>'Operating Budget Template'!B39</f>
        <v>250000</v>
      </c>
    </row>
    <row r="31" spans="1:2">
      <c r="A31" s="102" t="s">
        <v>136</v>
      </c>
    </row>
    <row r="32" spans="1:2">
      <c r="A32" s="85" t="s">
        <v>138</v>
      </c>
      <c r="B32" s="79">
        <v>0.25</v>
      </c>
    </row>
    <row r="33" spans="1:3">
      <c r="A33" s="85" t="s">
        <v>140</v>
      </c>
      <c r="B33" s="79">
        <v>12</v>
      </c>
    </row>
    <row r="34" spans="1:3">
      <c r="A34" s="85"/>
    </row>
    <row r="36" spans="1:3">
      <c r="A36" s="102" t="s">
        <v>142</v>
      </c>
    </row>
    <row r="37" spans="1:3">
      <c r="A37" s="85" t="s">
        <v>222</v>
      </c>
      <c r="B37" s="79">
        <v>0.75</v>
      </c>
      <c r="C37" s="76" t="s">
        <v>223</v>
      </c>
    </row>
    <row r="38" spans="1:3">
      <c r="A38" s="85" t="s">
        <v>224</v>
      </c>
      <c r="B38" s="79">
        <v>0.6</v>
      </c>
      <c r="C38" s="76" t="s">
        <v>223</v>
      </c>
    </row>
    <row r="39" spans="1:3">
      <c r="A39" s="85" t="s">
        <v>225</v>
      </c>
      <c r="B39" s="79">
        <v>0.35</v>
      </c>
      <c r="C39" s="76" t="s">
        <v>223</v>
      </c>
    </row>
    <row r="40" spans="1:3">
      <c r="A40" s="85" t="s">
        <v>226</v>
      </c>
      <c r="B40" s="79">
        <v>0.2</v>
      </c>
      <c r="C40" s="76" t="s">
        <v>223</v>
      </c>
    </row>
    <row r="41" spans="1:3">
      <c r="A41" s="85" t="s">
        <v>227</v>
      </c>
      <c r="B41" s="79">
        <v>72000</v>
      </c>
      <c r="C41" s="76" t="s">
        <v>228</v>
      </c>
    </row>
    <row r="42" spans="1:3">
      <c r="A42" s="85" t="s">
        <v>229</v>
      </c>
      <c r="B42" s="79">
        <v>60000</v>
      </c>
      <c r="C42" s="76" t="s">
        <v>228</v>
      </c>
    </row>
    <row r="43" spans="1:3">
      <c r="A43" s="85" t="s">
        <v>230</v>
      </c>
      <c r="B43" s="79">
        <v>24000</v>
      </c>
      <c r="C43" s="76" t="s">
        <v>228</v>
      </c>
    </row>
    <row r="44" spans="1:3">
      <c r="A44" s="85" t="s">
        <v>231</v>
      </c>
      <c r="B44" s="79">
        <v>12000</v>
      </c>
      <c r="C44" s="76" t="s">
        <v>228</v>
      </c>
    </row>
    <row r="47" spans="1:3">
      <c r="A47" s="102" t="s">
        <v>150</v>
      </c>
    </row>
    <row r="48" spans="1:3">
      <c r="A48" s="85" t="s">
        <v>232</v>
      </c>
      <c r="B48" s="79">
        <v>0.03</v>
      </c>
      <c r="C48" s="76" t="s">
        <v>233</v>
      </c>
    </row>
    <row r="49" spans="1:3">
      <c r="A49" s="85" t="s">
        <v>234</v>
      </c>
      <c r="B49" s="79">
        <v>0.25</v>
      </c>
      <c r="C49" s="76" t="s">
        <v>235</v>
      </c>
    </row>
    <row r="50" spans="1:3">
      <c r="A50" s="85" t="s">
        <v>236</v>
      </c>
      <c r="B50" s="79">
        <v>120000</v>
      </c>
      <c r="C50" s="76" t="s">
        <v>228</v>
      </c>
    </row>
    <row r="51" spans="1:3">
      <c r="A51" s="85" t="s">
        <v>237</v>
      </c>
      <c r="B51" s="79">
        <v>70000</v>
      </c>
      <c r="C51" s="76" t="s">
        <v>228</v>
      </c>
    </row>
    <row r="52" spans="1:3">
      <c r="A52" s="85" t="s">
        <v>238</v>
      </c>
      <c r="B52" s="79">
        <v>75000</v>
      </c>
      <c r="C52" s="76" t="s">
        <v>228</v>
      </c>
    </row>
    <row r="53" spans="1:3">
      <c r="A53" s="85" t="s">
        <v>239</v>
      </c>
      <c r="B53" s="79">
        <v>6000</v>
      </c>
      <c r="C53" s="76" t="s">
        <v>228</v>
      </c>
    </row>
    <row r="54" spans="1:3">
      <c r="A54" s="85" t="s">
        <v>231</v>
      </c>
      <c r="B54" s="79">
        <v>24000</v>
      </c>
      <c r="C54" s="76" t="s">
        <v>228</v>
      </c>
    </row>
    <row r="55" spans="1:3">
      <c r="A55" s="85" t="s">
        <v>229</v>
      </c>
      <c r="B55" s="79">
        <v>72000</v>
      </c>
      <c r="C55" s="76" t="s">
        <v>228</v>
      </c>
    </row>
    <row r="58" spans="1:3">
      <c r="A58" s="102" t="s">
        <v>240</v>
      </c>
    </row>
    <row r="59" spans="1:3">
      <c r="A59" s="85" t="s">
        <v>168</v>
      </c>
      <c r="B59" s="79">
        <v>14000</v>
      </c>
      <c r="C59" s="76" t="s">
        <v>241</v>
      </c>
    </row>
    <row r="60" spans="1:3">
      <c r="A60" s="85" t="s">
        <v>242</v>
      </c>
      <c r="B60" s="79">
        <v>0.2</v>
      </c>
    </row>
    <row r="63" spans="1:3">
      <c r="A63" s="102" t="s">
        <v>243</v>
      </c>
    </row>
    <row r="64" spans="1:3">
      <c r="A64" s="85" t="s">
        <v>244</v>
      </c>
      <c r="B64" s="79">
        <v>0.4</v>
      </c>
    </row>
    <row r="65" spans="1:3">
      <c r="A65" s="85" t="s">
        <v>245</v>
      </c>
      <c r="B65" s="79">
        <v>0.6</v>
      </c>
    </row>
    <row r="68" spans="1:3">
      <c r="A68" s="102" t="s">
        <v>246</v>
      </c>
    </row>
    <row r="69" spans="1:3">
      <c r="A69" s="85" t="s">
        <v>247</v>
      </c>
      <c r="B69" s="79">
        <v>0.7</v>
      </c>
    </row>
    <row r="70" spans="1:3">
      <c r="A70" s="85" t="s">
        <v>248</v>
      </c>
      <c r="B70" s="79">
        <v>0.3</v>
      </c>
    </row>
    <row r="73" spans="1:3">
      <c r="A73" s="102" t="s">
        <v>183</v>
      </c>
    </row>
    <row r="74" spans="1:3">
      <c r="A74" s="76" t="s">
        <v>187</v>
      </c>
      <c r="B74" s="79">
        <v>5000</v>
      </c>
      <c r="C74" s="76" t="s">
        <v>249</v>
      </c>
    </row>
    <row r="75" spans="1:3">
      <c r="A75" s="76" t="s">
        <v>250</v>
      </c>
      <c r="B75" s="79">
        <v>50000</v>
      </c>
      <c r="C75" s="76" t="s">
        <v>251</v>
      </c>
    </row>
    <row r="77" spans="1:3">
      <c r="A77" s="102" t="s">
        <v>252</v>
      </c>
    </row>
    <row r="78" spans="1:3">
      <c r="A78" s="102"/>
    </row>
    <row r="79" spans="1:3">
      <c r="A79" s="102" t="s">
        <v>197</v>
      </c>
    </row>
    <row r="80" spans="1:3">
      <c r="A80" s="105" t="s">
        <v>198</v>
      </c>
      <c r="B80" s="79">
        <v>120000</v>
      </c>
    </row>
    <row r="81" spans="1:2">
      <c r="A81" s="85" t="s">
        <v>199</v>
      </c>
      <c r="B81" s="79">
        <v>800000</v>
      </c>
    </row>
    <row r="82" spans="1:2">
      <c r="A82" s="85" t="s">
        <v>200</v>
      </c>
      <c r="B82" s="79">
        <f>B13*B14</f>
        <v>111000</v>
      </c>
    </row>
    <row r="83" spans="1:2">
      <c r="A83" s="85" t="s">
        <v>253</v>
      </c>
      <c r="B83" s="79">
        <f>B28*B26</f>
        <v>62500000000</v>
      </c>
    </row>
    <row r="84" spans="1:2">
      <c r="A84" s="85" t="s">
        <v>201</v>
      </c>
      <c r="B84" s="79">
        <v>5000</v>
      </c>
    </row>
    <row r="85" spans="1:2">
      <c r="A85" s="85" t="s">
        <v>202</v>
      </c>
      <c r="B85" s="79">
        <v>150000</v>
      </c>
    </row>
    <row r="86" spans="1:2">
      <c r="A86" s="85" t="s">
        <v>203</v>
      </c>
      <c r="B86" s="79">
        <v>30000</v>
      </c>
    </row>
    <row r="87" spans="1:2">
      <c r="A87" s="106" t="s">
        <v>204</v>
      </c>
      <c r="B87" s="167">
        <f>SUM(B80:B85)-B86</f>
        <v>62501156000</v>
      </c>
    </row>
    <row r="88" spans="1:2">
      <c r="A88" s="102"/>
    </row>
    <row r="89" spans="1:2">
      <c r="A89" s="102" t="s">
        <v>205</v>
      </c>
    </row>
    <row r="90" spans="1:2">
      <c r="A90" s="102"/>
    </row>
    <row r="91" spans="1:2">
      <c r="A91" s="85" t="s">
        <v>206</v>
      </c>
      <c r="B91" s="79">
        <v>165000</v>
      </c>
    </row>
    <row r="92" spans="1:2">
      <c r="A92" s="85" t="s">
        <v>207</v>
      </c>
      <c r="B92" s="79">
        <v>250000</v>
      </c>
    </row>
    <row r="93" spans="1:2">
      <c r="A93" s="85" t="s">
        <v>208</v>
      </c>
      <c r="B93" s="79">
        <v>500000</v>
      </c>
    </row>
    <row r="94" spans="1:2">
      <c r="A94" s="85" t="s">
        <v>254</v>
      </c>
      <c r="B94" s="79">
        <f>B87-SUM(B91:B93)</f>
        <v>62500241000</v>
      </c>
    </row>
    <row r="95" spans="1:2">
      <c r="A95" s="106" t="s">
        <v>210</v>
      </c>
      <c r="B95" s="167">
        <f>SUM(B91:B94)</f>
        <v>62501156000</v>
      </c>
    </row>
  </sheetData>
  <mergeCells count="3">
    <mergeCell ref="A1:C1"/>
    <mergeCell ref="A2:C2"/>
    <mergeCell ref="A3:C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4"/>
  <sheetViews>
    <sheetView showGridLines="0" topLeftCell="A73" workbookViewId="0">
      <selection activeCell="C86" sqref="C86"/>
    </sheetView>
  </sheetViews>
  <sheetFormatPr defaultColWidth="10" defaultRowHeight="15"/>
  <cols>
    <col min="1" max="1" width="52.42578125" style="76" customWidth="1"/>
    <col min="2" max="2" width="14.28515625" style="77" bestFit="1" customWidth="1"/>
    <col min="3" max="3" width="21.7109375" style="78" bestFit="1" customWidth="1"/>
    <col min="4" max="4" width="13.85546875" style="78" customWidth="1"/>
    <col min="5" max="5" width="0" style="189" hidden="1" customWidth="1"/>
    <col min="6" max="17" width="12.140625" style="190" hidden="1" customWidth="1"/>
    <col min="18" max="23" width="0" style="189" hidden="1" customWidth="1"/>
    <col min="24" max="32" width="0" style="76" hidden="1" customWidth="1"/>
    <col min="33" max="256" width="9.140625" style="76"/>
    <col min="257" max="257" width="42.5703125" style="76" bestFit="1" customWidth="1"/>
    <col min="258" max="258" width="14" style="76" bestFit="1" customWidth="1"/>
    <col min="259" max="259" width="21.7109375" style="76" bestFit="1" customWidth="1"/>
    <col min="260" max="512" width="9.140625" style="76"/>
    <col min="513" max="513" width="42.5703125" style="76" bestFit="1" customWidth="1"/>
    <col min="514" max="514" width="14" style="76" bestFit="1" customWidth="1"/>
    <col min="515" max="515" width="21.7109375" style="76" bestFit="1" customWidth="1"/>
    <col min="516" max="768" width="9.140625" style="76"/>
    <col min="769" max="769" width="42.5703125" style="76" bestFit="1" customWidth="1"/>
    <col min="770" max="770" width="14" style="76" bestFit="1" customWidth="1"/>
    <col min="771" max="771" width="21.7109375" style="76" bestFit="1" customWidth="1"/>
    <col min="772" max="1024" width="9.140625" style="76"/>
    <col min="1025" max="1025" width="42.5703125" style="76" bestFit="1" customWidth="1"/>
    <col min="1026" max="1026" width="14" style="76" bestFit="1" customWidth="1"/>
    <col min="1027" max="1027" width="21.7109375" style="76" bestFit="1" customWidth="1"/>
    <col min="1028" max="1280" width="9.140625" style="76"/>
    <col min="1281" max="1281" width="42.5703125" style="76" bestFit="1" customWidth="1"/>
    <col min="1282" max="1282" width="14" style="76" bestFit="1" customWidth="1"/>
    <col min="1283" max="1283" width="21.7109375" style="76" bestFit="1" customWidth="1"/>
    <col min="1284" max="1536" width="9.140625" style="76"/>
    <col min="1537" max="1537" width="42.5703125" style="76" bestFit="1" customWidth="1"/>
    <col min="1538" max="1538" width="14" style="76" bestFit="1" customWidth="1"/>
    <col min="1539" max="1539" width="21.7109375" style="76" bestFit="1" customWidth="1"/>
    <col min="1540" max="1792" width="9.140625" style="76"/>
    <col min="1793" max="1793" width="42.5703125" style="76" bestFit="1" customWidth="1"/>
    <col min="1794" max="1794" width="14" style="76" bestFit="1" customWidth="1"/>
    <col min="1795" max="1795" width="21.7109375" style="76" bestFit="1" customWidth="1"/>
    <col min="1796" max="2048" width="9.140625" style="76"/>
    <col min="2049" max="2049" width="42.5703125" style="76" bestFit="1" customWidth="1"/>
    <col min="2050" max="2050" width="14" style="76" bestFit="1" customWidth="1"/>
    <col min="2051" max="2051" width="21.7109375" style="76" bestFit="1" customWidth="1"/>
    <col min="2052" max="2304" width="9.140625" style="76"/>
    <col min="2305" max="2305" width="42.5703125" style="76" bestFit="1" customWidth="1"/>
    <col min="2306" max="2306" width="14" style="76" bestFit="1" customWidth="1"/>
    <col min="2307" max="2307" width="21.7109375" style="76" bestFit="1" customWidth="1"/>
    <col min="2308" max="2560" width="9.140625" style="76"/>
    <col min="2561" max="2561" width="42.5703125" style="76" bestFit="1" customWidth="1"/>
    <col min="2562" max="2562" width="14" style="76" bestFit="1" customWidth="1"/>
    <col min="2563" max="2563" width="21.7109375" style="76" bestFit="1" customWidth="1"/>
    <col min="2564" max="2816" width="9.140625" style="76"/>
    <col min="2817" max="2817" width="42.5703125" style="76" bestFit="1" customWidth="1"/>
    <col min="2818" max="2818" width="14" style="76" bestFit="1" customWidth="1"/>
    <col min="2819" max="2819" width="21.7109375" style="76" bestFit="1" customWidth="1"/>
    <col min="2820" max="3072" width="9.140625" style="76"/>
    <col min="3073" max="3073" width="42.5703125" style="76" bestFit="1" customWidth="1"/>
    <col min="3074" max="3074" width="14" style="76" bestFit="1" customWidth="1"/>
    <col min="3075" max="3075" width="21.7109375" style="76" bestFit="1" customWidth="1"/>
    <col min="3076" max="3328" width="9.140625" style="76"/>
    <col min="3329" max="3329" width="42.5703125" style="76" bestFit="1" customWidth="1"/>
    <col min="3330" max="3330" width="14" style="76" bestFit="1" customWidth="1"/>
    <col min="3331" max="3331" width="21.7109375" style="76" bestFit="1" customWidth="1"/>
    <col min="3332" max="3584" width="9.140625" style="76"/>
    <col min="3585" max="3585" width="42.5703125" style="76" bestFit="1" customWidth="1"/>
    <col min="3586" max="3586" width="14" style="76" bestFit="1" customWidth="1"/>
    <col min="3587" max="3587" width="21.7109375" style="76" bestFit="1" customWidth="1"/>
    <col min="3588" max="3840" width="9.140625" style="76"/>
    <col min="3841" max="3841" width="42.5703125" style="76" bestFit="1" customWidth="1"/>
    <col min="3842" max="3842" width="14" style="76" bestFit="1" customWidth="1"/>
    <col min="3843" max="3843" width="21.7109375" style="76" bestFit="1" customWidth="1"/>
    <col min="3844" max="4096" width="9.140625" style="76"/>
    <col min="4097" max="4097" width="42.5703125" style="76" bestFit="1" customWidth="1"/>
    <col min="4098" max="4098" width="14" style="76" bestFit="1" customWidth="1"/>
    <col min="4099" max="4099" width="21.7109375" style="76" bestFit="1" customWidth="1"/>
    <col min="4100" max="4352" width="9.140625" style="76"/>
    <col min="4353" max="4353" width="42.5703125" style="76" bestFit="1" customWidth="1"/>
    <col min="4354" max="4354" width="14" style="76" bestFit="1" customWidth="1"/>
    <col min="4355" max="4355" width="21.7109375" style="76" bestFit="1" customWidth="1"/>
    <col min="4356" max="4608" width="9.140625" style="76"/>
    <col min="4609" max="4609" width="42.5703125" style="76" bestFit="1" customWidth="1"/>
    <col min="4610" max="4610" width="14" style="76" bestFit="1" customWidth="1"/>
    <col min="4611" max="4611" width="21.7109375" style="76" bestFit="1" customWidth="1"/>
    <col min="4612" max="4864" width="9.140625" style="76"/>
    <col min="4865" max="4865" width="42.5703125" style="76" bestFit="1" customWidth="1"/>
    <col min="4866" max="4866" width="14" style="76" bestFit="1" customWidth="1"/>
    <col min="4867" max="4867" width="21.7109375" style="76" bestFit="1" customWidth="1"/>
    <col min="4868" max="5120" width="9.140625" style="76"/>
    <col min="5121" max="5121" width="42.5703125" style="76" bestFit="1" customWidth="1"/>
    <col min="5122" max="5122" width="14" style="76" bestFit="1" customWidth="1"/>
    <col min="5123" max="5123" width="21.7109375" style="76" bestFit="1" customWidth="1"/>
    <col min="5124" max="5376" width="9.140625" style="76"/>
    <col min="5377" max="5377" width="42.5703125" style="76" bestFit="1" customWidth="1"/>
    <col min="5378" max="5378" width="14" style="76" bestFit="1" customWidth="1"/>
    <col min="5379" max="5379" width="21.7109375" style="76" bestFit="1" customWidth="1"/>
    <col min="5380" max="5632" width="9.140625" style="76"/>
    <col min="5633" max="5633" width="42.5703125" style="76" bestFit="1" customWidth="1"/>
    <col min="5634" max="5634" width="14" style="76" bestFit="1" customWidth="1"/>
    <col min="5635" max="5635" width="21.7109375" style="76" bestFit="1" customWidth="1"/>
    <col min="5636" max="5888" width="9.140625" style="76"/>
    <col min="5889" max="5889" width="42.5703125" style="76" bestFit="1" customWidth="1"/>
    <col min="5890" max="5890" width="14" style="76" bestFit="1" customWidth="1"/>
    <col min="5891" max="5891" width="21.7109375" style="76" bestFit="1" customWidth="1"/>
    <col min="5892" max="6144" width="9.140625" style="76"/>
    <col min="6145" max="6145" width="42.5703125" style="76" bestFit="1" customWidth="1"/>
    <col min="6146" max="6146" width="14" style="76" bestFit="1" customWidth="1"/>
    <col min="6147" max="6147" width="21.7109375" style="76" bestFit="1" customWidth="1"/>
    <col min="6148" max="6400" width="9.140625" style="76"/>
    <col min="6401" max="6401" width="42.5703125" style="76" bestFit="1" customWidth="1"/>
    <col min="6402" max="6402" width="14" style="76" bestFit="1" customWidth="1"/>
    <col min="6403" max="6403" width="21.7109375" style="76" bestFit="1" customWidth="1"/>
    <col min="6404" max="6656" width="9.140625" style="76"/>
    <col min="6657" max="6657" width="42.5703125" style="76" bestFit="1" customWidth="1"/>
    <col min="6658" max="6658" width="14" style="76" bestFit="1" customWidth="1"/>
    <col min="6659" max="6659" width="21.7109375" style="76" bestFit="1" customWidth="1"/>
    <col min="6660" max="6912" width="9.140625" style="76"/>
    <col min="6913" max="6913" width="42.5703125" style="76" bestFit="1" customWidth="1"/>
    <col min="6914" max="6914" width="14" style="76" bestFit="1" customWidth="1"/>
    <col min="6915" max="6915" width="21.7109375" style="76" bestFit="1" customWidth="1"/>
    <col min="6916" max="7168" width="9.140625" style="76"/>
    <col min="7169" max="7169" width="42.5703125" style="76" bestFit="1" customWidth="1"/>
    <col min="7170" max="7170" width="14" style="76" bestFit="1" customWidth="1"/>
    <col min="7171" max="7171" width="21.7109375" style="76" bestFit="1" customWidth="1"/>
    <col min="7172" max="7424" width="9.140625" style="76"/>
    <col min="7425" max="7425" width="42.5703125" style="76" bestFit="1" customWidth="1"/>
    <col min="7426" max="7426" width="14" style="76" bestFit="1" customWidth="1"/>
    <col min="7427" max="7427" width="21.7109375" style="76" bestFit="1" customWidth="1"/>
    <col min="7428" max="7680" width="9.140625" style="76"/>
    <col min="7681" max="7681" width="42.5703125" style="76" bestFit="1" customWidth="1"/>
    <col min="7682" max="7682" width="14" style="76" bestFit="1" customWidth="1"/>
    <col min="7683" max="7683" width="21.7109375" style="76" bestFit="1" customWidth="1"/>
    <col min="7684" max="7936" width="9.140625" style="76"/>
    <col min="7937" max="7937" width="42.5703125" style="76" bestFit="1" customWidth="1"/>
    <col min="7938" max="7938" width="14" style="76" bestFit="1" customWidth="1"/>
    <col min="7939" max="7939" width="21.7109375" style="76" bestFit="1" customWidth="1"/>
    <col min="7940" max="8192" width="9.140625" style="76"/>
    <col min="8193" max="8193" width="42.5703125" style="76" bestFit="1" customWidth="1"/>
    <col min="8194" max="8194" width="14" style="76" bestFit="1" customWidth="1"/>
    <col min="8195" max="8195" width="21.7109375" style="76" bestFit="1" customWidth="1"/>
    <col min="8196" max="8448" width="9.140625" style="76"/>
    <col min="8449" max="8449" width="42.5703125" style="76" bestFit="1" customWidth="1"/>
    <col min="8450" max="8450" width="14" style="76" bestFit="1" customWidth="1"/>
    <col min="8451" max="8451" width="21.7109375" style="76" bestFit="1" customWidth="1"/>
    <col min="8452" max="8704" width="9.140625" style="76"/>
    <col min="8705" max="8705" width="42.5703125" style="76" bestFit="1" customWidth="1"/>
    <col min="8706" max="8706" width="14" style="76" bestFit="1" customWidth="1"/>
    <col min="8707" max="8707" width="21.7109375" style="76" bestFit="1" customWidth="1"/>
    <col min="8708" max="8960" width="9.140625" style="76"/>
    <col min="8961" max="8961" width="42.5703125" style="76" bestFit="1" customWidth="1"/>
    <col min="8962" max="8962" width="14" style="76" bestFit="1" customWidth="1"/>
    <col min="8963" max="8963" width="21.7109375" style="76" bestFit="1" customWidth="1"/>
    <col min="8964" max="9216" width="9.140625" style="76"/>
    <col min="9217" max="9217" width="42.5703125" style="76" bestFit="1" customWidth="1"/>
    <col min="9218" max="9218" width="14" style="76" bestFit="1" customWidth="1"/>
    <col min="9219" max="9219" width="21.7109375" style="76" bestFit="1" customWidth="1"/>
    <col min="9220" max="9472" width="9.140625" style="76"/>
    <col min="9473" max="9473" width="42.5703125" style="76" bestFit="1" customWidth="1"/>
    <col min="9474" max="9474" width="14" style="76" bestFit="1" customWidth="1"/>
    <col min="9475" max="9475" width="21.7109375" style="76" bestFit="1" customWidth="1"/>
    <col min="9476" max="9728" width="9.140625" style="76"/>
    <col min="9729" max="9729" width="42.5703125" style="76" bestFit="1" customWidth="1"/>
    <col min="9730" max="9730" width="14" style="76" bestFit="1" customWidth="1"/>
    <col min="9731" max="9731" width="21.7109375" style="76" bestFit="1" customWidth="1"/>
    <col min="9732" max="9984" width="9.140625" style="76"/>
    <col min="9985" max="9985" width="42.5703125" style="76" bestFit="1" customWidth="1"/>
    <col min="9986" max="9986" width="14" style="76" bestFit="1" customWidth="1"/>
    <col min="9987" max="9987" width="21.7109375" style="76" bestFit="1" customWidth="1"/>
    <col min="9988" max="10240" width="9.140625" style="76"/>
    <col min="10241" max="10241" width="42.5703125" style="76" bestFit="1" customWidth="1"/>
    <col min="10242" max="10242" width="14" style="76" bestFit="1" customWidth="1"/>
    <col min="10243" max="10243" width="21.7109375" style="76" bestFit="1" customWidth="1"/>
    <col min="10244" max="10496" width="9.140625" style="76"/>
    <col min="10497" max="10497" width="42.5703125" style="76" bestFit="1" customWidth="1"/>
    <col min="10498" max="10498" width="14" style="76" bestFit="1" customWidth="1"/>
    <col min="10499" max="10499" width="21.7109375" style="76" bestFit="1" customWidth="1"/>
    <col min="10500" max="10752" width="9.140625" style="76"/>
    <col min="10753" max="10753" width="42.5703125" style="76" bestFit="1" customWidth="1"/>
    <col min="10754" max="10754" width="14" style="76" bestFit="1" customWidth="1"/>
    <col min="10755" max="10755" width="21.7109375" style="76" bestFit="1" customWidth="1"/>
    <col min="10756" max="11008" width="9.140625" style="76"/>
    <col min="11009" max="11009" width="42.5703125" style="76" bestFit="1" customWidth="1"/>
    <col min="11010" max="11010" width="14" style="76" bestFit="1" customWidth="1"/>
    <col min="11011" max="11011" width="21.7109375" style="76" bestFit="1" customWidth="1"/>
    <col min="11012" max="11264" width="9.140625" style="76"/>
    <col min="11265" max="11265" width="42.5703125" style="76" bestFit="1" customWidth="1"/>
    <col min="11266" max="11266" width="14" style="76" bestFit="1" customWidth="1"/>
    <col min="11267" max="11267" width="21.7109375" style="76" bestFit="1" customWidth="1"/>
    <col min="11268" max="11520" width="9.140625" style="76"/>
    <col min="11521" max="11521" width="42.5703125" style="76" bestFit="1" customWidth="1"/>
    <col min="11522" max="11522" width="14" style="76" bestFit="1" customWidth="1"/>
    <col min="11523" max="11523" width="21.7109375" style="76" bestFit="1" customWidth="1"/>
    <col min="11524" max="11776" width="9.140625" style="76"/>
    <col min="11777" max="11777" width="42.5703125" style="76" bestFit="1" customWidth="1"/>
    <col min="11778" max="11778" width="14" style="76" bestFit="1" customWidth="1"/>
    <col min="11779" max="11779" width="21.7109375" style="76" bestFit="1" customWidth="1"/>
    <col min="11780" max="12032" width="9.140625" style="76"/>
    <col min="12033" max="12033" width="42.5703125" style="76" bestFit="1" customWidth="1"/>
    <col min="12034" max="12034" width="14" style="76" bestFit="1" customWidth="1"/>
    <col min="12035" max="12035" width="21.7109375" style="76" bestFit="1" customWidth="1"/>
    <col min="12036" max="12288" width="9.140625" style="76"/>
    <col min="12289" max="12289" width="42.5703125" style="76" bestFit="1" customWidth="1"/>
    <col min="12290" max="12290" width="14" style="76" bestFit="1" customWidth="1"/>
    <col min="12291" max="12291" width="21.7109375" style="76" bestFit="1" customWidth="1"/>
    <col min="12292" max="12544" width="9.140625" style="76"/>
    <col min="12545" max="12545" width="42.5703125" style="76" bestFit="1" customWidth="1"/>
    <col min="12546" max="12546" width="14" style="76" bestFit="1" customWidth="1"/>
    <col min="12547" max="12547" width="21.7109375" style="76" bestFit="1" customWidth="1"/>
    <col min="12548" max="12800" width="9.140625" style="76"/>
    <col min="12801" max="12801" width="42.5703125" style="76" bestFit="1" customWidth="1"/>
    <col min="12802" max="12802" width="14" style="76" bestFit="1" customWidth="1"/>
    <col min="12803" max="12803" width="21.7109375" style="76" bestFit="1" customWidth="1"/>
    <col min="12804" max="13056" width="9.140625" style="76"/>
    <col min="13057" max="13057" width="42.5703125" style="76" bestFit="1" customWidth="1"/>
    <col min="13058" max="13058" width="14" style="76" bestFit="1" customWidth="1"/>
    <col min="13059" max="13059" width="21.7109375" style="76" bestFit="1" customWidth="1"/>
    <col min="13060" max="13312" width="9.140625" style="76"/>
    <col min="13313" max="13313" width="42.5703125" style="76" bestFit="1" customWidth="1"/>
    <col min="13314" max="13314" width="14" style="76" bestFit="1" customWidth="1"/>
    <col min="13315" max="13315" width="21.7109375" style="76" bestFit="1" customWidth="1"/>
    <col min="13316" max="13568" width="9.140625" style="76"/>
    <col min="13569" max="13569" width="42.5703125" style="76" bestFit="1" customWidth="1"/>
    <col min="13570" max="13570" width="14" style="76" bestFit="1" customWidth="1"/>
    <col min="13571" max="13571" width="21.7109375" style="76" bestFit="1" customWidth="1"/>
    <col min="13572" max="13824" width="9.140625" style="76"/>
    <col min="13825" max="13825" width="42.5703125" style="76" bestFit="1" customWidth="1"/>
    <col min="13826" max="13826" width="14" style="76" bestFit="1" customWidth="1"/>
    <col min="13827" max="13827" width="21.7109375" style="76" bestFit="1" customWidth="1"/>
    <col min="13828" max="14080" width="9.140625" style="76"/>
    <col min="14081" max="14081" width="42.5703125" style="76" bestFit="1" customWidth="1"/>
    <col min="14082" max="14082" width="14" style="76" bestFit="1" customWidth="1"/>
    <col min="14083" max="14083" width="21.7109375" style="76" bestFit="1" customWidth="1"/>
    <col min="14084" max="14336" width="9.140625" style="76"/>
    <col min="14337" max="14337" width="42.5703125" style="76" bestFit="1" customWidth="1"/>
    <col min="14338" max="14338" width="14" style="76" bestFit="1" customWidth="1"/>
    <col min="14339" max="14339" width="21.7109375" style="76" bestFit="1" customWidth="1"/>
    <col min="14340" max="14592" width="9.140625" style="76"/>
    <col min="14593" max="14593" width="42.5703125" style="76" bestFit="1" customWidth="1"/>
    <col min="14594" max="14594" width="14" style="76" bestFit="1" customWidth="1"/>
    <col min="14595" max="14595" width="21.7109375" style="76" bestFit="1" customWidth="1"/>
    <col min="14596" max="14848" width="9.140625" style="76"/>
    <col min="14849" max="14849" width="42.5703125" style="76" bestFit="1" customWidth="1"/>
    <col min="14850" max="14850" width="14" style="76" bestFit="1" customWidth="1"/>
    <col min="14851" max="14851" width="21.7109375" style="76" bestFit="1" customWidth="1"/>
    <col min="14852" max="15104" width="9.140625" style="76"/>
    <col min="15105" max="15105" width="42.5703125" style="76" bestFit="1" customWidth="1"/>
    <col min="15106" max="15106" width="14" style="76" bestFit="1" customWidth="1"/>
    <col min="15107" max="15107" width="21.7109375" style="76" bestFit="1" customWidth="1"/>
    <col min="15108" max="15360" width="9.140625" style="76"/>
    <col min="15361" max="15361" width="42.5703125" style="76" bestFit="1" customWidth="1"/>
    <col min="15362" max="15362" width="14" style="76" bestFit="1" customWidth="1"/>
    <col min="15363" max="15363" width="21.7109375" style="76" bestFit="1" customWidth="1"/>
    <col min="15364" max="15616" width="9.140625" style="76"/>
    <col min="15617" max="15617" width="42.5703125" style="76" bestFit="1" customWidth="1"/>
    <col min="15618" max="15618" width="14" style="76" bestFit="1" customWidth="1"/>
    <col min="15619" max="15619" width="21.7109375" style="76" bestFit="1" customWidth="1"/>
    <col min="15620" max="15872" width="9.140625" style="76"/>
    <col min="15873" max="15873" width="42.5703125" style="76" bestFit="1" customWidth="1"/>
    <col min="15874" max="15874" width="14" style="76" bestFit="1" customWidth="1"/>
    <col min="15875" max="15875" width="21.7109375" style="76" bestFit="1" customWidth="1"/>
    <col min="15876" max="16128" width="9.140625" style="76"/>
    <col min="16129" max="16129" width="42.5703125" style="76" bestFit="1" customWidth="1"/>
    <col min="16130" max="16130" width="14" style="76" bestFit="1" customWidth="1"/>
    <col min="16131" max="16131" width="21.7109375" style="76" bestFit="1" customWidth="1"/>
    <col min="16132" max="16384" width="9.140625" style="76"/>
  </cols>
  <sheetData>
    <row r="1" spans="1:23" ht="23.25">
      <c r="A1" s="80" t="s">
        <v>255</v>
      </c>
      <c r="B1" s="80"/>
      <c r="C1" s="80"/>
    </row>
    <row r="2" spans="1:23" ht="18">
      <c r="A2" s="176" t="s">
        <v>273</v>
      </c>
      <c r="B2" s="176"/>
      <c r="C2" s="176"/>
    </row>
    <row r="3" spans="1:23">
      <c r="A3" s="177" t="s">
        <v>212</v>
      </c>
      <c r="B3" s="177"/>
      <c r="C3" s="177"/>
    </row>
    <row r="4" spans="1:23">
      <c r="A4" s="178" t="s">
        <v>281</v>
      </c>
      <c r="B4" s="178"/>
      <c r="C4" s="178"/>
      <c r="D4" s="178"/>
      <c r="E4" s="178"/>
      <c r="F4" s="178"/>
      <c r="G4" s="178"/>
    </row>
    <row r="5" spans="1:23" ht="15.75" customHeight="1">
      <c r="A5" s="178" t="s">
        <v>280</v>
      </c>
      <c r="B5" s="178"/>
      <c r="C5" s="178"/>
      <c r="D5" s="178"/>
      <c r="E5" s="178"/>
      <c r="F5" s="178"/>
      <c r="G5" s="178"/>
      <c r="H5" s="190" t="s">
        <v>308</v>
      </c>
    </row>
    <row r="6" spans="1:23" ht="17.25" customHeight="1">
      <c r="A6" s="178" t="s">
        <v>278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</row>
    <row r="7" spans="1:23" ht="17.25" customHeight="1">
      <c r="A7" s="178" t="s">
        <v>279</v>
      </c>
      <c r="B7" s="178"/>
      <c r="C7" s="178"/>
      <c r="D7" s="178"/>
      <c r="E7" s="178"/>
      <c r="F7" s="191" t="s">
        <v>284</v>
      </c>
      <c r="G7" s="191" t="s">
        <v>286</v>
      </c>
      <c r="H7" s="191" t="s">
        <v>285</v>
      </c>
      <c r="I7" s="191" t="s">
        <v>284</v>
      </c>
      <c r="J7" s="191" t="s">
        <v>286</v>
      </c>
      <c r="K7" s="191" t="s">
        <v>285</v>
      </c>
      <c r="L7" s="191" t="s">
        <v>284</v>
      </c>
      <c r="M7" s="191" t="s">
        <v>286</v>
      </c>
      <c r="N7" s="191" t="s">
        <v>285</v>
      </c>
      <c r="O7" s="191" t="s">
        <v>284</v>
      </c>
      <c r="P7" s="191" t="s">
        <v>286</v>
      </c>
      <c r="Q7" s="191" t="s">
        <v>285</v>
      </c>
    </row>
    <row r="8" spans="1:23">
      <c r="A8" s="82" t="s">
        <v>259</v>
      </c>
      <c r="F8" s="192">
        <f>B10</f>
        <v>500000</v>
      </c>
      <c r="G8" s="192">
        <f>C10</f>
        <v>750000</v>
      </c>
      <c r="H8" s="192">
        <f>D10</f>
        <v>300000</v>
      </c>
      <c r="I8" s="192">
        <f t="shared" ref="I8:Q8" si="0">F8*1.05</f>
        <v>525000</v>
      </c>
      <c r="J8" s="192">
        <f t="shared" si="0"/>
        <v>787500</v>
      </c>
      <c r="K8" s="192">
        <f t="shared" si="0"/>
        <v>315000</v>
      </c>
      <c r="L8" s="192">
        <f t="shared" si="0"/>
        <v>551250</v>
      </c>
      <c r="M8" s="192">
        <f t="shared" si="0"/>
        <v>826875</v>
      </c>
      <c r="N8" s="192">
        <f t="shared" si="0"/>
        <v>330750</v>
      </c>
      <c r="O8" s="192">
        <f t="shared" si="0"/>
        <v>578812.5</v>
      </c>
      <c r="P8" s="192">
        <f t="shared" si="0"/>
        <v>868218.75</v>
      </c>
      <c r="Q8" s="192">
        <f t="shared" si="0"/>
        <v>347287.5</v>
      </c>
    </row>
    <row r="9" spans="1:23" s="82" customFormat="1">
      <c r="A9" s="81" t="s">
        <v>113</v>
      </c>
      <c r="B9" s="84" t="s">
        <v>284</v>
      </c>
      <c r="C9" s="82" t="s">
        <v>286</v>
      </c>
      <c r="D9" s="82" t="s">
        <v>285</v>
      </c>
      <c r="E9" s="193"/>
      <c r="F9" s="194" t="s">
        <v>294</v>
      </c>
      <c r="G9" s="194"/>
      <c r="H9" s="194"/>
      <c r="I9" s="194" t="s">
        <v>295</v>
      </c>
      <c r="J9" s="194"/>
      <c r="K9" s="194"/>
      <c r="L9" s="194" t="s">
        <v>296</v>
      </c>
      <c r="M9" s="194"/>
      <c r="N9" s="194"/>
      <c r="O9" s="194" t="s">
        <v>297</v>
      </c>
      <c r="P9" s="194"/>
      <c r="Q9" s="194"/>
      <c r="R9" s="193"/>
      <c r="S9" s="193"/>
      <c r="T9" s="193"/>
      <c r="U9" s="193"/>
      <c r="V9" s="193"/>
      <c r="W9" s="193"/>
    </row>
    <row r="10" spans="1:23">
      <c r="A10" s="85" t="s">
        <v>213</v>
      </c>
      <c r="B10" s="77">
        <f>'Operating Budget Template'!B8</f>
        <v>500000</v>
      </c>
      <c r="C10" s="78">
        <f>'Operating Budget Template'!B9</f>
        <v>750000</v>
      </c>
      <c r="D10" s="78">
        <f>'Operating Budget Template'!B10</f>
        <v>300000</v>
      </c>
      <c r="F10" s="190">
        <f>B10/3</f>
        <v>166666.66666666666</v>
      </c>
      <c r="G10" s="190">
        <f>C10/3</f>
        <v>250000</v>
      </c>
      <c r="H10" s="190">
        <f>D10/3</f>
        <v>100000</v>
      </c>
      <c r="I10" s="190">
        <f>I8/3</f>
        <v>175000</v>
      </c>
      <c r="J10" s="190">
        <f>J8/3</f>
        <v>262500</v>
      </c>
      <c r="K10" s="190">
        <f>K8/3</f>
        <v>105000</v>
      </c>
      <c r="L10" s="190">
        <f>L8/3</f>
        <v>183750</v>
      </c>
      <c r="M10" s="190">
        <f t="shared" ref="M10:O10" si="1">M8/3</f>
        <v>275625</v>
      </c>
      <c r="N10" s="190">
        <f t="shared" si="1"/>
        <v>110250</v>
      </c>
      <c r="O10" s="190">
        <f t="shared" si="1"/>
        <v>192937.5</v>
      </c>
      <c r="P10" s="190">
        <f>P8/3</f>
        <v>289406.25</v>
      </c>
      <c r="Q10" s="190">
        <f>Q8/3</f>
        <v>115762.5</v>
      </c>
    </row>
    <row r="11" spans="1:23">
      <c r="A11" s="85" t="s">
        <v>214</v>
      </c>
      <c r="B11" s="86">
        <v>0.05</v>
      </c>
      <c r="C11" s="87">
        <v>0.05</v>
      </c>
      <c r="D11" s="87">
        <v>0.05</v>
      </c>
    </row>
    <row r="12" spans="1:23">
      <c r="A12" s="85" t="s">
        <v>120</v>
      </c>
      <c r="B12" s="77">
        <f>'Operating Budget Template'!B13</f>
        <v>25</v>
      </c>
      <c r="C12" s="78">
        <f>'Operating Budget Template'!B14</f>
        <v>12</v>
      </c>
      <c r="D12" s="78">
        <f>'Operating Budget Template'!B15</f>
        <v>18</v>
      </c>
    </row>
    <row r="14" spans="1:23" s="88" customFormat="1">
      <c r="A14" s="89" t="s">
        <v>220</v>
      </c>
      <c r="B14" s="90"/>
      <c r="C14" s="91"/>
      <c r="D14" s="91"/>
      <c r="E14" s="189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89"/>
      <c r="S14" s="189"/>
      <c r="T14" s="189"/>
      <c r="U14" s="189"/>
      <c r="V14" s="189"/>
      <c r="W14" s="189"/>
    </row>
    <row r="15" spans="1:23" s="88" customFormat="1">
      <c r="A15" s="92" t="s">
        <v>260</v>
      </c>
      <c r="B15" s="90">
        <v>0.5</v>
      </c>
      <c r="C15" s="90">
        <v>0.33333333333333331</v>
      </c>
      <c r="D15" s="90">
        <v>0.83333333333333337</v>
      </c>
      <c r="E15" s="189"/>
      <c r="F15" s="190">
        <f>B15*F8</f>
        <v>250000</v>
      </c>
      <c r="G15" s="190">
        <f>G8*C15</f>
        <v>250000</v>
      </c>
      <c r="H15" s="190">
        <f>D15*H8</f>
        <v>250000</v>
      </c>
      <c r="I15" s="190">
        <f>I8*B15</f>
        <v>262500</v>
      </c>
      <c r="J15" s="190">
        <f>J8*C15</f>
        <v>262500</v>
      </c>
      <c r="K15" s="190">
        <f>K8*D15</f>
        <v>262500</v>
      </c>
      <c r="L15" s="190">
        <f>B15*L8</f>
        <v>275625</v>
      </c>
      <c r="M15" s="190">
        <f t="shared" ref="M15:N15" si="2">C15*M8</f>
        <v>275625</v>
      </c>
      <c r="N15" s="190">
        <f t="shared" si="2"/>
        <v>275625</v>
      </c>
      <c r="O15" s="190">
        <f>O8*B15</f>
        <v>289406.25</v>
      </c>
      <c r="P15" s="190">
        <f t="shared" ref="P15:Q15" si="3">P8*C15</f>
        <v>289406.25</v>
      </c>
      <c r="Q15" s="190">
        <f t="shared" si="3"/>
        <v>289406.25</v>
      </c>
      <c r="R15" s="189"/>
      <c r="S15" s="189"/>
      <c r="T15" s="189"/>
      <c r="U15" s="189"/>
      <c r="V15" s="189"/>
      <c r="W15" s="189"/>
    </row>
    <row r="16" spans="1:23" s="88" customFormat="1">
      <c r="A16" s="92" t="s">
        <v>261</v>
      </c>
      <c r="B16" s="90">
        <v>0.5</v>
      </c>
      <c r="C16" s="90">
        <v>0.33333333333333331</v>
      </c>
      <c r="D16" s="90">
        <v>0.83333333333333337</v>
      </c>
      <c r="E16" s="189"/>
      <c r="F16" s="190">
        <f>F8*B16</f>
        <v>250000</v>
      </c>
      <c r="G16" s="190">
        <f>G8*C16</f>
        <v>250000</v>
      </c>
      <c r="H16" s="190">
        <f>H8*D16</f>
        <v>250000</v>
      </c>
      <c r="I16" s="190">
        <f>I8*B16</f>
        <v>262500</v>
      </c>
      <c r="J16" s="190">
        <f t="shared" ref="J16:K16" si="4">J8*C16</f>
        <v>262500</v>
      </c>
      <c r="K16" s="190">
        <f t="shared" si="4"/>
        <v>262500</v>
      </c>
      <c r="L16" s="190">
        <f>L8*B16</f>
        <v>275625</v>
      </c>
      <c r="M16" s="190">
        <f>M8*C16</f>
        <v>275625</v>
      </c>
      <c r="N16" s="190">
        <f t="shared" ref="N16" si="5">N8*D16</f>
        <v>275625</v>
      </c>
      <c r="O16" s="190">
        <f>O8*B16</f>
        <v>289406.25</v>
      </c>
      <c r="P16" s="190">
        <f t="shared" ref="P16:Q16" si="6">P8*C16</f>
        <v>289406.25</v>
      </c>
      <c r="Q16" s="190">
        <f t="shared" si="6"/>
        <v>289406.25</v>
      </c>
      <c r="R16" s="189"/>
      <c r="S16" s="189"/>
      <c r="T16" s="189"/>
      <c r="U16" s="189"/>
      <c r="V16" s="189"/>
      <c r="W16" s="189"/>
    </row>
    <row r="17" spans="1:23" s="88" customFormat="1">
      <c r="A17" s="233" t="s">
        <v>262</v>
      </c>
      <c r="B17" s="90">
        <v>0.5</v>
      </c>
      <c r="C17" s="90">
        <v>0.33333333333333331</v>
      </c>
      <c r="D17" s="90">
        <v>0.83333333333333337</v>
      </c>
      <c r="E17" s="189"/>
      <c r="F17" s="190">
        <f>F8*B17</f>
        <v>250000</v>
      </c>
      <c r="G17" s="190">
        <f>G8*C17</f>
        <v>250000</v>
      </c>
      <c r="H17" s="190">
        <f>H8*D17</f>
        <v>250000</v>
      </c>
      <c r="I17" s="190">
        <f>B17*I8</f>
        <v>262500</v>
      </c>
      <c r="J17" s="190">
        <f>C17*J8</f>
        <v>262500</v>
      </c>
      <c r="K17" s="190">
        <f>D17*K8</f>
        <v>262500</v>
      </c>
      <c r="L17" s="190">
        <f>L8*B17</f>
        <v>275625</v>
      </c>
      <c r="M17" s="190">
        <f t="shared" ref="M17" si="7">M8*C17</f>
        <v>275625</v>
      </c>
      <c r="N17" s="190">
        <f>N8*D17</f>
        <v>275625</v>
      </c>
      <c r="O17" s="190">
        <f>O8*B17</f>
        <v>289406.25</v>
      </c>
      <c r="P17" s="190">
        <f t="shared" ref="P17:Q17" si="8">P8*C17</f>
        <v>289406.25</v>
      </c>
      <c r="Q17" s="190">
        <f t="shared" si="8"/>
        <v>289406.25</v>
      </c>
      <c r="R17" s="189"/>
      <c r="S17" s="189"/>
      <c r="T17" s="189"/>
      <c r="U17" s="189"/>
      <c r="V17" s="189"/>
      <c r="W17" s="189"/>
    </row>
    <row r="18" spans="1:23" s="93" customFormat="1">
      <c r="A18" s="94"/>
      <c r="B18" s="95"/>
      <c r="C18" s="95"/>
      <c r="D18" s="95"/>
      <c r="E18" s="195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5"/>
      <c r="S18" s="195"/>
      <c r="T18" s="195"/>
      <c r="U18" s="195"/>
      <c r="V18" s="195"/>
      <c r="W18" s="195"/>
    </row>
    <row r="19" spans="1:23" s="88" customFormat="1">
      <c r="A19" s="92"/>
      <c r="B19" s="90"/>
      <c r="C19" s="90"/>
      <c r="D19" s="90"/>
      <c r="E19" s="189"/>
      <c r="F19" s="192" t="s">
        <v>305</v>
      </c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89"/>
      <c r="S19" s="189"/>
      <c r="T19" s="189"/>
      <c r="U19" s="189"/>
      <c r="V19" s="189"/>
      <c r="W19" s="189"/>
    </row>
    <row r="20" spans="1:23" s="88" customFormat="1">
      <c r="A20" s="92"/>
      <c r="B20" s="90"/>
      <c r="C20" s="90"/>
      <c r="D20" s="90"/>
      <c r="E20" s="189"/>
      <c r="F20" s="190">
        <f t="shared" ref="F20:Q20" si="9">F15/3</f>
        <v>83333.333333333328</v>
      </c>
      <c r="G20" s="190">
        <f t="shared" si="9"/>
        <v>83333.333333333328</v>
      </c>
      <c r="H20" s="190">
        <f t="shared" si="9"/>
        <v>83333.333333333328</v>
      </c>
      <c r="I20" s="190">
        <f t="shared" si="9"/>
        <v>87500</v>
      </c>
      <c r="J20" s="190">
        <f t="shared" si="9"/>
        <v>87500</v>
      </c>
      <c r="K20" s="190">
        <f t="shared" si="9"/>
        <v>87500</v>
      </c>
      <c r="L20" s="190">
        <f t="shared" si="9"/>
        <v>91875</v>
      </c>
      <c r="M20" s="190">
        <f t="shared" si="9"/>
        <v>91875</v>
      </c>
      <c r="N20" s="190">
        <f t="shared" si="9"/>
        <v>91875</v>
      </c>
      <c r="O20" s="190">
        <f t="shared" si="9"/>
        <v>96468.75</v>
      </c>
      <c r="P20" s="190">
        <f t="shared" si="9"/>
        <v>96468.75</v>
      </c>
      <c r="Q20" s="190">
        <f t="shared" si="9"/>
        <v>96468.75</v>
      </c>
      <c r="R20" s="189"/>
      <c r="S20" s="189"/>
      <c r="T20" s="189"/>
      <c r="U20" s="189"/>
      <c r="V20" s="189"/>
      <c r="W20" s="189"/>
    </row>
    <row r="21" spans="1:23" s="88" customFormat="1">
      <c r="A21" s="92"/>
      <c r="B21" s="90"/>
      <c r="C21" s="90"/>
      <c r="D21" s="90"/>
      <c r="E21" s="189"/>
      <c r="F21" s="190">
        <f>F16/3</f>
        <v>83333.333333333328</v>
      </c>
      <c r="G21" s="190">
        <f t="shared" ref="G21:Q21" si="10">G16/3</f>
        <v>83333.333333333328</v>
      </c>
      <c r="H21" s="190">
        <f t="shared" si="10"/>
        <v>83333.333333333328</v>
      </c>
      <c r="I21" s="190">
        <f t="shared" si="10"/>
        <v>87500</v>
      </c>
      <c r="J21" s="190">
        <f t="shared" si="10"/>
        <v>87500</v>
      </c>
      <c r="K21" s="190">
        <f t="shared" si="10"/>
        <v>87500</v>
      </c>
      <c r="L21" s="190">
        <f t="shared" si="10"/>
        <v>91875</v>
      </c>
      <c r="M21" s="190">
        <f t="shared" si="10"/>
        <v>91875</v>
      </c>
      <c r="N21" s="190">
        <f t="shared" si="10"/>
        <v>91875</v>
      </c>
      <c r="O21" s="190">
        <f t="shared" si="10"/>
        <v>96468.75</v>
      </c>
      <c r="P21" s="190">
        <f t="shared" si="10"/>
        <v>96468.75</v>
      </c>
      <c r="Q21" s="190">
        <f t="shared" si="10"/>
        <v>96468.75</v>
      </c>
      <c r="R21" s="189"/>
      <c r="S21" s="189"/>
      <c r="T21" s="189"/>
      <c r="U21" s="189"/>
      <c r="V21" s="189"/>
      <c r="W21" s="189"/>
    </row>
    <row r="22" spans="1:23" s="88" customFormat="1">
      <c r="A22" s="92"/>
      <c r="B22" s="90"/>
      <c r="C22" s="91"/>
      <c r="D22" s="91"/>
      <c r="E22" s="189"/>
      <c r="F22" s="190">
        <f>F17/3</f>
        <v>83333.333333333328</v>
      </c>
      <c r="G22" s="190">
        <f t="shared" ref="G22:Q22" si="11">G17/3</f>
        <v>83333.333333333328</v>
      </c>
      <c r="H22" s="190">
        <f t="shared" si="11"/>
        <v>83333.333333333328</v>
      </c>
      <c r="I22" s="190">
        <f t="shared" si="11"/>
        <v>87500</v>
      </c>
      <c r="J22" s="190">
        <f t="shared" si="11"/>
        <v>87500</v>
      </c>
      <c r="K22" s="190">
        <f t="shared" si="11"/>
        <v>87500</v>
      </c>
      <c r="L22" s="190">
        <f t="shared" si="11"/>
        <v>91875</v>
      </c>
      <c r="M22" s="190">
        <f t="shared" si="11"/>
        <v>91875</v>
      </c>
      <c r="N22" s="190">
        <f t="shared" si="11"/>
        <v>91875</v>
      </c>
      <c r="O22" s="190">
        <f t="shared" si="11"/>
        <v>96468.75</v>
      </c>
      <c r="P22" s="190">
        <f t="shared" si="11"/>
        <v>96468.75</v>
      </c>
      <c r="Q22" s="190">
        <f t="shared" si="11"/>
        <v>96468.75</v>
      </c>
      <c r="R22" s="189"/>
      <c r="S22" s="189"/>
      <c r="T22" s="189"/>
      <c r="U22" s="189"/>
      <c r="V22" s="189"/>
      <c r="W22" s="189"/>
    </row>
    <row r="23" spans="1:23" s="88" customFormat="1">
      <c r="A23" s="89" t="s">
        <v>136</v>
      </c>
      <c r="B23" s="90"/>
      <c r="C23" s="91"/>
      <c r="D23" s="91"/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89"/>
      <c r="S23" s="189"/>
      <c r="T23" s="189"/>
      <c r="U23" s="189"/>
      <c r="V23" s="189"/>
      <c r="W23" s="189"/>
    </row>
    <row r="24" spans="1:23" s="88" customFormat="1">
      <c r="A24" s="92" t="s">
        <v>269</v>
      </c>
      <c r="B24" s="90">
        <v>0.5</v>
      </c>
      <c r="C24" s="90">
        <v>0.33333333333333331</v>
      </c>
      <c r="D24" s="90">
        <v>0.83333333333333337</v>
      </c>
      <c r="E24" s="189"/>
      <c r="F24" s="190">
        <f>B24*F8</f>
        <v>250000</v>
      </c>
      <c r="G24" s="190">
        <f t="shared" ref="G24:H24" si="12">C24*G8</f>
        <v>250000</v>
      </c>
      <c r="H24" s="190">
        <f t="shared" si="12"/>
        <v>250000</v>
      </c>
      <c r="I24" s="190">
        <f>B24*I8</f>
        <v>262500</v>
      </c>
      <c r="J24" s="190">
        <f t="shared" ref="J24:K24" si="13">C24*J8</f>
        <v>262500</v>
      </c>
      <c r="K24" s="190">
        <f t="shared" si="13"/>
        <v>262500</v>
      </c>
      <c r="L24" s="190">
        <f>L8*B24</f>
        <v>275625</v>
      </c>
      <c r="M24" s="190">
        <f t="shared" ref="M24:N24" si="14">M8*C24</f>
        <v>275625</v>
      </c>
      <c r="N24" s="190">
        <f t="shared" si="14"/>
        <v>275625</v>
      </c>
      <c r="O24" s="190">
        <f>O8*B24</f>
        <v>289406.25</v>
      </c>
      <c r="P24" s="190">
        <f t="shared" ref="P24:Q24" si="15">P8*C24</f>
        <v>289406.25</v>
      </c>
      <c r="Q24" s="190">
        <f t="shared" si="15"/>
        <v>289406.25</v>
      </c>
      <c r="R24" s="189"/>
      <c r="S24" s="189"/>
      <c r="T24" s="189"/>
      <c r="U24" s="189"/>
      <c r="V24" s="189"/>
      <c r="W24" s="189"/>
    </row>
    <row r="25" spans="1:23" s="88" customFormat="1">
      <c r="A25" s="92" t="s">
        <v>271</v>
      </c>
      <c r="B25" s="90">
        <v>0.5</v>
      </c>
      <c r="C25" s="90">
        <v>0.33333333333333331</v>
      </c>
      <c r="D25" s="90">
        <v>0.83333333333333337</v>
      </c>
      <c r="E25" s="189"/>
      <c r="F25" s="190">
        <f>F8*B25</f>
        <v>250000</v>
      </c>
      <c r="G25" s="190">
        <f t="shared" ref="G25:H25" si="16">G8*C25</f>
        <v>250000</v>
      </c>
      <c r="H25" s="190">
        <f t="shared" si="16"/>
        <v>250000</v>
      </c>
      <c r="I25" s="190">
        <f>I8*B25</f>
        <v>262500</v>
      </c>
      <c r="J25" s="190">
        <f t="shared" ref="J25:K25" si="17">J8*C25</f>
        <v>262500</v>
      </c>
      <c r="K25" s="190">
        <f t="shared" si="17"/>
        <v>262500</v>
      </c>
      <c r="L25" s="190">
        <f>B25*L8</f>
        <v>275625</v>
      </c>
      <c r="M25" s="190">
        <f t="shared" ref="M25:N25" si="18">C25*M8</f>
        <v>275625</v>
      </c>
      <c r="N25" s="190">
        <f t="shared" si="18"/>
        <v>275625</v>
      </c>
      <c r="O25" s="190">
        <f>O8*B25</f>
        <v>289406.25</v>
      </c>
      <c r="P25" s="190">
        <f t="shared" ref="P25:Q25" si="19">P8*C25</f>
        <v>289406.25</v>
      </c>
      <c r="Q25" s="190">
        <f t="shared" si="19"/>
        <v>289406.25</v>
      </c>
      <c r="R25" s="189"/>
      <c r="S25" s="189"/>
      <c r="T25" s="189"/>
      <c r="U25" s="189"/>
      <c r="V25" s="189"/>
      <c r="W25" s="189"/>
    </row>
    <row r="26" spans="1:23" s="88" customFormat="1">
      <c r="A26" s="92" t="s">
        <v>270</v>
      </c>
      <c r="B26" s="90">
        <v>0.5</v>
      </c>
      <c r="C26" s="90">
        <v>0.33333333333333331</v>
      </c>
      <c r="D26" s="90">
        <v>0.83333333333333337</v>
      </c>
      <c r="E26" s="189"/>
      <c r="F26" s="190">
        <f>F8*B26</f>
        <v>250000</v>
      </c>
      <c r="G26" s="190">
        <f t="shared" ref="G26:H26" si="20">G8*C26</f>
        <v>250000</v>
      </c>
      <c r="H26" s="190">
        <f t="shared" si="20"/>
        <v>250000</v>
      </c>
      <c r="I26" s="190">
        <f>B26*I8</f>
        <v>262500</v>
      </c>
      <c r="J26" s="190">
        <f t="shared" ref="J26:K26" si="21">C26*J8</f>
        <v>262500</v>
      </c>
      <c r="K26" s="190">
        <f t="shared" si="21"/>
        <v>262500</v>
      </c>
      <c r="L26" s="190">
        <f>L8*B26</f>
        <v>275625</v>
      </c>
      <c r="M26" s="190">
        <f t="shared" ref="M26:N26" si="22">M8*C26</f>
        <v>275625</v>
      </c>
      <c r="N26" s="190">
        <f t="shared" si="22"/>
        <v>275625</v>
      </c>
      <c r="O26" s="190">
        <f>O8*B26</f>
        <v>289406.25</v>
      </c>
      <c r="P26" s="190">
        <f t="shared" ref="P26:Q26" si="23">P8*C26</f>
        <v>289406.25</v>
      </c>
      <c r="Q26" s="190">
        <f t="shared" si="23"/>
        <v>289406.25</v>
      </c>
      <c r="R26" s="189"/>
      <c r="S26" s="189"/>
      <c r="T26" s="189"/>
      <c r="U26" s="189"/>
      <c r="V26" s="189"/>
      <c r="W26" s="189"/>
    </row>
    <row r="27" spans="1:23" s="88" customFormat="1">
      <c r="A27" s="92"/>
      <c r="B27" s="90"/>
      <c r="C27" s="90"/>
      <c r="D27" s="90"/>
      <c r="E27" s="189"/>
      <c r="F27" s="190" t="s">
        <v>305</v>
      </c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89"/>
      <c r="S27" s="189"/>
      <c r="T27" s="189"/>
      <c r="U27" s="189"/>
      <c r="V27" s="189"/>
      <c r="W27" s="189"/>
    </row>
    <row r="28" spans="1:23" s="88" customFormat="1">
      <c r="A28" s="92"/>
      <c r="B28" s="90"/>
      <c r="C28" s="90"/>
      <c r="D28" s="90"/>
      <c r="E28" s="189"/>
      <c r="F28" s="190">
        <f>F24/3</f>
        <v>83333.333333333328</v>
      </c>
      <c r="G28" s="190">
        <f t="shared" ref="G28:Q28" si="24">G24/3</f>
        <v>83333.333333333328</v>
      </c>
      <c r="H28" s="190">
        <f t="shared" si="24"/>
        <v>83333.333333333328</v>
      </c>
      <c r="I28" s="190">
        <f t="shared" si="24"/>
        <v>87500</v>
      </c>
      <c r="J28" s="190">
        <f t="shared" si="24"/>
        <v>87500</v>
      </c>
      <c r="K28" s="190">
        <f t="shared" si="24"/>
        <v>87500</v>
      </c>
      <c r="L28" s="190">
        <f t="shared" si="24"/>
        <v>91875</v>
      </c>
      <c r="M28" s="190">
        <f t="shared" si="24"/>
        <v>91875</v>
      </c>
      <c r="N28" s="190">
        <f t="shared" si="24"/>
        <v>91875</v>
      </c>
      <c r="O28" s="190">
        <f t="shared" si="24"/>
        <v>96468.75</v>
      </c>
      <c r="P28" s="190">
        <f t="shared" si="24"/>
        <v>96468.75</v>
      </c>
      <c r="Q28" s="190">
        <f t="shared" si="24"/>
        <v>96468.75</v>
      </c>
      <c r="R28" s="189"/>
      <c r="S28" s="189"/>
      <c r="T28" s="189"/>
      <c r="U28" s="189"/>
      <c r="V28" s="189"/>
      <c r="W28" s="189"/>
    </row>
    <row r="29" spans="1:23" s="88" customFormat="1">
      <c r="A29" s="92"/>
      <c r="B29" s="90"/>
      <c r="C29" s="90"/>
      <c r="D29" s="90"/>
      <c r="E29" s="189"/>
      <c r="F29" s="190">
        <f>F25/3</f>
        <v>83333.333333333328</v>
      </c>
      <c r="G29" s="190">
        <f t="shared" ref="G29:Q29" si="25">G25/3</f>
        <v>83333.333333333328</v>
      </c>
      <c r="H29" s="190">
        <f t="shared" si="25"/>
        <v>83333.333333333328</v>
      </c>
      <c r="I29" s="190">
        <f t="shared" si="25"/>
        <v>87500</v>
      </c>
      <c r="J29" s="190">
        <f t="shared" si="25"/>
        <v>87500</v>
      </c>
      <c r="K29" s="190">
        <f t="shared" si="25"/>
        <v>87500</v>
      </c>
      <c r="L29" s="190">
        <f t="shared" si="25"/>
        <v>91875</v>
      </c>
      <c r="M29" s="190">
        <f t="shared" si="25"/>
        <v>91875</v>
      </c>
      <c r="N29" s="190">
        <f t="shared" si="25"/>
        <v>91875</v>
      </c>
      <c r="O29" s="190">
        <f t="shared" si="25"/>
        <v>96468.75</v>
      </c>
      <c r="P29" s="190">
        <f t="shared" si="25"/>
        <v>96468.75</v>
      </c>
      <c r="Q29" s="190">
        <f t="shared" si="25"/>
        <v>96468.75</v>
      </c>
      <c r="R29" s="189"/>
      <c r="S29" s="189"/>
      <c r="T29" s="189"/>
      <c r="U29" s="189"/>
      <c r="V29" s="189"/>
      <c r="W29" s="189"/>
    </row>
    <row r="30" spans="1:23" s="88" customFormat="1">
      <c r="A30" s="92"/>
      <c r="B30" s="90"/>
      <c r="C30" s="91"/>
      <c r="D30" s="91"/>
      <c r="E30" s="189"/>
      <c r="F30" s="190">
        <f>F26/3</f>
        <v>83333.333333333328</v>
      </c>
      <c r="G30" s="190">
        <f t="shared" ref="G30:Q30" si="26">G26/3</f>
        <v>83333.333333333328</v>
      </c>
      <c r="H30" s="190">
        <f t="shared" si="26"/>
        <v>83333.333333333328</v>
      </c>
      <c r="I30" s="190">
        <f t="shared" si="26"/>
        <v>87500</v>
      </c>
      <c r="J30" s="190">
        <f t="shared" si="26"/>
        <v>87500</v>
      </c>
      <c r="K30" s="190">
        <f t="shared" si="26"/>
        <v>87500</v>
      </c>
      <c r="L30" s="190">
        <f t="shared" si="26"/>
        <v>91875</v>
      </c>
      <c r="M30" s="190">
        <f t="shared" si="26"/>
        <v>91875</v>
      </c>
      <c r="N30" s="190">
        <f t="shared" si="26"/>
        <v>91875</v>
      </c>
      <c r="O30" s="190">
        <f t="shared" si="26"/>
        <v>96468.75</v>
      </c>
      <c r="P30" s="190">
        <f t="shared" si="26"/>
        <v>96468.75</v>
      </c>
      <c r="Q30" s="190">
        <f t="shared" si="26"/>
        <v>96468.75</v>
      </c>
      <c r="R30" s="189"/>
      <c r="S30" s="189"/>
      <c r="T30" s="189"/>
      <c r="U30" s="189"/>
      <c r="V30" s="189"/>
      <c r="W30" s="189"/>
    </row>
    <row r="31" spans="1:23">
      <c r="A31" s="96" t="s">
        <v>272</v>
      </c>
    </row>
    <row r="32" spans="1:23">
      <c r="A32" s="85" t="s">
        <v>225</v>
      </c>
      <c r="B32" s="77">
        <v>0.5</v>
      </c>
      <c r="C32" s="77">
        <v>0.33333333333333331</v>
      </c>
      <c r="D32" s="77">
        <v>0.83333333333333337</v>
      </c>
    </row>
    <row r="33" spans="1:23">
      <c r="A33" s="85" t="s">
        <v>263</v>
      </c>
      <c r="B33" s="77">
        <v>0.5</v>
      </c>
      <c r="C33" s="77">
        <v>0.33333333333333331</v>
      </c>
      <c r="D33" s="77">
        <v>0.83333333333333337</v>
      </c>
    </row>
    <row r="34" spans="1:23">
      <c r="A34" s="85" t="s">
        <v>264</v>
      </c>
      <c r="B34" s="77">
        <v>0.5</v>
      </c>
      <c r="C34" s="77">
        <v>0.33333333333333331</v>
      </c>
      <c r="D34" s="77">
        <v>0.83333333333333337</v>
      </c>
    </row>
    <row r="35" spans="1:23">
      <c r="A35" s="85" t="s">
        <v>265</v>
      </c>
      <c r="B35" s="77">
        <v>0.5</v>
      </c>
      <c r="C35" s="77">
        <v>0.33333333333333331</v>
      </c>
      <c r="D35" s="77">
        <v>0.83333333333333337</v>
      </c>
    </row>
    <row r="36" spans="1:23">
      <c r="A36" s="85" t="s">
        <v>266</v>
      </c>
      <c r="B36" s="77">
        <v>0.5</v>
      </c>
      <c r="C36" s="77">
        <v>0.33333333333333331</v>
      </c>
      <c r="D36" s="77">
        <v>0.83333333333333337</v>
      </c>
    </row>
    <row r="37" spans="1:23">
      <c r="A37" s="85" t="s">
        <v>267</v>
      </c>
      <c r="B37" s="77">
        <v>0.5</v>
      </c>
      <c r="C37" s="77">
        <v>0.33333333333333331</v>
      </c>
      <c r="D37" s="77">
        <v>0.83333333333333337</v>
      </c>
    </row>
    <row r="38" spans="1:23">
      <c r="A38" s="85" t="s">
        <v>268</v>
      </c>
      <c r="B38" s="77">
        <v>0.5</v>
      </c>
      <c r="C38" s="77">
        <v>0.33333333333333331</v>
      </c>
      <c r="D38" s="77">
        <v>0.83333333333333337</v>
      </c>
    </row>
    <row r="39" spans="1:23">
      <c r="A39" s="85" t="s">
        <v>226</v>
      </c>
      <c r="B39" s="77">
        <v>0.5</v>
      </c>
      <c r="C39" s="77">
        <v>0.33333333333333331</v>
      </c>
      <c r="D39" s="77">
        <v>0.83333333333333337</v>
      </c>
    </row>
    <row r="40" spans="1:23">
      <c r="A40" s="85"/>
    </row>
    <row r="41" spans="1:23" s="97" customFormat="1">
      <c r="A41" s="98" t="s">
        <v>122</v>
      </c>
      <c r="B41" s="99"/>
      <c r="D41" s="100"/>
      <c r="E41" s="195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5"/>
      <c r="S41" s="195"/>
      <c r="T41" s="195"/>
      <c r="U41" s="195"/>
      <c r="V41" s="195"/>
      <c r="W41" s="195"/>
    </row>
    <row r="42" spans="1:23" s="97" customFormat="1">
      <c r="A42" s="101" t="s">
        <v>215</v>
      </c>
      <c r="B42" s="99">
        <v>0.1</v>
      </c>
      <c r="C42" s="97" t="s">
        <v>216</v>
      </c>
      <c r="D42" s="100"/>
      <c r="E42" s="195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5"/>
      <c r="S42" s="195"/>
      <c r="T42" s="195"/>
      <c r="U42" s="195"/>
      <c r="V42" s="195"/>
      <c r="W42" s="195"/>
    </row>
    <row r="43" spans="1:23" s="97" customFormat="1">
      <c r="A43" s="101" t="s">
        <v>217</v>
      </c>
      <c r="B43" s="99">
        <v>15000</v>
      </c>
      <c r="C43" s="97" t="s">
        <v>218</v>
      </c>
      <c r="D43" s="100"/>
      <c r="E43" s="195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5"/>
      <c r="S43" s="195"/>
      <c r="T43" s="195"/>
      <c r="U43" s="195"/>
      <c r="V43" s="195"/>
      <c r="W43" s="195"/>
    </row>
    <row r="44" spans="1:23" s="97" customFormat="1">
      <c r="A44" s="101" t="s">
        <v>219</v>
      </c>
      <c r="B44" s="99">
        <v>7.4</v>
      </c>
      <c r="D44" s="100"/>
      <c r="E44" s="195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5"/>
      <c r="S44" s="195"/>
      <c r="T44" s="195"/>
      <c r="U44" s="195"/>
      <c r="V44" s="195"/>
      <c r="W44" s="195"/>
    </row>
    <row r="45" spans="1:23">
      <c r="A45" s="85"/>
    </row>
    <row r="46" spans="1:23">
      <c r="A46" s="214" t="s">
        <v>342</v>
      </c>
    </row>
    <row r="47" spans="1:23">
      <c r="A47" s="85" t="s">
        <v>222</v>
      </c>
      <c r="B47" s="103">
        <v>1000000</v>
      </c>
      <c r="C47" s="103">
        <v>1000000</v>
      </c>
      <c r="D47" s="103">
        <v>1000000</v>
      </c>
      <c r="F47" s="190">
        <f>B47/3</f>
        <v>333333.33333333331</v>
      </c>
      <c r="G47" s="190">
        <f>C47/3</f>
        <v>333333.33333333331</v>
      </c>
      <c r="H47" s="190">
        <f>D47/3</f>
        <v>333333.33333333331</v>
      </c>
    </row>
    <row r="48" spans="1:23">
      <c r="A48" s="85" t="s">
        <v>224</v>
      </c>
      <c r="B48" s="103">
        <v>1000000</v>
      </c>
      <c r="C48" s="103">
        <v>1000000</v>
      </c>
      <c r="D48" s="103">
        <v>1000000</v>
      </c>
      <c r="F48" s="190">
        <f t="shared" ref="F48:F63" si="27">B48/3</f>
        <v>333333.33333333331</v>
      </c>
      <c r="G48" s="190">
        <f t="shared" ref="G48:G63" si="28">C48/3</f>
        <v>333333.33333333331</v>
      </c>
      <c r="H48" s="190">
        <f t="shared" ref="H48:H63" si="29">D48/3</f>
        <v>333333.33333333331</v>
      </c>
    </row>
    <row r="49" spans="1:8">
      <c r="A49" s="85" t="s">
        <v>225</v>
      </c>
      <c r="B49" s="103">
        <v>1000000</v>
      </c>
      <c r="C49" s="103">
        <v>1000000</v>
      </c>
      <c r="D49" s="103">
        <v>1000000</v>
      </c>
      <c r="F49" s="190">
        <f t="shared" si="27"/>
        <v>333333.33333333331</v>
      </c>
      <c r="G49" s="190">
        <f t="shared" si="28"/>
        <v>333333.33333333331</v>
      </c>
      <c r="H49" s="190">
        <f t="shared" si="29"/>
        <v>333333.33333333331</v>
      </c>
    </row>
    <row r="50" spans="1:8">
      <c r="A50" s="85" t="s">
        <v>226</v>
      </c>
      <c r="B50" s="103">
        <v>1000000</v>
      </c>
      <c r="C50" s="103">
        <v>1000000</v>
      </c>
      <c r="D50" s="103">
        <v>1000000</v>
      </c>
      <c r="F50" s="190">
        <f t="shared" si="27"/>
        <v>333333.33333333331</v>
      </c>
      <c r="G50" s="190">
        <f t="shared" si="28"/>
        <v>333333.33333333331</v>
      </c>
      <c r="H50" s="190">
        <f t="shared" si="29"/>
        <v>333333.33333333331</v>
      </c>
    </row>
    <row r="51" spans="1:8">
      <c r="A51" s="85" t="s">
        <v>227</v>
      </c>
      <c r="B51" s="103">
        <v>1000000</v>
      </c>
      <c r="C51" s="103">
        <v>1000000</v>
      </c>
      <c r="D51" s="103">
        <v>1000000</v>
      </c>
      <c r="F51" s="190">
        <f t="shared" si="27"/>
        <v>333333.33333333331</v>
      </c>
      <c r="G51" s="190">
        <f t="shared" si="28"/>
        <v>333333.33333333331</v>
      </c>
      <c r="H51" s="190">
        <f t="shared" si="29"/>
        <v>333333.33333333331</v>
      </c>
    </row>
    <row r="52" spans="1:8">
      <c r="A52" s="85" t="s">
        <v>230</v>
      </c>
      <c r="B52" s="103">
        <v>1000000</v>
      </c>
      <c r="C52" s="103">
        <v>1000000</v>
      </c>
      <c r="D52" s="103">
        <v>1000000</v>
      </c>
      <c r="F52" s="190">
        <f t="shared" si="27"/>
        <v>333333.33333333331</v>
      </c>
      <c r="G52" s="190">
        <f t="shared" si="28"/>
        <v>333333.33333333331</v>
      </c>
      <c r="H52" s="190">
        <f t="shared" si="29"/>
        <v>333333.33333333331</v>
      </c>
    </row>
    <row r="53" spans="1:8">
      <c r="A53" s="85" t="s">
        <v>231</v>
      </c>
      <c r="B53" s="103">
        <v>1000000</v>
      </c>
      <c r="C53" s="103">
        <v>1000000</v>
      </c>
      <c r="D53" s="103">
        <v>1000000</v>
      </c>
      <c r="F53" s="190">
        <f t="shared" si="27"/>
        <v>333333.33333333331</v>
      </c>
      <c r="G53" s="190">
        <f t="shared" si="28"/>
        <v>333333.33333333331</v>
      </c>
      <c r="H53" s="190">
        <f t="shared" si="29"/>
        <v>333333.33333333331</v>
      </c>
    </row>
    <row r="54" spans="1:8">
      <c r="A54" s="85" t="s">
        <v>229</v>
      </c>
      <c r="B54" s="103">
        <v>1000000</v>
      </c>
      <c r="C54" s="103">
        <v>1000000</v>
      </c>
      <c r="D54" s="103">
        <v>1000000</v>
      </c>
      <c r="F54" s="190">
        <f t="shared" si="27"/>
        <v>333333.33333333331</v>
      </c>
      <c r="G54" s="190">
        <f t="shared" si="28"/>
        <v>333333.33333333331</v>
      </c>
      <c r="H54" s="190">
        <f t="shared" si="29"/>
        <v>333333.33333333331</v>
      </c>
    </row>
    <row r="55" spans="1:8">
      <c r="C55" s="77"/>
      <c r="D55" s="77"/>
      <c r="F55" s="190">
        <f t="shared" si="27"/>
        <v>0</v>
      </c>
      <c r="G55" s="190">
        <f t="shared" si="28"/>
        <v>0</v>
      </c>
      <c r="H55" s="190">
        <f t="shared" si="29"/>
        <v>0</v>
      </c>
    </row>
    <row r="56" spans="1:8">
      <c r="A56" s="214" t="s">
        <v>343</v>
      </c>
      <c r="C56" s="77"/>
      <c r="D56" s="77"/>
      <c r="F56" s="190">
        <f t="shared" si="27"/>
        <v>0</v>
      </c>
      <c r="G56" s="190">
        <f t="shared" si="28"/>
        <v>0</v>
      </c>
      <c r="H56" s="190">
        <f t="shared" si="29"/>
        <v>0</v>
      </c>
    </row>
    <row r="57" spans="1:8">
      <c r="A57" s="85" t="s">
        <v>232</v>
      </c>
      <c r="B57" s="103">
        <v>1000000</v>
      </c>
      <c r="C57" s="103">
        <v>1000000</v>
      </c>
      <c r="D57" s="103">
        <v>1000000</v>
      </c>
      <c r="F57" s="190">
        <f t="shared" si="27"/>
        <v>333333.33333333331</v>
      </c>
      <c r="G57" s="190">
        <f t="shared" si="28"/>
        <v>333333.33333333331</v>
      </c>
      <c r="H57" s="190">
        <f t="shared" si="29"/>
        <v>333333.33333333331</v>
      </c>
    </row>
    <row r="58" spans="1:8">
      <c r="A58" s="85" t="s">
        <v>234</v>
      </c>
      <c r="B58" s="103">
        <v>1000000</v>
      </c>
      <c r="C58" s="103">
        <v>1000000</v>
      </c>
      <c r="D58" s="103">
        <v>1000000</v>
      </c>
      <c r="F58" s="190">
        <f t="shared" si="27"/>
        <v>333333.33333333331</v>
      </c>
      <c r="G58" s="190">
        <f t="shared" si="28"/>
        <v>333333.33333333331</v>
      </c>
      <c r="H58" s="190">
        <f t="shared" si="29"/>
        <v>333333.33333333331</v>
      </c>
    </row>
    <row r="59" spans="1:8">
      <c r="A59" s="85" t="s">
        <v>236</v>
      </c>
      <c r="B59" s="103">
        <v>1000000</v>
      </c>
      <c r="C59" s="103">
        <v>1000000</v>
      </c>
      <c r="D59" s="103">
        <v>1000000</v>
      </c>
      <c r="F59" s="190">
        <f t="shared" si="27"/>
        <v>333333.33333333331</v>
      </c>
      <c r="G59" s="190">
        <f t="shared" si="28"/>
        <v>333333.33333333331</v>
      </c>
      <c r="H59" s="190">
        <f t="shared" si="29"/>
        <v>333333.33333333331</v>
      </c>
    </row>
    <row r="60" spans="1:8">
      <c r="A60" s="85" t="s">
        <v>237</v>
      </c>
      <c r="B60" s="103">
        <v>1000000</v>
      </c>
      <c r="C60" s="103">
        <v>1000000</v>
      </c>
      <c r="D60" s="103">
        <v>1000000</v>
      </c>
      <c r="F60" s="190">
        <f t="shared" si="27"/>
        <v>333333.33333333331</v>
      </c>
      <c r="G60" s="190">
        <f t="shared" si="28"/>
        <v>333333.33333333331</v>
      </c>
      <c r="H60" s="190">
        <f t="shared" si="29"/>
        <v>333333.33333333331</v>
      </c>
    </row>
    <row r="61" spans="1:8">
      <c r="A61" s="85" t="s">
        <v>238</v>
      </c>
      <c r="B61" s="103">
        <v>1000000</v>
      </c>
      <c r="C61" s="103">
        <v>1000000</v>
      </c>
      <c r="D61" s="103">
        <v>1000000</v>
      </c>
      <c r="F61" s="190">
        <f t="shared" si="27"/>
        <v>333333.33333333331</v>
      </c>
      <c r="G61" s="190">
        <f t="shared" si="28"/>
        <v>333333.33333333331</v>
      </c>
      <c r="H61" s="190">
        <f t="shared" si="29"/>
        <v>333333.33333333331</v>
      </c>
    </row>
    <row r="62" spans="1:8">
      <c r="A62" s="85" t="s">
        <v>239</v>
      </c>
      <c r="B62" s="103">
        <v>1000000</v>
      </c>
      <c r="C62" s="103">
        <v>1000000</v>
      </c>
      <c r="D62" s="103">
        <v>1000000</v>
      </c>
      <c r="F62" s="190">
        <f t="shared" si="27"/>
        <v>333333.33333333331</v>
      </c>
      <c r="G62" s="190">
        <f t="shared" si="28"/>
        <v>333333.33333333331</v>
      </c>
      <c r="H62" s="190">
        <f t="shared" si="29"/>
        <v>333333.33333333331</v>
      </c>
    </row>
    <row r="63" spans="1:8">
      <c r="A63" s="85" t="s">
        <v>231</v>
      </c>
      <c r="B63" s="103">
        <v>1000000</v>
      </c>
      <c r="C63" s="103">
        <v>1000000</v>
      </c>
      <c r="D63" s="103">
        <v>1000000</v>
      </c>
      <c r="F63" s="190">
        <f t="shared" si="27"/>
        <v>333333.33333333331</v>
      </c>
      <c r="G63" s="190">
        <f t="shared" si="28"/>
        <v>333333.33333333331</v>
      </c>
      <c r="H63" s="190">
        <f t="shared" si="29"/>
        <v>333333.33333333331</v>
      </c>
    </row>
    <row r="67" spans="1:4">
      <c r="A67" s="104" t="s">
        <v>274</v>
      </c>
    </row>
    <row r="69" spans="1:4">
      <c r="A69" s="102" t="s">
        <v>243</v>
      </c>
      <c r="D69" s="76"/>
    </row>
    <row r="70" spans="1:4">
      <c r="A70" s="85" t="s">
        <v>244</v>
      </c>
      <c r="B70" s="77">
        <v>0.4</v>
      </c>
      <c r="D70" s="76"/>
    </row>
    <row r="71" spans="1:4">
      <c r="A71" s="85" t="s">
        <v>245</v>
      </c>
      <c r="B71" s="77">
        <v>0.6</v>
      </c>
      <c r="D71" s="76"/>
    </row>
    <row r="74" spans="1:4">
      <c r="A74" s="102" t="s">
        <v>246</v>
      </c>
      <c r="D74" s="76"/>
    </row>
    <row r="75" spans="1:4">
      <c r="A75" s="85" t="s">
        <v>247</v>
      </c>
      <c r="B75" s="77">
        <v>0.7</v>
      </c>
      <c r="D75" s="76"/>
    </row>
    <row r="76" spans="1:4">
      <c r="A76" s="85" t="s">
        <v>248</v>
      </c>
      <c r="B76" s="77">
        <v>0.3</v>
      </c>
      <c r="D76" s="76"/>
    </row>
    <row r="78" spans="1:4">
      <c r="A78" s="104" t="s">
        <v>275</v>
      </c>
    </row>
    <row r="79" spans="1:4">
      <c r="A79" s="102" t="s">
        <v>183</v>
      </c>
      <c r="D79" s="76"/>
    </row>
    <row r="80" spans="1:4">
      <c r="A80" s="234" t="s">
        <v>346</v>
      </c>
      <c r="B80" s="77">
        <v>10000000</v>
      </c>
      <c r="C80" s="77"/>
      <c r="D80" s="77"/>
    </row>
    <row r="81" spans="1:4">
      <c r="A81" s="76" t="s">
        <v>276</v>
      </c>
      <c r="B81" s="77">
        <v>5000000</v>
      </c>
      <c r="C81" s="77"/>
      <c r="D81" s="77"/>
    </row>
    <row r="82" spans="1:4">
      <c r="A82" s="234" t="s">
        <v>347</v>
      </c>
      <c r="B82" s="77">
        <v>20000000</v>
      </c>
      <c r="C82" s="77"/>
      <c r="D82" s="77"/>
    </row>
    <row r="83" spans="1:4">
      <c r="A83" s="76" t="s">
        <v>277</v>
      </c>
      <c r="B83" s="77">
        <v>3000000</v>
      </c>
      <c r="C83" s="77"/>
      <c r="D83" s="77"/>
    </row>
    <row r="85" spans="1:4">
      <c r="A85" s="102"/>
      <c r="D85" s="76"/>
    </row>
    <row r="86" spans="1:4">
      <c r="A86" s="102"/>
      <c r="D86" s="76"/>
    </row>
    <row r="87" spans="1:4">
      <c r="A87" s="102"/>
      <c r="D87" s="76"/>
    </row>
    <row r="88" spans="1:4">
      <c r="A88" s="105"/>
      <c r="D88" s="76"/>
    </row>
    <row r="89" spans="1:4">
      <c r="A89" s="85"/>
      <c r="D89" s="76"/>
    </row>
    <row r="90" spans="1:4">
      <c r="A90" s="85"/>
      <c r="D90" s="76"/>
    </row>
    <row r="91" spans="1:4">
      <c r="A91" s="85"/>
      <c r="D91" s="76"/>
    </row>
    <row r="92" spans="1:4">
      <c r="A92" s="85"/>
      <c r="D92" s="76"/>
    </row>
    <row r="93" spans="1:4">
      <c r="A93" s="85"/>
      <c r="C93" s="76"/>
      <c r="D93" s="76"/>
    </row>
    <row r="94" spans="1:4">
      <c r="A94" s="85"/>
      <c r="C94" s="76"/>
      <c r="D94" s="76"/>
    </row>
    <row r="95" spans="1:4">
      <c r="A95" s="106"/>
      <c r="C95" s="76"/>
      <c r="D95" s="76"/>
    </row>
    <row r="96" spans="1:4">
      <c r="A96" s="102"/>
      <c r="C96" s="76"/>
      <c r="D96" s="76"/>
    </row>
    <row r="97" spans="1:4">
      <c r="A97" s="102"/>
      <c r="C97" s="76"/>
      <c r="D97" s="76"/>
    </row>
    <row r="98" spans="1:4">
      <c r="A98" s="102"/>
      <c r="C98" s="76"/>
      <c r="D98" s="76"/>
    </row>
    <row r="99" spans="1:4">
      <c r="A99" s="85"/>
      <c r="C99" s="76"/>
      <c r="D99" s="76"/>
    </row>
    <row r="100" spans="1:4">
      <c r="A100" s="85"/>
      <c r="C100" s="76"/>
      <c r="D100" s="76"/>
    </row>
    <row r="101" spans="1:4">
      <c r="A101" s="85"/>
      <c r="C101" s="76"/>
      <c r="D101" s="76"/>
    </row>
    <row r="102" spans="1:4">
      <c r="A102" s="85"/>
      <c r="C102" s="76"/>
      <c r="D102" s="76"/>
    </row>
    <row r="103" spans="1:4">
      <c r="A103" s="106"/>
      <c r="C103" s="76"/>
      <c r="D103" s="76"/>
    </row>
    <row r="104" spans="1:4">
      <c r="C104" s="76"/>
      <c r="D104" s="76"/>
    </row>
  </sheetData>
  <mergeCells count="10">
    <mergeCell ref="F9:H9"/>
    <mergeCell ref="I9:K9"/>
    <mergeCell ref="L9:N9"/>
    <mergeCell ref="O9:Q9"/>
    <mergeCell ref="A7:E7"/>
    <mergeCell ref="A2:C2"/>
    <mergeCell ref="A3:C3"/>
    <mergeCell ref="A4:G4"/>
    <mergeCell ref="A5:G5"/>
    <mergeCell ref="A6:L6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B0EB-9C68-4278-8065-90030A5EE8B0}">
  <dimension ref="A2:M10"/>
  <sheetViews>
    <sheetView workbookViewId="0">
      <selection activeCell="E11" sqref="E11"/>
    </sheetView>
  </sheetViews>
  <sheetFormatPr defaultRowHeight="15"/>
  <cols>
    <col min="1" max="1" width="21.28515625" customWidth="1"/>
    <col min="2" max="2" width="19.5703125" style="197" customWidth="1"/>
    <col min="3" max="3" width="12.5703125" style="197" customWidth="1"/>
    <col min="4" max="13" width="11.5703125" style="197" bestFit="1" customWidth="1"/>
  </cols>
  <sheetData>
    <row r="2" spans="1:13">
      <c r="B2" s="197" t="s">
        <v>334</v>
      </c>
    </row>
    <row r="3" spans="1:13" s="144" customFormat="1">
      <c r="A3" s="145"/>
      <c r="B3" s="198" t="s">
        <v>287</v>
      </c>
      <c r="C3" s="198"/>
      <c r="D3" s="198"/>
      <c r="E3" s="198" t="s">
        <v>288</v>
      </c>
      <c r="F3" s="198"/>
      <c r="G3" s="198"/>
      <c r="H3" s="198" t="s">
        <v>289</v>
      </c>
      <c r="I3" s="198"/>
      <c r="J3" s="198"/>
      <c r="K3" s="198" t="s">
        <v>290</v>
      </c>
      <c r="L3" s="198"/>
      <c r="M3" s="198"/>
    </row>
    <row r="4" spans="1:13" s="1" customFormat="1">
      <c r="A4" s="147" t="s">
        <v>5</v>
      </c>
      <c r="B4" s="197" t="s">
        <v>6</v>
      </c>
      <c r="C4" s="197" t="s">
        <v>7</v>
      </c>
      <c r="D4" s="197" t="s">
        <v>8</v>
      </c>
      <c r="E4" s="197" t="s">
        <v>9</v>
      </c>
      <c r="F4" s="197" t="s">
        <v>10</v>
      </c>
      <c r="G4" s="197" t="s">
        <v>11</v>
      </c>
      <c r="H4" s="197" t="s">
        <v>12</v>
      </c>
      <c r="I4" s="197" t="s">
        <v>13</v>
      </c>
      <c r="J4" s="197" t="s">
        <v>14</v>
      </c>
      <c r="K4" s="197" t="s">
        <v>15</v>
      </c>
      <c r="L4" s="197" t="s">
        <v>16</v>
      </c>
      <c r="M4" s="197" t="s">
        <v>17</v>
      </c>
    </row>
    <row r="5" spans="1:13">
      <c r="A5" s="188" t="s">
        <v>335</v>
      </c>
    </row>
    <row r="6" spans="1:13">
      <c r="A6" s="142" t="s">
        <v>291</v>
      </c>
      <c r="B6" s="197">
        <f>Input!B10/3</f>
        <v>166666.66666666666</v>
      </c>
      <c r="C6" s="197">
        <f>Input!B10/3</f>
        <v>166666.66666666666</v>
      </c>
      <c r="D6" s="197">
        <f>Input!B10/3</f>
        <v>166666.66666666666</v>
      </c>
      <c r="E6" s="197">
        <f>D6*1.05</f>
        <v>175000</v>
      </c>
      <c r="F6" s="197">
        <f>D6*1.05</f>
        <v>175000</v>
      </c>
      <c r="G6" s="197">
        <f>D6*1.05</f>
        <v>175000</v>
      </c>
      <c r="H6" s="197">
        <f>G6*1.05</f>
        <v>183750</v>
      </c>
      <c r="I6" s="197">
        <f>G6*1.05</f>
        <v>183750</v>
      </c>
      <c r="J6" s="197">
        <f>G6*1.05</f>
        <v>183750</v>
      </c>
      <c r="K6" s="197">
        <f>J6*1.05</f>
        <v>192937.5</v>
      </c>
      <c r="L6" s="197">
        <f>J6*1.05</f>
        <v>192937.5</v>
      </c>
      <c r="M6" s="197">
        <f>J6*1.05</f>
        <v>192937.5</v>
      </c>
    </row>
    <row r="7" spans="1:13">
      <c r="A7" s="142" t="s">
        <v>292</v>
      </c>
      <c r="B7" s="197">
        <f>Input!C10/3</f>
        <v>250000</v>
      </c>
      <c r="C7" s="197">
        <f>Input!C10/3</f>
        <v>250000</v>
      </c>
      <c r="D7" s="197">
        <f>Input!C10/3</f>
        <v>250000</v>
      </c>
      <c r="E7" s="197">
        <f t="shared" ref="E7:E8" si="0">D7*1.05</f>
        <v>262500</v>
      </c>
      <c r="F7" s="197">
        <f t="shared" ref="F7:F8" si="1">D7*1.05</f>
        <v>262500</v>
      </c>
      <c r="G7" s="197">
        <f t="shared" ref="G7:G8" si="2">D7*1.05</f>
        <v>262500</v>
      </c>
      <c r="H7" s="197">
        <f t="shared" ref="H7:H8" si="3">G7*1.05</f>
        <v>275625</v>
      </c>
      <c r="I7" s="197">
        <f t="shared" ref="I7:I8" si="4">G7*1.05</f>
        <v>275625</v>
      </c>
      <c r="J7" s="197">
        <f t="shared" ref="J7:J8" si="5">G7*1.05</f>
        <v>275625</v>
      </c>
      <c r="K7" s="197">
        <f t="shared" ref="K7:K8" si="6">J7*1.05</f>
        <v>289406.25</v>
      </c>
      <c r="L7" s="197">
        <f t="shared" ref="L7:L8" si="7">J7*1.05</f>
        <v>289406.25</v>
      </c>
      <c r="M7" s="197">
        <f t="shared" ref="M7:M8" si="8">J7*1.05</f>
        <v>289406.25</v>
      </c>
    </row>
    <row r="8" spans="1:13">
      <c r="A8" s="142" t="s">
        <v>293</v>
      </c>
      <c r="B8" s="197">
        <f>Input!D10/3</f>
        <v>100000</v>
      </c>
      <c r="C8" s="197">
        <f>Input!D10/3</f>
        <v>100000</v>
      </c>
      <c r="D8" s="197">
        <f>Input!D10/3</f>
        <v>100000</v>
      </c>
      <c r="E8" s="197">
        <f t="shared" si="0"/>
        <v>105000</v>
      </c>
      <c r="F8" s="197">
        <f t="shared" si="1"/>
        <v>105000</v>
      </c>
      <c r="G8" s="197">
        <f t="shared" si="2"/>
        <v>105000</v>
      </c>
      <c r="H8" s="197">
        <f t="shared" si="3"/>
        <v>110250</v>
      </c>
      <c r="I8" s="197">
        <f t="shared" si="4"/>
        <v>110250</v>
      </c>
      <c r="J8" s="197">
        <f t="shared" si="5"/>
        <v>110250</v>
      </c>
      <c r="K8" s="197">
        <f t="shared" si="6"/>
        <v>115762.5</v>
      </c>
      <c r="L8" s="197">
        <f t="shared" si="7"/>
        <v>115762.5</v>
      </c>
      <c r="M8" s="197">
        <f t="shared" si="8"/>
        <v>115762.5</v>
      </c>
    </row>
    <row r="10" spans="1:13">
      <c r="B10" s="199" t="s">
        <v>338</v>
      </c>
    </row>
  </sheetData>
  <mergeCells count="4">
    <mergeCell ref="B3:D3"/>
    <mergeCell ref="E3:G3"/>
    <mergeCell ref="H3:J3"/>
    <mergeCell ref="K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1AE6-E9EC-4148-9D01-FEF58C07BA41}">
  <dimension ref="A1:V90"/>
  <sheetViews>
    <sheetView topLeftCell="G72" workbookViewId="0">
      <selection activeCell="O86" sqref="O86"/>
    </sheetView>
  </sheetViews>
  <sheetFormatPr defaultRowHeight="15"/>
  <cols>
    <col min="1" max="1" width="37.140625" customWidth="1"/>
    <col min="2" max="2" width="14.28515625" bestFit="1" customWidth="1"/>
    <col min="3" max="3" width="14" customWidth="1"/>
    <col min="4" max="4" width="13.85546875" customWidth="1"/>
    <col min="5" max="5" width="13.140625" customWidth="1"/>
    <col min="6" max="6" width="13.42578125" customWidth="1"/>
    <col min="7" max="7" width="13.85546875" customWidth="1"/>
    <col min="8" max="8" width="14.7109375" customWidth="1"/>
    <col min="9" max="9" width="13.85546875" customWidth="1"/>
    <col min="10" max="10" width="14.28515625" customWidth="1"/>
    <col min="11" max="11" width="14.140625" customWidth="1"/>
    <col min="12" max="12" width="15.5703125" customWidth="1"/>
    <col min="13" max="13" width="14.42578125" customWidth="1"/>
    <col min="14" max="14" width="19" customWidth="1"/>
    <col min="15" max="15" width="14" style="205" customWidth="1"/>
    <col min="17" max="17" width="15.7109375" customWidth="1"/>
    <col min="18" max="18" width="13.7109375" customWidth="1"/>
  </cols>
  <sheetData>
    <row r="1" spans="1:22" ht="23.25">
      <c r="A1" s="142"/>
      <c r="B1" s="79"/>
      <c r="C1" s="184" t="s">
        <v>283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79"/>
      <c r="O1" s="130"/>
      <c r="Q1" s="143"/>
      <c r="R1" s="143"/>
    </row>
    <row r="2" spans="1:22">
      <c r="A2" s="142"/>
      <c r="B2" s="79"/>
      <c r="C2" s="133"/>
      <c r="D2" s="133"/>
      <c r="E2" s="84" t="s">
        <v>282</v>
      </c>
      <c r="F2" s="84"/>
      <c r="G2" s="84"/>
      <c r="H2" s="84"/>
      <c r="I2" s="84"/>
      <c r="J2" s="84"/>
      <c r="K2" s="84"/>
      <c r="L2" s="133"/>
      <c r="M2" s="133"/>
      <c r="N2" s="204" t="s">
        <v>336</v>
      </c>
      <c r="O2" s="130"/>
      <c r="Q2" s="143"/>
      <c r="R2" s="143"/>
    </row>
    <row r="3" spans="1:22" s="144" customFormat="1">
      <c r="A3" s="145"/>
      <c r="B3" s="179" t="s">
        <v>287</v>
      </c>
      <c r="C3" s="179"/>
      <c r="D3" s="179"/>
      <c r="E3" s="179" t="s">
        <v>288</v>
      </c>
      <c r="F3" s="179"/>
      <c r="G3" s="179"/>
      <c r="H3" s="179" t="s">
        <v>289</v>
      </c>
      <c r="I3" s="179"/>
      <c r="J3" s="179"/>
      <c r="K3" s="179" t="s">
        <v>290</v>
      </c>
      <c r="L3" s="179"/>
      <c r="M3" s="179"/>
      <c r="N3" s="84" t="s">
        <v>316</v>
      </c>
      <c r="O3" s="83" t="s">
        <v>1</v>
      </c>
      <c r="Q3" s="146" t="s">
        <v>2</v>
      </c>
      <c r="R3" s="146"/>
    </row>
    <row r="4" spans="1:22" s="1" customFormat="1" ht="12.75">
      <c r="A4" s="147" t="s">
        <v>5</v>
      </c>
      <c r="B4" s="148" t="s">
        <v>6</v>
      </c>
      <c r="C4" s="148" t="s">
        <v>7</v>
      </c>
      <c r="D4" s="148" t="s">
        <v>8</v>
      </c>
      <c r="E4" s="149" t="s">
        <v>9</v>
      </c>
      <c r="F4" s="149" t="s">
        <v>10</v>
      </c>
      <c r="G4" s="149" t="s">
        <v>11</v>
      </c>
      <c r="H4" s="148" t="s">
        <v>12</v>
      </c>
      <c r="I4" s="148" t="s">
        <v>13</v>
      </c>
      <c r="J4" s="148" t="s">
        <v>14</v>
      </c>
      <c r="K4" s="149" t="s">
        <v>15</v>
      </c>
      <c r="L4" s="149" t="s">
        <v>16</v>
      </c>
      <c r="M4" s="149" t="s">
        <v>17</v>
      </c>
      <c r="N4" s="150" t="s">
        <v>18</v>
      </c>
      <c r="O4" s="208" t="s">
        <v>18</v>
      </c>
      <c r="Q4" s="209" t="s">
        <v>337</v>
      </c>
      <c r="R4" s="209" t="s">
        <v>19</v>
      </c>
    </row>
    <row r="5" spans="1:22">
      <c r="A5" s="145" t="s">
        <v>26</v>
      </c>
    </row>
    <row r="6" spans="1:22">
      <c r="A6" s="142" t="s">
        <v>291</v>
      </c>
      <c r="B6" s="197">
        <f>'Revenue workings'!B6</f>
        <v>166666.66666666666</v>
      </c>
      <c r="C6" s="197">
        <f>'Revenue workings'!C6</f>
        <v>166666.66666666666</v>
      </c>
      <c r="D6" s="197">
        <f>'Revenue workings'!D6</f>
        <v>166666.66666666666</v>
      </c>
      <c r="E6" s="197">
        <f>'Revenue workings'!E6</f>
        <v>175000</v>
      </c>
      <c r="F6" s="197">
        <f>'Revenue workings'!F6</f>
        <v>175000</v>
      </c>
      <c r="G6" s="197">
        <f>'Revenue workings'!G6</f>
        <v>175000</v>
      </c>
      <c r="H6" s="197">
        <f>'Revenue workings'!H6</f>
        <v>183750</v>
      </c>
      <c r="I6" s="197">
        <f>'Revenue workings'!I6</f>
        <v>183750</v>
      </c>
      <c r="J6" s="197">
        <f>'Revenue workings'!J6</f>
        <v>183750</v>
      </c>
      <c r="K6" s="197">
        <f>'Revenue workings'!K6</f>
        <v>192937.5</v>
      </c>
      <c r="L6" s="197">
        <f>'Revenue workings'!L6</f>
        <v>192937.5</v>
      </c>
      <c r="M6" s="197">
        <f>'Revenue workings'!M6</f>
        <v>192937.5</v>
      </c>
      <c r="N6" s="197">
        <f>SUM(B6:M6)</f>
        <v>2155062.5</v>
      </c>
      <c r="O6" s="206">
        <v>2500000</v>
      </c>
      <c r="P6" s="197"/>
      <c r="Q6" s="197">
        <f>O6-N6</f>
        <v>344937.5</v>
      </c>
      <c r="R6" s="197">
        <f>(Q6/N6)*100</f>
        <v>16.005916301731389</v>
      </c>
      <c r="S6" s="197"/>
      <c r="T6" s="197"/>
      <c r="U6" s="197"/>
      <c r="V6" s="197"/>
    </row>
    <row r="7" spans="1:22">
      <c r="A7" s="142" t="s">
        <v>292</v>
      </c>
      <c r="B7" s="197">
        <f>'Revenue workings'!B7</f>
        <v>250000</v>
      </c>
      <c r="C7" s="197">
        <f>'Revenue workings'!C7</f>
        <v>250000</v>
      </c>
      <c r="D7" s="197">
        <f>'Revenue workings'!D7</f>
        <v>250000</v>
      </c>
      <c r="E7" s="197">
        <f>'Revenue workings'!E7</f>
        <v>262500</v>
      </c>
      <c r="F7" s="197">
        <f>'Revenue workings'!F7</f>
        <v>262500</v>
      </c>
      <c r="G7" s="197">
        <f>'Revenue workings'!G7</f>
        <v>262500</v>
      </c>
      <c r="H7" s="197">
        <f>'Revenue workings'!H7</f>
        <v>275625</v>
      </c>
      <c r="I7" s="197">
        <f>'Revenue workings'!I7</f>
        <v>275625</v>
      </c>
      <c r="J7" s="197">
        <f>'Revenue workings'!J7</f>
        <v>275625</v>
      </c>
      <c r="K7" s="197">
        <f>'Revenue workings'!K7</f>
        <v>289406.25</v>
      </c>
      <c r="L7" s="197">
        <f>'Revenue workings'!L7</f>
        <v>289406.25</v>
      </c>
      <c r="M7" s="197">
        <f>'Revenue workings'!M7</f>
        <v>289406.25</v>
      </c>
      <c r="N7" s="197">
        <f t="shared" ref="N7:N15" si="0">SUM(B7:M7)</f>
        <v>3232593.75</v>
      </c>
      <c r="O7" s="206">
        <v>3000000</v>
      </c>
      <c r="P7" s="197"/>
      <c r="Q7" s="197">
        <f t="shared" ref="Q7:Q15" si="1">O7-N7</f>
        <v>-232593.75</v>
      </c>
      <c r="R7" s="197">
        <f t="shared" ref="R7:R8" si="2">(Q7/N7)*100</f>
        <v>-7.195266958614889</v>
      </c>
      <c r="S7" s="197"/>
      <c r="T7" s="197"/>
      <c r="U7" s="197"/>
      <c r="V7" s="197"/>
    </row>
    <row r="8" spans="1:22">
      <c r="A8" s="142" t="s">
        <v>293</v>
      </c>
      <c r="B8" s="197">
        <f>'Revenue workings'!B8</f>
        <v>100000</v>
      </c>
      <c r="C8" s="197">
        <f>'Revenue workings'!C8</f>
        <v>100000</v>
      </c>
      <c r="D8" s="197">
        <f>'Revenue workings'!D8</f>
        <v>100000</v>
      </c>
      <c r="E8" s="197">
        <f>'Revenue workings'!E8</f>
        <v>105000</v>
      </c>
      <c r="F8" s="197">
        <f>'Revenue workings'!F8</f>
        <v>105000</v>
      </c>
      <c r="G8" s="197">
        <f>'Revenue workings'!G8</f>
        <v>105000</v>
      </c>
      <c r="H8" s="197">
        <f>'Revenue workings'!H8</f>
        <v>110250</v>
      </c>
      <c r="I8" s="197">
        <f>'Revenue workings'!I8</f>
        <v>110250</v>
      </c>
      <c r="J8" s="197">
        <f>'Revenue workings'!J8</f>
        <v>110250</v>
      </c>
      <c r="K8" s="197">
        <f>'Revenue workings'!K8</f>
        <v>115762.5</v>
      </c>
      <c r="L8" s="197">
        <f>'Revenue workings'!L8</f>
        <v>115762.5</v>
      </c>
      <c r="M8" s="197">
        <f>'Revenue workings'!M8</f>
        <v>115762.5</v>
      </c>
      <c r="N8" s="197">
        <f t="shared" si="0"/>
        <v>1293037.5</v>
      </c>
      <c r="O8" s="206">
        <v>2300000</v>
      </c>
      <c r="P8" s="197"/>
      <c r="Q8" s="197">
        <f t="shared" si="1"/>
        <v>1006962.5</v>
      </c>
      <c r="R8" s="197">
        <f t="shared" si="2"/>
        <v>77.875738329321464</v>
      </c>
      <c r="S8" s="197"/>
      <c r="T8" s="197"/>
      <c r="U8" s="197"/>
      <c r="V8" s="197"/>
    </row>
    <row r="9" spans="1:22">
      <c r="A9" s="142" t="s">
        <v>298</v>
      </c>
      <c r="B9" s="197">
        <f>Input!B12</f>
        <v>25</v>
      </c>
      <c r="C9" s="197">
        <f>B9</f>
        <v>25</v>
      </c>
      <c r="D9" s="197">
        <f>C9</f>
        <v>25</v>
      </c>
      <c r="E9" s="197">
        <f>D9</f>
        <v>25</v>
      </c>
      <c r="F9" s="197">
        <f>E9</f>
        <v>25</v>
      </c>
      <c r="G9" s="197">
        <f>F9</f>
        <v>25</v>
      </c>
      <c r="H9" s="197">
        <f>G9</f>
        <v>25</v>
      </c>
      <c r="I9" s="197">
        <f>H9</f>
        <v>25</v>
      </c>
      <c r="J9" s="197">
        <f>I9</f>
        <v>25</v>
      </c>
      <c r="K9" s="197">
        <f>J9</f>
        <v>25</v>
      </c>
      <c r="L9" s="197">
        <f>K9</f>
        <v>25</v>
      </c>
      <c r="M9" s="197">
        <f>L9</f>
        <v>25</v>
      </c>
      <c r="N9" s="197"/>
      <c r="O9" s="206">
        <v>25</v>
      </c>
      <c r="P9" s="197"/>
      <c r="Q9" s="197"/>
      <c r="R9" s="197"/>
      <c r="S9" s="197"/>
      <c r="T9" s="197"/>
      <c r="U9" s="197"/>
      <c r="V9" s="197"/>
    </row>
    <row r="10" spans="1:22">
      <c r="A10" s="142" t="s">
        <v>299</v>
      </c>
      <c r="B10" s="197">
        <f>Input!C12</f>
        <v>12</v>
      </c>
      <c r="C10" s="197">
        <f t="shared" ref="C10:M11" si="3">B10</f>
        <v>12</v>
      </c>
      <c r="D10" s="197">
        <f t="shared" si="3"/>
        <v>12</v>
      </c>
      <c r="E10" s="197">
        <f t="shared" si="3"/>
        <v>12</v>
      </c>
      <c r="F10" s="197">
        <f t="shared" si="3"/>
        <v>12</v>
      </c>
      <c r="G10" s="197">
        <f t="shared" si="3"/>
        <v>12</v>
      </c>
      <c r="H10" s="197">
        <f t="shared" si="3"/>
        <v>12</v>
      </c>
      <c r="I10" s="197">
        <f t="shared" si="3"/>
        <v>12</v>
      </c>
      <c r="J10" s="197">
        <f t="shared" si="3"/>
        <v>12</v>
      </c>
      <c r="K10" s="197">
        <f t="shared" si="3"/>
        <v>12</v>
      </c>
      <c r="L10" s="197">
        <f t="shared" si="3"/>
        <v>12</v>
      </c>
      <c r="M10" s="197">
        <f t="shared" si="3"/>
        <v>12</v>
      </c>
      <c r="N10" s="197"/>
      <c r="O10" s="206">
        <v>12</v>
      </c>
      <c r="P10" s="197"/>
      <c r="Q10" s="197"/>
      <c r="R10" s="197"/>
      <c r="S10" s="197"/>
      <c r="T10" s="197"/>
      <c r="U10" s="197"/>
      <c r="V10" s="197"/>
    </row>
    <row r="11" spans="1:22">
      <c r="A11" s="142" t="s">
        <v>300</v>
      </c>
      <c r="B11" s="197">
        <f>Input!D12</f>
        <v>18</v>
      </c>
      <c r="C11" s="197">
        <f t="shared" si="3"/>
        <v>18</v>
      </c>
      <c r="D11" s="197">
        <f t="shared" si="3"/>
        <v>18</v>
      </c>
      <c r="E11" s="197">
        <f t="shared" si="3"/>
        <v>18</v>
      </c>
      <c r="F11" s="197">
        <f t="shared" si="3"/>
        <v>18</v>
      </c>
      <c r="G11" s="197">
        <f t="shared" si="3"/>
        <v>18</v>
      </c>
      <c r="H11" s="197">
        <f t="shared" si="3"/>
        <v>18</v>
      </c>
      <c r="I11" s="197">
        <f t="shared" si="3"/>
        <v>18</v>
      </c>
      <c r="J11" s="197">
        <f t="shared" si="3"/>
        <v>18</v>
      </c>
      <c r="K11" s="197">
        <f t="shared" si="3"/>
        <v>18</v>
      </c>
      <c r="L11" s="197">
        <f t="shared" si="3"/>
        <v>18</v>
      </c>
      <c r="M11" s="197">
        <f t="shared" si="3"/>
        <v>18</v>
      </c>
      <c r="N11" s="197"/>
      <c r="O11" s="206">
        <v>18</v>
      </c>
      <c r="P11" s="197"/>
      <c r="Q11" s="197"/>
      <c r="R11" s="197"/>
      <c r="S11" s="197"/>
      <c r="T11" s="197"/>
      <c r="U11" s="197"/>
      <c r="V11" s="197"/>
    </row>
    <row r="12" spans="1:22">
      <c r="A12" s="142"/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>
        <f t="shared" si="0"/>
        <v>0</v>
      </c>
      <c r="O12" s="206"/>
      <c r="P12" s="197"/>
      <c r="Q12" s="197">
        <f t="shared" si="1"/>
        <v>0</v>
      </c>
      <c r="R12" s="197"/>
      <c r="S12" s="197"/>
      <c r="T12" s="197"/>
      <c r="U12" s="197"/>
      <c r="V12" s="197"/>
    </row>
    <row r="13" spans="1:22">
      <c r="A13" s="142" t="s">
        <v>301</v>
      </c>
      <c r="B13" s="197">
        <f>B6*B9</f>
        <v>4166666.6666666665</v>
      </c>
      <c r="C13" s="197">
        <f>C6*C9</f>
        <v>4166666.6666666665</v>
      </c>
      <c r="D13" s="197">
        <f t="shared" ref="D13:M13" si="4">D6*D9</f>
        <v>4166666.6666666665</v>
      </c>
      <c r="E13" s="197">
        <f t="shared" si="4"/>
        <v>4375000</v>
      </c>
      <c r="F13" s="197">
        <f t="shared" si="4"/>
        <v>4375000</v>
      </c>
      <c r="G13" s="197">
        <f t="shared" si="4"/>
        <v>4375000</v>
      </c>
      <c r="H13" s="197">
        <f t="shared" si="4"/>
        <v>4593750</v>
      </c>
      <c r="I13" s="197">
        <f t="shared" si="4"/>
        <v>4593750</v>
      </c>
      <c r="J13" s="197">
        <f t="shared" si="4"/>
        <v>4593750</v>
      </c>
      <c r="K13" s="197">
        <f t="shared" si="4"/>
        <v>4823437.5</v>
      </c>
      <c r="L13" s="197">
        <f t="shared" si="4"/>
        <v>4823437.5</v>
      </c>
      <c r="M13" s="197">
        <f t="shared" si="4"/>
        <v>4823437.5</v>
      </c>
      <c r="N13" s="197">
        <f t="shared" si="0"/>
        <v>53876562.5</v>
      </c>
      <c r="O13" s="206">
        <f>O6*O9</f>
        <v>62500000</v>
      </c>
      <c r="P13" s="197"/>
      <c r="Q13" s="197">
        <f t="shared" si="1"/>
        <v>8623437.5</v>
      </c>
      <c r="R13" s="197"/>
      <c r="S13" s="197"/>
      <c r="T13" s="197"/>
      <c r="U13" s="197"/>
      <c r="V13" s="197"/>
    </row>
    <row r="14" spans="1:22">
      <c r="A14" s="142" t="s">
        <v>302</v>
      </c>
      <c r="B14" s="197">
        <f>B7*B10</f>
        <v>3000000</v>
      </c>
      <c r="C14" s="197">
        <f t="shared" ref="C14:M14" si="5">C7*C10</f>
        <v>3000000</v>
      </c>
      <c r="D14" s="197">
        <f>D7*D10</f>
        <v>3000000</v>
      </c>
      <c r="E14" s="197">
        <f t="shared" si="5"/>
        <v>3150000</v>
      </c>
      <c r="F14" s="197">
        <f t="shared" si="5"/>
        <v>3150000</v>
      </c>
      <c r="G14" s="197">
        <f t="shared" si="5"/>
        <v>3150000</v>
      </c>
      <c r="H14" s="197">
        <f t="shared" si="5"/>
        <v>3307500</v>
      </c>
      <c r="I14" s="197">
        <f t="shared" si="5"/>
        <v>3307500</v>
      </c>
      <c r="J14" s="197">
        <f t="shared" si="5"/>
        <v>3307500</v>
      </c>
      <c r="K14" s="197">
        <f t="shared" si="5"/>
        <v>3472875</v>
      </c>
      <c r="L14" s="197">
        <f t="shared" si="5"/>
        <v>3472875</v>
      </c>
      <c r="M14" s="197">
        <f t="shared" si="5"/>
        <v>3472875</v>
      </c>
      <c r="N14" s="197">
        <f t="shared" si="0"/>
        <v>38791125</v>
      </c>
      <c r="O14" s="206">
        <f>O7*O10</f>
        <v>36000000</v>
      </c>
      <c r="P14" s="197"/>
      <c r="Q14" s="197">
        <f>O14-N14</f>
        <v>-2791125</v>
      </c>
      <c r="R14" s="197"/>
      <c r="S14" s="197"/>
      <c r="T14" s="197"/>
      <c r="U14" s="197"/>
      <c r="V14" s="197"/>
    </row>
    <row r="15" spans="1:22">
      <c r="A15" s="142" t="s">
        <v>303</v>
      </c>
      <c r="B15" s="197">
        <f>B8*B11</f>
        <v>1800000</v>
      </c>
      <c r="C15" s="197">
        <f t="shared" ref="C15:M15" si="6">C8*C11</f>
        <v>1800000</v>
      </c>
      <c r="D15" s="197">
        <f t="shared" si="6"/>
        <v>1800000</v>
      </c>
      <c r="E15" s="197">
        <f>E8*E11</f>
        <v>1890000</v>
      </c>
      <c r="F15" s="197">
        <f>F8*F11</f>
        <v>1890000</v>
      </c>
      <c r="G15" s="197">
        <f t="shared" si="6"/>
        <v>1890000</v>
      </c>
      <c r="H15" s="197">
        <f t="shared" si="6"/>
        <v>1984500</v>
      </c>
      <c r="I15" s="197">
        <f t="shared" si="6"/>
        <v>1984500</v>
      </c>
      <c r="J15" s="197">
        <f t="shared" si="6"/>
        <v>1984500</v>
      </c>
      <c r="K15" s="197">
        <f t="shared" si="6"/>
        <v>2083725</v>
      </c>
      <c r="L15" s="197">
        <f t="shared" si="6"/>
        <v>2083725</v>
      </c>
      <c r="M15" s="197">
        <f t="shared" si="6"/>
        <v>2083725</v>
      </c>
      <c r="N15" s="197">
        <f t="shared" si="0"/>
        <v>23274675</v>
      </c>
      <c r="O15" s="206">
        <f>O8*O11</f>
        <v>41400000</v>
      </c>
      <c r="P15" s="197"/>
      <c r="Q15" s="197">
        <f t="shared" si="1"/>
        <v>18125325</v>
      </c>
      <c r="R15" s="197"/>
      <c r="S15" s="197"/>
      <c r="T15" s="197"/>
      <c r="U15" s="197"/>
      <c r="V15" s="197"/>
    </row>
    <row r="16" spans="1:22" s="203" customFormat="1" ht="15.75" thickBot="1">
      <c r="A16" s="201" t="s">
        <v>27</v>
      </c>
      <c r="B16" s="202">
        <f t="shared" ref="B16:M16" si="7">SUM(B13:B15)</f>
        <v>8966666.666666666</v>
      </c>
      <c r="C16" s="202">
        <f t="shared" si="7"/>
        <v>8966666.666666666</v>
      </c>
      <c r="D16" s="202">
        <f t="shared" si="7"/>
        <v>8966666.666666666</v>
      </c>
      <c r="E16" s="202">
        <f t="shared" si="7"/>
        <v>9415000</v>
      </c>
      <c r="F16" s="202">
        <f t="shared" si="7"/>
        <v>9415000</v>
      </c>
      <c r="G16" s="202">
        <f t="shared" si="7"/>
        <v>9415000</v>
      </c>
      <c r="H16" s="202">
        <f t="shared" si="7"/>
        <v>9885750</v>
      </c>
      <c r="I16" s="202">
        <f t="shared" si="7"/>
        <v>9885750</v>
      </c>
      <c r="J16" s="202">
        <f t="shared" si="7"/>
        <v>9885750</v>
      </c>
      <c r="K16" s="202">
        <f t="shared" si="7"/>
        <v>10380037.5</v>
      </c>
      <c r="L16" s="202">
        <f t="shared" si="7"/>
        <v>10380037.5</v>
      </c>
      <c r="M16" s="202">
        <f t="shared" si="7"/>
        <v>10380037.5</v>
      </c>
      <c r="N16" s="202">
        <f>SUM(B16:M16)</f>
        <v>115942362.5</v>
      </c>
      <c r="O16" s="207"/>
      <c r="P16" s="202"/>
      <c r="Q16" s="202"/>
      <c r="R16" s="202"/>
      <c r="S16" s="202"/>
      <c r="T16" s="202"/>
      <c r="U16" s="202"/>
      <c r="V16" s="202"/>
    </row>
    <row r="17" spans="1:22" ht="15.75" thickTop="1"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206"/>
      <c r="P17" s="197"/>
      <c r="Q17" s="197"/>
      <c r="R17" s="197"/>
      <c r="S17" s="197"/>
      <c r="T17" s="197"/>
      <c r="U17" s="197"/>
      <c r="V17" s="197"/>
    </row>
    <row r="18" spans="1:22">
      <c r="A18" s="157" t="s">
        <v>304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206"/>
      <c r="P18" s="197"/>
      <c r="Q18" s="197"/>
      <c r="R18" s="197"/>
      <c r="S18" s="197"/>
      <c r="T18" s="197"/>
      <c r="U18" s="197"/>
      <c r="V18" s="197"/>
    </row>
    <row r="19" spans="1:22">
      <c r="A19" s="157" t="s">
        <v>306</v>
      </c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206"/>
      <c r="P19" s="197"/>
      <c r="Q19" s="197"/>
      <c r="R19" s="197"/>
      <c r="S19" s="197"/>
      <c r="T19" s="197"/>
      <c r="U19" s="197"/>
      <c r="V19" s="197"/>
    </row>
    <row r="20" spans="1:22">
      <c r="A20" s="157" t="s">
        <v>284</v>
      </c>
      <c r="B20" s="90">
        <v>0.5</v>
      </c>
      <c r="C20" s="90">
        <v>0.5</v>
      </c>
      <c r="D20" s="90">
        <v>0.5</v>
      </c>
      <c r="E20" s="90">
        <v>0.5</v>
      </c>
      <c r="F20" s="90">
        <v>0.5</v>
      </c>
      <c r="G20" s="90">
        <v>0.5</v>
      </c>
      <c r="H20" s="90">
        <v>0.5</v>
      </c>
      <c r="I20" s="90">
        <v>0.5</v>
      </c>
      <c r="J20" s="90">
        <v>0.5</v>
      </c>
      <c r="K20" s="90">
        <v>0.5</v>
      </c>
      <c r="L20" s="90">
        <v>0.5</v>
      </c>
      <c r="M20" s="90">
        <v>0.5</v>
      </c>
      <c r="N20" s="197"/>
      <c r="O20" s="206"/>
      <c r="P20" s="197"/>
      <c r="Q20" s="197"/>
      <c r="R20" s="197"/>
      <c r="S20" s="197"/>
      <c r="T20" s="197"/>
      <c r="U20" s="197"/>
      <c r="V20" s="197"/>
    </row>
    <row r="21" spans="1:22">
      <c r="A21" s="160" t="s">
        <v>260</v>
      </c>
      <c r="B21" s="197">
        <f>B6*B20</f>
        <v>83333.333333333328</v>
      </c>
      <c r="C21" s="197">
        <f t="shared" ref="C21:M21" si="8">C6*C20</f>
        <v>83333.333333333328</v>
      </c>
      <c r="D21" s="197">
        <f t="shared" si="8"/>
        <v>83333.333333333328</v>
      </c>
      <c r="E21" s="197">
        <f t="shared" si="8"/>
        <v>87500</v>
      </c>
      <c r="F21" s="197">
        <f t="shared" si="8"/>
        <v>87500</v>
      </c>
      <c r="G21" s="197">
        <f t="shared" si="8"/>
        <v>87500</v>
      </c>
      <c r="H21" s="197">
        <f t="shared" si="8"/>
        <v>91875</v>
      </c>
      <c r="I21" s="197">
        <f t="shared" si="8"/>
        <v>91875</v>
      </c>
      <c r="J21" s="197">
        <f t="shared" si="8"/>
        <v>91875</v>
      </c>
      <c r="K21" s="197">
        <f t="shared" si="8"/>
        <v>96468.75</v>
      </c>
      <c r="L21" s="197">
        <f t="shared" si="8"/>
        <v>96468.75</v>
      </c>
      <c r="M21" s="197">
        <f t="shared" si="8"/>
        <v>96468.75</v>
      </c>
      <c r="N21" s="197">
        <f t="shared" ref="N21" si="9">SUM(B21:M21)</f>
        <v>1077531.25</v>
      </c>
      <c r="O21" s="206"/>
      <c r="P21" s="197"/>
      <c r="Q21" s="197"/>
      <c r="R21" s="197"/>
      <c r="S21" s="197"/>
      <c r="T21" s="197"/>
      <c r="U21" s="197"/>
      <c r="V21" s="197"/>
    </row>
    <row r="22" spans="1:22">
      <c r="A22" s="160" t="s">
        <v>261</v>
      </c>
      <c r="B22" s="197">
        <f>B20*B6</f>
        <v>83333.333333333328</v>
      </c>
      <c r="C22" s="197">
        <f t="shared" ref="C22:M22" si="10">C20*C6</f>
        <v>83333.333333333328</v>
      </c>
      <c r="D22" s="197">
        <f t="shared" si="10"/>
        <v>83333.333333333328</v>
      </c>
      <c r="E22" s="197">
        <f t="shared" si="10"/>
        <v>87500</v>
      </c>
      <c r="F22" s="197">
        <f t="shared" si="10"/>
        <v>87500</v>
      </c>
      <c r="G22" s="197">
        <f t="shared" si="10"/>
        <v>87500</v>
      </c>
      <c r="H22" s="197">
        <f t="shared" si="10"/>
        <v>91875</v>
      </c>
      <c r="I22" s="197">
        <f t="shared" si="10"/>
        <v>91875</v>
      </c>
      <c r="J22" s="197">
        <f t="shared" si="10"/>
        <v>91875</v>
      </c>
      <c r="K22" s="197">
        <f t="shared" si="10"/>
        <v>96468.75</v>
      </c>
      <c r="L22" s="197">
        <f t="shared" si="10"/>
        <v>96468.75</v>
      </c>
      <c r="M22" s="197">
        <f t="shared" si="10"/>
        <v>96468.75</v>
      </c>
      <c r="N22" s="197">
        <f t="shared" ref="N21:N84" si="11">SUM(B22:M22)</f>
        <v>1077531.25</v>
      </c>
      <c r="O22" s="206"/>
      <c r="P22" s="197"/>
      <c r="Q22" s="197"/>
      <c r="R22" s="197"/>
      <c r="S22" s="197"/>
      <c r="T22" s="197"/>
      <c r="U22" s="197"/>
      <c r="V22" s="197"/>
    </row>
    <row r="23" spans="1:22">
      <c r="A23" s="160" t="s">
        <v>262</v>
      </c>
      <c r="B23" s="197">
        <f>B20*B6</f>
        <v>83333.333333333328</v>
      </c>
      <c r="C23" s="197">
        <f t="shared" ref="C23:M23" si="12">C20*C6</f>
        <v>83333.333333333328</v>
      </c>
      <c r="D23" s="197">
        <f t="shared" si="12"/>
        <v>83333.333333333328</v>
      </c>
      <c r="E23" s="197">
        <f t="shared" si="12"/>
        <v>87500</v>
      </c>
      <c r="F23" s="197">
        <f t="shared" si="12"/>
        <v>87500</v>
      </c>
      <c r="G23" s="197">
        <f t="shared" si="12"/>
        <v>87500</v>
      </c>
      <c r="H23" s="197">
        <f t="shared" si="12"/>
        <v>91875</v>
      </c>
      <c r="I23" s="197">
        <f t="shared" si="12"/>
        <v>91875</v>
      </c>
      <c r="J23" s="197">
        <f t="shared" si="12"/>
        <v>91875</v>
      </c>
      <c r="K23" s="197">
        <f t="shared" si="12"/>
        <v>96468.75</v>
      </c>
      <c r="L23" s="197">
        <f t="shared" si="12"/>
        <v>96468.75</v>
      </c>
      <c r="M23" s="197">
        <f t="shared" si="12"/>
        <v>96468.75</v>
      </c>
      <c r="N23" s="197">
        <f t="shared" si="11"/>
        <v>1077531.25</v>
      </c>
      <c r="O23" s="206"/>
      <c r="P23" s="197"/>
      <c r="Q23" s="197"/>
      <c r="R23" s="197"/>
      <c r="S23" s="197"/>
      <c r="T23" s="197"/>
      <c r="U23" s="197"/>
      <c r="V23" s="197"/>
    </row>
    <row r="24" spans="1:22">
      <c r="A24" s="210" t="s">
        <v>341</v>
      </c>
      <c r="B24" s="212">
        <f>SUM(B21:B23)</f>
        <v>250000</v>
      </c>
      <c r="C24" s="212">
        <f t="shared" ref="C24:M24" si="13">SUM(C21:C23)</f>
        <v>250000</v>
      </c>
      <c r="D24" s="212">
        <f t="shared" si="13"/>
        <v>250000</v>
      </c>
      <c r="E24" s="212">
        <f t="shared" si="13"/>
        <v>262500</v>
      </c>
      <c r="F24" s="212">
        <f t="shared" si="13"/>
        <v>262500</v>
      </c>
      <c r="G24" s="212">
        <f t="shared" si="13"/>
        <v>262500</v>
      </c>
      <c r="H24" s="212">
        <f t="shared" si="13"/>
        <v>275625</v>
      </c>
      <c r="I24" s="212">
        <f t="shared" si="13"/>
        <v>275625</v>
      </c>
      <c r="J24" s="212">
        <f t="shared" si="13"/>
        <v>275625</v>
      </c>
      <c r="K24" s="212">
        <f t="shared" si="13"/>
        <v>289406.25</v>
      </c>
      <c r="L24" s="212">
        <f t="shared" si="13"/>
        <v>289406.25</v>
      </c>
      <c r="M24" s="212">
        <f t="shared" si="13"/>
        <v>289406.25</v>
      </c>
      <c r="N24" s="197">
        <f t="shared" si="11"/>
        <v>3232593.75</v>
      </c>
      <c r="O24" s="206"/>
      <c r="P24" s="197"/>
      <c r="Q24" s="197"/>
      <c r="R24" s="197"/>
      <c r="S24" s="197"/>
      <c r="T24" s="197"/>
      <c r="U24" s="197"/>
      <c r="V24" s="197"/>
    </row>
    <row r="25" spans="1:22">
      <c r="A25" s="157" t="s">
        <v>286</v>
      </c>
      <c r="B25" s="90">
        <v>0.33333333333333331</v>
      </c>
      <c r="C25" s="90">
        <v>0.33333333333333331</v>
      </c>
      <c r="D25" s="90">
        <v>0.33333333333333331</v>
      </c>
      <c r="E25" s="90">
        <v>0.33333333333333331</v>
      </c>
      <c r="F25" s="90">
        <v>0.33333333333333331</v>
      </c>
      <c r="G25" s="90">
        <v>0.33333333333333331</v>
      </c>
      <c r="H25" s="90">
        <v>0.33333333333333331</v>
      </c>
      <c r="I25" s="90">
        <v>0.33333333333333331</v>
      </c>
      <c r="J25" s="90">
        <v>0.33333333333333331</v>
      </c>
      <c r="K25" s="90">
        <v>0.33333333333333331</v>
      </c>
      <c r="L25" s="90">
        <v>0.33333333333333331</v>
      </c>
      <c r="M25" s="90">
        <v>0.33333333333333331</v>
      </c>
      <c r="N25" s="197"/>
      <c r="O25" s="206"/>
      <c r="P25" s="197"/>
      <c r="Q25" s="197"/>
      <c r="R25" s="197"/>
      <c r="S25" s="197"/>
      <c r="T25" s="197"/>
      <c r="U25" s="197"/>
      <c r="V25" s="197"/>
    </row>
    <row r="26" spans="1:22">
      <c r="A26" s="160" t="s">
        <v>260</v>
      </c>
      <c r="B26" s="197">
        <f>B25*B7</f>
        <v>83333.333333333328</v>
      </c>
      <c r="C26" s="197">
        <f t="shared" ref="C26:M26" si="14">C25*C7</f>
        <v>83333.333333333328</v>
      </c>
      <c r="D26" s="197">
        <f t="shared" si="14"/>
        <v>83333.333333333328</v>
      </c>
      <c r="E26" s="197">
        <f>E25*E7</f>
        <v>87500</v>
      </c>
      <c r="F26" s="197">
        <f t="shared" si="14"/>
        <v>87500</v>
      </c>
      <c r="G26" s="197">
        <f t="shared" si="14"/>
        <v>87500</v>
      </c>
      <c r="H26" s="197">
        <f t="shared" si="14"/>
        <v>91875</v>
      </c>
      <c r="I26" s="197">
        <f t="shared" si="14"/>
        <v>91875</v>
      </c>
      <c r="J26" s="197">
        <f t="shared" si="14"/>
        <v>91875</v>
      </c>
      <c r="K26" s="197">
        <f t="shared" si="14"/>
        <v>96468.75</v>
      </c>
      <c r="L26" s="197">
        <f t="shared" si="14"/>
        <v>96468.75</v>
      </c>
      <c r="M26" s="197">
        <f t="shared" si="14"/>
        <v>96468.75</v>
      </c>
      <c r="N26" s="197">
        <f t="shared" si="11"/>
        <v>1077531.25</v>
      </c>
      <c r="O26" s="206"/>
      <c r="P26" s="197"/>
      <c r="Q26" s="197"/>
      <c r="R26" s="197"/>
      <c r="S26" s="197"/>
      <c r="T26" s="197"/>
      <c r="U26" s="197"/>
      <c r="V26" s="197"/>
    </row>
    <row r="27" spans="1:22">
      <c r="A27" s="160" t="s">
        <v>261</v>
      </c>
      <c r="B27" s="197">
        <f>B25*B7</f>
        <v>83333.333333333328</v>
      </c>
      <c r="C27" s="197">
        <f t="shared" ref="C27:M27" si="15">C25*C7</f>
        <v>83333.333333333328</v>
      </c>
      <c r="D27" s="197">
        <f t="shared" si="15"/>
        <v>83333.333333333328</v>
      </c>
      <c r="E27" s="197">
        <f t="shared" si="15"/>
        <v>87500</v>
      </c>
      <c r="F27" s="197">
        <f t="shared" si="15"/>
        <v>87500</v>
      </c>
      <c r="G27" s="197">
        <f t="shared" si="15"/>
        <v>87500</v>
      </c>
      <c r="H27" s="197">
        <f t="shared" si="15"/>
        <v>91875</v>
      </c>
      <c r="I27" s="197">
        <f t="shared" si="15"/>
        <v>91875</v>
      </c>
      <c r="J27" s="197">
        <f t="shared" si="15"/>
        <v>91875</v>
      </c>
      <c r="K27" s="197">
        <f t="shared" si="15"/>
        <v>96468.75</v>
      </c>
      <c r="L27" s="197">
        <f t="shared" si="15"/>
        <v>96468.75</v>
      </c>
      <c r="M27" s="197">
        <f t="shared" si="15"/>
        <v>96468.75</v>
      </c>
      <c r="N27" s="197">
        <f t="shared" si="11"/>
        <v>1077531.25</v>
      </c>
      <c r="O27" s="206"/>
      <c r="P27" s="197"/>
      <c r="Q27" s="197"/>
      <c r="R27" s="197"/>
      <c r="S27" s="197"/>
      <c r="T27" s="197"/>
      <c r="U27" s="197"/>
      <c r="V27" s="197"/>
    </row>
    <row r="28" spans="1:22">
      <c r="A28" s="160" t="s">
        <v>262</v>
      </c>
      <c r="B28" s="197">
        <f>B25*B7</f>
        <v>83333.333333333328</v>
      </c>
      <c r="C28" s="197">
        <f t="shared" ref="C28:M28" si="16">C25*C7</f>
        <v>83333.333333333328</v>
      </c>
      <c r="D28" s="197">
        <f t="shared" si="16"/>
        <v>83333.333333333328</v>
      </c>
      <c r="E28" s="197">
        <f t="shared" si="16"/>
        <v>87500</v>
      </c>
      <c r="F28" s="197">
        <f t="shared" si="16"/>
        <v>87500</v>
      </c>
      <c r="G28" s="197">
        <f t="shared" si="16"/>
        <v>87500</v>
      </c>
      <c r="H28" s="197">
        <f t="shared" si="16"/>
        <v>91875</v>
      </c>
      <c r="I28" s="197">
        <f t="shared" si="16"/>
        <v>91875</v>
      </c>
      <c r="J28" s="197">
        <f t="shared" si="16"/>
        <v>91875</v>
      </c>
      <c r="K28" s="197">
        <f t="shared" si="16"/>
        <v>96468.75</v>
      </c>
      <c r="L28" s="197">
        <f t="shared" si="16"/>
        <v>96468.75</v>
      </c>
      <c r="M28" s="197">
        <f t="shared" si="16"/>
        <v>96468.75</v>
      </c>
      <c r="N28" s="197">
        <f t="shared" si="11"/>
        <v>1077531.25</v>
      </c>
      <c r="O28" s="206"/>
      <c r="P28" s="197"/>
      <c r="Q28" s="197"/>
      <c r="R28" s="197"/>
      <c r="S28" s="197"/>
      <c r="T28" s="197"/>
      <c r="U28" s="197"/>
      <c r="V28" s="197"/>
    </row>
    <row r="29" spans="1:22">
      <c r="A29" s="210" t="s">
        <v>341</v>
      </c>
      <c r="B29" s="212">
        <f>SUM(B26:B28)</f>
        <v>250000</v>
      </c>
      <c r="C29" s="212">
        <f t="shared" ref="C29:M29" si="17">SUM(C26:C28)</f>
        <v>250000</v>
      </c>
      <c r="D29" s="212">
        <f t="shared" si="17"/>
        <v>250000</v>
      </c>
      <c r="E29" s="212">
        <f t="shared" si="17"/>
        <v>262500</v>
      </c>
      <c r="F29" s="212">
        <f t="shared" si="17"/>
        <v>262500</v>
      </c>
      <c r="G29" s="212">
        <f t="shared" si="17"/>
        <v>262500</v>
      </c>
      <c r="H29" s="212">
        <f t="shared" si="17"/>
        <v>275625</v>
      </c>
      <c r="I29" s="212">
        <f t="shared" si="17"/>
        <v>275625</v>
      </c>
      <c r="J29" s="212">
        <f t="shared" si="17"/>
        <v>275625</v>
      </c>
      <c r="K29" s="212">
        <f t="shared" si="17"/>
        <v>289406.25</v>
      </c>
      <c r="L29" s="212">
        <f t="shared" si="17"/>
        <v>289406.25</v>
      </c>
      <c r="M29" s="212">
        <f t="shared" si="17"/>
        <v>289406.25</v>
      </c>
      <c r="N29" s="197">
        <f t="shared" si="11"/>
        <v>3232593.75</v>
      </c>
      <c r="O29" s="206"/>
      <c r="P29" s="197"/>
      <c r="Q29" s="197"/>
      <c r="R29" s="197"/>
      <c r="S29" s="197"/>
      <c r="T29" s="197"/>
      <c r="U29" s="197"/>
      <c r="V29" s="197"/>
    </row>
    <row r="30" spans="1:22">
      <c r="A30" s="157" t="s">
        <v>285</v>
      </c>
      <c r="B30" s="90">
        <v>0.83333333333333337</v>
      </c>
      <c r="C30" s="90">
        <v>0.83333333333333337</v>
      </c>
      <c r="D30" s="90">
        <v>0.83333333333333337</v>
      </c>
      <c r="E30" s="90">
        <v>0.83333333333333337</v>
      </c>
      <c r="F30" s="90">
        <v>0.83333333333333337</v>
      </c>
      <c r="G30" s="90">
        <v>0.83333333333333337</v>
      </c>
      <c r="H30" s="90">
        <v>0.83333333333333337</v>
      </c>
      <c r="I30" s="90">
        <v>0.83333333333333337</v>
      </c>
      <c r="J30" s="90">
        <v>0.83333333333333337</v>
      </c>
      <c r="K30" s="90">
        <v>0.83333333333333337</v>
      </c>
      <c r="L30" s="90">
        <v>0.83333333333333337</v>
      </c>
      <c r="M30" s="90">
        <v>0.83333333333333337</v>
      </c>
      <c r="N30" s="197"/>
      <c r="O30" s="206"/>
      <c r="P30" s="197"/>
      <c r="Q30" s="197"/>
      <c r="R30" s="197"/>
      <c r="S30" s="197"/>
      <c r="T30" s="197"/>
      <c r="U30" s="197"/>
      <c r="V30" s="197"/>
    </row>
    <row r="31" spans="1:22">
      <c r="A31" s="160" t="s">
        <v>260</v>
      </c>
      <c r="B31" s="197">
        <f>B30*B8</f>
        <v>83333.333333333343</v>
      </c>
      <c r="C31" s="197">
        <f t="shared" ref="C31:M31" si="18">C30*C8</f>
        <v>83333.333333333343</v>
      </c>
      <c r="D31" s="197">
        <f t="shared" si="18"/>
        <v>83333.333333333343</v>
      </c>
      <c r="E31" s="197">
        <f t="shared" si="18"/>
        <v>87500</v>
      </c>
      <c r="F31" s="197">
        <f t="shared" si="18"/>
        <v>87500</v>
      </c>
      <c r="G31" s="197">
        <f t="shared" si="18"/>
        <v>87500</v>
      </c>
      <c r="H31" s="197">
        <f t="shared" si="18"/>
        <v>91875</v>
      </c>
      <c r="I31" s="197">
        <f t="shared" si="18"/>
        <v>91875</v>
      </c>
      <c r="J31" s="197">
        <f t="shared" si="18"/>
        <v>91875</v>
      </c>
      <c r="K31" s="197">
        <f t="shared" si="18"/>
        <v>96468.75</v>
      </c>
      <c r="L31" s="197">
        <f t="shared" si="18"/>
        <v>96468.75</v>
      </c>
      <c r="M31" s="197">
        <f t="shared" si="18"/>
        <v>96468.75</v>
      </c>
      <c r="N31" s="197">
        <f t="shared" si="11"/>
        <v>1077531.25</v>
      </c>
      <c r="O31" s="206"/>
      <c r="P31" s="197"/>
      <c r="Q31" s="197"/>
      <c r="R31" s="197"/>
      <c r="S31" s="197"/>
      <c r="T31" s="197"/>
      <c r="U31" s="197"/>
      <c r="V31" s="197"/>
    </row>
    <row r="32" spans="1:22">
      <c r="A32" s="160" t="s">
        <v>261</v>
      </c>
      <c r="B32" s="197">
        <f>B30*B8</f>
        <v>83333.333333333343</v>
      </c>
      <c r="C32" s="197">
        <f t="shared" ref="C32:M32" si="19">C30*C8</f>
        <v>83333.333333333343</v>
      </c>
      <c r="D32" s="197">
        <f t="shared" si="19"/>
        <v>83333.333333333343</v>
      </c>
      <c r="E32" s="197">
        <f t="shared" si="19"/>
        <v>87500</v>
      </c>
      <c r="F32" s="197">
        <f t="shared" si="19"/>
        <v>87500</v>
      </c>
      <c r="G32" s="197">
        <f t="shared" si="19"/>
        <v>87500</v>
      </c>
      <c r="H32" s="197">
        <f t="shared" si="19"/>
        <v>91875</v>
      </c>
      <c r="I32" s="197">
        <f t="shared" si="19"/>
        <v>91875</v>
      </c>
      <c r="J32" s="197">
        <f t="shared" si="19"/>
        <v>91875</v>
      </c>
      <c r="K32" s="197">
        <f t="shared" si="19"/>
        <v>96468.75</v>
      </c>
      <c r="L32" s="197">
        <f t="shared" si="19"/>
        <v>96468.75</v>
      </c>
      <c r="M32" s="197">
        <f t="shared" si="19"/>
        <v>96468.75</v>
      </c>
      <c r="N32" s="197">
        <f t="shared" si="11"/>
        <v>1077531.25</v>
      </c>
      <c r="O32" s="206"/>
      <c r="P32" s="197"/>
      <c r="Q32" s="197"/>
      <c r="R32" s="197"/>
      <c r="S32" s="197"/>
      <c r="T32" s="197"/>
      <c r="U32" s="197"/>
      <c r="V32" s="197"/>
    </row>
    <row r="33" spans="1:22">
      <c r="A33" s="160" t="s">
        <v>262</v>
      </c>
      <c r="B33" s="197">
        <f>B30*B8</f>
        <v>83333.333333333343</v>
      </c>
      <c r="C33" s="197">
        <f t="shared" ref="C33:M33" si="20">C30*C8</f>
        <v>83333.333333333343</v>
      </c>
      <c r="D33" s="197">
        <f t="shared" si="20"/>
        <v>83333.333333333343</v>
      </c>
      <c r="E33" s="197">
        <f t="shared" si="20"/>
        <v>87500</v>
      </c>
      <c r="F33" s="197">
        <f t="shared" si="20"/>
        <v>87500</v>
      </c>
      <c r="G33" s="197">
        <f t="shared" si="20"/>
        <v>87500</v>
      </c>
      <c r="H33" s="197">
        <f t="shared" si="20"/>
        <v>91875</v>
      </c>
      <c r="I33" s="197">
        <f t="shared" si="20"/>
        <v>91875</v>
      </c>
      <c r="J33" s="197">
        <f t="shared" si="20"/>
        <v>91875</v>
      </c>
      <c r="K33" s="197">
        <f t="shared" si="20"/>
        <v>96468.75</v>
      </c>
      <c r="L33" s="197">
        <f t="shared" si="20"/>
        <v>96468.75</v>
      </c>
      <c r="M33" s="197">
        <f t="shared" si="20"/>
        <v>96468.75</v>
      </c>
      <c r="N33" s="197">
        <f t="shared" si="11"/>
        <v>1077531.25</v>
      </c>
      <c r="O33" s="206"/>
      <c r="P33" s="197"/>
      <c r="Q33" s="197"/>
      <c r="R33" s="197"/>
      <c r="S33" s="197"/>
      <c r="T33" s="197"/>
      <c r="U33" s="197"/>
      <c r="V33" s="197"/>
    </row>
    <row r="34" spans="1:22">
      <c r="A34" s="210" t="s">
        <v>341</v>
      </c>
      <c r="B34" s="212">
        <f>SUM(B31:B33)</f>
        <v>250000.00000000003</v>
      </c>
      <c r="C34" s="212">
        <f t="shared" ref="C34:M34" si="21">SUM(C31:C33)</f>
        <v>250000.00000000003</v>
      </c>
      <c r="D34" s="212">
        <f t="shared" si="21"/>
        <v>250000.00000000003</v>
      </c>
      <c r="E34" s="212">
        <f t="shared" si="21"/>
        <v>262500</v>
      </c>
      <c r="F34" s="212">
        <f t="shared" si="21"/>
        <v>262500</v>
      </c>
      <c r="G34" s="212">
        <f t="shared" si="21"/>
        <v>262500</v>
      </c>
      <c r="H34" s="212">
        <f t="shared" si="21"/>
        <v>275625</v>
      </c>
      <c r="I34" s="212">
        <f t="shared" si="21"/>
        <v>275625</v>
      </c>
      <c r="J34" s="212">
        <f t="shared" si="21"/>
        <v>275625</v>
      </c>
      <c r="K34" s="212">
        <f t="shared" si="21"/>
        <v>289406.25</v>
      </c>
      <c r="L34" s="212">
        <f t="shared" si="21"/>
        <v>289406.25</v>
      </c>
      <c r="M34" s="212">
        <f t="shared" si="21"/>
        <v>289406.25</v>
      </c>
      <c r="N34" s="197">
        <f t="shared" si="11"/>
        <v>3232593.75</v>
      </c>
      <c r="O34" s="206"/>
      <c r="P34" s="197"/>
      <c r="Q34" s="197"/>
      <c r="R34" s="197"/>
      <c r="S34" s="197"/>
      <c r="T34" s="197"/>
      <c r="U34" s="197"/>
      <c r="V34" s="197"/>
    </row>
    <row r="35" spans="1:22">
      <c r="A35" s="157" t="s">
        <v>307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>
        <f t="shared" si="11"/>
        <v>0</v>
      </c>
      <c r="O35" s="206"/>
      <c r="P35" s="197"/>
      <c r="Q35" s="197"/>
      <c r="R35" s="197"/>
      <c r="S35" s="197"/>
      <c r="T35" s="197"/>
      <c r="U35" s="197"/>
      <c r="V35" s="197"/>
    </row>
    <row r="36" spans="1:22">
      <c r="A36" s="210" t="s">
        <v>339</v>
      </c>
      <c r="B36" s="90">
        <v>0.5</v>
      </c>
      <c r="C36" s="90">
        <v>0.5</v>
      </c>
      <c r="D36" s="90">
        <v>0.5</v>
      </c>
      <c r="E36" s="90">
        <v>0.5</v>
      </c>
      <c r="F36" s="90">
        <v>0.5</v>
      </c>
      <c r="G36" s="90">
        <v>0.5</v>
      </c>
      <c r="H36" s="90">
        <v>0.5</v>
      </c>
      <c r="I36" s="90">
        <v>0.5</v>
      </c>
      <c r="J36" s="90">
        <v>0.5</v>
      </c>
      <c r="K36" s="90">
        <v>0.5</v>
      </c>
      <c r="L36" s="90">
        <v>0.5</v>
      </c>
      <c r="M36" s="90">
        <v>0.5</v>
      </c>
      <c r="N36" s="197"/>
      <c r="O36" s="206"/>
      <c r="P36" s="197"/>
      <c r="Q36" s="197"/>
      <c r="R36" s="197"/>
      <c r="S36" s="197"/>
      <c r="T36" s="197"/>
      <c r="U36" s="197"/>
      <c r="V36" s="197"/>
    </row>
    <row r="37" spans="1:22">
      <c r="A37" s="160" t="s">
        <v>269</v>
      </c>
      <c r="B37" s="197">
        <f>B36*B6</f>
        <v>83333.333333333328</v>
      </c>
      <c r="C37" s="197">
        <f t="shared" ref="C37:M37" si="22">C36*C6</f>
        <v>83333.333333333328</v>
      </c>
      <c r="D37" s="197">
        <f t="shared" si="22"/>
        <v>83333.333333333328</v>
      </c>
      <c r="E37" s="197">
        <f t="shared" si="22"/>
        <v>87500</v>
      </c>
      <c r="F37" s="197">
        <f t="shared" si="22"/>
        <v>87500</v>
      </c>
      <c r="G37" s="197">
        <f t="shared" si="22"/>
        <v>87500</v>
      </c>
      <c r="H37" s="197">
        <f t="shared" si="22"/>
        <v>91875</v>
      </c>
      <c r="I37" s="197">
        <f t="shared" si="22"/>
        <v>91875</v>
      </c>
      <c r="J37" s="197">
        <f t="shared" si="22"/>
        <v>91875</v>
      </c>
      <c r="K37" s="197">
        <f t="shared" si="22"/>
        <v>96468.75</v>
      </c>
      <c r="L37" s="197">
        <f t="shared" si="22"/>
        <v>96468.75</v>
      </c>
      <c r="M37" s="197">
        <f t="shared" si="22"/>
        <v>96468.75</v>
      </c>
      <c r="N37" s="197">
        <f t="shared" si="11"/>
        <v>1077531.25</v>
      </c>
      <c r="O37" s="206"/>
      <c r="P37" s="197"/>
      <c r="Q37" s="197"/>
      <c r="R37" s="197"/>
      <c r="S37" s="197"/>
      <c r="T37" s="197"/>
      <c r="U37" s="197"/>
      <c r="V37" s="197"/>
    </row>
    <row r="38" spans="1:22">
      <c r="A38" s="160" t="s">
        <v>271</v>
      </c>
      <c r="B38" s="197">
        <f>B36*B6</f>
        <v>83333.333333333328</v>
      </c>
      <c r="C38" s="197">
        <f t="shared" ref="C38:M38" si="23">C36*C6</f>
        <v>83333.333333333328</v>
      </c>
      <c r="D38" s="197">
        <f t="shared" si="23"/>
        <v>83333.333333333328</v>
      </c>
      <c r="E38" s="197">
        <f t="shared" si="23"/>
        <v>87500</v>
      </c>
      <c r="F38" s="197">
        <f t="shared" si="23"/>
        <v>87500</v>
      </c>
      <c r="G38" s="197">
        <f t="shared" si="23"/>
        <v>87500</v>
      </c>
      <c r="H38" s="197">
        <f t="shared" si="23"/>
        <v>91875</v>
      </c>
      <c r="I38" s="197">
        <f t="shared" si="23"/>
        <v>91875</v>
      </c>
      <c r="J38" s="197">
        <f t="shared" si="23"/>
        <v>91875</v>
      </c>
      <c r="K38" s="197">
        <f t="shared" si="23"/>
        <v>96468.75</v>
      </c>
      <c r="L38" s="197">
        <f t="shared" si="23"/>
        <v>96468.75</v>
      </c>
      <c r="M38" s="197">
        <f t="shared" si="23"/>
        <v>96468.75</v>
      </c>
      <c r="N38" s="197">
        <f t="shared" si="11"/>
        <v>1077531.25</v>
      </c>
      <c r="O38" s="206"/>
      <c r="P38" s="197"/>
      <c r="Q38" s="197"/>
      <c r="R38" s="197"/>
      <c r="S38" s="197"/>
      <c r="T38" s="197"/>
      <c r="U38" s="197"/>
      <c r="V38" s="197"/>
    </row>
    <row r="39" spans="1:22">
      <c r="A39" s="160" t="s">
        <v>270</v>
      </c>
      <c r="B39" s="197">
        <f>B36*B6</f>
        <v>83333.333333333328</v>
      </c>
      <c r="C39" s="197">
        <f t="shared" ref="C39:M39" si="24">C36*C6</f>
        <v>83333.333333333328</v>
      </c>
      <c r="D39" s="197">
        <f t="shared" si="24"/>
        <v>83333.333333333328</v>
      </c>
      <c r="E39" s="197">
        <f t="shared" si="24"/>
        <v>87500</v>
      </c>
      <c r="F39" s="197">
        <f t="shared" si="24"/>
        <v>87500</v>
      </c>
      <c r="G39" s="197">
        <f t="shared" si="24"/>
        <v>87500</v>
      </c>
      <c r="H39" s="197">
        <f t="shared" si="24"/>
        <v>91875</v>
      </c>
      <c r="I39" s="197">
        <f t="shared" si="24"/>
        <v>91875</v>
      </c>
      <c r="J39" s="197">
        <f t="shared" si="24"/>
        <v>91875</v>
      </c>
      <c r="K39" s="197">
        <f t="shared" si="24"/>
        <v>96468.75</v>
      </c>
      <c r="L39" s="197">
        <f t="shared" si="24"/>
        <v>96468.75</v>
      </c>
      <c r="M39" s="197">
        <f t="shared" si="24"/>
        <v>96468.75</v>
      </c>
      <c r="N39" s="197">
        <f t="shared" si="11"/>
        <v>1077531.25</v>
      </c>
      <c r="O39" s="206"/>
      <c r="P39" s="197"/>
      <c r="Q39" s="197"/>
      <c r="R39" s="197"/>
      <c r="S39" s="197"/>
      <c r="T39" s="197"/>
      <c r="U39" s="197"/>
      <c r="V39" s="197"/>
    </row>
    <row r="40" spans="1:22">
      <c r="A40" s="210" t="s">
        <v>341</v>
      </c>
      <c r="B40" s="212">
        <f>SUM(B37:B39)</f>
        <v>250000</v>
      </c>
      <c r="C40" s="212">
        <f t="shared" ref="C40:M40" si="25">SUM(C37:C39)</f>
        <v>250000</v>
      </c>
      <c r="D40" s="212">
        <f t="shared" si="25"/>
        <v>250000</v>
      </c>
      <c r="E40" s="212">
        <f t="shared" si="25"/>
        <v>262500</v>
      </c>
      <c r="F40" s="212">
        <f t="shared" si="25"/>
        <v>262500</v>
      </c>
      <c r="G40" s="212">
        <f t="shared" si="25"/>
        <v>262500</v>
      </c>
      <c r="H40" s="212">
        <f t="shared" si="25"/>
        <v>275625</v>
      </c>
      <c r="I40" s="212">
        <f t="shared" si="25"/>
        <v>275625</v>
      </c>
      <c r="J40" s="212">
        <f t="shared" si="25"/>
        <v>275625</v>
      </c>
      <c r="K40" s="212">
        <f t="shared" si="25"/>
        <v>289406.25</v>
      </c>
      <c r="L40" s="212">
        <f t="shared" si="25"/>
        <v>289406.25</v>
      </c>
      <c r="M40" s="212">
        <f t="shared" si="25"/>
        <v>289406.25</v>
      </c>
      <c r="N40" s="197">
        <f t="shared" si="11"/>
        <v>3232593.75</v>
      </c>
      <c r="O40" s="206"/>
      <c r="P40" s="197"/>
      <c r="Q40" s="197"/>
      <c r="R40" s="197"/>
      <c r="S40" s="197"/>
      <c r="T40" s="197"/>
      <c r="U40" s="197"/>
      <c r="V40" s="197"/>
    </row>
    <row r="41" spans="1:22">
      <c r="A41" s="157" t="s">
        <v>286</v>
      </c>
      <c r="B41" s="90">
        <v>0.33333333333333331</v>
      </c>
      <c r="C41" s="90">
        <v>0.33333333333333331</v>
      </c>
      <c r="D41" s="90">
        <v>0.33333333333333331</v>
      </c>
      <c r="E41" s="90">
        <v>0.33333333333333331</v>
      </c>
      <c r="F41" s="90">
        <v>0.33333333333333331</v>
      </c>
      <c r="G41" s="90">
        <v>0.33333333333333331</v>
      </c>
      <c r="H41" s="90">
        <v>0.33333333333333331</v>
      </c>
      <c r="I41" s="90">
        <v>0.33333333333333331</v>
      </c>
      <c r="J41" s="90">
        <v>0.33333333333333331</v>
      </c>
      <c r="K41" s="90">
        <v>0.33333333333333331</v>
      </c>
      <c r="L41" s="90">
        <v>0.33333333333333331</v>
      </c>
      <c r="M41" s="90">
        <v>0.33333333333333331</v>
      </c>
      <c r="N41" s="197"/>
      <c r="O41" s="206"/>
      <c r="P41" s="197"/>
      <c r="Q41" s="197"/>
      <c r="R41" s="197"/>
      <c r="S41" s="197"/>
      <c r="T41" s="197"/>
      <c r="U41" s="197"/>
      <c r="V41" s="197"/>
    </row>
    <row r="42" spans="1:22">
      <c r="A42" s="160" t="s">
        <v>269</v>
      </c>
      <c r="B42" s="197">
        <f>B41*B7</f>
        <v>83333.333333333328</v>
      </c>
      <c r="C42" s="197">
        <f t="shared" ref="C42:M42" si="26">C41*C7</f>
        <v>83333.333333333328</v>
      </c>
      <c r="D42" s="197">
        <f t="shared" si="26"/>
        <v>83333.333333333328</v>
      </c>
      <c r="E42" s="197">
        <f t="shared" si="26"/>
        <v>87500</v>
      </c>
      <c r="F42" s="197">
        <f t="shared" si="26"/>
        <v>87500</v>
      </c>
      <c r="G42" s="197">
        <f t="shared" si="26"/>
        <v>87500</v>
      </c>
      <c r="H42" s="197">
        <f t="shared" si="26"/>
        <v>91875</v>
      </c>
      <c r="I42" s="197">
        <f t="shared" si="26"/>
        <v>91875</v>
      </c>
      <c r="J42" s="197">
        <f t="shared" si="26"/>
        <v>91875</v>
      </c>
      <c r="K42" s="197">
        <f t="shared" si="26"/>
        <v>96468.75</v>
      </c>
      <c r="L42" s="197">
        <f t="shared" si="26"/>
        <v>96468.75</v>
      </c>
      <c r="M42" s="197">
        <f t="shared" si="26"/>
        <v>96468.75</v>
      </c>
      <c r="N42" s="197">
        <f t="shared" si="11"/>
        <v>1077531.25</v>
      </c>
      <c r="O42" s="206"/>
      <c r="P42" s="197"/>
      <c r="Q42" s="197"/>
      <c r="R42" s="197"/>
      <c r="S42" s="197"/>
      <c r="T42" s="197"/>
      <c r="U42" s="197"/>
      <c r="V42" s="197"/>
    </row>
    <row r="43" spans="1:22">
      <c r="A43" s="160" t="s">
        <v>271</v>
      </c>
      <c r="B43" s="197">
        <f>B41*B7</f>
        <v>83333.333333333328</v>
      </c>
      <c r="C43" s="197">
        <f t="shared" ref="C43:M43" si="27">C41*C7</f>
        <v>83333.333333333328</v>
      </c>
      <c r="D43" s="197">
        <f t="shared" si="27"/>
        <v>83333.333333333328</v>
      </c>
      <c r="E43" s="197">
        <f t="shared" si="27"/>
        <v>87500</v>
      </c>
      <c r="F43" s="197">
        <f t="shared" si="27"/>
        <v>87500</v>
      </c>
      <c r="G43" s="197">
        <f t="shared" si="27"/>
        <v>87500</v>
      </c>
      <c r="H43" s="197">
        <f t="shared" si="27"/>
        <v>91875</v>
      </c>
      <c r="I43" s="197">
        <f t="shared" si="27"/>
        <v>91875</v>
      </c>
      <c r="J43" s="197">
        <f t="shared" si="27"/>
        <v>91875</v>
      </c>
      <c r="K43" s="197">
        <f t="shared" si="27"/>
        <v>96468.75</v>
      </c>
      <c r="L43" s="197">
        <f t="shared" si="27"/>
        <v>96468.75</v>
      </c>
      <c r="M43" s="197">
        <f t="shared" si="27"/>
        <v>96468.75</v>
      </c>
      <c r="N43" s="197">
        <f t="shared" si="11"/>
        <v>1077531.25</v>
      </c>
      <c r="O43" s="206"/>
      <c r="P43" s="197"/>
      <c r="Q43" s="197"/>
      <c r="R43" s="197"/>
      <c r="S43" s="197"/>
      <c r="T43" s="197"/>
      <c r="U43" s="197"/>
      <c r="V43" s="197"/>
    </row>
    <row r="44" spans="1:22">
      <c r="A44" s="160" t="s">
        <v>270</v>
      </c>
      <c r="B44" s="197">
        <f>B41*B7</f>
        <v>83333.333333333328</v>
      </c>
      <c r="C44" s="197">
        <f t="shared" ref="C44:M44" si="28">C41*C7</f>
        <v>83333.333333333328</v>
      </c>
      <c r="D44" s="197">
        <f t="shared" si="28"/>
        <v>83333.333333333328</v>
      </c>
      <c r="E44" s="197">
        <f t="shared" si="28"/>
        <v>87500</v>
      </c>
      <c r="F44" s="197">
        <f t="shared" si="28"/>
        <v>87500</v>
      </c>
      <c r="G44" s="197">
        <f t="shared" si="28"/>
        <v>87500</v>
      </c>
      <c r="H44" s="197">
        <f t="shared" si="28"/>
        <v>91875</v>
      </c>
      <c r="I44" s="197">
        <f t="shared" si="28"/>
        <v>91875</v>
      </c>
      <c r="J44" s="197">
        <f t="shared" si="28"/>
        <v>91875</v>
      </c>
      <c r="K44" s="197">
        <f t="shared" si="28"/>
        <v>96468.75</v>
      </c>
      <c r="L44" s="197">
        <f t="shared" si="28"/>
        <v>96468.75</v>
      </c>
      <c r="M44" s="197">
        <f t="shared" si="28"/>
        <v>96468.75</v>
      </c>
      <c r="N44" s="197">
        <f t="shared" si="11"/>
        <v>1077531.25</v>
      </c>
      <c r="O44" s="206"/>
      <c r="P44" s="197"/>
      <c r="Q44" s="197"/>
      <c r="R44" s="197"/>
      <c r="S44" s="197"/>
      <c r="T44" s="197"/>
      <c r="U44" s="197"/>
      <c r="V44" s="197"/>
    </row>
    <row r="45" spans="1:22">
      <c r="A45" s="210" t="s">
        <v>341</v>
      </c>
      <c r="B45" s="212">
        <f>SUM(B42:B44)</f>
        <v>250000</v>
      </c>
      <c r="C45" s="212">
        <f t="shared" ref="C45:M45" si="29">SUM(C42:C44)</f>
        <v>250000</v>
      </c>
      <c r="D45" s="212">
        <f t="shared" si="29"/>
        <v>250000</v>
      </c>
      <c r="E45" s="212">
        <f t="shared" si="29"/>
        <v>262500</v>
      </c>
      <c r="F45" s="212">
        <f t="shared" si="29"/>
        <v>262500</v>
      </c>
      <c r="G45" s="212">
        <f t="shared" si="29"/>
        <v>262500</v>
      </c>
      <c r="H45" s="212">
        <f t="shared" si="29"/>
        <v>275625</v>
      </c>
      <c r="I45" s="212">
        <f t="shared" si="29"/>
        <v>275625</v>
      </c>
      <c r="J45" s="212">
        <f t="shared" si="29"/>
        <v>275625</v>
      </c>
      <c r="K45" s="212">
        <f t="shared" si="29"/>
        <v>289406.25</v>
      </c>
      <c r="L45" s="212">
        <f t="shared" si="29"/>
        <v>289406.25</v>
      </c>
      <c r="M45" s="212">
        <f t="shared" si="29"/>
        <v>289406.25</v>
      </c>
      <c r="N45" s="197">
        <f t="shared" si="11"/>
        <v>3232593.75</v>
      </c>
      <c r="O45" s="206"/>
      <c r="P45" s="197"/>
      <c r="Q45" s="197"/>
      <c r="R45" s="197"/>
      <c r="S45" s="197"/>
      <c r="T45" s="197"/>
      <c r="U45" s="197"/>
      <c r="V45" s="197"/>
    </row>
    <row r="46" spans="1:22">
      <c r="A46" s="157" t="s">
        <v>285</v>
      </c>
      <c r="B46" s="90">
        <v>0.83333333333333337</v>
      </c>
      <c r="C46" s="90">
        <v>0.83333333333333337</v>
      </c>
      <c r="D46" s="90">
        <v>0.83333333333333337</v>
      </c>
      <c r="E46" s="90">
        <v>0.83333333333333337</v>
      </c>
      <c r="F46" s="90">
        <v>0.83333333333333337</v>
      </c>
      <c r="G46" s="90">
        <v>0.83333333333333337</v>
      </c>
      <c r="H46" s="90">
        <v>0.83333333333333337</v>
      </c>
      <c r="I46" s="90">
        <v>0.83333333333333337</v>
      </c>
      <c r="J46" s="90">
        <v>0.83333333333333337</v>
      </c>
      <c r="K46" s="90">
        <v>0.83333333333333337</v>
      </c>
      <c r="L46" s="90">
        <v>0.83333333333333337</v>
      </c>
      <c r="M46" s="90">
        <v>0.83333333333333337</v>
      </c>
      <c r="N46" s="197"/>
      <c r="O46" s="206"/>
      <c r="P46" s="197"/>
      <c r="Q46" s="197"/>
      <c r="R46" s="197"/>
      <c r="S46" s="197"/>
      <c r="T46" s="197"/>
      <c r="U46" s="197"/>
      <c r="V46" s="197"/>
    </row>
    <row r="47" spans="1:22">
      <c r="A47" s="160" t="s">
        <v>269</v>
      </c>
      <c r="B47" s="197">
        <f>B46*B8</f>
        <v>83333.333333333343</v>
      </c>
      <c r="C47" s="197">
        <f t="shared" ref="C47:M47" si="30">C46*C8</f>
        <v>83333.333333333343</v>
      </c>
      <c r="D47" s="197">
        <f t="shared" si="30"/>
        <v>83333.333333333343</v>
      </c>
      <c r="E47" s="197">
        <f t="shared" si="30"/>
        <v>87500</v>
      </c>
      <c r="F47" s="197">
        <f t="shared" si="30"/>
        <v>87500</v>
      </c>
      <c r="G47" s="197">
        <f t="shared" si="30"/>
        <v>87500</v>
      </c>
      <c r="H47" s="197">
        <f t="shared" si="30"/>
        <v>91875</v>
      </c>
      <c r="I47" s="197">
        <f t="shared" si="30"/>
        <v>91875</v>
      </c>
      <c r="J47" s="197">
        <f t="shared" si="30"/>
        <v>91875</v>
      </c>
      <c r="K47" s="197">
        <f t="shared" si="30"/>
        <v>96468.75</v>
      </c>
      <c r="L47" s="197">
        <f t="shared" si="30"/>
        <v>96468.75</v>
      </c>
      <c r="M47" s="197">
        <f t="shared" si="30"/>
        <v>96468.75</v>
      </c>
      <c r="N47" s="197">
        <f t="shared" si="11"/>
        <v>1077531.25</v>
      </c>
      <c r="O47" s="206"/>
      <c r="P47" s="197"/>
      <c r="Q47" s="197"/>
      <c r="R47" s="197"/>
      <c r="S47" s="197"/>
      <c r="T47" s="197"/>
      <c r="U47" s="197"/>
      <c r="V47" s="197"/>
    </row>
    <row r="48" spans="1:22">
      <c r="A48" s="160" t="s">
        <v>271</v>
      </c>
      <c r="B48" s="197">
        <f>B46*B8</f>
        <v>83333.333333333343</v>
      </c>
      <c r="C48" s="197">
        <f t="shared" ref="C48:M48" si="31">C46*C8</f>
        <v>83333.333333333343</v>
      </c>
      <c r="D48" s="197">
        <f t="shared" si="31"/>
        <v>83333.333333333343</v>
      </c>
      <c r="E48" s="197">
        <f t="shared" si="31"/>
        <v>87500</v>
      </c>
      <c r="F48" s="197">
        <f t="shared" si="31"/>
        <v>87500</v>
      </c>
      <c r="G48" s="197">
        <f t="shared" si="31"/>
        <v>87500</v>
      </c>
      <c r="H48" s="197">
        <f t="shared" si="31"/>
        <v>91875</v>
      </c>
      <c r="I48" s="197">
        <f t="shared" si="31"/>
        <v>91875</v>
      </c>
      <c r="J48" s="197">
        <f t="shared" si="31"/>
        <v>91875</v>
      </c>
      <c r="K48" s="197">
        <f t="shared" si="31"/>
        <v>96468.75</v>
      </c>
      <c r="L48" s="197">
        <f t="shared" si="31"/>
        <v>96468.75</v>
      </c>
      <c r="M48" s="197">
        <f t="shared" si="31"/>
        <v>96468.75</v>
      </c>
      <c r="N48" s="197">
        <f t="shared" si="11"/>
        <v>1077531.25</v>
      </c>
      <c r="O48" s="206"/>
      <c r="P48" s="197"/>
      <c r="Q48" s="197"/>
      <c r="R48" s="197"/>
      <c r="S48" s="197"/>
      <c r="T48" s="197"/>
      <c r="U48" s="197"/>
      <c r="V48" s="197"/>
    </row>
    <row r="49" spans="1:22">
      <c r="A49" s="160" t="s">
        <v>270</v>
      </c>
      <c r="B49" s="197">
        <f>B46*B8</f>
        <v>83333.333333333343</v>
      </c>
      <c r="C49" s="197">
        <f t="shared" ref="C49:M49" si="32">C46*C8</f>
        <v>83333.333333333343</v>
      </c>
      <c r="D49" s="197">
        <f t="shared" si="32"/>
        <v>83333.333333333343</v>
      </c>
      <c r="E49" s="197">
        <f t="shared" si="32"/>
        <v>87500</v>
      </c>
      <c r="F49" s="197">
        <f t="shared" si="32"/>
        <v>87500</v>
      </c>
      <c r="G49" s="197">
        <f t="shared" si="32"/>
        <v>87500</v>
      </c>
      <c r="H49" s="197">
        <f t="shared" si="32"/>
        <v>91875</v>
      </c>
      <c r="I49" s="197">
        <f t="shared" si="32"/>
        <v>91875</v>
      </c>
      <c r="J49" s="197">
        <f t="shared" si="32"/>
        <v>91875</v>
      </c>
      <c r="K49" s="197">
        <f t="shared" si="32"/>
        <v>96468.75</v>
      </c>
      <c r="L49" s="197">
        <f t="shared" si="32"/>
        <v>96468.75</v>
      </c>
      <c r="M49" s="197">
        <f t="shared" si="32"/>
        <v>96468.75</v>
      </c>
      <c r="N49" s="197">
        <f t="shared" si="11"/>
        <v>1077531.25</v>
      </c>
      <c r="O49" s="206"/>
      <c r="P49" s="197"/>
      <c r="Q49" s="197"/>
      <c r="R49" s="197"/>
      <c r="S49" s="197"/>
      <c r="T49" s="197"/>
      <c r="U49" s="197"/>
      <c r="V49" s="197"/>
    </row>
    <row r="50" spans="1:22" s="187" customFormat="1">
      <c r="A50" s="210" t="s">
        <v>341</v>
      </c>
      <c r="B50" s="212">
        <f>SUM(B47:B49)</f>
        <v>250000.00000000003</v>
      </c>
      <c r="C50" s="212">
        <f t="shared" ref="C50:M50" si="33">SUM(C47:C49)</f>
        <v>250000.00000000003</v>
      </c>
      <c r="D50" s="212">
        <f t="shared" si="33"/>
        <v>250000.00000000003</v>
      </c>
      <c r="E50" s="212">
        <f t="shared" si="33"/>
        <v>262500</v>
      </c>
      <c r="F50" s="212">
        <f t="shared" si="33"/>
        <v>262500</v>
      </c>
      <c r="G50" s="212">
        <f t="shared" si="33"/>
        <v>262500</v>
      </c>
      <c r="H50" s="212">
        <f t="shared" si="33"/>
        <v>275625</v>
      </c>
      <c r="I50" s="212">
        <f t="shared" si="33"/>
        <v>275625</v>
      </c>
      <c r="J50" s="212">
        <f t="shared" si="33"/>
        <v>275625</v>
      </c>
      <c r="K50" s="212">
        <f t="shared" si="33"/>
        <v>289406.25</v>
      </c>
      <c r="L50" s="212">
        <f t="shared" si="33"/>
        <v>289406.25</v>
      </c>
      <c r="M50" s="212">
        <f t="shared" si="33"/>
        <v>289406.25</v>
      </c>
      <c r="N50" s="197">
        <f t="shared" si="11"/>
        <v>3232593.75</v>
      </c>
      <c r="O50" s="213"/>
      <c r="P50" s="212"/>
      <c r="Q50" s="212"/>
      <c r="R50" s="212"/>
      <c r="S50" s="212"/>
      <c r="T50" s="212"/>
      <c r="U50" s="212"/>
      <c r="V50" s="212"/>
    </row>
    <row r="51" spans="1:22">
      <c r="A51" s="157" t="s">
        <v>309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>
        <f t="shared" si="11"/>
        <v>0</v>
      </c>
      <c r="O51" s="206"/>
      <c r="P51" s="197"/>
      <c r="Q51" s="197"/>
      <c r="R51" s="197"/>
      <c r="S51" s="197"/>
      <c r="T51" s="197"/>
      <c r="U51" s="197"/>
      <c r="V51" s="197"/>
    </row>
    <row r="52" spans="1:22">
      <c r="A52" s="210" t="s">
        <v>284</v>
      </c>
      <c r="B52" s="90">
        <v>0.5</v>
      </c>
      <c r="C52" s="90">
        <v>0.5</v>
      </c>
      <c r="D52" s="90">
        <v>0.5</v>
      </c>
      <c r="E52" s="90">
        <v>0.5</v>
      </c>
      <c r="F52" s="90">
        <v>0.5</v>
      </c>
      <c r="G52" s="90">
        <v>0.5</v>
      </c>
      <c r="H52" s="90">
        <v>0.5</v>
      </c>
      <c r="I52" s="90">
        <v>0.5</v>
      </c>
      <c r="J52" s="90">
        <v>0.5</v>
      </c>
      <c r="K52" s="90">
        <v>0.5</v>
      </c>
      <c r="L52" s="90">
        <v>0.5</v>
      </c>
      <c r="M52" s="90">
        <v>0.5</v>
      </c>
      <c r="N52" s="197"/>
      <c r="O52" s="206"/>
      <c r="P52" s="197"/>
      <c r="Q52" s="197"/>
      <c r="R52" s="197"/>
      <c r="S52" s="197"/>
      <c r="T52" s="197"/>
      <c r="U52" s="197"/>
      <c r="V52" s="197"/>
    </row>
    <row r="53" spans="1:22">
      <c r="A53" s="210" t="s">
        <v>286</v>
      </c>
      <c r="B53" s="90">
        <v>0.33333333333333331</v>
      </c>
      <c r="C53" s="90">
        <v>0.33333333333333331</v>
      </c>
      <c r="D53" s="90">
        <v>0.33333333333333331</v>
      </c>
      <c r="E53" s="90">
        <v>0.33333333333333331</v>
      </c>
      <c r="F53" s="90">
        <v>0.33333333333333331</v>
      </c>
      <c r="G53" s="90">
        <v>0.33333333333333331</v>
      </c>
      <c r="H53" s="90">
        <v>0.33333333333333331</v>
      </c>
      <c r="I53" s="90">
        <v>0.33333333333333331</v>
      </c>
      <c r="J53" s="90">
        <v>0.33333333333333331</v>
      </c>
      <c r="K53" s="90">
        <v>0.33333333333333331</v>
      </c>
      <c r="L53" s="90">
        <v>0.33333333333333331</v>
      </c>
      <c r="M53" s="90">
        <v>0.33333333333333331</v>
      </c>
      <c r="N53" s="197"/>
      <c r="O53" s="206"/>
      <c r="P53" s="197"/>
      <c r="Q53" s="197"/>
      <c r="R53" s="197"/>
      <c r="S53" s="197"/>
      <c r="T53" s="197"/>
      <c r="U53" s="197"/>
      <c r="V53" s="197"/>
    </row>
    <row r="54" spans="1:22">
      <c r="A54" s="210" t="s">
        <v>285</v>
      </c>
      <c r="B54" s="90">
        <v>0.83333333333333337</v>
      </c>
      <c r="C54" s="90">
        <v>0.83333333333333337</v>
      </c>
      <c r="D54" s="90">
        <v>0.83333333333333337</v>
      </c>
      <c r="E54" s="90">
        <v>0.83333333333333337</v>
      </c>
      <c r="F54" s="90">
        <v>0.83333333333333337</v>
      </c>
      <c r="G54" s="90">
        <v>0.83333333333333337</v>
      </c>
      <c r="H54" s="90">
        <v>0.83333333333333337</v>
      </c>
      <c r="I54" s="90">
        <v>0.83333333333333337</v>
      </c>
      <c r="J54" s="90">
        <v>0.83333333333333337</v>
      </c>
      <c r="K54" s="90">
        <v>0.83333333333333337</v>
      </c>
      <c r="L54" s="90">
        <v>0.83333333333333337</v>
      </c>
      <c r="M54" s="90">
        <v>0.83333333333333337</v>
      </c>
      <c r="N54" s="197"/>
      <c r="O54" s="206"/>
      <c r="P54" s="197"/>
      <c r="Q54" s="197"/>
      <c r="R54" s="197"/>
      <c r="S54" s="197"/>
      <c r="T54" s="197"/>
      <c r="U54" s="197"/>
      <c r="V54" s="197"/>
    </row>
    <row r="55" spans="1:22">
      <c r="A55" s="160" t="s">
        <v>225</v>
      </c>
      <c r="B55" s="197">
        <f>(B52*B6)+(B53*B7)+(B54*B8)</f>
        <v>250000</v>
      </c>
      <c r="C55" s="197">
        <f t="shared" ref="C55:M55" si="34">(C52*C6)+(C53*C7)+(C54*C8)</f>
        <v>250000</v>
      </c>
      <c r="D55" s="197">
        <f t="shared" si="34"/>
        <v>250000</v>
      </c>
      <c r="E55" s="197">
        <f t="shared" si="34"/>
        <v>262500</v>
      </c>
      <c r="F55" s="197">
        <f t="shared" si="34"/>
        <v>262500</v>
      </c>
      <c r="G55" s="197">
        <f t="shared" si="34"/>
        <v>262500</v>
      </c>
      <c r="H55" s="197">
        <f t="shared" si="34"/>
        <v>275625</v>
      </c>
      <c r="I55" s="197">
        <f t="shared" si="34"/>
        <v>275625</v>
      </c>
      <c r="J55" s="197">
        <f t="shared" si="34"/>
        <v>275625</v>
      </c>
      <c r="K55" s="197">
        <f t="shared" si="34"/>
        <v>289406.25</v>
      </c>
      <c r="L55" s="197">
        <f t="shared" si="34"/>
        <v>289406.25</v>
      </c>
      <c r="M55" s="197">
        <f t="shared" si="34"/>
        <v>289406.25</v>
      </c>
      <c r="N55" s="197">
        <f t="shared" si="11"/>
        <v>3232593.75</v>
      </c>
      <c r="O55" s="206"/>
      <c r="P55" s="197"/>
      <c r="Q55" s="197"/>
      <c r="R55" s="197"/>
      <c r="S55" s="197"/>
      <c r="T55" s="197"/>
      <c r="U55" s="197"/>
      <c r="V55" s="197"/>
    </row>
    <row r="56" spans="1:22">
      <c r="A56" s="160" t="s">
        <v>263</v>
      </c>
      <c r="B56" s="197">
        <f>(B52*B6)+(B53*B7)+(B54*B8)</f>
        <v>250000</v>
      </c>
      <c r="C56" s="197">
        <f t="shared" ref="C56:M56" si="35">(C52*C6)+(C53*C7)+(C54*C8)</f>
        <v>250000</v>
      </c>
      <c r="D56" s="197">
        <f t="shared" si="35"/>
        <v>250000</v>
      </c>
      <c r="E56" s="197">
        <f t="shared" si="35"/>
        <v>262500</v>
      </c>
      <c r="F56" s="197">
        <f t="shared" si="35"/>
        <v>262500</v>
      </c>
      <c r="G56" s="197">
        <f t="shared" si="35"/>
        <v>262500</v>
      </c>
      <c r="H56" s="197">
        <f t="shared" si="35"/>
        <v>275625</v>
      </c>
      <c r="I56" s="197">
        <f t="shared" si="35"/>
        <v>275625</v>
      </c>
      <c r="J56" s="197">
        <f t="shared" si="35"/>
        <v>275625</v>
      </c>
      <c r="K56" s="197">
        <f t="shared" si="35"/>
        <v>289406.25</v>
      </c>
      <c r="L56" s="197">
        <f t="shared" si="35"/>
        <v>289406.25</v>
      </c>
      <c r="M56" s="197">
        <f t="shared" si="35"/>
        <v>289406.25</v>
      </c>
      <c r="N56" s="197">
        <f t="shared" si="11"/>
        <v>3232593.75</v>
      </c>
      <c r="O56" s="206"/>
      <c r="P56" s="197"/>
      <c r="Q56" s="197"/>
      <c r="R56" s="197"/>
      <c r="S56" s="197"/>
      <c r="T56" s="197"/>
      <c r="U56" s="197"/>
      <c r="V56" s="197"/>
    </row>
    <row r="57" spans="1:22">
      <c r="A57" s="160" t="s">
        <v>264</v>
      </c>
      <c r="B57" s="197">
        <f>(B52*B6)+(B53*B7)+(B54*B8)</f>
        <v>250000</v>
      </c>
      <c r="C57" s="197">
        <f t="shared" ref="C57:M57" si="36">(C52*C6)+(C53*C7)+(C54*C8)</f>
        <v>250000</v>
      </c>
      <c r="D57" s="197">
        <f t="shared" si="36"/>
        <v>250000</v>
      </c>
      <c r="E57" s="197">
        <f t="shared" si="36"/>
        <v>262500</v>
      </c>
      <c r="F57" s="197">
        <f t="shared" si="36"/>
        <v>262500</v>
      </c>
      <c r="G57" s="197">
        <f t="shared" si="36"/>
        <v>262500</v>
      </c>
      <c r="H57" s="197">
        <f t="shared" si="36"/>
        <v>275625</v>
      </c>
      <c r="I57" s="197">
        <f t="shared" si="36"/>
        <v>275625</v>
      </c>
      <c r="J57" s="197">
        <f t="shared" si="36"/>
        <v>275625</v>
      </c>
      <c r="K57" s="197">
        <f t="shared" si="36"/>
        <v>289406.25</v>
      </c>
      <c r="L57" s="197">
        <f t="shared" si="36"/>
        <v>289406.25</v>
      </c>
      <c r="M57" s="197">
        <f t="shared" si="36"/>
        <v>289406.25</v>
      </c>
      <c r="N57" s="197">
        <f t="shared" si="11"/>
        <v>3232593.75</v>
      </c>
      <c r="O57" s="206"/>
      <c r="P57" s="197"/>
      <c r="Q57" s="197"/>
      <c r="R57" s="197"/>
      <c r="S57" s="197"/>
      <c r="T57" s="197"/>
      <c r="U57" s="197"/>
      <c r="V57" s="197"/>
    </row>
    <row r="58" spans="1:22">
      <c r="A58" s="160" t="s">
        <v>265</v>
      </c>
      <c r="B58" s="197">
        <f>(B52*B6)+(B53*B7)+(B54*B8)</f>
        <v>250000</v>
      </c>
      <c r="C58" s="197">
        <f t="shared" ref="C58:M58" si="37">(C52*C6)+(C53*C7)+(C54*C8)</f>
        <v>250000</v>
      </c>
      <c r="D58" s="197">
        <f t="shared" si="37"/>
        <v>250000</v>
      </c>
      <c r="E58" s="197">
        <f t="shared" si="37"/>
        <v>262500</v>
      </c>
      <c r="F58" s="197">
        <f t="shared" si="37"/>
        <v>262500</v>
      </c>
      <c r="G58" s="197">
        <f t="shared" si="37"/>
        <v>262500</v>
      </c>
      <c r="H58" s="197">
        <f t="shared" si="37"/>
        <v>275625</v>
      </c>
      <c r="I58" s="197">
        <f t="shared" si="37"/>
        <v>275625</v>
      </c>
      <c r="J58" s="197">
        <f t="shared" si="37"/>
        <v>275625</v>
      </c>
      <c r="K58" s="197">
        <f t="shared" si="37"/>
        <v>289406.25</v>
      </c>
      <c r="L58" s="197">
        <f t="shared" si="37"/>
        <v>289406.25</v>
      </c>
      <c r="M58" s="197">
        <f t="shared" si="37"/>
        <v>289406.25</v>
      </c>
      <c r="N58" s="197">
        <f t="shared" si="11"/>
        <v>3232593.75</v>
      </c>
      <c r="O58" s="206"/>
      <c r="P58" s="197"/>
      <c r="Q58" s="197"/>
      <c r="R58" s="197"/>
      <c r="S58" s="197"/>
      <c r="T58" s="197"/>
      <c r="U58" s="197"/>
      <c r="V58" s="197"/>
    </row>
    <row r="59" spans="1:22">
      <c r="A59" s="160" t="s">
        <v>266</v>
      </c>
      <c r="B59" s="197">
        <f>(B52*B6)+(B53*B7)+(B54*B8)</f>
        <v>250000</v>
      </c>
      <c r="C59" s="197">
        <f t="shared" ref="C59:M59" si="38">(C52*C6)+(C53*C7)+(C54*C8)</f>
        <v>250000</v>
      </c>
      <c r="D59" s="197">
        <f t="shared" si="38"/>
        <v>250000</v>
      </c>
      <c r="E59" s="197">
        <f t="shared" si="38"/>
        <v>262500</v>
      </c>
      <c r="F59" s="197">
        <f t="shared" si="38"/>
        <v>262500</v>
      </c>
      <c r="G59" s="197">
        <f t="shared" si="38"/>
        <v>262500</v>
      </c>
      <c r="H59" s="197">
        <f t="shared" si="38"/>
        <v>275625</v>
      </c>
      <c r="I59" s="197">
        <f t="shared" si="38"/>
        <v>275625</v>
      </c>
      <c r="J59" s="197">
        <f t="shared" si="38"/>
        <v>275625</v>
      </c>
      <c r="K59" s="197">
        <f t="shared" si="38"/>
        <v>289406.25</v>
      </c>
      <c r="L59" s="197">
        <f t="shared" si="38"/>
        <v>289406.25</v>
      </c>
      <c r="M59" s="197">
        <f t="shared" si="38"/>
        <v>289406.25</v>
      </c>
      <c r="N59" s="197">
        <f t="shared" si="11"/>
        <v>3232593.75</v>
      </c>
      <c r="O59" s="206"/>
      <c r="P59" s="197"/>
      <c r="Q59" s="197"/>
      <c r="R59" s="197"/>
      <c r="S59" s="197"/>
      <c r="T59" s="197"/>
      <c r="U59" s="197"/>
      <c r="V59" s="197"/>
    </row>
    <row r="60" spans="1:22">
      <c r="A60" s="160" t="s">
        <v>267</v>
      </c>
      <c r="B60" s="197">
        <f>(B52*B6)+(B53*B7)+(B54*B8)</f>
        <v>250000</v>
      </c>
      <c r="C60" s="197">
        <f t="shared" ref="C60:M60" si="39">(C52*C6)+(C53*C7)+(C54*C8)</f>
        <v>250000</v>
      </c>
      <c r="D60" s="197">
        <f t="shared" si="39"/>
        <v>250000</v>
      </c>
      <c r="E60" s="197">
        <f t="shared" si="39"/>
        <v>262500</v>
      </c>
      <c r="F60" s="197">
        <f t="shared" si="39"/>
        <v>262500</v>
      </c>
      <c r="G60" s="197">
        <f t="shared" si="39"/>
        <v>262500</v>
      </c>
      <c r="H60" s="197">
        <f t="shared" si="39"/>
        <v>275625</v>
      </c>
      <c r="I60" s="197">
        <f t="shared" si="39"/>
        <v>275625</v>
      </c>
      <c r="J60" s="197">
        <f t="shared" si="39"/>
        <v>275625</v>
      </c>
      <c r="K60" s="197">
        <f t="shared" si="39"/>
        <v>289406.25</v>
      </c>
      <c r="L60" s="197">
        <f t="shared" si="39"/>
        <v>289406.25</v>
      </c>
      <c r="M60" s="197">
        <f t="shared" si="39"/>
        <v>289406.25</v>
      </c>
      <c r="N60" s="197">
        <f t="shared" si="11"/>
        <v>3232593.75</v>
      </c>
      <c r="O60" s="206"/>
      <c r="P60" s="197"/>
      <c r="Q60" s="197"/>
      <c r="R60" s="197"/>
      <c r="S60" s="197"/>
      <c r="T60" s="197"/>
      <c r="U60" s="197"/>
      <c r="V60" s="197"/>
    </row>
    <row r="61" spans="1:22">
      <c r="A61" s="160" t="s">
        <v>268</v>
      </c>
      <c r="B61" s="197">
        <f>(B52*B6)+(B53*B7)+(B54*B8)</f>
        <v>250000</v>
      </c>
      <c r="C61" s="197">
        <f t="shared" ref="C61:M61" si="40">(C52*C6)+(C53*C7)+(C54*C8)</f>
        <v>250000</v>
      </c>
      <c r="D61" s="197">
        <f t="shared" si="40"/>
        <v>250000</v>
      </c>
      <c r="E61" s="197">
        <f t="shared" si="40"/>
        <v>262500</v>
      </c>
      <c r="F61" s="197">
        <f t="shared" si="40"/>
        <v>262500</v>
      </c>
      <c r="G61" s="197">
        <f t="shared" si="40"/>
        <v>262500</v>
      </c>
      <c r="H61" s="197">
        <f t="shared" si="40"/>
        <v>275625</v>
      </c>
      <c r="I61" s="197">
        <f t="shared" si="40"/>
        <v>275625</v>
      </c>
      <c r="J61" s="197">
        <f t="shared" si="40"/>
        <v>275625</v>
      </c>
      <c r="K61" s="197">
        <f t="shared" si="40"/>
        <v>289406.25</v>
      </c>
      <c r="L61" s="197">
        <f t="shared" si="40"/>
        <v>289406.25</v>
      </c>
      <c r="M61" s="197">
        <f t="shared" si="40"/>
        <v>289406.25</v>
      </c>
      <c r="N61" s="197">
        <f t="shared" si="11"/>
        <v>3232593.75</v>
      </c>
      <c r="O61" s="206"/>
      <c r="P61" s="197"/>
      <c r="Q61" s="197"/>
      <c r="R61" s="197"/>
      <c r="S61" s="197"/>
      <c r="T61" s="197"/>
      <c r="U61" s="197"/>
      <c r="V61" s="197"/>
    </row>
    <row r="62" spans="1:22">
      <c r="A62" s="160" t="s">
        <v>226</v>
      </c>
      <c r="B62" s="197">
        <f>(B52*B6)+(B53*B7)+(B54*B8)</f>
        <v>250000</v>
      </c>
      <c r="C62" s="197">
        <f t="shared" ref="C62:M62" si="41">(C52*C6)+(C53*C7)+(C54*C8)</f>
        <v>250000</v>
      </c>
      <c r="D62" s="197">
        <f t="shared" si="41"/>
        <v>250000</v>
      </c>
      <c r="E62" s="197">
        <f t="shared" si="41"/>
        <v>262500</v>
      </c>
      <c r="F62" s="197">
        <f t="shared" si="41"/>
        <v>262500</v>
      </c>
      <c r="G62" s="197">
        <f t="shared" si="41"/>
        <v>262500</v>
      </c>
      <c r="H62" s="197">
        <f t="shared" si="41"/>
        <v>275625</v>
      </c>
      <c r="I62" s="197">
        <f t="shared" si="41"/>
        <v>275625</v>
      </c>
      <c r="J62" s="197">
        <f t="shared" si="41"/>
        <v>275625</v>
      </c>
      <c r="K62" s="197">
        <f t="shared" si="41"/>
        <v>289406.25</v>
      </c>
      <c r="L62" s="197">
        <f t="shared" si="41"/>
        <v>289406.25</v>
      </c>
      <c r="M62" s="197">
        <f t="shared" si="41"/>
        <v>289406.25</v>
      </c>
      <c r="N62" s="197">
        <f t="shared" si="11"/>
        <v>3232593.75</v>
      </c>
      <c r="O62" s="206"/>
      <c r="P62" s="197"/>
      <c r="Q62" s="197"/>
      <c r="R62" s="197"/>
      <c r="S62" s="197"/>
      <c r="T62" s="197"/>
      <c r="U62" s="197"/>
      <c r="V62" s="197"/>
    </row>
    <row r="63" spans="1:22" s="187" customFormat="1">
      <c r="A63" s="210" t="s">
        <v>341</v>
      </c>
      <c r="B63" s="212">
        <f>SUM(B55:B62)</f>
        <v>2000000</v>
      </c>
      <c r="C63" s="212">
        <f t="shared" ref="C63:M63" si="42">SUM(C55:C62)</f>
        <v>2000000</v>
      </c>
      <c r="D63" s="212">
        <f t="shared" si="42"/>
        <v>2000000</v>
      </c>
      <c r="E63" s="212">
        <f t="shared" si="42"/>
        <v>2100000</v>
      </c>
      <c r="F63" s="212">
        <f t="shared" si="42"/>
        <v>2100000</v>
      </c>
      <c r="G63" s="212">
        <f t="shared" si="42"/>
        <v>2100000</v>
      </c>
      <c r="H63" s="212">
        <f t="shared" si="42"/>
        <v>2205000</v>
      </c>
      <c r="I63" s="212">
        <f t="shared" si="42"/>
        <v>2205000</v>
      </c>
      <c r="J63" s="212">
        <f t="shared" si="42"/>
        <v>2205000</v>
      </c>
      <c r="K63" s="212">
        <f t="shared" si="42"/>
        <v>2315250</v>
      </c>
      <c r="L63" s="212">
        <f t="shared" si="42"/>
        <v>2315250</v>
      </c>
      <c r="M63" s="212">
        <f t="shared" si="42"/>
        <v>2315250</v>
      </c>
      <c r="N63" s="197">
        <f t="shared" si="11"/>
        <v>25860750</v>
      </c>
      <c r="O63" s="213"/>
      <c r="P63" s="212"/>
      <c r="Q63" s="212"/>
      <c r="R63" s="212"/>
      <c r="S63" s="212"/>
      <c r="T63" s="212"/>
      <c r="U63" s="212"/>
      <c r="V63" s="212"/>
    </row>
    <row r="64" spans="1:22" s="203" customFormat="1" ht="15.75" thickBot="1">
      <c r="A64" s="211" t="s">
        <v>312</v>
      </c>
      <c r="B64" s="202">
        <f>B24+B29+B34+B40+B45+B50+B63</f>
        <v>3500000</v>
      </c>
      <c r="C64" s="202">
        <f t="shared" ref="C64:M64" si="43">C24+C29+C34+C40+C45+C50+C63</f>
        <v>3500000</v>
      </c>
      <c r="D64" s="202">
        <f t="shared" si="43"/>
        <v>3500000</v>
      </c>
      <c r="E64" s="202">
        <f t="shared" si="43"/>
        <v>3675000</v>
      </c>
      <c r="F64" s="202">
        <f t="shared" si="43"/>
        <v>3675000</v>
      </c>
      <c r="G64" s="202">
        <f t="shared" si="43"/>
        <v>3675000</v>
      </c>
      <c r="H64" s="202">
        <f t="shared" si="43"/>
        <v>3858750</v>
      </c>
      <c r="I64" s="202">
        <f t="shared" si="43"/>
        <v>3858750</v>
      </c>
      <c r="J64" s="202">
        <f t="shared" si="43"/>
        <v>3858750</v>
      </c>
      <c r="K64" s="202">
        <f t="shared" si="43"/>
        <v>4051687.5</v>
      </c>
      <c r="L64" s="202">
        <f t="shared" si="43"/>
        <v>4051687.5</v>
      </c>
      <c r="M64" s="202">
        <f t="shared" si="43"/>
        <v>4051687.5</v>
      </c>
      <c r="N64" s="202">
        <f t="shared" si="11"/>
        <v>45256312.5</v>
      </c>
      <c r="O64" s="207"/>
      <c r="P64" s="202"/>
      <c r="Q64" s="202"/>
      <c r="R64" s="202"/>
      <c r="S64" s="202"/>
      <c r="T64" s="202"/>
      <c r="U64" s="202"/>
      <c r="V64" s="202"/>
    </row>
    <row r="65" spans="1:22" s="187" customFormat="1" ht="15.75" thickTop="1">
      <c r="A65" s="188" t="s">
        <v>310</v>
      </c>
      <c r="B65" s="212">
        <f>B16-B64</f>
        <v>5466666.666666666</v>
      </c>
      <c r="C65" s="212">
        <f t="shared" ref="C65:M65" si="44">C16-C64</f>
        <v>5466666.666666666</v>
      </c>
      <c r="D65" s="212">
        <f t="shared" si="44"/>
        <v>5466666.666666666</v>
      </c>
      <c r="E65" s="212">
        <f t="shared" si="44"/>
        <v>5740000</v>
      </c>
      <c r="F65" s="212">
        <f t="shared" si="44"/>
        <v>5740000</v>
      </c>
      <c r="G65" s="212">
        <f t="shared" si="44"/>
        <v>5740000</v>
      </c>
      <c r="H65" s="212">
        <f t="shared" si="44"/>
        <v>6027000</v>
      </c>
      <c r="I65" s="212">
        <f t="shared" si="44"/>
        <v>6027000</v>
      </c>
      <c r="J65" s="212">
        <f t="shared" si="44"/>
        <v>6027000</v>
      </c>
      <c r="K65" s="212">
        <f t="shared" si="44"/>
        <v>6328350</v>
      </c>
      <c r="L65" s="212">
        <f t="shared" si="44"/>
        <v>6328350</v>
      </c>
      <c r="M65" s="212">
        <f t="shared" si="44"/>
        <v>6328350</v>
      </c>
      <c r="N65" s="197">
        <f t="shared" si="11"/>
        <v>70686050</v>
      </c>
      <c r="O65" s="213"/>
      <c r="P65" s="212"/>
      <c r="Q65" s="212"/>
      <c r="R65" s="212"/>
      <c r="S65" s="212"/>
      <c r="T65" s="212"/>
      <c r="U65" s="212"/>
      <c r="V65" s="212"/>
    </row>
    <row r="66" spans="1:22">
      <c r="A66" s="142"/>
      <c r="N66" s="197">
        <f t="shared" si="11"/>
        <v>0</v>
      </c>
    </row>
    <row r="67" spans="1:22">
      <c r="A67" s="145" t="s">
        <v>313</v>
      </c>
      <c r="D67" s="200" t="s">
        <v>340</v>
      </c>
      <c r="N67" s="197">
        <f t="shared" si="11"/>
        <v>0</v>
      </c>
    </row>
    <row r="68" spans="1:22">
      <c r="A68" s="102" t="s">
        <v>311</v>
      </c>
      <c r="N68" s="197">
        <f t="shared" si="11"/>
        <v>0</v>
      </c>
    </row>
    <row r="69" spans="1:22">
      <c r="A69" s="85" t="s">
        <v>222</v>
      </c>
      <c r="B69" s="197">
        <f>1000000/3</f>
        <v>333333.33333333331</v>
      </c>
      <c r="C69" s="197">
        <f t="shared" ref="C69:M69" si="45">1000000/3</f>
        <v>333333.33333333331</v>
      </c>
      <c r="D69" s="197">
        <f t="shared" si="45"/>
        <v>333333.33333333331</v>
      </c>
      <c r="E69" s="197">
        <f t="shared" si="45"/>
        <v>333333.33333333331</v>
      </c>
      <c r="F69" s="197">
        <f t="shared" si="45"/>
        <v>333333.33333333331</v>
      </c>
      <c r="G69" s="197">
        <f t="shared" si="45"/>
        <v>333333.33333333331</v>
      </c>
      <c r="H69" s="197">
        <f t="shared" si="45"/>
        <v>333333.33333333331</v>
      </c>
      <c r="I69" s="197">
        <f t="shared" si="45"/>
        <v>333333.33333333331</v>
      </c>
      <c r="J69" s="197">
        <f t="shared" si="45"/>
        <v>333333.33333333331</v>
      </c>
      <c r="K69" s="197">
        <f t="shared" si="45"/>
        <v>333333.33333333331</v>
      </c>
      <c r="L69" s="197">
        <f t="shared" si="45"/>
        <v>333333.33333333331</v>
      </c>
      <c r="M69" s="197">
        <f t="shared" si="45"/>
        <v>333333.33333333331</v>
      </c>
      <c r="N69" s="197">
        <f t="shared" si="11"/>
        <v>4000000.0000000005</v>
      </c>
    </row>
    <row r="70" spans="1:22">
      <c r="A70" s="85" t="s">
        <v>224</v>
      </c>
      <c r="B70" s="197">
        <f t="shared" ref="B70:M85" si="46">1000000/3</f>
        <v>333333.33333333331</v>
      </c>
      <c r="C70" s="197">
        <f t="shared" si="46"/>
        <v>333333.33333333331</v>
      </c>
      <c r="D70" s="197">
        <f t="shared" si="46"/>
        <v>333333.33333333331</v>
      </c>
      <c r="E70" s="197">
        <f t="shared" si="46"/>
        <v>333333.33333333331</v>
      </c>
      <c r="F70" s="197">
        <f t="shared" si="46"/>
        <v>333333.33333333331</v>
      </c>
      <c r="G70" s="197">
        <f t="shared" si="46"/>
        <v>333333.33333333331</v>
      </c>
      <c r="H70" s="197">
        <f t="shared" si="46"/>
        <v>333333.33333333331</v>
      </c>
      <c r="I70" s="197">
        <f t="shared" si="46"/>
        <v>333333.33333333331</v>
      </c>
      <c r="J70" s="197">
        <f t="shared" si="46"/>
        <v>333333.33333333331</v>
      </c>
      <c r="K70" s="197">
        <f t="shared" si="46"/>
        <v>333333.33333333331</v>
      </c>
      <c r="L70" s="197">
        <f t="shared" si="46"/>
        <v>333333.33333333331</v>
      </c>
      <c r="M70" s="197">
        <f t="shared" si="46"/>
        <v>333333.33333333331</v>
      </c>
      <c r="N70" s="197">
        <f t="shared" si="11"/>
        <v>4000000.0000000005</v>
      </c>
    </row>
    <row r="71" spans="1:22">
      <c r="A71" s="85" t="s">
        <v>225</v>
      </c>
      <c r="B71" s="197">
        <f t="shared" si="46"/>
        <v>333333.33333333331</v>
      </c>
      <c r="C71" s="197">
        <f t="shared" si="46"/>
        <v>333333.33333333331</v>
      </c>
      <c r="D71" s="197">
        <f t="shared" si="46"/>
        <v>333333.33333333331</v>
      </c>
      <c r="E71" s="197">
        <f t="shared" si="46"/>
        <v>333333.33333333331</v>
      </c>
      <c r="F71" s="197">
        <f t="shared" si="46"/>
        <v>333333.33333333331</v>
      </c>
      <c r="G71" s="197">
        <f t="shared" si="46"/>
        <v>333333.33333333331</v>
      </c>
      <c r="H71" s="197">
        <f t="shared" si="46"/>
        <v>333333.33333333331</v>
      </c>
      <c r="I71" s="197">
        <f t="shared" si="46"/>
        <v>333333.33333333331</v>
      </c>
      <c r="J71" s="197">
        <f t="shared" si="46"/>
        <v>333333.33333333331</v>
      </c>
      <c r="K71" s="197">
        <f t="shared" si="46"/>
        <v>333333.33333333331</v>
      </c>
      <c r="L71" s="197">
        <f t="shared" si="46"/>
        <v>333333.33333333331</v>
      </c>
      <c r="M71" s="197">
        <f t="shared" si="46"/>
        <v>333333.33333333331</v>
      </c>
      <c r="N71" s="197">
        <f t="shared" si="11"/>
        <v>4000000.0000000005</v>
      </c>
    </row>
    <row r="72" spans="1:22">
      <c r="A72" s="85" t="s">
        <v>226</v>
      </c>
      <c r="B72" s="197">
        <f t="shared" si="46"/>
        <v>333333.33333333331</v>
      </c>
      <c r="C72" s="197">
        <f t="shared" si="46"/>
        <v>333333.33333333331</v>
      </c>
      <c r="D72" s="197">
        <f t="shared" si="46"/>
        <v>333333.33333333331</v>
      </c>
      <c r="E72" s="197">
        <f t="shared" si="46"/>
        <v>333333.33333333331</v>
      </c>
      <c r="F72" s="197">
        <f t="shared" si="46"/>
        <v>333333.33333333331</v>
      </c>
      <c r="G72" s="197">
        <f t="shared" si="46"/>
        <v>333333.33333333331</v>
      </c>
      <c r="H72" s="197">
        <f t="shared" si="46"/>
        <v>333333.33333333331</v>
      </c>
      <c r="I72" s="197">
        <f t="shared" si="46"/>
        <v>333333.33333333331</v>
      </c>
      <c r="J72" s="197">
        <f t="shared" si="46"/>
        <v>333333.33333333331</v>
      </c>
      <c r="K72" s="197">
        <f t="shared" si="46"/>
        <v>333333.33333333331</v>
      </c>
      <c r="L72" s="197">
        <f t="shared" si="46"/>
        <v>333333.33333333331</v>
      </c>
      <c r="M72" s="197">
        <f t="shared" si="46"/>
        <v>333333.33333333331</v>
      </c>
      <c r="N72" s="197">
        <f t="shared" si="11"/>
        <v>4000000.0000000005</v>
      </c>
    </row>
    <row r="73" spans="1:22">
      <c r="A73" s="85" t="s">
        <v>227</v>
      </c>
      <c r="B73" s="197">
        <f t="shared" si="46"/>
        <v>333333.33333333331</v>
      </c>
      <c r="C73" s="197">
        <f t="shared" si="46"/>
        <v>333333.33333333331</v>
      </c>
      <c r="D73" s="197">
        <f t="shared" si="46"/>
        <v>333333.33333333331</v>
      </c>
      <c r="E73" s="197">
        <f t="shared" si="46"/>
        <v>333333.33333333331</v>
      </c>
      <c r="F73" s="197">
        <f t="shared" si="46"/>
        <v>333333.33333333331</v>
      </c>
      <c r="G73" s="197">
        <f t="shared" si="46"/>
        <v>333333.33333333331</v>
      </c>
      <c r="H73" s="197">
        <f t="shared" si="46"/>
        <v>333333.33333333331</v>
      </c>
      <c r="I73" s="197">
        <f t="shared" si="46"/>
        <v>333333.33333333331</v>
      </c>
      <c r="J73" s="197">
        <f t="shared" si="46"/>
        <v>333333.33333333331</v>
      </c>
      <c r="K73" s="197">
        <f t="shared" si="46"/>
        <v>333333.33333333331</v>
      </c>
      <c r="L73" s="197">
        <f t="shared" si="46"/>
        <v>333333.33333333331</v>
      </c>
      <c r="M73" s="197">
        <f t="shared" si="46"/>
        <v>333333.33333333331</v>
      </c>
      <c r="N73" s="197">
        <f t="shared" si="11"/>
        <v>4000000.0000000005</v>
      </c>
    </row>
    <row r="74" spans="1:22">
      <c r="A74" s="85" t="s">
        <v>230</v>
      </c>
      <c r="B74" s="197">
        <f t="shared" si="46"/>
        <v>333333.33333333331</v>
      </c>
      <c r="C74" s="197">
        <f t="shared" si="46"/>
        <v>333333.33333333331</v>
      </c>
      <c r="D74" s="197">
        <f t="shared" si="46"/>
        <v>333333.33333333331</v>
      </c>
      <c r="E74" s="197">
        <f t="shared" si="46"/>
        <v>333333.33333333331</v>
      </c>
      <c r="F74" s="197">
        <f t="shared" si="46"/>
        <v>333333.33333333331</v>
      </c>
      <c r="G74" s="197">
        <f t="shared" si="46"/>
        <v>333333.33333333331</v>
      </c>
      <c r="H74" s="197">
        <f t="shared" si="46"/>
        <v>333333.33333333331</v>
      </c>
      <c r="I74" s="197">
        <f t="shared" si="46"/>
        <v>333333.33333333331</v>
      </c>
      <c r="J74" s="197">
        <f t="shared" si="46"/>
        <v>333333.33333333331</v>
      </c>
      <c r="K74" s="197">
        <f t="shared" si="46"/>
        <v>333333.33333333331</v>
      </c>
      <c r="L74" s="197">
        <f t="shared" si="46"/>
        <v>333333.33333333331</v>
      </c>
      <c r="M74" s="197">
        <f t="shared" si="46"/>
        <v>333333.33333333331</v>
      </c>
      <c r="N74" s="197">
        <f t="shared" si="11"/>
        <v>4000000.0000000005</v>
      </c>
    </row>
    <row r="75" spans="1:22">
      <c r="A75" s="85" t="s">
        <v>231</v>
      </c>
      <c r="B75" s="197">
        <f t="shared" si="46"/>
        <v>333333.33333333331</v>
      </c>
      <c r="C75" s="197">
        <f t="shared" si="46"/>
        <v>333333.33333333331</v>
      </c>
      <c r="D75" s="197">
        <f t="shared" si="46"/>
        <v>333333.33333333331</v>
      </c>
      <c r="E75" s="197">
        <f t="shared" si="46"/>
        <v>333333.33333333331</v>
      </c>
      <c r="F75" s="197">
        <f t="shared" si="46"/>
        <v>333333.33333333331</v>
      </c>
      <c r="G75" s="197">
        <f t="shared" si="46"/>
        <v>333333.33333333331</v>
      </c>
      <c r="H75" s="197">
        <f t="shared" si="46"/>
        <v>333333.33333333331</v>
      </c>
      <c r="I75" s="197">
        <f t="shared" si="46"/>
        <v>333333.33333333331</v>
      </c>
      <c r="J75" s="197">
        <f t="shared" si="46"/>
        <v>333333.33333333331</v>
      </c>
      <c r="K75" s="197">
        <f t="shared" si="46"/>
        <v>333333.33333333331</v>
      </c>
      <c r="L75" s="197">
        <f t="shared" si="46"/>
        <v>333333.33333333331</v>
      </c>
      <c r="M75" s="197">
        <f t="shared" si="46"/>
        <v>333333.33333333331</v>
      </c>
      <c r="N75" s="197">
        <f t="shared" si="11"/>
        <v>4000000.0000000005</v>
      </c>
    </row>
    <row r="76" spans="1:22">
      <c r="A76" s="85" t="s">
        <v>229</v>
      </c>
      <c r="B76" s="197">
        <f t="shared" si="46"/>
        <v>333333.33333333331</v>
      </c>
      <c r="C76" s="197">
        <f t="shared" si="46"/>
        <v>333333.33333333331</v>
      </c>
      <c r="D76" s="197">
        <f t="shared" si="46"/>
        <v>333333.33333333331</v>
      </c>
      <c r="E76" s="197">
        <f t="shared" si="46"/>
        <v>333333.33333333331</v>
      </c>
      <c r="F76" s="197">
        <f t="shared" si="46"/>
        <v>333333.33333333331</v>
      </c>
      <c r="G76" s="197">
        <f t="shared" si="46"/>
        <v>333333.33333333331</v>
      </c>
      <c r="H76" s="197">
        <f t="shared" si="46"/>
        <v>333333.33333333331</v>
      </c>
      <c r="I76" s="197">
        <f t="shared" si="46"/>
        <v>333333.33333333331</v>
      </c>
      <c r="J76" s="197">
        <f t="shared" si="46"/>
        <v>333333.33333333331</v>
      </c>
      <c r="K76" s="197">
        <f t="shared" si="46"/>
        <v>333333.33333333331</v>
      </c>
      <c r="L76" s="197">
        <f t="shared" si="46"/>
        <v>333333.33333333331</v>
      </c>
      <c r="M76" s="197">
        <f t="shared" si="46"/>
        <v>333333.33333333331</v>
      </c>
      <c r="N76" s="197">
        <f t="shared" si="11"/>
        <v>4000000.0000000005</v>
      </c>
    </row>
    <row r="77" spans="1:22" s="187" customFormat="1">
      <c r="A77" s="188" t="s">
        <v>341</v>
      </c>
      <c r="B77" s="212">
        <f>SUM(B69:B76)</f>
        <v>2666666.6666666665</v>
      </c>
      <c r="C77" s="212">
        <f t="shared" ref="C77:M77" si="47">SUM(C69:C76)</f>
        <v>2666666.6666666665</v>
      </c>
      <c r="D77" s="212">
        <f t="shared" si="47"/>
        <v>2666666.6666666665</v>
      </c>
      <c r="E77" s="212">
        <f t="shared" si="47"/>
        <v>2666666.6666666665</v>
      </c>
      <c r="F77" s="212">
        <f t="shared" si="47"/>
        <v>2666666.6666666665</v>
      </c>
      <c r="G77" s="212">
        <f t="shared" si="47"/>
        <v>2666666.6666666665</v>
      </c>
      <c r="H77" s="212">
        <f t="shared" si="47"/>
        <v>2666666.6666666665</v>
      </c>
      <c r="I77" s="212">
        <f t="shared" si="47"/>
        <v>2666666.6666666665</v>
      </c>
      <c r="J77" s="212">
        <f t="shared" si="47"/>
        <v>2666666.6666666665</v>
      </c>
      <c r="K77" s="212">
        <f t="shared" si="47"/>
        <v>2666666.6666666665</v>
      </c>
      <c r="L77" s="212">
        <f t="shared" si="47"/>
        <v>2666666.6666666665</v>
      </c>
      <c r="M77" s="212">
        <f t="shared" si="47"/>
        <v>2666666.6666666665</v>
      </c>
      <c r="N77" s="212">
        <f t="shared" si="11"/>
        <v>32000000.000000004</v>
      </c>
      <c r="O77" s="226"/>
    </row>
    <row r="78" spans="1:22">
      <c r="A78" s="102" t="s">
        <v>314</v>
      </c>
      <c r="B78" s="197"/>
      <c r="N78" s="197">
        <f t="shared" si="11"/>
        <v>0</v>
      </c>
    </row>
    <row r="79" spans="1:22">
      <c r="A79" s="85" t="s">
        <v>232</v>
      </c>
      <c r="B79" s="197">
        <f t="shared" si="46"/>
        <v>333333.33333333331</v>
      </c>
      <c r="C79" s="197">
        <f t="shared" si="46"/>
        <v>333333.33333333331</v>
      </c>
      <c r="D79" s="197">
        <f t="shared" si="46"/>
        <v>333333.33333333331</v>
      </c>
      <c r="E79" s="197">
        <f t="shared" si="46"/>
        <v>333333.33333333331</v>
      </c>
      <c r="F79" s="197">
        <f t="shared" si="46"/>
        <v>333333.33333333331</v>
      </c>
      <c r="G79" s="197">
        <f t="shared" si="46"/>
        <v>333333.33333333331</v>
      </c>
      <c r="H79" s="197">
        <f t="shared" si="46"/>
        <v>333333.33333333331</v>
      </c>
      <c r="I79" s="197">
        <f t="shared" si="46"/>
        <v>333333.33333333331</v>
      </c>
      <c r="J79" s="197">
        <f t="shared" si="46"/>
        <v>333333.33333333331</v>
      </c>
      <c r="K79" s="197">
        <f t="shared" si="46"/>
        <v>333333.33333333331</v>
      </c>
      <c r="L79" s="197">
        <f t="shared" si="46"/>
        <v>333333.33333333331</v>
      </c>
      <c r="M79" s="197">
        <f t="shared" si="46"/>
        <v>333333.33333333331</v>
      </c>
      <c r="N79" s="197">
        <f t="shared" si="11"/>
        <v>4000000.0000000005</v>
      </c>
    </row>
    <row r="80" spans="1:22">
      <c r="A80" s="85" t="s">
        <v>234</v>
      </c>
      <c r="B80" s="197">
        <f t="shared" si="46"/>
        <v>333333.33333333331</v>
      </c>
      <c r="C80" s="197">
        <f t="shared" si="46"/>
        <v>333333.33333333331</v>
      </c>
      <c r="D80" s="197">
        <f t="shared" si="46"/>
        <v>333333.33333333331</v>
      </c>
      <c r="E80" s="197">
        <f t="shared" si="46"/>
        <v>333333.33333333331</v>
      </c>
      <c r="F80" s="197">
        <f t="shared" si="46"/>
        <v>333333.33333333331</v>
      </c>
      <c r="G80" s="197">
        <f t="shared" si="46"/>
        <v>333333.33333333331</v>
      </c>
      <c r="H80" s="197">
        <f t="shared" si="46"/>
        <v>333333.33333333331</v>
      </c>
      <c r="I80" s="197">
        <f t="shared" si="46"/>
        <v>333333.33333333331</v>
      </c>
      <c r="J80" s="197">
        <f t="shared" si="46"/>
        <v>333333.33333333331</v>
      </c>
      <c r="K80" s="197">
        <f t="shared" si="46"/>
        <v>333333.33333333331</v>
      </c>
      <c r="L80" s="197">
        <f t="shared" si="46"/>
        <v>333333.33333333331</v>
      </c>
      <c r="M80" s="197">
        <f t="shared" si="46"/>
        <v>333333.33333333331</v>
      </c>
      <c r="N80" s="197">
        <f t="shared" si="11"/>
        <v>4000000.0000000005</v>
      </c>
    </row>
    <row r="81" spans="1:15">
      <c r="A81" s="85" t="s">
        <v>236</v>
      </c>
      <c r="B81" s="197">
        <f t="shared" si="46"/>
        <v>333333.33333333331</v>
      </c>
      <c r="C81" s="197">
        <f t="shared" si="46"/>
        <v>333333.33333333331</v>
      </c>
      <c r="D81" s="197">
        <f t="shared" si="46"/>
        <v>333333.33333333331</v>
      </c>
      <c r="E81" s="197">
        <f t="shared" si="46"/>
        <v>333333.33333333331</v>
      </c>
      <c r="F81" s="197">
        <f t="shared" si="46"/>
        <v>333333.33333333331</v>
      </c>
      <c r="G81" s="197">
        <f t="shared" si="46"/>
        <v>333333.33333333331</v>
      </c>
      <c r="H81" s="197">
        <f t="shared" si="46"/>
        <v>333333.33333333331</v>
      </c>
      <c r="I81" s="197">
        <f t="shared" si="46"/>
        <v>333333.33333333331</v>
      </c>
      <c r="J81" s="197">
        <f t="shared" si="46"/>
        <v>333333.33333333331</v>
      </c>
      <c r="K81" s="197">
        <f t="shared" si="46"/>
        <v>333333.33333333331</v>
      </c>
      <c r="L81" s="197">
        <f t="shared" si="46"/>
        <v>333333.33333333331</v>
      </c>
      <c r="M81" s="197">
        <f t="shared" si="46"/>
        <v>333333.33333333331</v>
      </c>
      <c r="N81" s="197">
        <f t="shared" si="11"/>
        <v>4000000.0000000005</v>
      </c>
    </row>
    <row r="82" spans="1:15">
      <c r="A82" s="85" t="s">
        <v>237</v>
      </c>
      <c r="B82" s="197">
        <f t="shared" si="46"/>
        <v>333333.33333333331</v>
      </c>
      <c r="C82" s="197">
        <f t="shared" si="46"/>
        <v>333333.33333333331</v>
      </c>
      <c r="D82" s="197">
        <f t="shared" si="46"/>
        <v>333333.33333333331</v>
      </c>
      <c r="E82" s="197">
        <f t="shared" si="46"/>
        <v>333333.33333333331</v>
      </c>
      <c r="F82" s="197">
        <f t="shared" si="46"/>
        <v>333333.33333333331</v>
      </c>
      <c r="G82" s="197">
        <f t="shared" si="46"/>
        <v>333333.33333333331</v>
      </c>
      <c r="H82" s="197">
        <f t="shared" si="46"/>
        <v>333333.33333333331</v>
      </c>
      <c r="I82" s="197">
        <f t="shared" si="46"/>
        <v>333333.33333333331</v>
      </c>
      <c r="J82" s="197">
        <f t="shared" si="46"/>
        <v>333333.33333333331</v>
      </c>
      <c r="K82" s="197">
        <f t="shared" si="46"/>
        <v>333333.33333333331</v>
      </c>
      <c r="L82" s="197">
        <f t="shared" si="46"/>
        <v>333333.33333333331</v>
      </c>
      <c r="M82" s="197">
        <f t="shared" si="46"/>
        <v>333333.33333333331</v>
      </c>
      <c r="N82" s="197">
        <f t="shared" si="11"/>
        <v>4000000.0000000005</v>
      </c>
    </row>
    <row r="83" spans="1:15">
      <c r="A83" s="85" t="s">
        <v>238</v>
      </c>
      <c r="B83" s="197">
        <f t="shared" si="46"/>
        <v>333333.33333333331</v>
      </c>
      <c r="C83" s="197">
        <f t="shared" si="46"/>
        <v>333333.33333333331</v>
      </c>
      <c r="D83" s="197">
        <f t="shared" si="46"/>
        <v>333333.33333333331</v>
      </c>
      <c r="E83" s="197">
        <f t="shared" si="46"/>
        <v>333333.33333333331</v>
      </c>
      <c r="F83" s="197">
        <f t="shared" si="46"/>
        <v>333333.33333333331</v>
      </c>
      <c r="G83" s="197">
        <f t="shared" si="46"/>
        <v>333333.33333333331</v>
      </c>
      <c r="H83" s="197">
        <f t="shared" si="46"/>
        <v>333333.33333333331</v>
      </c>
      <c r="I83" s="197">
        <f t="shared" si="46"/>
        <v>333333.33333333331</v>
      </c>
      <c r="J83" s="197">
        <f t="shared" si="46"/>
        <v>333333.33333333331</v>
      </c>
      <c r="K83" s="197">
        <f t="shared" si="46"/>
        <v>333333.33333333331</v>
      </c>
      <c r="L83" s="197">
        <f t="shared" si="46"/>
        <v>333333.33333333331</v>
      </c>
      <c r="M83" s="197">
        <f t="shared" si="46"/>
        <v>333333.33333333331</v>
      </c>
      <c r="N83" s="197">
        <f t="shared" si="11"/>
        <v>4000000.0000000005</v>
      </c>
    </row>
    <row r="84" spans="1:15">
      <c r="A84" s="85" t="s">
        <v>239</v>
      </c>
      <c r="B84" s="197">
        <f t="shared" si="46"/>
        <v>333333.33333333331</v>
      </c>
      <c r="C84" s="197">
        <f t="shared" si="46"/>
        <v>333333.33333333331</v>
      </c>
      <c r="D84" s="197">
        <f t="shared" si="46"/>
        <v>333333.33333333331</v>
      </c>
      <c r="E84" s="197">
        <f t="shared" si="46"/>
        <v>333333.33333333331</v>
      </c>
      <c r="F84" s="197">
        <f t="shared" si="46"/>
        <v>333333.33333333331</v>
      </c>
      <c r="G84" s="197">
        <f t="shared" si="46"/>
        <v>333333.33333333331</v>
      </c>
      <c r="H84" s="197">
        <f t="shared" si="46"/>
        <v>333333.33333333331</v>
      </c>
      <c r="I84" s="197">
        <f t="shared" si="46"/>
        <v>333333.33333333331</v>
      </c>
      <c r="J84" s="197">
        <f t="shared" si="46"/>
        <v>333333.33333333331</v>
      </c>
      <c r="K84" s="197">
        <f t="shared" si="46"/>
        <v>333333.33333333331</v>
      </c>
      <c r="L84" s="197">
        <f t="shared" si="46"/>
        <v>333333.33333333331</v>
      </c>
      <c r="M84" s="197">
        <f t="shared" si="46"/>
        <v>333333.33333333331</v>
      </c>
      <c r="N84" s="197">
        <f t="shared" si="11"/>
        <v>4000000.0000000005</v>
      </c>
    </row>
    <row r="85" spans="1:15">
      <c r="A85" s="85" t="s">
        <v>231</v>
      </c>
      <c r="B85" s="197">
        <f t="shared" si="46"/>
        <v>333333.33333333331</v>
      </c>
      <c r="C85" s="197">
        <f t="shared" si="46"/>
        <v>333333.33333333331</v>
      </c>
      <c r="D85" s="197">
        <f t="shared" si="46"/>
        <v>333333.33333333331</v>
      </c>
      <c r="E85" s="197">
        <f t="shared" si="46"/>
        <v>333333.33333333331</v>
      </c>
      <c r="F85" s="197">
        <f t="shared" si="46"/>
        <v>333333.33333333331</v>
      </c>
      <c r="G85" s="197">
        <f t="shared" si="46"/>
        <v>333333.33333333331</v>
      </c>
      <c r="H85" s="197">
        <f t="shared" si="46"/>
        <v>333333.33333333331</v>
      </c>
      <c r="I85" s="197">
        <f t="shared" si="46"/>
        <v>333333.33333333331</v>
      </c>
      <c r="J85" s="197">
        <f t="shared" si="46"/>
        <v>333333.33333333331</v>
      </c>
      <c r="K85" s="197">
        <f t="shared" si="46"/>
        <v>333333.33333333331</v>
      </c>
      <c r="L85" s="197">
        <f t="shared" si="46"/>
        <v>333333.33333333331</v>
      </c>
      <c r="M85" s="197">
        <f t="shared" si="46"/>
        <v>333333.33333333331</v>
      </c>
      <c r="N85" s="197">
        <f t="shared" ref="N85:N90" si="48">SUM(B85:M85)</f>
        <v>4000000.0000000005</v>
      </c>
    </row>
    <row r="86" spans="1:15" s="187" customFormat="1">
      <c r="A86" s="188" t="s">
        <v>341</v>
      </c>
      <c r="B86" s="227">
        <f>SUM(B79:B85)</f>
        <v>2333333.333333333</v>
      </c>
      <c r="C86" s="227">
        <f t="shared" ref="C86:M86" si="49">SUM(C79:C85)</f>
        <v>2333333.333333333</v>
      </c>
      <c r="D86" s="227">
        <f t="shared" si="49"/>
        <v>2333333.333333333</v>
      </c>
      <c r="E86" s="227">
        <f t="shared" si="49"/>
        <v>2333333.333333333</v>
      </c>
      <c r="F86" s="227">
        <f t="shared" si="49"/>
        <v>2333333.333333333</v>
      </c>
      <c r="G86" s="227">
        <f t="shared" si="49"/>
        <v>2333333.333333333</v>
      </c>
      <c r="H86" s="227">
        <f t="shared" si="49"/>
        <v>2333333.333333333</v>
      </c>
      <c r="I86" s="227">
        <f t="shared" si="49"/>
        <v>2333333.333333333</v>
      </c>
      <c r="J86" s="227">
        <f t="shared" si="49"/>
        <v>2333333.333333333</v>
      </c>
      <c r="K86" s="227">
        <f t="shared" si="49"/>
        <v>2333333.333333333</v>
      </c>
      <c r="L86" s="227">
        <f t="shared" si="49"/>
        <v>2333333.333333333</v>
      </c>
      <c r="M86" s="227">
        <f t="shared" si="49"/>
        <v>2333333.333333333</v>
      </c>
      <c r="N86" s="212"/>
      <c r="O86" s="226"/>
    </row>
    <row r="87" spans="1:15">
      <c r="A87" s="142"/>
      <c r="N87" s="197">
        <f t="shared" si="48"/>
        <v>0</v>
      </c>
    </row>
    <row r="88" spans="1:15" s="203" customFormat="1" ht="15.75" thickBot="1">
      <c r="A88" s="215" t="s">
        <v>315</v>
      </c>
      <c r="B88" s="216">
        <f>B77+B86</f>
        <v>5000000</v>
      </c>
      <c r="C88" s="216">
        <f t="shared" ref="C88:M88" si="50">C77+C86</f>
        <v>5000000</v>
      </c>
      <c r="D88" s="216">
        <f t="shared" si="50"/>
        <v>5000000</v>
      </c>
      <c r="E88" s="216">
        <f t="shared" si="50"/>
        <v>5000000</v>
      </c>
      <c r="F88" s="216">
        <f t="shared" si="50"/>
        <v>5000000</v>
      </c>
      <c r="G88" s="216">
        <f t="shared" si="50"/>
        <v>5000000</v>
      </c>
      <c r="H88" s="216">
        <f t="shared" si="50"/>
        <v>5000000</v>
      </c>
      <c r="I88" s="216">
        <f t="shared" si="50"/>
        <v>5000000</v>
      </c>
      <c r="J88" s="216">
        <f t="shared" si="50"/>
        <v>5000000</v>
      </c>
      <c r="K88" s="216">
        <f t="shared" si="50"/>
        <v>5000000</v>
      </c>
      <c r="L88" s="216">
        <f t="shared" si="50"/>
        <v>5000000</v>
      </c>
      <c r="M88" s="216">
        <f t="shared" si="50"/>
        <v>5000000</v>
      </c>
      <c r="N88" s="202">
        <f t="shared" si="48"/>
        <v>60000000</v>
      </c>
      <c r="O88" s="217"/>
    </row>
    <row r="89" spans="1:15" ht="15.75" thickTop="1">
      <c r="A89" s="142"/>
      <c r="N89" s="197">
        <f t="shared" si="48"/>
        <v>0</v>
      </c>
    </row>
    <row r="90" spans="1:15">
      <c r="A90" s="145" t="s">
        <v>85</v>
      </c>
      <c r="B90" s="218">
        <f>B65-B88</f>
        <v>466666.66666666605</v>
      </c>
      <c r="C90" s="218">
        <f t="shared" ref="C90:M90" si="51">C65-C88</f>
        <v>466666.66666666605</v>
      </c>
      <c r="D90" s="218">
        <f t="shared" si="51"/>
        <v>466666.66666666605</v>
      </c>
      <c r="E90" s="218">
        <f t="shared" si="51"/>
        <v>740000</v>
      </c>
      <c r="F90" s="218">
        <f t="shared" si="51"/>
        <v>740000</v>
      </c>
      <c r="G90" s="218">
        <f t="shared" si="51"/>
        <v>740000</v>
      </c>
      <c r="H90" s="218">
        <f t="shared" si="51"/>
        <v>1027000</v>
      </c>
      <c r="I90" s="218">
        <f t="shared" si="51"/>
        <v>1027000</v>
      </c>
      <c r="J90" s="218">
        <f t="shared" si="51"/>
        <v>1027000</v>
      </c>
      <c r="K90" s="218">
        <f t="shared" si="51"/>
        <v>1328350</v>
      </c>
      <c r="L90" s="218">
        <f t="shared" si="51"/>
        <v>1328350</v>
      </c>
      <c r="M90" s="218">
        <f t="shared" si="51"/>
        <v>1328350</v>
      </c>
      <c r="N90" s="197">
        <f t="shared" si="48"/>
        <v>10686049.999999998</v>
      </c>
    </row>
  </sheetData>
  <mergeCells count="5">
    <mergeCell ref="C1:M1"/>
    <mergeCell ref="B3:D3"/>
    <mergeCell ref="E3:G3"/>
    <mergeCell ref="H3:J3"/>
    <mergeCell ref="K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386E-97B4-4A3A-AFA4-A9F9E4744FCC}">
  <dimension ref="A2:R17"/>
  <sheetViews>
    <sheetView workbookViewId="0">
      <selection activeCell="E16" sqref="E16"/>
    </sheetView>
  </sheetViews>
  <sheetFormatPr defaultRowHeight="15"/>
  <cols>
    <col min="1" max="1" width="35" customWidth="1"/>
    <col min="2" max="2" width="14.28515625" bestFit="1" customWidth="1"/>
    <col min="3" max="5" width="12.28515625" bestFit="1" customWidth="1"/>
    <col min="6" max="6" width="16.42578125" customWidth="1"/>
    <col min="8" max="8" width="16.85546875" customWidth="1"/>
  </cols>
  <sheetData>
    <row r="2" spans="1:18" ht="23.25">
      <c r="A2" s="142"/>
      <c r="B2" s="231" t="s">
        <v>255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79"/>
      <c r="O2" s="130"/>
      <c r="Q2" s="143"/>
      <c r="R2" s="143"/>
    </row>
    <row r="3" spans="1:18" s="76" customFormat="1" ht="18">
      <c r="A3" s="180" t="s">
        <v>163</v>
      </c>
      <c r="B3" s="180"/>
      <c r="C3" s="180"/>
      <c r="D3" s="180"/>
      <c r="E3" s="180"/>
      <c r="F3" s="180"/>
      <c r="G3" s="79"/>
      <c r="H3" s="108"/>
      <c r="I3" s="108"/>
      <c r="J3" s="108"/>
      <c r="K3" s="108"/>
      <c r="L3" s="108"/>
    </row>
    <row r="4" spans="1:18" s="76" customFormat="1">
      <c r="A4" s="107"/>
      <c r="G4" s="79"/>
      <c r="H4" s="108"/>
      <c r="I4" s="108"/>
      <c r="J4" s="108"/>
      <c r="K4" s="108"/>
      <c r="L4" s="108"/>
    </row>
    <row r="5" spans="1:18" s="76" customFormat="1" ht="15.75" thickBot="1">
      <c r="A5" s="107"/>
      <c r="B5" s="127" t="s">
        <v>114</v>
      </c>
      <c r="C5" s="127" t="s">
        <v>115</v>
      </c>
      <c r="D5" s="127" t="s">
        <v>116</v>
      </c>
      <c r="E5" s="127" t="s">
        <v>117</v>
      </c>
      <c r="F5" s="222" t="s">
        <v>336</v>
      </c>
      <c r="G5" s="79"/>
      <c r="H5" s="128" t="s">
        <v>322</v>
      </c>
      <c r="I5" s="128" t="s">
        <v>325</v>
      </c>
      <c r="J5" s="108"/>
      <c r="K5" s="108"/>
      <c r="L5" s="108"/>
    </row>
    <row r="6" spans="1:18">
      <c r="A6" s="219" t="s">
        <v>26</v>
      </c>
      <c r="B6" s="221">
        <f>'Operating Budget 1'!B16+'Operating Budget 1'!C16+'Operating Budget 1'!D16</f>
        <v>26900000</v>
      </c>
      <c r="C6" s="221">
        <f>'Operating Budget 1'!E16+'Operating Budget 1'!F16+'Operating Budget 1'!G16</f>
        <v>28245000</v>
      </c>
      <c r="D6" s="221">
        <f>'Operating Budget 1'!H16+'Operating Budget 1'!I16+'Operating Budget 1'!J16</f>
        <v>29657250</v>
      </c>
      <c r="E6" s="221">
        <f>'Operating Budget 1'!K16+'Operating Budget 1'!L16+'Operating Budget 1'!M16</f>
        <v>31140112.5</v>
      </c>
      <c r="F6" s="223">
        <f>SUM(B6:E6)</f>
        <v>115942362.5</v>
      </c>
      <c r="G6" s="221"/>
      <c r="H6" s="128" t="s">
        <v>323</v>
      </c>
      <c r="I6" s="229">
        <v>0.2</v>
      </c>
    </row>
    <row r="7" spans="1:18">
      <c r="A7" s="107" t="s">
        <v>165</v>
      </c>
      <c r="B7" s="221">
        <f>-('Operating Budget 1'!B64+'Operating Budget 1'!C64+'Operating Budget 1'!D64)</f>
        <v>-10500000</v>
      </c>
      <c r="C7" s="221">
        <f>-('Operating Budget 1'!E64+'Operating Budget 1'!F64+'Operating Budget 1'!G64)</f>
        <v>-11025000</v>
      </c>
      <c r="D7" s="221">
        <f>-('Operating Budget 1'!H64+'Operating Budget 1'!I64+'Operating Budget 1'!J64)</f>
        <v>-11576250</v>
      </c>
      <c r="E7" s="221">
        <f>-('Operating Budget 1'!K64+'Operating Budget 1'!L64+'Operating Budget 1'!M64)</f>
        <v>-12155062.5</v>
      </c>
      <c r="F7" s="223">
        <f>SUM(B7:E7)</f>
        <v>-45256312.5</v>
      </c>
      <c r="G7" s="221"/>
      <c r="H7" s="128" t="s">
        <v>324</v>
      </c>
      <c r="I7" s="229">
        <v>0.3</v>
      </c>
    </row>
    <row r="8" spans="1:18" s="187" customFormat="1">
      <c r="A8" s="225" t="s">
        <v>166</v>
      </c>
      <c r="B8" s="224">
        <f>SUM(B6:B7)</f>
        <v>16400000</v>
      </c>
      <c r="C8" s="224">
        <f t="shared" ref="C8:F9" si="0">SUM(C6:C7)</f>
        <v>17220000</v>
      </c>
      <c r="D8" s="224">
        <f t="shared" si="0"/>
        <v>18081000</v>
      </c>
      <c r="E8" s="224">
        <f t="shared" si="0"/>
        <v>18985050</v>
      </c>
      <c r="F8" s="224">
        <f t="shared" si="0"/>
        <v>70686050</v>
      </c>
      <c r="G8" s="223"/>
    </row>
    <row r="9" spans="1:18">
      <c r="A9" s="135" t="s">
        <v>318</v>
      </c>
      <c r="B9" s="221">
        <f>-('Operating Budget 1'!B77+'Operating Budget 1'!C77+'Operating Budget 1'!D77)</f>
        <v>-8000000</v>
      </c>
      <c r="C9" s="221">
        <f>-('Operating Budget 1'!E77+'Operating Budget 1'!F77+'Operating Budget 1'!G77)</f>
        <v>-8000000</v>
      </c>
      <c r="D9" s="221">
        <f>-('Operating Budget 1'!H77+'Operating Budget 1'!I77+'Operating Budget 1'!J77)</f>
        <v>-8000000</v>
      </c>
      <c r="E9" s="221">
        <f>-('Operating Budget 1'!K77+'Operating Budget 1'!L77+'Operating Budget 1'!M77)</f>
        <v>-8000000</v>
      </c>
      <c r="F9" s="223">
        <f>SUM(B9:E9)</f>
        <v>-32000000</v>
      </c>
      <c r="G9" s="221"/>
    </row>
    <row r="10" spans="1:18">
      <c r="A10" s="107" t="s">
        <v>167</v>
      </c>
      <c r="B10" s="221">
        <f>-('Operating Budget 1'!B86+'Operating Budget 1'!C86+'Operating Budget 1'!D86)</f>
        <v>-6999999.9999999991</v>
      </c>
      <c r="C10" s="221">
        <f>-('Operating Budget 1'!E86+'Operating Budget 1'!F86+'Operating Budget 1'!G86)</f>
        <v>-6999999.9999999991</v>
      </c>
      <c r="D10" s="221">
        <f>-('Operating Budget 1'!H86+'Operating Budget 1'!I86+'Operating Budget 1'!J86)</f>
        <v>-6999999.9999999991</v>
      </c>
      <c r="E10" s="221">
        <f>-('Operating Budget 1'!K86+'Operating Budget 1'!L86+'Operating Budget 1'!M86)</f>
        <v>-6999999.9999999991</v>
      </c>
      <c r="F10" s="223">
        <f>SUM(B10:E10)</f>
        <v>-27999999.999999996</v>
      </c>
      <c r="G10" s="221"/>
    </row>
    <row r="11" spans="1:18" s="187" customFormat="1">
      <c r="A11" s="228" t="s">
        <v>320</v>
      </c>
      <c r="B11" s="224">
        <f>SUM(B8:B10)</f>
        <v>1400000.0000000009</v>
      </c>
      <c r="C11" s="224">
        <f t="shared" ref="C11:F11" si="1">SUM(C8:C10)</f>
        <v>2220000.0000000009</v>
      </c>
      <c r="D11" s="224">
        <f t="shared" si="1"/>
        <v>3081000.0000000009</v>
      </c>
      <c r="E11" s="224">
        <f t="shared" si="1"/>
        <v>3985050.0000000009</v>
      </c>
      <c r="F11" s="224">
        <f t="shared" si="1"/>
        <v>10686050.000000004</v>
      </c>
      <c r="G11" s="223"/>
    </row>
    <row r="12" spans="1:18">
      <c r="A12" s="139" t="s">
        <v>321</v>
      </c>
      <c r="B12" s="221">
        <v>-400000</v>
      </c>
      <c r="C12" s="221">
        <v>-400000</v>
      </c>
      <c r="D12" s="221">
        <v>-400000</v>
      </c>
      <c r="E12" s="221">
        <v>-400000</v>
      </c>
      <c r="F12" s="223">
        <f>SUM(B12:E12)</f>
        <v>-1600000</v>
      </c>
      <c r="G12" s="221"/>
    </row>
    <row r="13" spans="1:18">
      <c r="A13" s="107" t="s">
        <v>168</v>
      </c>
      <c r="B13" s="221">
        <v>-200000</v>
      </c>
      <c r="C13" s="221">
        <v>-200000</v>
      </c>
      <c r="D13" s="221">
        <v>-200000</v>
      </c>
      <c r="E13" s="221">
        <v>-200000</v>
      </c>
      <c r="F13" s="223">
        <f>SUM(B13:E13)</f>
        <v>-800000</v>
      </c>
      <c r="G13" s="221"/>
    </row>
    <row r="14" spans="1:18" s="187" customFormat="1">
      <c r="A14" s="225" t="s">
        <v>344</v>
      </c>
      <c r="B14" s="224">
        <f>SUM(B11:B13)</f>
        <v>800000.00000000093</v>
      </c>
      <c r="C14" s="224">
        <f t="shared" ref="C14:F14" si="2">SUM(C11:C13)</f>
        <v>1620000.0000000009</v>
      </c>
      <c r="D14" s="224">
        <f t="shared" si="2"/>
        <v>2481000.0000000009</v>
      </c>
      <c r="E14" s="224">
        <f t="shared" si="2"/>
        <v>3385050.0000000009</v>
      </c>
      <c r="F14" s="224">
        <f>SUM(F11:F13)</f>
        <v>8286050.0000000037</v>
      </c>
      <c r="G14" s="223"/>
    </row>
    <row r="15" spans="1:18">
      <c r="A15" s="107" t="s">
        <v>170</v>
      </c>
      <c r="B15" s="221">
        <f>-(B14*30%)</f>
        <v>-240000.00000000026</v>
      </c>
      <c r="C15" s="221">
        <f>-(C14*30%)</f>
        <v>-486000.00000000023</v>
      </c>
      <c r="D15" s="221">
        <f>-(D14*30%)</f>
        <v>-744300.00000000023</v>
      </c>
      <c r="E15" s="221">
        <f>-(E14*30%)</f>
        <v>-1015515.0000000002</v>
      </c>
      <c r="F15" s="223">
        <f>SUM(B15:E15)</f>
        <v>-2485815.0000000009</v>
      </c>
      <c r="G15" s="221"/>
    </row>
    <row r="16" spans="1:18" ht="15.75" thickBot="1">
      <c r="A16" s="219" t="s">
        <v>345</v>
      </c>
      <c r="B16" s="230">
        <f>SUM(B14:B15)</f>
        <v>560000.0000000007</v>
      </c>
      <c r="C16" s="230">
        <f t="shared" ref="C16:F16" si="3">SUM(C14:C15)</f>
        <v>1134000.0000000007</v>
      </c>
      <c r="D16" s="230">
        <f t="shared" si="3"/>
        <v>1736700.0000000007</v>
      </c>
      <c r="E16" s="230">
        <f t="shared" si="3"/>
        <v>2369535.0000000009</v>
      </c>
      <c r="F16" s="230">
        <f t="shared" si="3"/>
        <v>5800235.0000000028</v>
      </c>
      <c r="G16" s="221"/>
    </row>
    <row r="17" spans="2:7" ht="15.75" thickTop="1">
      <c r="B17" s="221"/>
      <c r="C17" s="221"/>
      <c r="D17" s="221"/>
      <c r="E17" s="221"/>
      <c r="F17" s="221"/>
      <c r="G17" s="221"/>
    </row>
  </sheetData>
  <mergeCells count="2">
    <mergeCell ref="A3:F3"/>
    <mergeCell ref="B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44DC1-EAE1-4A9D-9273-D1672F6A7A66}">
  <dimension ref="A1:F85"/>
  <sheetViews>
    <sheetView topLeftCell="A23" workbookViewId="0">
      <selection activeCell="C24" sqref="C24"/>
    </sheetView>
  </sheetViews>
  <sheetFormatPr defaultColWidth="10" defaultRowHeight="15"/>
  <cols>
    <col min="1" max="1" width="38.85546875" style="76" bestFit="1" customWidth="1"/>
    <col min="2" max="2" width="14.42578125" style="76" customWidth="1"/>
    <col min="3" max="3" width="15.85546875" style="76" customWidth="1"/>
    <col min="4" max="5" width="15.42578125" style="76" customWidth="1"/>
    <col min="6" max="6" width="15.5703125" style="76" customWidth="1"/>
    <col min="7" max="256" width="10" style="76"/>
    <col min="257" max="257" width="38.85546875" style="76" bestFit="1" customWidth="1"/>
    <col min="258" max="261" width="12.7109375" style="76" customWidth="1"/>
    <col min="262" max="512" width="10" style="76"/>
    <col min="513" max="513" width="38.85546875" style="76" bestFit="1" customWidth="1"/>
    <col min="514" max="517" width="12.7109375" style="76" customWidth="1"/>
    <col min="518" max="768" width="10" style="76"/>
    <col min="769" max="769" width="38.85546875" style="76" bestFit="1" customWidth="1"/>
    <col min="770" max="773" width="12.7109375" style="76" customWidth="1"/>
    <col min="774" max="1024" width="10" style="76"/>
    <col min="1025" max="1025" width="38.85546875" style="76" bestFit="1" customWidth="1"/>
    <col min="1026" max="1029" width="12.7109375" style="76" customWidth="1"/>
    <col min="1030" max="1280" width="10" style="76"/>
    <col min="1281" max="1281" width="38.85546875" style="76" bestFit="1" customWidth="1"/>
    <col min="1282" max="1285" width="12.7109375" style="76" customWidth="1"/>
    <col min="1286" max="1536" width="10" style="76"/>
    <col min="1537" max="1537" width="38.85546875" style="76" bestFit="1" customWidth="1"/>
    <col min="1538" max="1541" width="12.7109375" style="76" customWidth="1"/>
    <col min="1542" max="1792" width="10" style="76"/>
    <col min="1793" max="1793" width="38.85546875" style="76" bestFit="1" customWidth="1"/>
    <col min="1794" max="1797" width="12.7109375" style="76" customWidth="1"/>
    <col min="1798" max="2048" width="10" style="76"/>
    <col min="2049" max="2049" width="38.85546875" style="76" bestFit="1" customWidth="1"/>
    <col min="2050" max="2053" width="12.7109375" style="76" customWidth="1"/>
    <col min="2054" max="2304" width="10" style="76"/>
    <col min="2305" max="2305" width="38.85546875" style="76" bestFit="1" customWidth="1"/>
    <col min="2306" max="2309" width="12.7109375" style="76" customWidth="1"/>
    <col min="2310" max="2560" width="10" style="76"/>
    <col min="2561" max="2561" width="38.85546875" style="76" bestFit="1" customWidth="1"/>
    <col min="2562" max="2565" width="12.7109375" style="76" customWidth="1"/>
    <col min="2566" max="2816" width="10" style="76"/>
    <col min="2817" max="2817" width="38.85546875" style="76" bestFit="1" customWidth="1"/>
    <col min="2818" max="2821" width="12.7109375" style="76" customWidth="1"/>
    <col min="2822" max="3072" width="10" style="76"/>
    <col min="3073" max="3073" width="38.85546875" style="76" bestFit="1" customWidth="1"/>
    <col min="3074" max="3077" width="12.7109375" style="76" customWidth="1"/>
    <col min="3078" max="3328" width="10" style="76"/>
    <col min="3329" max="3329" width="38.85546875" style="76" bestFit="1" customWidth="1"/>
    <col min="3330" max="3333" width="12.7109375" style="76" customWidth="1"/>
    <col min="3334" max="3584" width="10" style="76"/>
    <col min="3585" max="3585" width="38.85546875" style="76" bestFit="1" customWidth="1"/>
    <col min="3586" max="3589" width="12.7109375" style="76" customWidth="1"/>
    <col min="3590" max="3840" width="10" style="76"/>
    <col min="3841" max="3841" width="38.85546875" style="76" bestFit="1" customWidth="1"/>
    <col min="3842" max="3845" width="12.7109375" style="76" customWidth="1"/>
    <col min="3846" max="4096" width="10" style="76"/>
    <col min="4097" max="4097" width="38.85546875" style="76" bestFit="1" customWidth="1"/>
    <col min="4098" max="4101" width="12.7109375" style="76" customWidth="1"/>
    <col min="4102" max="4352" width="10" style="76"/>
    <col min="4353" max="4353" width="38.85546875" style="76" bestFit="1" customWidth="1"/>
    <col min="4354" max="4357" width="12.7109375" style="76" customWidth="1"/>
    <col min="4358" max="4608" width="10" style="76"/>
    <col min="4609" max="4609" width="38.85546875" style="76" bestFit="1" customWidth="1"/>
    <col min="4610" max="4613" width="12.7109375" style="76" customWidth="1"/>
    <col min="4614" max="4864" width="10" style="76"/>
    <col min="4865" max="4865" width="38.85546875" style="76" bestFit="1" customWidth="1"/>
    <col min="4866" max="4869" width="12.7109375" style="76" customWidth="1"/>
    <col min="4870" max="5120" width="10" style="76"/>
    <col min="5121" max="5121" width="38.85546875" style="76" bestFit="1" customWidth="1"/>
    <col min="5122" max="5125" width="12.7109375" style="76" customWidth="1"/>
    <col min="5126" max="5376" width="10" style="76"/>
    <col min="5377" max="5377" width="38.85546875" style="76" bestFit="1" customWidth="1"/>
    <col min="5378" max="5381" width="12.7109375" style="76" customWidth="1"/>
    <col min="5382" max="5632" width="10" style="76"/>
    <col min="5633" max="5633" width="38.85546875" style="76" bestFit="1" customWidth="1"/>
    <col min="5634" max="5637" width="12.7109375" style="76" customWidth="1"/>
    <col min="5638" max="5888" width="10" style="76"/>
    <col min="5889" max="5889" width="38.85546875" style="76" bestFit="1" customWidth="1"/>
    <col min="5890" max="5893" width="12.7109375" style="76" customWidth="1"/>
    <col min="5894" max="6144" width="10" style="76"/>
    <col min="6145" max="6145" width="38.85546875" style="76" bestFit="1" customWidth="1"/>
    <col min="6146" max="6149" width="12.7109375" style="76" customWidth="1"/>
    <col min="6150" max="6400" width="10" style="76"/>
    <col min="6401" max="6401" width="38.85546875" style="76" bestFit="1" customWidth="1"/>
    <col min="6402" max="6405" width="12.7109375" style="76" customWidth="1"/>
    <col min="6406" max="6656" width="10" style="76"/>
    <col min="6657" max="6657" width="38.85546875" style="76" bestFit="1" customWidth="1"/>
    <col min="6658" max="6661" width="12.7109375" style="76" customWidth="1"/>
    <col min="6662" max="6912" width="10" style="76"/>
    <col min="6913" max="6913" width="38.85546875" style="76" bestFit="1" customWidth="1"/>
    <col min="6914" max="6917" width="12.7109375" style="76" customWidth="1"/>
    <col min="6918" max="7168" width="10" style="76"/>
    <col min="7169" max="7169" width="38.85546875" style="76" bestFit="1" customWidth="1"/>
    <col min="7170" max="7173" width="12.7109375" style="76" customWidth="1"/>
    <col min="7174" max="7424" width="10" style="76"/>
    <col min="7425" max="7425" width="38.85546875" style="76" bestFit="1" customWidth="1"/>
    <col min="7426" max="7429" width="12.7109375" style="76" customWidth="1"/>
    <col min="7430" max="7680" width="10" style="76"/>
    <col min="7681" max="7681" width="38.85546875" style="76" bestFit="1" customWidth="1"/>
    <col min="7682" max="7685" width="12.7109375" style="76" customWidth="1"/>
    <col min="7686" max="7936" width="10" style="76"/>
    <col min="7937" max="7937" width="38.85546875" style="76" bestFit="1" customWidth="1"/>
    <col min="7938" max="7941" width="12.7109375" style="76" customWidth="1"/>
    <col min="7942" max="8192" width="10" style="76"/>
    <col min="8193" max="8193" width="38.85546875" style="76" bestFit="1" customWidth="1"/>
    <col min="8194" max="8197" width="12.7109375" style="76" customWidth="1"/>
    <col min="8198" max="8448" width="10" style="76"/>
    <col min="8449" max="8449" width="38.85546875" style="76" bestFit="1" customWidth="1"/>
    <col min="8450" max="8453" width="12.7109375" style="76" customWidth="1"/>
    <col min="8454" max="8704" width="10" style="76"/>
    <col min="8705" max="8705" width="38.85546875" style="76" bestFit="1" customWidth="1"/>
    <col min="8706" max="8709" width="12.7109375" style="76" customWidth="1"/>
    <col min="8710" max="8960" width="10" style="76"/>
    <col min="8961" max="8961" width="38.85546875" style="76" bestFit="1" customWidth="1"/>
    <col min="8962" max="8965" width="12.7109375" style="76" customWidth="1"/>
    <col min="8966" max="9216" width="10" style="76"/>
    <col min="9217" max="9217" width="38.85546875" style="76" bestFit="1" customWidth="1"/>
    <col min="9218" max="9221" width="12.7109375" style="76" customWidth="1"/>
    <col min="9222" max="9472" width="10" style="76"/>
    <col min="9473" max="9473" width="38.85546875" style="76" bestFit="1" customWidth="1"/>
    <col min="9474" max="9477" width="12.7109375" style="76" customWidth="1"/>
    <col min="9478" max="9728" width="10" style="76"/>
    <col min="9729" max="9729" width="38.85546875" style="76" bestFit="1" customWidth="1"/>
    <col min="9730" max="9733" width="12.7109375" style="76" customWidth="1"/>
    <col min="9734" max="9984" width="10" style="76"/>
    <col min="9985" max="9985" width="38.85546875" style="76" bestFit="1" customWidth="1"/>
    <col min="9986" max="9989" width="12.7109375" style="76" customWidth="1"/>
    <col min="9990" max="10240" width="10" style="76"/>
    <col min="10241" max="10241" width="38.85546875" style="76" bestFit="1" customWidth="1"/>
    <col min="10242" max="10245" width="12.7109375" style="76" customWidth="1"/>
    <col min="10246" max="10496" width="10" style="76"/>
    <col min="10497" max="10497" width="38.85546875" style="76" bestFit="1" customWidth="1"/>
    <col min="10498" max="10501" width="12.7109375" style="76" customWidth="1"/>
    <col min="10502" max="10752" width="10" style="76"/>
    <col min="10753" max="10753" width="38.85546875" style="76" bestFit="1" customWidth="1"/>
    <col min="10754" max="10757" width="12.7109375" style="76" customWidth="1"/>
    <col min="10758" max="11008" width="10" style="76"/>
    <col min="11009" max="11009" width="38.85546875" style="76" bestFit="1" customWidth="1"/>
    <col min="11010" max="11013" width="12.7109375" style="76" customWidth="1"/>
    <col min="11014" max="11264" width="10" style="76"/>
    <col min="11265" max="11265" width="38.85546875" style="76" bestFit="1" customWidth="1"/>
    <col min="11266" max="11269" width="12.7109375" style="76" customWidth="1"/>
    <col min="11270" max="11520" width="10" style="76"/>
    <col min="11521" max="11521" width="38.85546875" style="76" bestFit="1" customWidth="1"/>
    <col min="11522" max="11525" width="12.7109375" style="76" customWidth="1"/>
    <col min="11526" max="11776" width="10" style="76"/>
    <col min="11777" max="11777" width="38.85546875" style="76" bestFit="1" customWidth="1"/>
    <col min="11778" max="11781" width="12.7109375" style="76" customWidth="1"/>
    <col min="11782" max="12032" width="10" style="76"/>
    <col min="12033" max="12033" width="38.85546875" style="76" bestFit="1" customWidth="1"/>
    <col min="12034" max="12037" width="12.7109375" style="76" customWidth="1"/>
    <col min="12038" max="12288" width="10" style="76"/>
    <col min="12289" max="12289" width="38.85546875" style="76" bestFit="1" customWidth="1"/>
    <col min="12290" max="12293" width="12.7109375" style="76" customWidth="1"/>
    <col min="12294" max="12544" width="10" style="76"/>
    <col min="12545" max="12545" width="38.85546875" style="76" bestFit="1" customWidth="1"/>
    <col min="12546" max="12549" width="12.7109375" style="76" customWidth="1"/>
    <col min="12550" max="12800" width="10" style="76"/>
    <col min="12801" max="12801" width="38.85546875" style="76" bestFit="1" customWidth="1"/>
    <col min="12802" max="12805" width="12.7109375" style="76" customWidth="1"/>
    <col min="12806" max="13056" width="10" style="76"/>
    <col min="13057" max="13057" width="38.85546875" style="76" bestFit="1" customWidth="1"/>
    <col min="13058" max="13061" width="12.7109375" style="76" customWidth="1"/>
    <col min="13062" max="13312" width="10" style="76"/>
    <col min="13313" max="13313" width="38.85546875" style="76" bestFit="1" customWidth="1"/>
    <col min="13314" max="13317" width="12.7109375" style="76" customWidth="1"/>
    <col min="13318" max="13568" width="10" style="76"/>
    <col min="13569" max="13569" width="38.85546875" style="76" bestFit="1" customWidth="1"/>
    <col min="13570" max="13573" width="12.7109375" style="76" customWidth="1"/>
    <col min="13574" max="13824" width="10" style="76"/>
    <col min="13825" max="13825" width="38.85546875" style="76" bestFit="1" customWidth="1"/>
    <col min="13826" max="13829" width="12.7109375" style="76" customWidth="1"/>
    <col min="13830" max="14080" width="10" style="76"/>
    <col min="14081" max="14081" width="38.85546875" style="76" bestFit="1" customWidth="1"/>
    <col min="14082" max="14085" width="12.7109375" style="76" customWidth="1"/>
    <col min="14086" max="14336" width="10" style="76"/>
    <col min="14337" max="14337" width="38.85546875" style="76" bestFit="1" customWidth="1"/>
    <col min="14338" max="14341" width="12.7109375" style="76" customWidth="1"/>
    <col min="14342" max="14592" width="10" style="76"/>
    <col min="14593" max="14593" width="38.85546875" style="76" bestFit="1" customWidth="1"/>
    <col min="14594" max="14597" width="12.7109375" style="76" customWidth="1"/>
    <col min="14598" max="14848" width="10" style="76"/>
    <col min="14849" max="14849" width="38.85546875" style="76" bestFit="1" customWidth="1"/>
    <col min="14850" max="14853" width="12.7109375" style="76" customWidth="1"/>
    <col min="14854" max="15104" width="10" style="76"/>
    <col min="15105" max="15105" width="38.85546875" style="76" bestFit="1" customWidth="1"/>
    <col min="15106" max="15109" width="12.7109375" style="76" customWidth="1"/>
    <col min="15110" max="15360" width="10" style="76"/>
    <col min="15361" max="15361" width="38.85546875" style="76" bestFit="1" customWidth="1"/>
    <col min="15362" max="15365" width="12.7109375" style="76" customWidth="1"/>
    <col min="15366" max="15616" width="10" style="76"/>
    <col min="15617" max="15617" width="38.85546875" style="76" bestFit="1" customWidth="1"/>
    <col min="15618" max="15621" width="12.7109375" style="76" customWidth="1"/>
    <col min="15622" max="15872" width="10" style="76"/>
    <col min="15873" max="15873" width="38.85546875" style="76" bestFit="1" customWidth="1"/>
    <col min="15874" max="15877" width="12.7109375" style="76" customWidth="1"/>
    <col min="15878" max="16128" width="10" style="76"/>
    <col min="16129" max="16129" width="38.85546875" style="76" bestFit="1" customWidth="1"/>
    <col min="16130" max="16133" width="12.7109375" style="76" customWidth="1"/>
    <col min="16134" max="16384" width="10" style="76"/>
  </cols>
  <sheetData>
    <row r="1" spans="1:6" ht="23.25">
      <c r="A1" s="186"/>
      <c r="B1" s="186"/>
      <c r="C1" s="186"/>
      <c r="D1" s="186"/>
      <c r="E1" s="186"/>
    </row>
    <row r="2" spans="1:6" ht="18">
      <c r="A2" s="176" t="s">
        <v>172</v>
      </c>
      <c r="B2" s="176"/>
      <c r="C2" s="176"/>
      <c r="D2" s="176"/>
      <c r="E2" s="176"/>
      <c r="F2" s="102"/>
    </row>
    <row r="3" spans="1:6">
      <c r="A3" s="177"/>
      <c r="B3" s="177"/>
      <c r="C3" s="177"/>
      <c r="D3" s="177"/>
      <c r="E3" s="177"/>
    </row>
    <row r="6" spans="1:6" ht="18">
      <c r="A6" s="176" t="s">
        <v>173</v>
      </c>
      <c r="B6" s="176"/>
      <c r="C6" s="176"/>
      <c r="D6" s="176"/>
      <c r="E6" s="176"/>
    </row>
    <row r="8" spans="1:6" ht="15.75" thickBot="1">
      <c r="B8" s="109" t="s">
        <v>114</v>
      </c>
      <c r="C8" s="109" t="s">
        <v>115</v>
      </c>
      <c r="D8" s="109" t="s">
        <v>116</v>
      </c>
      <c r="E8" s="109" t="s">
        <v>117</v>
      </c>
      <c r="F8" s="76" t="s">
        <v>328</v>
      </c>
    </row>
    <row r="10" spans="1:6">
      <c r="A10" s="76" t="s">
        <v>174</v>
      </c>
      <c r="B10" s="79">
        <v>0</v>
      </c>
      <c r="C10" s="79"/>
      <c r="D10" s="79"/>
      <c r="E10" s="79"/>
    </row>
    <row r="11" spans="1:6">
      <c r="A11" s="76" t="s">
        <v>175</v>
      </c>
      <c r="B11" s="79">
        <f>'Income Statement'!B6*40%</f>
        <v>10760000</v>
      </c>
      <c r="C11" s="79">
        <f>'Income Statement'!B6*60%</f>
        <v>16140000</v>
      </c>
      <c r="D11" s="79"/>
      <c r="E11" s="79"/>
    </row>
    <row r="12" spans="1:6">
      <c r="A12" s="76" t="s">
        <v>176</v>
      </c>
      <c r="B12" s="79"/>
      <c r="C12" s="79">
        <f>'Income Statement'!C6*40%</f>
        <v>11298000</v>
      </c>
      <c r="D12" s="79">
        <f>'Income Statement'!C6*60%</f>
        <v>16947000</v>
      </c>
      <c r="E12" s="79"/>
    </row>
    <row r="13" spans="1:6">
      <c r="A13" s="76" t="s">
        <v>177</v>
      </c>
      <c r="B13" s="79"/>
      <c r="C13" s="79"/>
      <c r="D13" s="79">
        <f>'Income Statement'!D6*40%</f>
        <v>11862900</v>
      </c>
      <c r="E13" s="76">
        <f>'Income Statement'!D6*60%</f>
        <v>17794350</v>
      </c>
    </row>
    <row r="14" spans="1:6">
      <c r="A14" s="76" t="s">
        <v>178</v>
      </c>
      <c r="B14" s="79"/>
      <c r="C14" s="79"/>
      <c r="D14" s="79"/>
      <c r="E14" s="108">
        <f>'Income Statement'!E6*40%</f>
        <v>12456045</v>
      </c>
      <c r="F14" s="76">
        <f>'Income Statement'!E6*60%</f>
        <v>18684067.5</v>
      </c>
    </row>
    <row r="15" spans="1:6">
      <c r="B15" s="79"/>
      <c r="C15" s="79"/>
      <c r="D15" s="79"/>
      <c r="E15" s="79"/>
    </row>
    <row r="16" spans="1:6" ht="15.75" thickBot="1">
      <c r="A16" s="76" t="s">
        <v>179</v>
      </c>
      <c r="B16" s="232">
        <f>SUM(B10:B15)</f>
        <v>10760000</v>
      </c>
      <c r="C16" s="232">
        <f t="shared" ref="C16:F16" si="0">SUM(C10:C15)</f>
        <v>27438000</v>
      </c>
      <c r="D16" s="232">
        <f t="shared" si="0"/>
        <v>28809900</v>
      </c>
      <c r="E16" s="232">
        <f t="shared" si="0"/>
        <v>30250395</v>
      </c>
      <c r="F16" s="167">
        <f t="shared" si="0"/>
        <v>18684067.5</v>
      </c>
    </row>
    <row r="19" spans="1:6" ht="18">
      <c r="A19" s="176" t="s">
        <v>180</v>
      </c>
      <c r="B19" s="176"/>
      <c r="C19" s="176"/>
      <c r="D19" s="176"/>
      <c r="E19" s="176"/>
    </row>
    <row r="21" spans="1:6" ht="15.75" thickBot="1">
      <c r="B21" s="109" t="s">
        <v>114</v>
      </c>
      <c r="C21" s="109" t="s">
        <v>115</v>
      </c>
      <c r="D21" s="109" t="s">
        <v>116</v>
      </c>
      <c r="E21" s="109" t="s">
        <v>117</v>
      </c>
    </row>
    <row r="23" spans="1:6">
      <c r="A23" s="76" t="s">
        <v>181</v>
      </c>
      <c r="B23" s="79"/>
    </row>
    <row r="24" spans="1:6">
      <c r="A24" s="76" t="s">
        <v>175</v>
      </c>
      <c r="B24" s="76">
        <f>'Income Statement'!B7*70%</f>
        <v>-7349999.9999999991</v>
      </c>
      <c r="C24" s="79">
        <f>'Income Statement'!B7*30%</f>
        <v>-3150000</v>
      </c>
    </row>
    <row r="25" spans="1:6">
      <c r="A25" s="76" t="s">
        <v>176</v>
      </c>
      <c r="C25" s="76">
        <f>'Income Statement'!C7*70%</f>
        <v>-7717499.9999999991</v>
      </c>
      <c r="D25" s="76">
        <f>'Income Statement'!C7*30%</f>
        <v>-3307500</v>
      </c>
    </row>
    <row r="26" spans="1:6">
      <c r="A26" s="76" t="s">
        <v>177</v>
      </c>
      <c r="D26" s="79">
        <f>'Income Statement'!D7*70%</f>
        <v>-8103374.9999999991</v>
      </c>
      <c r="E26" s="197">
        <f>'Income Statement'!D7*30%</f>
        <v>-3472875</v>
      </c>
    </row>
    <row r="27" spans="1:6">
      <c r="A27" s="76" t="s">
        <v>178</v>
      </c>
      <c r="E27" s="76">
        <f>'Income Statement'!E7*70%</f>
        <v>-8508543.75</v>
      </c>
      <c r="F27" s="76">
        <f>'Income Statement'!E7*30%</f>
        <v>-3646518.75</v>
      </c>
    </row>
    <row r="29" spans="1:6" ht="15.75" thickBot="1">
      <c r="A29" s="76" t="s">
        <v>182</v>
      </c>
      <c r="B29" s="167">
        <f>SUM(B23:B28)</f>
        <v>-7349999.9999999991</v>
      </c>
      <c r="C29" s="167">
        <f t="shared" ref="C29:E29" si="1">SUM(C23:C28)</f>
        <v>-10867500</v>
      </c>
      <c r="D29" s="167">
        <f t="shared" si="1"/>
        <v>-11410875</v>
      </c>
      <c r="E29" s="167">
        <f t="shared" si="1"/>
        <v>-11981418.75</v>
      </c>
      <c r="F29" s="167">
        <f>SUM(F23:F28)</f>
        <v>-3646518.75</v>
      </c>
    </row>
    <row r="32" spans="1:6" ht="18">
      <c r="A32" s="176" t="s">
        <v>183</v>
      </c>
      <c r="B32" s="176"/>
      <c r="C32" s="176"/>
      <c r="D32" s="176"/>
      <c r="E32" s="176"/>
    </row>
    <row r="34" spans="1:5" ht="15.75" thickBot="1">
      <c r="B34" s="109" t="s">
        <v>114</v>
      </c>
      <c r="C34" s="109" t="s">
        <v>115</v>
      </c>
      <c r="D34" s="109" t="s">
        <v>116</v>
      </c>
      <c r="E34" s="109" t="s">
        <v>117</v>
      </c>
    </row>
    <row r="36" spans="1:5">
      <c r="A36" s="111" t="s">
        <v>184</v>
      </c>
      <c r="B36" s="111"/>
      <c r="C36" s="79">
        <f>B55</f>
        <v>3410000.0000000009</v>
      </c>
      <c r="D36" s="79">
        <f>C55</f>
        <v>19980500</v>
      </c>
      <c r="E36" s="79">
        <f>D55</f>
        <v>37379525</v>
      </c>
    </row>
    <row r="38" spans="1:5">
      <c r="A38" s="76" t="s">
        <v>185</v>
      </c>
    </row>
    <row r="39" spans="1:5">
      <c r="A39" s="85" t="s">
        <v>186</v>
      </c>
      <c r="B39" s="76">
        <f>B16</f>
        <v>10760000</v>
      </c>
      <c r="C39" s="76">
        <f>C16</f>
        <v>27438000</v>
      </c>
      <c r="D39" s="76">
        <f>D16</f>
        <v>28809900</v>
      </c>
      <c r="E39" s="76">
        <f>E16</f>
        <v>30250395</v>
      </c>
    </row>
    <row r="40" spans="1:5">
      <c r="A40" s="85" t="s">
        <v>187</v>
      </c>
    </row>
    <row r="42" spans="1:5">
      <c r="A42" s="106" t="s">
        <v>188</v>
      </c>
      <c r="B42" s="121">
        <f>SUM(B36:B41)</f>
        <v>10760000</v>
      </c>
      <c r="C42" s="121">
        <f t="shared" ref="C42:E42" si="2">SUM(C36:C41)</f>
        <v>30848000</v>
      </c>
      <c r="D42" s="121">
        <f>SUM(D36:D41)</f>
        <v>48790400</v>
      </c>
      <c r="E42" s="121">
        <f t="shared" si="2"/>
        <v>67629920</v>
      </c>
    </row>
    <row r="43" spans="1:5">
      <c r="A43" s="76" t="s">
        <v>189</v>
      </c>
      <c r="B43" s="121"/>
      <c r="C43" s="121"/>
      <c r="D43" s="121"/>
      <c r="E43" s="121"/>
    </row>
    <row r="45" spans="1:5">
      <c r="A45" s="76" t="s">
        <v>190</v>
      </c>
    </row>
    <row r="46" spans="1:5">
      <c r="A46" s="85" t="s">
        <v>191</v>
      </c>
      <c r="B46" s="76">
        <f>B29</f>
        <v>-7349999.9999999991</v>
      </c>
      <c r="C46" s="76">
        <f>C29</f>
        <v>-10867500</v>
      </c>
      <c r="D46" s="76">
        <f>D29</f>
        <v>-11410875</v>
      </c>
      <c r="E46" s="76">
        <f>E29</f>
        <v>-11981418.75</v>
      </c>
    </row>
    <row r="47" spans="1:5">
      <c r="A47" s="85" t="s">
        <v>160</v>
      </c>
    </row>
    <row r="48" spans="1:5">
      <c r="A48" s="85" t="s">
        <v>161</v>
      </c>
    </row>
    <row r="49" spans="1:5">
      <c r="A49" s="85" t="s">
        <v>167</v>
      </c>
    </row>
    <row r="50" spans="1:5">
      <c r="A50" s="85" t="s">
        <v>192</v>
      </c>
    </row>
    <row r="51" spans="1:5">
      <c r="A51" s="85" t="s">
        <v>193</v>
      </c>
    </row>
    <row r="52" spans="1:5">
      <c r="A52" s="85" t="s">
        <v>170</v>
      </c>
    </row>
    <row r="53" spans="1:5">
      <c r="A53" s="85"/>
    </row>
    <row r="54" spans="1:5">
      <c r="A54" s="106" t="s">
        <v>194</v>
      </c>
      <c r="B54" s="121">
        <f>SUM(B46:B53)</f>
        <v>-7349999.9999999991</v>
      </c>
      <c r="C54" s="121">
        <f t="shared" ref="C54:E54" si="3">SUM(C46:C53)</f>
        <v>-10867500</v>
      </c>
      <c r="D54" s="121">
        <f t="shared" si="3"/>
        <v>-11410875</v>
      </c>
      <c r="E54" s="121">
        <f t="shared" si="3"/>
        <v>-11981418.75</v>
      </c>
    </row>
    <row r="55" spans="1:5" ht="15.75" thickBot="1">
      <c r="A55" s="76" t="s">
        <v>195</v>
      </c>
      <c r="B55" s="113">
        <f>B42+B54</f>
        <v>3410000.0000000009</v>
      </c>
      <c r="C55" s="113">
        <f t="shared" ref="C55" si="4">C42+C54</f>
        <v>19980500</v>
      </c>
      <c r="D55" s="113">
        <f>D42+D54</f>
        <v>37379525</v>
      </c>
      <c r="E55" s="113">
        <f>E42+E54</f>
        <v>55648501.25</v>
      </c>
    </row>
    <row r="58" spans="1:5" ht="18">
      <c r="A58" s="176" t="s">
        <v>196</v>
      </c>
      <c r="B58" s="176"/>
      <c r="C58" s="176"/>
      <c r="D58" s="176"/>
      <c r="E58" s="102"/>
    </row>
    <row r="59" spans="1:5">
      <c r="A59" s="185">
        <v>38352</v>
      </c>
      <c r="B59" s="185"/>
      <c r="C59" s="185"/>
      <c r="D59" s="185"/>
    </row>
    <row r="60" spans="1:5">
      <c r="B60" s="81"/>
    </row>
    <row r="62" spans="1:5">
      <c r="A62" s="102" t="s">
        <v>197</v>
      </c>
    </row>
    <row r="63" spans="1:5">
      <c r="A63" s="102" t="s">
        <v>330</v>
      </c>
    </row>
    <row r="64" spans="1:5">
      <c r="A64" s="102" t="s">
        <v>331</v>
      </c>
      <c r="B64" s="138">
        <f>Input!B80+Input!B81+Input!B82+Input!B83</f>
        <v>38000000</v>
      </c>
      <c r="C64" s="76">
        <v>0</v>
      </c>
      <c r="D64" s="76">
        <v>0</v>
      </c>
      <c r="E64" s="76">
        <f>Input!B80+Input!B82</f>
        <v>30000000</v>
      </c>
    </row>
    <row r="65" spans="1:5">
      <c r="A65" s="102"/>
      <c r="B65" s="168">
        <f t="shared" ref="B65:E65" si="5">SUM(B64)</f>
        <v>38000000</v>
      </c>
      <c r="C65" s="168">
        <f t="shared" si="5"/>
        <v>0</v>
      </c>
      <c r="D65" s="168">
        <f t="shared" si="5"/>
        <v>0</v>
      </c>
      <c r="E65" s="168">
        <f t="shared" si="5"/>
        <v>30000000</v>
      </c>
    </row>
    <row r="66" spans="1:5">
      <c r="A66" s="85" t="s">
        <v>203</v>
      </c>
      <c r="B66" s="76">
        <f>'Operating Budgets'!B128</f>
        <v>-200000</v>
      </c>
      <c r="C66" s="76">
        <f>'Operating Budgets'!C128</f>
        <v>-200000</v>
      </c>
      <c r="D66" s="76">
        <f>'Operating Budgets'!D128</f>
        <v>-200000</v>
      </c>
      <c r="E66" s="76">
        <f>'Operating Budgets'!E128</f>
        <v>-200000</v>
      </c>
    </row>
    <row r="67" spans="1:5">
      <c r="A67" s="96" t="s">
        <v>332</v>
      </c>
      <c r="B67" s="169">
        <f>SUM(B65:B66)</f>
        <v>37800000</v>
      </c>
      <c r="C67" s="169">
        <f t="shared" ref="C67:E67" si="6">SUM(C65:C66)</f>
        <v>-200000</v>
      </c>
      <c r="D67" s="169">
        <f t="shared" si="6"/>
        <v>-200000</v>
      </c>
      <c r="E67" s="169">
        <f t="shared" si="6"/>
        <v>29800000</v>
      </c>
    </row>
    <row r="68" spans="1:5">
      <c r="A68" s="85"/>
    </row>
    <row r="69" spans="1:5">
      <c r="A69" s="102" t="s">
        <v>329</v>
      </c>
    </row>
    <row r="70" spans="1:5">
      <c r="A70" s="85" t="s">
        <v>198</v>
      </c>
      <c r="B70" s="138">
        <f>B55</f>
        <v>3410000.0000000009</v>
      </c>
      <c r="C70" s="76">
        <f>C55</f>
        <v>19980500</v>
      </c>
      <c r="D70" s="76">
        <f>D55</f>
        <v>37379525</v>
      </c>
      <c r="E70" s="76">
        <f>E55</f>
        <v>55648501.25</v>
      </c>
    </row>
    <row r="71" spans="1:5">
      <c r="A71" s="85" t="s">
        <v>199</v>
      </c>
      <c r="B71" s="138">
        <f>C12</f>
        <v>11298000</v>
      </c>
      <c r="C71" s="76">
        <f>D13</f>
        <v>11862900</v>
      </c>
      <c r="D71" s="76">
        <f>E14</f>
        <v>12456045</v>
      </c>
      <c r="E71" s="76">
        <f>F15</f>
        <v>0</v>
      </c>
    </row>
    <row r="72" spans="1:5">
      <c r="A72" s="85" t="s">
        <v>200</v>
      </c>
    </row>
    <row r="74" spans="1:5" s="104" customFormat="1" ht="15.75" thickBot="1">
      <c r="A74" s="170" t="s">
        <v>204</v>
      </c>
      <c r="B74" s="171">
        <f>SUM(B67:B73)</f>
        <v>52508000</v>
      </c>
      <c r="C74" s="171">
        <f t="shared" ref="C74:E74" si="7">SUM(C67:C73)</f>
        <v>31643400</v>
      </c>
      <c r="D74" s="171">
        <f t="shared" si="7"/>
        <v>49635570</v>
      </c>
      <c r="E74" s="171">
        <f t="shared" si="7"/>
        <v>85448501.25</v>
      </c>
    </row>
    <row r="76" spans="1:5">
      <c r="A76" s="102" t="s">
        <v>205</v>
      </c>
    </row>
    <row r="77" spans="1:5">
      <c r="A77" s="85" t="s">
        <v>206</v>
      </c>
      <c r="B77" s="138">
        <f>-C25</f>
        <v>7717499.9999999991</v>
      </c>
      <c r="C77" s="76">
        <f>-D26</f>
        <v>8103374.9999999991</v>
      </c>
      <c r="D77" s="79">
        <f>-E27</f>
        <v>8508543.75</v>
      </c>
      <c r="E77" s="76">
        <f>-F28</f>
        <v>0</v>
      </c>
    </row>
    <row r="78" spans="1:5">
      <c r="A78" s="85" t="s">
        <v>207</v>
      </c>
    </row>
    <row r="79" spans="1:5">
      <c r="A79" s="85" t="s">
        <v>208</v>
      </c>
    </row>
    <row r="80" spans="1:5">
      <c r="A80" s="85" t="s">
        <v>333</v>
      </c>
      <c r="B80" s="76">
        <f>'Operating Budgets'!B132</f>
        <v>3430000.0000000009</v>
      </c>
      <c r="C80" s="76">
        <f>'Operating Budgets'!C132</f>
        <v>4144000.0000000009</v>
      </c>
      <c r="D80" s="76">
        <f>'Operating Budgets'!D132</f>
        <v>4893700.0000000009</v>
      </c>
      <c r="E80" s="76">
        <f>'Operating Budgets'!E132</f>
        <v>5680885</v>
      </c>
    </row>
    <row r="81" spans="1:5">
      <c r="A81" s="85" t="s">
        <v>209</v>
      </c>
      <c r="B81" s="76">
        <v>54770000</v>
      </c>
      <c r="C81" s="76">
        <v>37476000</v>
      </c>
      <c r="D81" s="76">
        <v>59217300</v>
      </c>
      <c r="E81" s="76">
        <v>112045665</v>
      </c>
    </row>
    <row r="82" spans="1:5">
      <c r="A82" s="85"/>
    </row>
    <row r="83" spans="1:5" ht="15.75" thickBot="1">
      <c r="A83" s="106" t="s">
        <v>210</v>
      </c>
      <c r="B83" s="171">
        <f>SUM(B77:B82)</f>
        <v>65917500</v>
      </c>
      <c r="C83" s="171">
        <f t="shared" ref="C83:E83" si="8">SUM(C77:C82)</f>
        <v>49723375</v>
      </c>
      <c r="D83" s="171">
        <f t="shared" si="8"/>
        <v>72619543.75</v>
      </c>
      <c r="E83" s="171">
        <f t="shared" si="8"/>
        <v>117726550</v>
      </c>
    </row>
    <row r="84" spans="1:5" ht="16.5" thickTop="1" thickBot="1">
      <c r="D84" s="124"/>
    </row>
    <row r="85" spans="1:5" ht="15.75" thickTop="1">
      <c r="B85" s="76">
        <f>B74-B83</f>
        <v>-13409500</v>
      </c>
      <c r="C85" s="76">
        <f t="shared" ref="C85:E85" si="9">C74-C83</f>
        <v>-18079975</v>
      </c>
      <c r="D85" s="76">
        <f t="shared" si="9"/>
        <v>-22983973.75</v>
      </c>
      <c r="E85" s="76">
        <f t="shared" si="9"/>
        <v>-32278048.75</v>
      </c>
    </row>
  </sheetData>
  <mergeCells count="8">
    <mergeCell ref="A58:D58"/>
    <mergeCell ref="A59:D59"/>
    <mergeCell ref="A1:E1"/>
    <mergeCell ref="A2:E2"/>
    <mergeCell ref="A3:E3"/>
    <mergeCell ref="A6:E6"/>
    <mergeCell ref="A19:E19"/>
    <mergeCell ref="A32:E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8A1F-49C6-4983-90C4-84FEB3B088E9}">
  <dimension ref="A1:F85"/>
  <sheetViews>
    <sheetView tabSelected="1" topLeftCell="A70" workbookViewId="0">
      <selection activeCell="B81" sqref="B81"/>
    </sheetView>
  </sheetViews>
  <sheetFormatPr defaultColWidth="10" defaultRowHeight="15"/>
  <cols>
    <col min="1" max="1" width="38.85546875" style="76" bestFit="1" customWidth="1"/>
    <col min="2" max="2" width="14.42578125" style="76" customWidth="1"/>
    <col min="3" max="3" width="15.85546875" style="76" customWidth="1"/>
    <col min="4" max="5" width="15.42578125" style="76" customWidth="1"/>
    <col min="6" max="6" width="15.5703125" style="76" customWidth="1"/>
    <col min="7" max="256" width="10" style="76"/>
    <col min="257" max="257" width="38.85546875" style="76" bestFit="1" customWidth="1"/>
    <col min="258" max="261" width="12.7109375" style="76" customWidth="1"/>
    <col min="262" max="512" width="10" style="76"/>
    <col min="513" max="513" width="38.85546875" style="76" bestFit="1" customWidth="1"/>
    <col min="514" max="517" width="12.7109375" style="76" customWidth="1"/>
    <col min="518" max="768" width="10" style="76"/>
    <col min="769" max="769" width="38.85546875" style="76" bestFit="1" customWidth="1"/>
    <col min="770" max="773" width="12.7109375" style="76" customWidth="1"/>
    <col min="774" max="1024" width="10" style="76"/>
    <col min="1025" max="1025" width="38.85546875" style="76" bestFit="1" customWidth="1"/>
    <col min="1026" max="1029" width="12.7109375" style="76" customWidth="1"/>
    <col min="1030" max="1280" width="10" style="76"/>
    <col min="1281" max="1281" width="38.85546875" style="76" bestFit="1" customWidth="1"/>
    <col min="1282" max="1285" width="12.7109375" style="76" customWidth="1"/>
    <col min="1286" max="1536" width="10" style="76"/>
    <col min="1537" max="1537" width="38.85546875" style="76" bestFit="1" customWidth="1"/>
    <col min="1538" max="1541" width="12.7109375" style="76" customWidth="1"/>
    <col min="1542" max="1792" width="10" style="76"/>
    <col min="1793" max="1793" width="38.85546875" style="76" bestFit="1" customWidth="1"/>
    <col min="1794" max="1797" width="12.7109375" style="76" customWidth="1"/>
    <col min="1798" max="2048" width="10" style="76"/>
    <col min="2049" max="2049" width="38.85546875" style="76" bestFit="1" customWidth="1"/>
    <col min="2050" max="2053" width="12.7109375" style="76" customWidth="1"/>
    <col min="2054" max="2304" width="10" style="76"/>
    <col min="2305" max="2305" width="38.85546875" style="76" bestFit="1" customWidth="1"/>
    <col min="2306" max="2309" width="12.7109375" style="76" customWidth="1"/>
    <col min="2310" max="2560" width="10" style="76"/>
    <col min="2561" max="2561" width="38.85546875" style="76" bestFit="1" customWidth="1"/>
    <col min="2562" max="2565" width="12.7109375" style="76" customWidth="1"/>
    <col min="2566" max="2816" width="10" style="76"/>
    <col min="2817" max="2817" width="38.85546875" style="76" bestFit="1" customWidth="1"/>
    <col min="2818" max="2821" width="12.7109375" style="76" customWidth="1"/>
    <col min="2822" max="3072" width="10" style="76"/>
    <col min="3073" max="3073" width="38.85546875" style="76" bestFit="1" customWidth="1"/>
    <col min="3074" max="3077" width="12.7109375" style="76" customWidth="1"/>
    <col min="3078" max="3328" width="10" style="76"/>
    <col min="3329" max="3329" width="38.85546875" style="76" bestFit="1" customWidth="1"/>
    <col min="3330" max="3333" width="12.7109375" style="76" customWidth="1"/>
    <col min="3334" max="3584" width="10" style="76"/>
    <col min="3585" max="3585" width="38.85546875" style="76" bestFit="1" customWidth="1"/>
    <col min="3586" max="3589" width="12.7109375" style="76" customWidth="1"/>
    <col min="3590" max="3840" width="10" style="76"/>
    <col min="3841" max="3841" width="38.85546875" style="76" bestFit="1" customWidth="1"/>
    <col min="3842" max="3845" width="12.7109375" style="76" customWidth="1"/>
    <col min="3846" max="4096" width="10" style="76"/>
    <col min="4097" max="4097" width="38.85546875" style="76" bestFit="1" customWidth="1"/>
    <col min="4098" max="4101" width="12.7109375" style="76" customWidth="1"/>
    <col min="4102" max="4352" width="10" style="76"/>
    <col min="4353" max="4353" width="38.85546875" style="76" bestFit="1" customWidth="1"/>
    <col min="4354" max="4357" width="12.7109375" style="76" customWidth="1"/>
    <col min="4358" max="4608" width="10" style="76"/>
    <col min="4609" max="4609" width="38.85546875" style="76" bestFit="1" customWidth="1"/>
    <col min="4610" max="4613" width="12.7109375" style="76" customWidth="1"/>
    <col min="4614" max="4864" width="10" style="76"/>
    <col min="4865" max="4865" width="38.85546875" style="76" bestFit="1" customWidth="1"/>
    <col min="4866" max="4869" width="12.7109375" style="76" customWidth="1"/>
    <col min="4870" max="5120" width="10" style="76"/>
    <col min="5121" max="5121" width="38.85546875" style="76" bestFit="1" customWidth="1"/>
    <col min="5122" max="5125" width="12.7109375" style="76" customWidth="1"/>
    <col min="5126" max="5376" width="10" style="76"/>
    <col min="5377" max="5377" width="38.85546875" style="76" bestFit="1" customWidth="1"/>
    <col min="5378" max="5381" width="12.7109375" style="76" customWidth="1"/>
    <col min="5382" max="5632" width="10" style="76"/>
    <col min="5633" max="5633" width="38.85546875" style="76" bestFit="1" customWidth="1"/>
    <col min="5634" max="5637" width="12.7109375" style="76" customWidth="1"/>
    <col min="5638" max="5888" width="10" style="76"/>
    <col min="5889" max="5889" width="38.85546875" style="76" bestFit="1" customWidth="1"/>
    <col min="5890" max="5893" width="12.7109375" style="76" customWidth="1"/>
    <col min="5894" max="6144" width="10" style="76"/>
    <col min="6145" max="6145" width="38.85546875" style="76" bestFit="1" customWidth="1"/>
    <col min="6146" max="6149" width="12.7109375" style="76" customWidth="1"/>
    <col min="6150" max="6400" width="10" style="76"/>
    <col min="6401" max="6401" width="38.85546875" style="76" bestFit="1" customWidth="1"/>
    <col min="6402" max="6405" width="12.7109375" style="76" customWidth="1"/>
    <col min="6406" max="6656" width="10" style="76"/>
    <col min="6657" max="6657" width="38.85546875" style="76" bestFit="1" customWidth="1"/>
    <col min="6658" max="6661" width="12.7109375" style="76" customWidth="1"/>
    <col min="6662" max="6912" width="10" style="76"/>
    <col min="6913" max="6913" width="38.85546875" style="76" bestFit="1" customWidth="1"/>
    <col min="6914" max="6917" width="12.7109375" style="76" customWidth="1"/>
    <col min="6918" max="7168" width="10" style="76"/>
    <col min="7169" max="7169" width="38.85546875" style="76" bestFit="1" customWidth="1"/>
    <col min="7170" max="7173" width="12.7109375" style="76" customWidth="1"/>
    <col min="7174" max="7424" width="10" style="76"/>
    <col min="7425" max="7425" width="38.85546875" style="76" bestFit="1" customWidth="1"/>
    <col min="7426" max="7429" width="12.7109375" style="76" customWidth="1"/>
    <col min="7430" max="7680" width="10" style="76"/>
    <col min="7681" max="7681" width="38.85546875" style="76" bestFit="1" customWidth="1"/>
    <col min="7682" max="7685" width="12.7109375" style="76" customWidth="1"/>
    <col min="7686" max="7936" width="10" style="76"/>
    <col min="7937" max="7937" width="38.85546875" style="76" bestFit="1" customWidth="1"/>
    <col min="7938" max="7941" width="12.7109375" style="76" customWidth="1"/>
    <col min="7942" max="8192" width="10" style="76"/>
    <col min="8193" max="8193" width="38.85546875" style="76" bestFit="1" customWidth="1"/>
    <col min="8194" max="8197" width="12.7109375" style="76" customWidth="1"/>
    <col min="8198" max="8448" width="10" style="76"/>
    <col min="8449" max="8449" width="38.85546875" style="76" bestFit="1" customWidth="1"/>
    <col min="8450" max="8453" width="12.7109375" style="76" customWidth="1"/>
    <col min="8454" max="8704" width="10" style="76"/>
    <col min="8705" max="8705" width="38.85546875" style="76" bestFit="1" customWidth="1"/>
    <col min="8706" max="8709" width="12.7109375" style="76" customWidth="1"/>
    <col min="8710" max="8960" width="10" style="76"/>
    <col min="8961" max="8961" width="38.85546875" style="76" bestFit="1" customWidth="1"/>
    <col min="8962" max="8965" width="12.7109375" style="76" customWidth="1"/>
    <col min="8966" max="9216" width="10" style="76"/>
    <col min="9217" max="9217" width="38.85546875" style="76" bestFit="1" customWidth="1"/>
    <col min="9218" max="9221" width="12.7109375" style="76" customWidth="1"/>
    <col min="9222" max="9472" width="10" style="76"/>
    <col min="9473" max="9473" width="38.85546875" style="76" bestFit="1" customWidth="1"/>
    <col min="9474" max="9477" width="12.7109375" style="76" customWidth="1"/>
    <col min="9478" max="9728" width="10" style="76"/>
    <col min="9729" max="9729" width="38.85546875" style="76" bestFit="1" customWidth="1"/>
    <col min="9730" max="9733" width="12.7109375" style="76" customWidth="1"/>
    <col min="9734" max="9984" width="10" style="76"/>
    <col min="9985" max="9985" width="38.85546875" style="76" bestFit="1" customWidth="1"/>
    <col min="9986" max="9989" width="12.7109375" style="76" customWidth="1"/>
    <col min="9990" max="10240" width="10" style="76"/>
    <col min="10241" max="10241" width="38.85546875" style="76" bestFit="1" customWidth="1"/>
    <col min="10242" max="10245" width="12.7109375" style="76" customWidth="1"/>
    <col min="10246" max="10496" width="10" style="76"/>
    <col min="10497" max="10497" width="38.85546875" style="76" bestFit="1" customWidth="1"/>
    <col min="10498" max="10501" width="12.7109375" style="76" customWidth="1"/>
    <col min="10502" max="10752" width="10" style="76"/>
    <col min="10753" max="10753" width="38.85546875" style="76" bestFit="1" customWidth="1"/>
    <col min="10754" max="10757" width="12.7109375" style="76" customWidth="1"/>
    <col min="10758" max="11008" width="10" style="76"/>
    <col min="11009" max="11009" width="38.85546875" style="76" bestFit="1" customWidth="1"/>
    <col min="11010" max="11013" width="12.7109375" style="76" customWidth="1"/>
    <col min="11014" max="11264" width="10" style="76"/>
    <col min="11265" max="11265" width="38.85546875" style="76" bestFit="1" customWidth="1"/>
    <col min="11266" max="11269" width="12.7109375" style="76" customWidth="1"/>
    <col min="11270" max="11520" width="10" style="76"/>
    <col min="11521" max="11521" width="38.85546875" style="76" bestFit="1" customWidth="1"/>
    <col min="11522" max="11525" width="12.7109375" style="76" customWidth="1"/>
    <col min="11526" max="11776" width="10" style="76"/>
    <col min="11777" max="11777" width="38.85546875" style="76" bestFit="1" customWidth="1"/>
    <col min="11778" max="11781" width="12.7109375" style="76" customWidth="1"/>
    <col min="11782" max="12032" width="10" style="76"/>
    <col min="12033" max="12033" width="38.85546875" style="76" bestFit="1" customWidth="1"/>
    <col min="12034" max="12037" width="12.7109375" style="76" customWidth="1"/>
    <col min="12038" max="12288" width="10" style="76"/>
    <col min="12289" max="12289" width="38.85546875" style="76" bestFit="1" customWidth="1"/>
    <col min="12290" max="12293" width="12.7109375" style="76" customWidth="1"/>
    <col min="12294" max="12544" width="10" style="76"/>
    <col min="12545" max="12545" width="38.85546875" style="76" bestFit="1" customWidth="1"/>
    <col min="12546" max="12549" width="12.7109375" style="76" customWidth="1"/>
    <col min="12550" max="12800" width="10" style="76"/>
    <col min="12801" max="12801" width="38.85546875" style="76" bestFit="1" customWidth="1"/>
    <col min="12802" max="12805" width="12.7109375" style="76" customWidth="1"/>
    <col min="12806" max="13056" width="10" style="76"/>
    <col min="13057" max="13057" width="38.85546875" style="76" bestFit="1" customWidth="1"/>
    <col min="13058" max="13061" width="12.7109375" style="76" customWidth="1"/>
    <col min="13062" max="13312" width="10" style="76"/>
    <col min="13313" max="13313" width="38.85546875" style="76" bestFit="1" customWidth="1"/>
    <col min="13314" max="13317" width="12.7109375" style="76" customWidth="1"/>
    <col min="13318" max="13568" width="10" style="76"/>
    <col min="13569" max="13569" width="38.85546875" style="76" bestFit="1" customWidth="1"/>
    <col min="13570" max="13573" width="12.7109375" style="76" customWidth="1"/>
    <col min="13574" max="13824" width="10" style="76"/>
    <col min="13825" max="13825" width="38.85546875" style="76" bestFit="1" customWidth="1"/>
    <col min="13826" max="13829" width="12.7109375" style="76" customWidth="1"/>
    <col min="13830" max="14080" width="10" style="76"/>
    <col min="14081" max="14081" width="38.85546875" style="76" bestFit="1" customWidth="1"/>
    <col min="14082" max="14085" width="12.7109375" style="76" customWidth="1"/>
    <col min="14086" max="14336" width="10" style="76"/>
    <col min="14337" max="14337" width="38.85546875" style="76" bestFit="1" customWidth="1"/>
    <col min="14338" max="14341" width="12.7109375" style="76" customWidth="1"/>
    <col min="14342" max="14592" width="10" style="76"/>
    <col min="14593" max="14593" width="38.85546875" style="76" bestFit="1" customWidth="1"/>
    <col min="14594" max="14597" width="12.7109375" style="76" customWidth="1"/>
    <col min="14598" max="14848" width="10" style="76"/>
    <col min="14849" max="14849" width="38.85546875" style="76" bestFit="1" customWidth="1"/>
    <col min="14850" max="14853" width="12.7109375" style="76" customWidth="1"/>
    <col min="14854" max="15104" width="10" style="76"/>
    <col min="15105" max="15105" width="38.85546875" style="76" bestFit="1" customWidth="1"/>
    <col min="15106" max="15109" width="12.7109375" style="76" customWidth="1"/>
    <col min="15110" max="15360" width="10" style="76"/>
    <col min="15361" max="15361" width="38.85546875" style="76" bestFit="1" customWidth="1"/>
    <col min="15362" max="15365" width="12.7109375" style="76" customWidth="1"/>
    <col min="15366" max="15616" width="10" style="76"/>
    <col min="15617" max="15617" width="38.85546875" style="76" bestFit="1" customWidth="1"/>
    <col min="15618" max="15621" width="12.7109375" style="76" customWidth="1"/>
    <col min="15622" max="15872" width="10" style="76"/>
    <col min="15873" max="15873" width="38.85546875" style="76" bestFit="1" customWidth="1"/>
    <col min="15874" max="15877" width="12.7109375" style="76" customWidth="1"/>
    <col min="15878" max="16128" width="10" style="76"/>
    <col min="16129" max="16129" width="38.85546875" style="76" bestFit="1" customWidth="1"/>
    <col min="16130" max="16133" width="12.7109375" style="76" customWidth="1"/>
    <col min="16134" max="16384" width="10" style="76"/>
  </cols>
  <sheetData>
    <row r="1" spans="1:6" ht="23.25" hidden="1">
      <c r="A1" s="186"/>
      <c r="B1" s="186"/>
      <c r="C1" s="186"/>
      <c r="D1" s="186"/>
      <c r="E1" s="186"/>
    </row>
    <row r="2" spans="1:6" ht="18" hidden="1">
      <c r="A2" s="176" t="s">
        <v>172</v>
      </c>
      <c r="B2" s="176"/>
      <c r="C2" s="176"/>
      <c r="D2" s="176"/>
      <c r="E2" s="176"/>
      <c r="F2" s="102"/>
    </row>
    <row r="3" spans="1:6" hidden="1">
      <c r="A3" s="177"/>
      <c r="B3" s="177"/>
      <c r="C3" s="177"/>
      <c r="D3" s="177"/>
      <c r="E3" s="177"/>
    </row>
    <row r="4" spans="1:6" hidden="1"/>
    <row r="5" spans="1:6" hidden="1"/>
    <row r="6" spans="1:6" ht="18" hidden="1">
      <c r="A6" s="176" t="s">
        <v>173</v>
      </c>
      <c r="B6" s="176"/>
      <c r="C6" s="176"/>
      <c r="D6" s="176"/>
      <c r="E6" s="176"/>
    </row>
    <row r="7" spans="1:6" hidden="1"/>
    <row r="8" spans="1:6" ht="15.75" hidden="1" thickBot="1">
      <c r="B8" s="109" t="s">
        <v>114</v>
      </c>
      <c r="C8" s="109" t="s">
        <v>115</v>
      </c>
      <c r="D8" s="109" t="s">
        <v>116</v>
      </c>
      <c r="E8" s="109" t="s">
        <v>117</v>
      </c>
      <c r="F8" s="76" t="s">
        <v>328</v>
      </c>
    </row>
    <row r="9" spans="1:6" hidden="1"/>
    <row r="10" spans="1:6" hidden="1">
      <c r="A10" s="76" t="s">
        <v>174</v>
      </c>
      <c r="B10" s="79">
        <v>0</v>
      </c>
      <c r="C10" s="79"/>
      <c r="D10" s="79"/>
      <c r="E10" s="79"/>
    </row>
    <row r="11" spans="1:6" hidden="1">
      <c r="A11" s="76" t="s">
        <v>175</v>
      </c>
      <c r="B11" s="79">
        <f>'Income Statement'!B6*40%</f>
        <v>10760000</v>
      </c>
      <c r="C11" s="79">
        <f>'Income Statement'!B6*60%</f>
        <v>16140000</v>
      </c>
      <c r="D11" s="79"/>
      <c r="E11" s="79"/>
    </row>
    <row r="12" spans="1:6" hidden="1">
      <c r="A12" s="76" t="s">
        <v>176</v>
      </c>
      <c r="B12" s="79"/>
      <c r="C12" s="79">
        <f>'Income Statement'!C6*40%</f>
        <v>11298000</v>
      </c>
      <c r="D12" s="79">
        <f>'Income Statement'!C6*60%</f>
        <v>16947000</v>
      </c>
      <c r="E12" s="79"/>
    </row>
    <row r="13" spans="1:6" hidden="1">
      <c r="A13" s="76" t="s">
        <v>177</v>
      </c>
      <c r="B13" s="79"/>
      <c r="C13" s="79"/>
      <c r="D13" s="79">
        <f>'Income Statement'!D6*40%</f>
        <v>11862900</v>
      </c>
      <c r="E13" s="76">
        <f>'Income Statement'!D6*60%</f>
        <v>17794350</v>
      </c>
    </row>
    <row r="14" spans="1:6" hidden="1">
      <c r="A14" s="76" t="s">
        <v>178</v>
      </c>
      <c r="B14" s="79"/>
      <c r="C14" s="79"/>
      <c r="D14" s="79"/>
      <c r="E14" s="108">
        <f>'Income Statement'!E6*40%</f>
        <v>12456045</v>
      </c>
      <c r="F14" s="76">
        <f>'Income Statement'!E6*60%</f>
        <v>18684067.5</v>
      </c>
    </row>
    <row r="15" spans="1:6" hidden="1">
      <c r="B15" s="79"/>
      <c r="C15" s="79"/>
      <c r="D15" s="79"/>
      <c r="E15" s="79"/>
    </row>
    <row r="16" spans="1:6" ht="15.75" hidden="1" thickBot="1">
      <c r="A16" s="76" t="s">
        <v>179</v>
      </c>
      <c r="B16" s="232">
        <f>SUM(B10:B15)</f>
        <v>10760000</v>
      </c>
      <c r="C16" s="232">
        <f t="shared" ref="C16:F16" si="0">SUM(C10:C15)</f>
        <v>27438000</v>
      </c>
      <c r="D16" s="232">
        <f t="shared" si="0"/>
        <v>28809900</v>
      </c>
      <c r="E16" s="232">
        <f t="shared" si="0"/>
        <v>30250395</v>
      </c>
      <c r="F16" s="167">
        <f t="shared" si="0"/>
        <v>18684067.5</v>
      </c>
    </row>
    <row r="17" spans="1:6" hidden="1"/>
    <row r="18" spans="1:6" hidden="1"/>
    <row r="19" spans="1:6" ht="18" hidden="1">
      <c r="A19" s="176" t="s">
        <v>180</v>
      </c>
      <c r="B19" s="176"/>
      <c r="C19" s="176"/>
      <c r="D19" s="176"/>
      <c r="E19" s="176"/>
    </row>
    <row r="20" spans="1:6" hidden="1"/>
    <row r="21" spans="1:6" ht="15.75" hidden="1" thickBot="1">
      <c r="B21" s="109" t="s">
        <v>114</v>
      </c>
      <c r="C21" s="109" t="s">
        <v>115</v>
      </c>
      <c r="D21" s="109" t="s">
        <v>116</v>
      </c>
      <c r="E21" s="109" t="s">
        <v>117</v>
      </c>
    </row>
    <row r="22" spans="1:6" hidden="1"/>
    <row r="23" spans="1:6" hidden="1">
      <c r="A23" s="76" t="s">
        <v>181</v>
      </c>
      <c r="B23" s="79"/>
    </row>
    <row r="24" spans="1:6" hidden="1">
      <c r="A24" s="76" t="s">
        <v>175</v>
      </c>
      <c r="B24" s="76">
        <f>'Income Statement'!B7*70%</f>
        <v>-7349999.9999999991</v>
      </c>
      <c r="C24" s="79">
        <f>'Income Statement'!B7*30%</f>
        <v>-3150000</v>
      </c>
    </row>
    <row r="25" spans="1:6" hidden="1">
      <c r="A25" s="76" t="s">
        <v>176</v>
      </c>
      <c r="C25" s="76">
        <f>'Income Statement'!C7*70%</f>
        <v>-7717499.9999999991</v>
      </c>
      <c r="D25" s="76">
        <f>'Income Statement'!C7*30%</f>
        <v>-3307500</v>
      </c>
    </row>
    <row r="26" spans="1:6" hidden="1">
      <c r="A26" s="76" t="s">
        <v>177</v>
      </c>
      <c r="D26" s="79">
        <f>'Income Statement'!D7*70%</f>
        <v>-8103374.9999999991</v>
      </c>
      <c r="E26" s="197">
        <f>'Income Statement'!D7*30%</f>
        <v>-3472875</v>
      </c>
    </row>
    <row r="27" spans="1:6" hidden="1">
      <c r="A27" s="76" t="s">
        <v>178</v>
      </c>
      <c r="E27" s="76">
        <f>'Income Statement'!E7*70%</f>
        <v>-8508543.75</v>
      </c>
      <c r="F27" s="76">
        <f>'Income Statement'!E7*30%</f>
        <v>-3646518.75</v>
      </c>
    </row>
    <row r="28" spans="1:6" hidden="1"/>
    <row r="29" spans="1:6" ht="15.75" hidden="1" thickBot="1">
      <c r="A29" s="76" t="s">
        <v>182</v>
      </c>
      <c r="B29" s="167">
        <f>SUM(B23:B28)</f>
        <v>-7349999.9999999991</v>
      </c>
      <c r="C29" s="167">
        <f t="shared" ref="C29:E29" si="1">SUM(C23:C28)</f>
        <v>-10867500</v>
      </c>
      <c r="D29" s="167">
        <f t="shared" si="1"/>
        <v>-11410875</v>
      </c>
      <c r="E29" s="167">
        <f t="shared" si="1"/>
        <v>-11981418.75</v>
      </c>
      <c r="F29" s="167">
        <f>SUM(F23:F28)</f>
        <v>-3646518.75</v>
      </c>
    </row>
    <row r="30" spans="1:6" hidden="1"/>
    <row r="31" spans="1:6" hidden="1"/>
    <row r="32" spans="1:6" ht="18" hidden="1">
      <c r="A32" s="176" t="s">
        <v>183</v>
      </c>
      <c r="B32" s="176"/>
      <c r="C32" s="176"/>
      <c r="D32" s="176"/>
      <c r="E32" s="176"/>
    </row>
    <row r="33" spans="1:5" hidden="1"/>
    <row r="34" spans="1:5" ht="15.75" hidden="1" thickBot="1">
      <c r="B34" s="109" t="s">
        <v>114</v>
      </c>
      <c r="C34" s="109" t="s">
        <v>115</v>
      </c>
      <c r="D34" s="109" t="s">
        <v>116</v>
      </c>
      <c r="E34" s="109" t="s">
        <v>117</v>
      </c>
    </row>
    <row r="35" spans="1:5" hidden="1"/>
    <row r="36" spans="1:5" hidden="1">
      <c r="A36" s="111" t="s">
        <v>184</v>
      </c>
      <c r="B36" s="111"/>
      <c r="C36" s="79">
        <f>B55</f>
        <v>3410000.0000000009</v>
      </c>
      <c r="D36" s="79">
        <f>C55</f>
        <v>19980500</v>
      </c>
      <c r="E36" s="79">
        <f>D55</f>
        <v>37379525</v>
      </c>
    </row>
    <row r="37" spans="1:5" hidden="1"/>
    <row r="38" spans="1:5" hidden="1">
      <c r="A38" s="76" t="s">
        <v>185</v>
      </c>
    </row>
    <row r="39" spans="1:5" hidden="1">
      <c r="A39" s="85" t="s">
        <v>186</v>
      </c>
      <c r="B39" s="76">
        <f>B16</f>
        <v>10760000</v>
      </c>
      <c r="C39" s="76">
        <f>C16</f>
        <v>27438000</v>
      </c>
      <c r="D39" s="76">
        <f>D16</f>
        <v>28809900</v>
      </c>
      <c r="E39" s="76">
        <f>E16</f>
        <v>30250395</v>
      </c>
    </row>
    <row r="40" spans="1:5" hidden="1">
      <c r="A40" s="85" t="s">
        <v>187</v>
      </c>
    </row>
    <row r="41" spans="1:5" hidden="1"/>
    <row r="42" spans="1:5" hidden="1">
      <c r="A42" s="106" t="s">
        <v>188</v>
      </c>
      <c r="B42" s="121">
        <f>SUM(B36:B41)</f>
        <v>10760000</v>
      </c>
      <c r="C42" s="121">
        <f t="shared" ref="C42:E42" si="2">SUM(C36:C41)</f>
        <v>30848000</v>
      </c>
      <c r="D42" s="121">
        <f>SUM(D36:D41)</f>
        <v>48790400</v>
      </c>
      <c r="E42" s="121">
        <f t="shared" si="2"/>
        <v>67629920</v>
      </c>
    </row>
    <row r="43" spans="1:5" hidden="1">
      <c r="A43" s="76" t="s">
        <v>189</v>
      </c>
      <c r="B43" s="121"/>
      <c r="C43" s="121"/>
      <c r="D43" s="121"/>
      <c r="E43" s="121"/>
    </row>
    <row r="44" spans="1:5" hidden="1"/>
    <row r="45" spans="1:5" hidden="1">
      <c r="A45" s="76" t="s">
        <v>190</v>
      </c>
    </row>
    <row r="46" spans="1:5" hidden="1">
      <c r="A46" s="85" t="s">
        <v>191</v>
      </c>
      <c r="B46" s="76">
        <f>B29</f>
        <v>-7349999.9999999991</v>
      </c>
      <c r="C46" s="76">
        <f>C29</f>
        <v>-10867500</v>
      </c>
      <c r="D46" s="76">
        <f>D29</f>
        <v>-11410875</v>
      </c>
      <c r="E46" s="76">
        <f>E29</f>
        <v>-11981418.75</v>
      </c>
    </row>
    <row r="47" spans="1:5" hidden="1">
      <c r="A47" s="85" t="s">
        <v>160</v>
      </c>
    </row>
    <row r="48" spans="1:5" hidden="1">
      <c r="A48" s="85" t="s">
        <v>161</v>
      </c>
    </row>
    <row r="49" spans="1:5" hidden="1">
      <c r="A49" s="85" t="s">
        <v>167</v>
      </c>
    </row>
    <row r="50" spans="1:5" hidden="1">
      <c r="A50" s="85" t="s">
        <v>192</v>
      </c>
    </row>
    <row r="51" spans="1:5" hidden="1">
      <c r="A51" s="85" t="s">
        <v>193</v>
      </c>
    </row>
    <row r="52" spans="1:5" hidden="1">
      <c r="A52" s="85" t="s">
        <v>170</v>
      </c>
    </row>
    <row r="53" spans="1:5" hidden="1">
      <c r="A53" s="85"/>
    </row>
    <row r="54" spans="1:5" hidden="1">
      <c r="A54" s="106" t="s">
        <v>194</v>
      </c>
      <c r="B54" s="121">
        <f>SUM(B46:B53)</f>
        <v>-7349999.9999999991</v>
      </c>
      <c r="C54" s="121">
        <f t="shared" ref="C54:E54" si="3">SUM(C46:C53)</f>
        <v>-10867500</v>
      </c>
      <c r="D54" s="121">
        <f t="shared" si="3"/>
        <v>-11410875</v>
      </c>
      <c r="E54" s="121">
        <f t="shared" si="3"/>
        <v>-11981418.75</v>
      </c>
    </row>
    <row r="55" spans="1:5" ht="15.75" hidden="1" thickBot="1">
      <c r="A55" s="76" t="s">
        <v>195</v>
      </c>
      <c r="B55" s="113">
        <f>B42+B54</f>
        <v>3410000.0000000009</v>
      </c>
      <c r="C55" s="113">
        <f t="shared" ref="C55" si="4">C42+C54</f>
        <v>19980500</v>
      </c>
      <c r="D55" s="113">
        <f>D42+D54</f>
        <v>37379525</v>
      </c>
      <c r="E55" s="113">
        <f>E42+E54</f>
        <v>55648501.25</v>
      </c>
    </row>
    <row r="56" spans="1:5" hidden="1"/>
    <row r="58" spans="1:5" ht="18">
      <c r="A58" s="176" t="s">
        <v>196</v>
      </c>
      <c r="B58" s="176"/>
      <c r="C58" s="176"/>
      <c r="D58" s="176"/>
      <c r="E58" s="102"/>
    </row>
    <row r="59" spans="1:5">
      <c r="A59" s="185">
        <v>38352</v>
      </c>
      <c r="B59" s="185"/>
      <c r="C59" s="185"/>
      <c r="D59" s="185"/>
    </row>
    <row r="60" spans="1:5">
      <c r="B60" s="81"/>
    </row>
    <row r="61" spans="1:5" ht="15.75" thickBot="1">
      <c r="B61" s="109" t="s">
        <v>114</v>
      </c>
      <c r="C61" s="109" t="s">
        <v>115</v>
      </c>
      <c r="D61" s="109" t="s">
        <v>116</v>
      </c>
      <c r="E61" s="109" t="s">
        <v>117</v>
      </c>
    </row>
    <row r="62" spans="1:5" s="236" customFormat="1">
      <c r="A62" s="235" t="s">
        <v>197</v>
      </c>
    </row>
    <row r="63" spans="1:5" s="236" customFormat="1">
      <c r="A63" s="235" t="s">
        <v>330</v>
      </c>
    </row>
    <row r="64" spans="1:5" s="236" customFormat="1">
      <c r="A64" s="235" t="s">
        <v>331</v>
      </c>
      <c r="B64" s="236">
        <f>Input!B80+Input!B81+Input!B82+Input!B83</f>
        <v>38000000</v>
      </c>
      <c r="C64" s="236">
        <f>B67</f>
        <v>37600000</v>
      </c>
      <c r="D64" s="236">
        <f>C67</f>
        <v>37200000</v>
      </c>
      <c r="E64" s="236">
        <f>Input!B80+Input!B82+D67</f>
        <v>66800000</v>
      </c>
    </row>
    <row r="65" spans="1:5" s="236" customFormat="1">
      <c r="A65" s="235"/>
      <c r="B65" s="237">
        <f t="shared" ref="B65:E65" si="5">SUM(B64)</f>
        <v>38000000</v>
      </c>
      <c r="C65" s="237">
        <f t="shared" si="5"/>
        <v>37600000</v>
      </c>
      <c r="D65" s="237">
        <f t="shared" si="5"/>
        <v>37200000</v>
      </c>
      <c r="E65" s="237">
        <f t="shared" si="5"/>
        <v>66800000</v>
      </c>
    </row>
    <row r="66" spans="1:5" s="236" customFormat="1">
      <c r="A66" s="238" t="s">
        <v>203</v>
      </c>
      <c r="B66" s="236">
        <f>'Income Statement'!B12</f>
        <v>-400000</v>
      </c>
      <c r="C66" s="236">
        <f>'Income Statement'!C12</f>
        <v>-400000</v>
      </c>
      <c r="D66" s="236">
        <f>'Income Statement'!D12</f>
        <v>-400000</v>
      </c>
      <c r="E66" s="236">
        <f>'Income Statement'!E12</f>
        <v>-400000</v>
      </c>
    </row>
    <row r="67" spans="1:5" s="236" customFormat="1">
      <c r="A67" s="239" t="s">
        <v>332</v>
      </c>
      <c r="B67" s="240">
        <f>SUM(B65:B66)</f>
        <v>37600000</v>
      </c>
      <c r="C67" s="240">
        <f t="shared" ref="C67:E67" si="6">SUM(C65:C66)</f>
        <v>37200000</v>
      </c>
      <c r="D67" s="240">
        <f t="shared" si="6"/>
        <v>36800000</v>
      </c>
      <c r="E67" s="240">
        <f t="shared" si="6"/>
        <v>66400000</v>
      </c>
    </row>
    <row r="68" spans="1:5" s="236" customFormat="1">
      <c r="A68" s="238"/>
    </row>
    <row r="69" spans="1:5" s="236" customFormat="1">
      <c r="A69" s="235" t="s">
        <v>329</v>
      </c>
    </row>
    <row r="70" spans="1:5" s="236" customFormat="1">
      <c r="A70" s="238" t="s">
        <v>198</v>
      </c>
      <c r="B70" s="236">
        <f>'CASH BUDGET'!B55</f>
        <v>3410000.0000000009</v>
      </c>
      <c r="C70" s="236">
        <f>'CASH BUDGET'!C55</f>
        <v>19980500</v>
      </c>
      <c r="D70" s="236">
        <f>'CASH BUDGET'!D55</f>
        <v>37379525</v>
      </c>
      <c r="E70" s="236">
        <f>'CASH BUDGET'!E55</f>
        <v>55648501.25</v>
      </c>
    </row>
    <row r="71" spans="1:5" s="236" customFormat="1">
      <c r="A71" s="238" t="s">
        <v>199</v>
      </c>
      <c r="B71" s="236">
        <f>'CASH BUDGET'!C11</f>
        <v>16140000</v>
      </c>
      <c r="C71" s="236">
        <f>'CASH BUDGET'!D12</f>
        <v>16947000</v>
      </c>
      <c r="D71" s="236">
        <f>'CASH BUDGET'!E13</f>
        <v>17794350</v>
      </c>
      <c r="E71" s="236">
        <f>'CASH BUDGET'!F14</f>
        <v>18684067.5</v>
      </c>
    </row>
    <row r="72" spans="1:5" s="236" customFormat="1">
      <c r="A72" s="238" t="s">
        <v>200</v>
      </c>
    </row>
    <row r="73" spans="1:5" s="236" customFormat="1"/>
    <row r="74" spans="1:5" s="243" customFormat="1" ht="15.75" thickBot="1">
      <c r="A74" s="241" t="s">
        <v>204</v>
      </c>
      <c r="B74" s="242">
        <f>SUM(B67:B73)</f>
        <v>57150000</v>
      </c>
      <c r="C74" s="242">
        <f>SUM(C67:C73)</f>
        <v>74127500</v>
      </c>
      <c r="D74" s="242">
        <f t="shared" ref="C74:E74" si="7">SUM(D67:D73)</f>
        <v>91973875</v>
      </c>
      <c r="E74" s="242">
        <f t="shared" si="7"/>
        <v>140732568.75</v>
      </c>
    </row>
    <row r="75" spans="1:5" s="236" customFormat="1"/>
    <row r="76" spans="1:5" s="236" customFormat="1">
      <c r="A76" s="235" t="s">
        <v>205</v>
      </c>
    </row>
    <row r="77" spans="1:5" s="236" customFormat="1">
      <c r="A77" s="238" t="s">
        <v>206</v>
      </c>
      <c r="B77" s="236">
        <f>-'CASH BUDGET'!C24</f>
        <v>3150000</v>
      </c>
      <c r="C77" s="236">
        <f>-'CASH BUDGET'!D25</f>
        <v>3307500</v>
      </c>
      <c r="D77" s="244">
        <f>-'CASH BUDGET'!E26</f>
        <v>3472875</v>
      </c>
      <c r="E77" s="236">
        <f>-'CASH BUDGET'!F27</f>
        <v>3646518.75</v>
      </c>
    </row>
    <row r="78" spans="1:5" s="236" customFormat="1">
      <c r="A78" s="238" t="s">
        <v>207</v>
      </c>
    </row>
    <row r="79" spans="1:5" s="236" customFormat="1">
      <c r="A79" s="238" t="s">
        <v>208</v>
      </c>
    </row>
    <row r="80" spans="1:5" s="236" customFormat="1">
      <c r="A80" s="238" t="s">
        <v>333</v>
      </c>
      <c r="B80" s="236">
        <f>'Income Statement'!B16</f>
        <v>560000.0000000007</v>
      </c>
      <c r="C80" s="236">
        <f>'Income Statement'!C16</f>
        <v>1134000.0000000007</v>
      </c>
      <c r="D80" s="236">
        <f>'Income Statement'!D16</f>
        <v>1736700.0000000007</v>
      </c>
      <c r="E80" s="236">
        <f>'Income Statement'!E16</f>
        <v>2369535.0000000009</v>
      </c>
    </row>
    <row r="81" spans="1:5" s="236" customFormat="1">
      <c r="A81" s="238" t="s">
        <v>209</v>
      </c>
      <c r="B81" s="236">
        <f>54770000-1330000</f>
        <v>53440000</v>
      </c>
      <c r="C81" s="236">
        <v>37476000</v>
      </c>
      <c r="D81" s="236">
        <v>59217300</v>
      </c>
      <c r="E81" s="236">
        <v>112045665</v>
      </c>
    </row>
    <row r="82" spans="1:5">
      <c r="A82" s="85"/>
    </row>
    <row r="83" spans="1:5" ht="15.75" thickBot="1">
      <c r="A83" s="106" t="s">
        <v>210</v>
      </c>
      <c r="B83" s="171">
        <f>SUM(B77:B82)</f>
        <v>57150000</v>
      </c>
      <c r="C83" s="171">
        <f t="shared" ref="C83:E83" si="8">SUM(C77:C82)</f>
        <v>41917500</v>
      </c>
      <c r="D83" s="171">
        <f t="shared" si="8"/>
        <v>64426875</v>
      </c>
      <c r="E83" s="171">
        <f t="shared" si="8"/>
        <v>118061718.75</v>
      </c>
    </row>
    <row r="84" spans="1:5" ht="16.5" thickTop="1" thickBot="1">
      <c r="D84" s="124"/>
    </row>
    <row r="85" spans="1:5" ht="15.75" thickTop="1">
      <c r="B85" s="76">
        <f>B74-B83</f>
        <v>0</v>
      </c>
      <c r="C85" s="76">
        <f t="shared" ref="C85:E85" si="9">C74-C83</f>
        <v>32210000</v>
      </c>
      <c r="D85" s="76">
        <f t="shared" si="9"/>
        <v>27547000</v>
      </c>
      <c r="E85" s="76">
        <f t="shared" si="9"/>
        <v>22670850</v>
      </c>
    </row>
  </sheetData>
  <mergeCells count="8">
    <mergeCell ref="A19:E19"/>
    <mergeCell ref="A32:E32"/>
    <mergeCell ref="A58:D58"/>
    <mergeCell ref="A59:D59"/>
    <mergeCell ref="A1:E1"/>
    <mergeCell ref="A2:E2"/>
    <mergeCell ref="A3:E3"/>
    <mergeCell ref="A6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31"/>
  <sheetViews>
    <sheetView workbookViewId="0">
      <selection activeCell="K38" sqref="K38"/>
    </sheetView>
  </sheetViews>
  <sheetFormatPr defaultColWidth="10" defaultRowHeight="15"/>
  <cols>
    <col min="1" max="1" width="4.7109375" customWidth="1"/>
  </cols>
  <sheetData>
    <row r="3" spans="2:4" ht="26.25">
      <c r="D3" s="65" t="s">
        <v>89</v>
      </c>
    </row>
    <row r="5" spans="2:4">
      <c r="C5" t="s">
        <v>90</v>
      </c>
    </row>
    <row r="7" spans="2:4" ht="18.75">
      <c r="C7" s="66" t="s">
        <v>26</v>
      </c>
    </row>
    <row r="8" spans="2:4">
      <c r="B8">
        <v>1</v>
      </c>
      <c r="C8" s="67" t="s">
        <v>91</v>
      </c>
    </row>
    <row r="9" spans="2:4">
      <c r="B9">
        <f>B8+1</f>
        <v>2</v>
      </c>
      <c r="C9" t="s">
        <v>92</v>
      </c>
    </row>
    <row r="10" spans="2:4">
      <c r="B10">
        <f t="shared" ref="B10:B12" si="0">B9+1</f>
        <v>3</v>
      </c>
      <c r="C10" t="s">
        <v>93</v>
      </c>
    </row>
    <row r="11" spans="2:4">
      <c r="B11">
        <f t="shared" si="0"/>
        <v>4</v>
      </c>
      <c r="C11" t="s">
        <v>94</v>
      </c>
    </row>
    <row r="12" spans="2:4">
      <c r="B12">
        <f t="shared" si="0"/>
        <v>5</v>
      </c>
      <c r="C12" t="s">
        <v>95</v>
      </c>
    </row>
    <row r="14" spans="2:4" ht="18.75">
      <c r="C14" s="66" t="s">
        <v>96</v>
      </c>
    </row>
    <row r="15" spans="2:4">
      <c r="B15">
        <f>B12+1</f>
        <v>6</v>
      </c>
      <c r="C15" t="s">
        <v>97</v>
      </c>
    </row>
    <row r="16" spans="2:4">
      <c r="B16">
        <f>B15+1</f>
        <v>7</v>
      </c>
      <c r="C16" s="68" t="s">
        <v>98</v>
      </c>
    </row>
    <row r="17" spans="2:22">
      <c r="B17">
        <f t="shared" ref="B17:B19" si="1">B16+1</f>
        <v>8</v>
      </c>
      <c r="C17" s="67" t="s">
        <v>99</v>
      </c>
    </row>
    <row r="18" spans="2:22">
      <c r="B18">
        <f t="shared" si="1"/>
        <v>9</v>
      </c>
      <c r="C18" s="67" t="s">
        <v>100</v>
      </c>
    </row>
    <row r="19" spans="2:22">
      <c r="B19">
        <f t="shared" si="1"/>
        <v>10</v>
      </c>
      <c r="C19" s="69" t="s">
        <v>101</v>
      </c>
    </row>
    <row r="20" spans="2:22">
      <c r="B20">
        <f>B19+1</f>
        <v>11</v>
      </c>
      <c r="C20" s="70" t="s">
        <v>102</v>
      </c>
    </row>
    <row r="21" spans="2:22">
      <c r="C21" s="70"/>
    </row>
    <row r="22" spans="2:22">
      <c r="C22" s="70"/>
    </row>
    <row r="23" spans="2:22">
      <c r="B23">
        <f>B20+1</f>
        <v>12</v>
      </c>
      <c r="C23" s="71" t="s">
        <v>103</v>
      </c>
    </row>
    <row r="24" spans="2:22">
      <c r="B24">
        <f>B23+1</f>
        <v>13</v>
      </c>
      <c r="C24" s="72" t="s">
        <v>104</v>
      </c>
    </row>
    <row r="25" spans="2:22">
      <c r="C25" s="73"/>
    </row>
    <row r="26" spans="2:22">
      <c r="C26" s="72" t="s">
        <v>105</v>
      </c>
    </row>
    <row r="29" spans="2:22">
      <c r="B29" s="74" t="s">
        <v>106</v>
      </c>
      <c r="C29" s="72" t="s">
        <v>107</v>
      </c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3"/>
      <c r="Q29" s="73"/>
      <c r="R29" s="73"/>
      <c r="S29" s="73"/>
      <c r="T29" s="73"/>
      <c r="U29" s="73"/>
      <c r="V29" s="73"/>
    </row>
    <row r="30" spans="2:22">
      <c r="B30" s="74"/>
      <c r="C30" s="72" t="s">
        <v>108</v>
      </c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3"/>
      <c r="Q30" s="73"/>
      <c r="R30" s="73"/>
      <c r="S30" s="73"/>
      <c r="T30" s="73"/>
      <c r="U30" s="73"/>
      <c r="V30" s="73"/>
    </row>
    <row r="31" spans="2:22">
      <c r="B31" s="74" t="s">
        <v>106</v>
      </c>
      <c r="C31" s="72" t="s">
        <v>109</v>
      </c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3"/>
      <c r="Q31" s="73"/>
      <c r="R31" s="73"/>
      <c r="S31" s="73"/>
      <c r="T31" s="73"/>
      <c r="U31" s="73"/>
      <c r="V31" s="7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2"/>
  <sheetViews>
    <sheetView topLeftCell="A136" workbookViewId="0">
      <selection activeCell="C155" sqref="C155"/>
    </sheetView>
  </sheetViews>
  <sheetFormatPr defaultColWidth="10" defaultRowHeight="15"/>
  <cols>
    <col min="1" max="1" width="43.42578125" style="107" bestFit="1" customWidth="1"/>
    <col min="2" max="2" width="13.85546875" style="76" customWidth="1"/>
    <col min="3" max="3" width="14.42578125" style="76" customWidth="1"/>
    <col min="4" max="4" width="14" style="76" customWidth="1"/>
    <col min="5" max="5" width="16.42578125" style="76" customWidth="1"/>
    <col min="6" max="6" width="16.5703125" style="76" customWidth="1"/>
    <col min="7" max="7" width="11.42578125" style="79" customWidth="1"/>
    <col min="8" max="8" width="16.7109375" style="108" customWidth="1"/>
    <col min="9" max="9" width="11.42578125" style="108" customWidth="1"/>
    <col min="10" max="11" width="14.28515625" style="108" bestFit="1" customWidth="1"/>
    <col min="12" max="12" width="15.28515625" style="108" bestFit="1" customWidth="1"/>
    <col min="13" max="252" width="9.140625" style="76"/>
    <col min="253" max="253" width="43.42578125" style="76" bestFit="1" customWidth="1"/>
    <col min="254" max="257" width="12.7109375" style="76" customWidth="1"/>
    <col min="258" max="259" width="0" style="76" hidden="1" customWidth="1"/>
    <col min="260" max="260" width="12.7109375" style="76" customWidth="1"/>
    <col min="261" max="508" width="9.140625" style="76"/>
    <col min="509" max="509" width="43.42578125" style="76" bestFit="1" customWidth="1"/>
    <col min="510" max="513" width="12.7109375" style="76" customWidth="1"/>
    <col min="514" max="515" width="0" style="76" hidden="1" customWidth="1"/>
    <col min="516" max="516" width="12.7109375" style="76" customWidth="1"/>
    <col min="517" max="764" width="9.140625" style="76"/>
    <col min="765" max="765" width="43.42578125" style="76" bestFit="1" customWidth="1"/>
    <col min="766" max="769" width="12.7109375" style="76" customWidth="1"/>
    <col min="770" max="771" width="0" style="76" hidden="1" customWidth="1"/>
    <col min="772" max="772" width="12.7109375" style="76" customWidth="1"/>
    <col min="773" max="1020" width="9.140625" style="76"/>
    <col min="1021" max="1021" width="43.42578125" style="76" bestFit="1" customWidth="1"/>
    <col min="1022" max="1025" width="12.7109375" style="76" customWidth="1"/>
    <col min="1026" max="1027" width="0" style="76" hidden="1" customWidth="1"/>
    <col min="1028" max="1028" width="12.7109375" style="76" customWidth="1"/>
    <col min="1029" max="1276" width="9.140625" style="76"/>
    <col min="1277" max="1277" width="43.42578125" style="76" bestFit="1" customWidth="1"/>
    <col min="1278" max="1281" width="12.7109375" style="76" customWidth="1"/>
    <col min="1282" max="1283" width="0" style="76" hidden="1" customWidth="1"/>
    <col min="1284" max="1284" width="12.7109375" style="76" customWidth="1"/>
    <col min="1285" max="1532" width="9.140625" style="76"/>
    <col min="1533" max="1533" width="43.42578125" style="76" bestFit="1" customWidth="1"/>
    <col min="1534" max="1537" width="12.7109375" style="76" customWidth="1"/>
    <col min="1538" max="1539" width="0" style="76" hidden="1" customWidth="1"/>
    <col min="1540" max="1540" width="12.7109375" style="76" customWidth="1"/>
    <col min="1541" max="1788" width="9.140625" style="76"/>
    <col min="1789" max="1789" width="43.42578125" style="76" bestFit="1" customWidth="1"/>
    <col min="1790" max="1793" width="12.7109375" style="76" customWidth="1"/>
    <col min="1794" max="1795" width="0" style="76" hidden="1" customWidth="1"/>
    <col min="1796" max="1796" width="12.7109375" style="76" customWidth="1"/>
    <col min="1797" max="2044" width="9.140625" style="76"/>
    <col min="2045" max="2045" width="43.42578125" style="76" bestFit="1" customWidth="1"/>
    <col min="2046" max="2049" width="12.7109375" style="76" customWidth="1"/>
    <col min="2050" max="2051" width="0" style="76" hidden="1" customWidth="1"/>
    <col min="2052" max="2052" width="12.7109375" style="76" customWidth="1"/>
    <col min="2053" max="2300" width="9.140625" style="76"/>
    <col min="2301" max="2301" width="43.42578125" style="76" bestFit="1" customWidth="1"/>
    <col min="2302" max="2305" width="12.7109375" style="76" customWidth="1"/>
    <col min="2306" max="2307" width="0" style="76" hidden="1" customWidth="1"/>
    <col min="2308" max="2308" width="12.7109375" style="76" customWidth="1"/>
    <col min="2309" max="2556" width="9.140625" style="76"/>
    <col min="2557" max="2557" width="43.42578125" style="76" bestFit="1" customWidth="1"/>
    <col min="2558" max="2561" width="12.7109375" style="76" customWidth="1"/>
    <col min="2562" max="2563" width="0" style="76" hidden="1" customWidth="1"/>
    <col min="2564" max="2564" width="12.7109375" style="76" customWidth="1"/>
    <col min="2565" max="2812" width="9.140625" style="76"/>
    <col min="2813" max="2813" width="43.42578125" style="76" bestFit="1" customWidth="1"/>
    <col min="2814" max="2817" width="12.7109375" style="76" customWidth="1"/>
    <col min="2818" max="2819" width="0" style="76" hidden="1" customWidth="1"/>
    <col min="2820" max="2820" width="12.7109375" style="76" customWidth="1"/>
    <col min="2821" max="3068" width="9.140625" style="76"/>
    <col min="3069" max="3069" width="43.42578125" style="76" bestFit="1" customWidth="1"/>
    <col min="3070" max="3073" width="12.7109375" style="76" customWidth="1"/>
    <col min="3074" max="3075" width="0" style="76" hidden="1" customWidth="1"/>
    <col min="3076" max="3076" width="12.7109375" style="76" customWidth="1"/>
    <col min="3077" max="3324" width="9.140625" style="76"/>
    <col min="3325" max="3325" width="43.42578125" style="76" bestFit="1" customWidth="1"/>
    <col min="3326" max="3329" width="12.7109375" style="76" customWidth="1"/>
    <col min="3330" max="3331" width="0" style="76" hidden="1" customWidth="1"/>
    <col min="3332" max="3332" width="12.7109375" style="76" customWidth="1"/>
    <col min="3333" max="3580" width="9.140625" style="76"/>
    <col min="3581" max="3581" width="43.42578125" style="76" bestFit="1" customWidth="1"/>
    <col min="3582" max="3585" width="12.7109375" style="76" customWidth="1"/>
    <col min="3586" max="3587" width="0" style="76" hidden="1" customWidth="1"/>
    <col min="3588" max="3588" width="12.7109375" style="76" customWidth="1"/>
    <col min="3589" max="3836" width="9.140625" style="76"/>
    <col min="3837" max="3837" width="43.42578125" style="76" bestFit="1" customWidth="1"/>
    <col min="3838" max="3841" width="12.7109375" style="76" customWidth="1"/>
    <col min="3842" max="3843" width="0" style="76" hidden="1" customWidth="1"/>
    <col min="3844" max="3844" width="12.7109375" style="76" customWidth="1"/>
    <col min="3845" max="4092" width="9.140625" style="76"/>
    <col min="4093" max="4093" width="43.42578125" style="76" bestFit="1" customWidth="1"/>
    <col min="4094" max="4097" width="12.7109375" style="76" customWidth="1"/>
    <col min="4098" max="4099" width="0" style="76" hidden="1" customWidth="1"/>
    <col min="4100" max="4100" width="12.7109375" style="76" customWidth="1"/>
    <col min="4101" max="4348" width="9.140625" style="76"/>
    <col min="4349" max="4349" width="43.42578125" style="76" bestFit="1" customWidth="1"/>
    <col min="4350" max="4353" width="12.7109375" style="76" customWidth="1"/>
    <col min="4354" max="4355" width="0" style="76" hidden="1" customWidth="1"/>
    <col min="4356" max="4356" width="12.7109375" style="76" customWidth="1"/>
    <col min="4357" max="4604" width="9.140625" style="76"/>
    <col min="4605" max="4605" width="43.42578125" style="76" bestFit="1" customWidth="1"/>
    <col min="4606" max="4609" width="12.7109375" style="76" customWidth="1"/>
    <col min="4610" max="4611" width="0" style="76" hidden="1" customWidth="1"/>
    <col min="4612" max="4612" width="12.7109375" style="76" customWidth="1"/>
    <col min="4613" max="4860" width="9.140625" style="76"/>
    <col min="4861" max="4861" width="43.42578125" style="76" bestFit="1" customWidth="1"/>
    <col min="4862" max="4865" width="12.7109375" style="76" customWidth="1"/>
    <col min="4866" max="4867" width="0" style="76" hidden="1" customWidth="1"/>
    <col min="4868" max="4868" width="12.7109375" style="76" customWidth="1"/>
    <col min="4869" max="5116" width="9.140625" style="76"/>
    <col min="5117" max="5117" width="43.42578125" style="76" bestFit="1" customWidth="1"/>
    <col min="5118" max="5121" width="12.7109375" style="76" customWidth="1"/>
    <col min="5122" max="5123" width="0" style="76" hidden="1" customWidth="1"/>
    <col min="5124" max="5124" width="12.7109375" style="76" customWidth="1"/>
    <col min="5125" max="5372" width="9.140625" style="76"/>
    <col min="5373" max="5373" width="43.42578125" style="76" bestFit="1" customWidth="1"/>
    <col min="5374" max="5377" width="12.7109375" style="76" customWidth="1"/>
    <col min="5378" max="5379" width="0" style="76" hidden="1" customWidth="1"/>
    <col min="5380" max="5380" width="12.7109375" style="76" customWidth="1"/>
    <col min="5381" max="5628" width="9.140625" style="76"/>
    <col min="5629" max="5629" width="43.42578125" style="76" bestFit="1" customWidth="1"/>
    <col min="5630" max="5633" width="12.7109375" style="76" customWidth="1"/>
    <col min="5634" max="5635" width="0" style="76" hidden="1" customWidth="1"/>
    <col min="5636" max="5636" width="12.7109375" style="76" customWidth="1"/>
    <col min="5637" max="5884" width="9.140625" style="76"/>
    <col min="5885" max="5885" width="43.42578125" style="76" bestFit="1" customWidth="1"/>
    <col min="5886" max="5889" width="12.7109375" style="76" customWidth="1"/>
    <col min="5890" max="5891" width="0" style="76" hidden="1" customWidth="1"/>
    <col min="5892" max="5892" width="12.7109375" style="76" customWidth="1"/>
    <col min="5893" max="6140" width="9.140625" style="76"/>
    <col min="6141" max="6141" width="43.42578125" style="76" bestFit="1" customWidth="1"/>
    <col min="6142" max="6145" width="12.7109375" style="76" customWidth="1"/>
    <col min="6146" max="6147" width="0" style="76" hidden="1" customWidth="1"/>
    <col min="6148" max="6148" width="12.7109375" style="76" customWidth="1"/>
    <col min="6149" max="6396" width="9.140625" style="76"/>
    <col min="6397" max="6397" width="43.42578125" style="76" bestFit="1" customWidth="1"/>
    <col min="6398" max="6401" width="12.7109375" style="76" customWidth="1"/>
    <col min="6402" max="6403" width="0" style="76" hidden="1" customWidth="1"/>
    <col min="6404" max="6404" width="12.7109375" style="76" customWidth="1"/>
    <col min="6405" max="6652" width="9.140625" style="76"/>
    <col min="6653" max="6653" width="43.42578125" style="76" bestFit="1" customWidth="1"/>
    <col min="6654" max="6657" width="12.7109375" style="76" customWidth="1"/>
    <col min="6658" max="6659" width="0" style="76" hidden="1" customWidth="1"/>
    <col min="6660" max="6660" width="12.7109375" style="76" customWidth="1"/>
    <col min="6661" max="6908" width="9.140625" style="76"/>
    <col min="6909" max="6909" width="43.42578125" style="76" bestFit="1" customWidth="1"/>
    <col min="6910" max="6913" width="12.7109375" style="76" customWidth="1"/>
    <col min="6914" max="6915" width="0" style="76" hidden="1" customWidth="1"/>
    <col min="6916" max="6916" width="12.7109375" style="76" customWidth="1"/>
    <col min="6917" max="7164" width="9.140625" style="76"/>
    <col min="7165" max="7165" width="43.42578125" style="76" bestFit="1" customWidth="1"/>
    <col min="7166" max="7169" width="12.7109375" style="76" customWidth="1"/>
    <col min="7170" max="7171" width="0" style="76" hidden="1" customWidth="1"/>
    <col min="7172" max="7172" width="12.7109375" style="76" customWidth="1"/>
    <col min="7173" max="7420" width="9.140625" style="76"/>
    <col min="7421" max="7421" width="43.42578125" style="76" bestFit="1" customWidth="1"/>
    <col min="7422" max="7425" width="12.7109375" style="76" customWidth="1"/>
    <col min="7426" max="7427" width="0" style="76" hidden="1" customWidth="1"/>
    <col min="7428" max="7428" width="12.7109375" style="76" customWidth="1"/>
    <col min="7429" max="7676" width="9.140625" style="76"/>
    <col min="7677" max="7677" width="43.42578125" style="76" bestFit="1" customWidth="1"/>
    <col min="7678" max="7681" width="12.7109375" style="76" customWidth="1"/>
    <col min="7682" max="7683" width="0" style="76" hidden="1" customWidth="1"/>
    <col min="7684" max="7684" width="12.7109375" style="76" customWidth="1"/>
    <col min="7685" max="7932" width="9.140625" style="76"/>
    <col min="7933" max="7933" width="43.42578125" style="76" bestFit="1" customWidth="1"/>
    <col min="7934" max="7937" width="12.7109375" style="76" customWidth="1"/>
    <col min="7938" max="7939" width="0" style="76" hidden="1" customWidth="1"/>
    <col min="7940" max="7940" width="12.7109375" style="76" customWidth="1"/>
    <col min="7941" max="8188" width="9.140625" style="76"/>
    <col min="8189" max="8189" width="43.42578125" style="76" bestFit="1" customWidth="1"/>
    <col min="8190" max="8193" width="12.7109375" style="76" customWidth="1"/>
    <col min="8194" max="8195" width="0" style="76" hidden="1" customWidth="1"/>
    <col min="8196" max="8196" width="12.7109375" style="76" customWidth="1"/>
    <col min="8197" max="8444" width="9.140625" style="76"/>
    <col min="8445" max="8445" width="43.42578125" style="76" bestFit="1" customWidth="1"/>
    <col min="8446" max="8449" width="12.7109375" style="76" customWidth="1"/>
    <col min="8450" max="8451" width="0" style="76" hidden="1" customWidth="1"/>
    <col min="8452" max="8452" width="12.7109375" style="76" customWidth="1"/>
    <col min="8453" max="8700" width="9.140625" style="76"/>
    <col min="8701" max="8701" width="43.42578125" style="76" bestFit="1" customWidth="1"/>
    <col min="8702" max="8705" width="12.7109375" style="76" customWidth="1"/>
    <col min="8706" max="8707" width="0" style="76" hidden="1" customWidth="1"/>
    <col min="8708" max="8708" width="12.7109375" style="76" customWidth="1"/>
    <col min="8709" max="8956" width="9.140625" style="76"/>
    <col min="8957" max="8957" width="43.42578125" style="76" bestFit="1" customWidth="1"/>
    <col min="8958" max="8961" width="12.7109375" style="76" customWidth="1"/>
    <col min="8962" max="8963" width="0" style="76" hidden="1" customWidth="1"/>
    <col min="8964" max="8964" width="12.7109375" style="76" customWidth="1"/>
    <col min="8965" max="9212" width="9.140625" style="76"/>
    <col min="9213" max="9213" width="43.42578125" style="76" bestFit="1" customWidth="1"/>
    <col min="9214" max="9217" width="12.7109375" style="76" customWidth="1"/>
    <col min="9218" max="9219" width="0" style="76" hidden="1" customWidth="1"/>
    <col min="9220" max="9220" width="12.7109375" style="76" customWidth="1"/>
    <col min="9221" max="9468" width="9.140625" style="76"/>
    <col min="9469" max="9469" width="43.42578125" style="76" bestFit="1" customWidth="1"/>
    <col min="9470" max="9473" width="12.7109375" style="76" customWidth="1"/>
    <col min="9474" max="9475" width="0" style="76" hidden="1" customWidth="1"/>
    <col min="9476" max="9476" width="12.7109375" style="76" customWidth="1"/>
    <col min="9477" max="9724" width="9.140625" style="76"/>
    <col min="9725" max="9725" width="43.42578125" style="76" bestFit="1" customWidth="1"/>
    <col min="9726" max="9729" width="12.7109375" style="76" customWidth="1"/>
    <col min="9730" max="9731" width="0" style="76" hidden="1" customWidth="1"/>
    <col min="9732" max="9732" width="12.7109375" style="76" customWidth="1"/>
    <col min="9733" max="9980" width="9.140625" style="76"/>
    <col min="9981" max="9981" width="43.42578125" style="76" bestFit="1" customWidth="1"/>
    <col min="9982" max="9985" width="12.7109375" style="76" customWidth="1"/>
    <col min="9986" max="9987" width="0" style="76" hidden="1" customWidth="1"/>
    <col min="9988" max="9988" width="12.7109375" style="76" customWidth="1"/>
    <col min="9989" max="10236" width="9.140625" style="76"/>
    <col min="10237" max="10237" width="43.42578125" style="76" bestFit="1" customWidth="1"/>
    <col min="10238" max="10241" width="12.7109375" style="76" customWidth="1"/>
    <col min="10242" max="10243" width="0" style="76" hidden="1" customWidth="1"/>
    <col min="10244" max="10244" width="12.7109375" style="76" customWidth="1"/>
    <col min="10245" max="10492" width="9.140625" style="76"/>
    <col min="10493" max="10493" width="43.42578125" style="76" bestFit="1" customWidth="1"/>
    <col min="10494" max="10497" width="12.7109375" style="76" customWidth="1"/>
    <col min="10498" max="10499" width="0" style="76" hidden="1" customWidth="1"/>
    <col min="10500" max="10500" width="12.7109375" style="76" customWidth="1"/>
    <col min="10501" max="10748" width="9.140625" style="76"/>
    <col min="10749" max="10749" width="43.42578125" style="76" bestFit="1" customWidth="1"/>
    <col min="10750" max="10753" width="12.7109375" style="76" customWidth="1"/>
    <col min="10754" max="10755" width="0" style="76" hidden="1" customWidth="1"/>
    <col min="10756" max="10756" width="12.7109375" style="76" customWidth="1"/>
    <col min="10757" max="11004" width="9.140625" style="76"/>
    <col min="11005" max="11005" width="43.42578125" style="76" bestFit="1" customWidth="1"/>
    <col min="11006" max="11009" width="12.7109375" style="76" customWidth="1"/>
    <col min="11010" max="11011" width="0" style="76" hidden="1" customWidth="1"/>
    <col min="11012" max="11012" width="12.7109375" style="76" customWidth="1"/>
    <col min="11013" max="11260" width="9.140625" style="76"/>
    <col min="11261" max="11261" width="43.42578125" style="76" bestFit="1" customWidth="1"/>
    <col min="11262" max="11265" width="12.7109375" style="76" customWidth="1"/>
    <col min="11266" max="11267" width="0" style="76" hidden="1" customWidth="1"/>
    <col min="11268" max="11268" width="12.7109375" style="76" customWidth="1"/>
    <col min="11269" max="11516" width="9.140625" style="76"/>
    <col min="11517" max="11517" width="43.42578125" style="76" bestFit="1" customWidth="1"/>
    <col min="11518" max="11521" width="12.7109375" style="76" customWidth="1"/>
    <col min="11522" max="11523" width="0" style="76" hidden="1" customWidth="1"/>
    <col min="11524" max="11524" width="12.7109375" style="76" customWidth="1"/>
    <col min="11525" max="11772" width="9.140625" style="76"/>
    <col min="11773" max="11773" width="43.42578125" style="76" bestFit="1" customWidth="1"/>
    <col min="11774" max="11777" width="12.7109375" style="76" customWidth="1"/>
    <col min="11778" max="11779" width="0" style="76" hidden="1" customWidth="1"/>
    <col min="11780" max="11780" width="12.7109375" style="76" customWidth="1"/>
    <col min="11781" max="12028" width="9.140625" style="76"/>
    <col min="12029" max="12029" width="43.42578125" style="76" bestFit="1" customWidth="1"/>
    <col min="12030" max="12033" width="12.7109375" style="76" customWidth="1"/>
    <col min="12034" max="12035" width="0" style="76" hidden="1" customWidth="1"/>
    <col min="12036" max="12036" width="12.7109375" style="76" customWidth="1"/>
    <col min="12037" max="12284" width="9.140625" style="76"/>
    <col min="12285" max="12285" width="43.42578125" style="76" bestFit="1" customWidth="1"/>
    <col min="12286" max="12289" width="12.7109375" style="76" customWidth="1"/>
    <col min="12290" max="12291" width="0" style="76" hidden="1" customWidth="1"/>
    <col min="12292" max="12292" width="12.7109375" style="76" customWidth="1"/>
    <col min="12293" max="12540" width="9.140625" style="76"/>
    <col min="12541" max="12541" width="43.42578125" style="76" bestFit="1" customWidth="1"/>
    <col min="12542" max="12545" width="12.7109375" style="76" customWidth="1"/>
    <col min="12546" max="12547" width="0" style="76" hidden="1" customWidth="1"/>
    <col min="12548" max="12548" width="12.7109375" style="76" customWidth="1"/>
    <col min="12549" max="12796" width="9.140625" style="76"/>
    <col min="12797" max="12797" width="43.42578125" style="76" bestFit="1" customWidth="1"/>
    <col min="12798" max="12801" width="12.7109375" style="76" customWidth="1"/>
    <col min="12802" max="12803" width="0" style="76" hidden="1" customWidth="1"/>
    <col min="12804" max="12804" width="12.7109375" style="76" customWidth="1"/>
    <col min="12805" max="13052" width="9.140625" style="76"/>
    <col min="13053" max="13053" width="43.42578125" style="76" bestFit="1" customWidth="1"/>
    <col min="13054" max="13057" width="12.7109375" style="76" customWidth="1"/>
    <col min="13058" max="13059" width="0" style="76" hidden="1" customWidth="1"/>
    <col min="13060" max="13060" width="12.7109375" style="76" customWidth="1"/>
    <col min="13061" max="13308" width="9.140625" style="76"/>
    <col min="13309" max="13309" width="43.42578125" style="76" bestFit="1" customWidth="1"/>
    <col min="13310" max="13313" width="12.7109375" style="76" customWidth="1"/>
    <col min="13314" max="13315" width="0" style="76" hidden="1" customWidth="1"/>
    <col min="13316" max="13316" width="12.7109375" style="76" customWidth="1"/>
    <col min="13317" max="13564" width="9.140625" style="76"/>
    <col min="13565" max="13565" width="43.42578125" style="76" bestFit="1" customWidth="1"/>
    <col min="13566" max="13569" width="12.7109375" style="76" customWidth="1"/>
    <col min="13570" max="13571" width="0" style="76" hidden="1" customWidth="1"/>
    <col min="13572" max="13572" width="12.7109375" style="76" customWidth="1"/>
    <col min="13573" max="13820" width="9.140625" style="76"/>
    <col min="13821" max="13821" width="43.42578125" style="76" bestFit="1" customWidth="1"/>
    <col min="13822" max="13825" width="12.7109375" style="76" customWidth="1"/>
    <col min="13826" max="13827" width="0" style="76" hidden="1" customWidth="1"/>
    <col min="13828" max="13828" width="12.7109375" style="76" customWidth="1"/>
    <col min="13829" max="14076" width="9.140625" style="76"/>
    <col min="14077" max="14077" width="43.42578125" style="76" bestFit="1" customWidth="1"/>
    <col min="14078" max="14081" width="12.7109375" style="76" customWidth="1"/>
    <col min="14082" max="14083" width="0" style="76" hidden="1" customWidth="1"/>
    <col min="14084" max="14084" width="12.7109375" style="76" customWidth="1"/>
    <col min="14085" max="14332" width="9.140625" style="76"/>
    <col min="14333" max="14333" width="43.42578125" style="76" bestFit="1" customWidth="1"/>
    <col min="14334" max="14337" width="12.7109375" style="76" customWidth="1"/>
    <col min="14338" max="14339" width="0" style="76" hidden="1" customWidth="1"/>
    <col min="14340" max="14340" width="12.7109375" style="76" customWidth="1"/>
    <col min="14341" max="14588" width="9.140625" style="76"/>
    <col min="14589" max="14589" width="43.42578125" style="76" bestFit="1" customWidth="1"/>
    <col min="14590" max="14593" width="12.7109375" style="76" customWidth="1"/>
    <col min="14594" max="14595" width="0" style="76" hidden="1" customWidth="1"/>
    <col min="14596" max="14596" width="12.7109375" style="76" customWidth="1"/>
    <col min="14597" max="14844" width="9.140625" style="76"/>
    <col min="14845" max="14845" width="43.42578125" style="76" bestFit="1" customWidth="1"/>
    <col min="14846" max="14849" width="12.7109375" style="76" customWidth="1"/>
    <col min="14850" max="14851" width="0" style="76" hidden="1" customWidth="1"/>
    <col min="14852" max="14852" width="12.7109375" style="76" customWidth="1"/>
    <col min="14853" max="15100" width="9.140625" style="76"/>
    <col min="15101" max="15101" width="43.42578125" style="76" bestFit="1" customWidth="1"/>
    <col min="15102" max="15105" width="12.7109375" style="76" customWidth="1"/>
    <col min="15106" max="15107" width="0" style="76" hidden="1" customWidth="1"/>
    <col min="15108" max="15108" width="12.7109375" style="76" customWidth="1"/>
    <col min="15109" max="15356" width="9.140625" style="76"/>
    <col min="15357" max="15357" width="43.42578125" style="76" bestFit="1" customWidth="1"/>
    <col min="15358" max="15361" width="12.7109375" style="76" customWidth="1"/>
    <col min="15362" max="15363" width="0" style="76" hidden="1" customWidth="1"/>
    <col min="15364" max="15364" width="12.7109375" style="76" customWidth="1"/>
    <col min="15365" max="15612" width="9.140625" style="76"/>
    <col min="15613" max="15613" width="43.42578125" style="76" bestFit="1" customWidth="1"/>
    <col min="15614" max="15617" width="12.7109375" style="76" customWidth="1"/>
    <col min="15618" max="15619" width="0" style="76" hidden="1" customWidth="1"/>
    <col min="15620" max="15620" width="12.7109375" style="76" customWidth="1"/>
    <col min="15621" max="15868" width="9.140625" style="76"/>
    <col min="15869" max="15869" width="43.42578125" style="76" bestFit="1" customWidth="1"/>
    <col min="15870" max="15873" width="12.7109375" style="76" customWidth="1"/>
    <col min="15874" max="15875" width="0" style="76" hidden="1" customWidth="1"/>
    <col min="15876" max="15876" width="12.7109375" style="76" customWidth="1"/>
    <col min="15877" max="16124" width="9.140625" style="76"/>
    <col min="16125" max="16125" width="43.42578125" style="76" bestFit="1" customWidth="1"/>
    <col min="16126" max="16129" width="12.7109375" style="76" customWidth="1"/>
    <col min="16130" max="16131" width="0" style="76" hidden="1" customWidth="1"/>
    <col min="16132" max="16132" width="12.7109375" style="76" customWidth="1"/>
    <col min="16133" max="16384" width="9.140625" style="76"/>
  </cols>
  <sheetData>
    <row r="1" spans="1:12" ht="23.25">
      <c r="A1" s="182" t="s">
        <v>255</v>
      </c>
      <c r="B1" s="182"/>
      <c r="C1" s="182"/>
      <c r="D1" s="182"/>
      <c r="E1" s="182"/>
      <c r="F1" s="182"/>
    </row>
    <row r="2" spans="1:12" ht="18">
      <c r="A2" s="180" t="s">
        <v>111</v>
      </c>
      <c r="B2" s="180"/>
      <c r="C2" s="180"/>
      <c r="D2" s="180"/>
      <c r="E2" s="180"/>
      <c r="F2" s="180"/>
    </row>
    <row r="3" spans="1:12">
      <c r="A3" s="183" t="s">
        <v>112</v>
      </c>
      <c r="B3" s="183"/>
      <c r="C3" s="183"/>
      <c r="D3" s="183"/>
      <c r="E3" s="183"/>
      <c r="F3" s="183"/>
    </row>
    <row r="6" spans="1:12" ht="18">
      <c r="A6" s="180" t="s">
        <v>113</v>
      </c>
      <c r="B6" s="180"/>
      <c r="C6" s="180"/>
      <c r="D6" s="180"/>
      <c r="E6" s="180"/>
      <c r="F6" s="180"/>
    </row>
    <row r="8" spans="1:12">
      <c r="B8" s="109" t="s">
        <v>114</v>
      </c>
      <c r="C8" s="109" t="s">
        <v>115</v>
      </c>
      <c r="D8" s="109" t="s">
        <v>116</v>
      </c>
      <c r="E8" s="109" t="s">
        <v>117</v>
      </c>
      <c r="F8" s="109" t="s">
        <v>118</v>
      </c>
      <c r="H8" s="110" t="s">
        <v>114</v>
      </c>
      <c r="I8" s="110" t="s">
        <v>115</v>
      </c>
      <c r="J8" s="110" t="s">
        <v>116</v>
      </c>
      <c r="K8" s="110" t="s">
        <v>117</v>
      </c>
      <c r="L8" s="110" t="s">
        <v>118</v>
      </c>
    </row>
    <row r="10" spans="1:12">
      <c r="A10" s="107" t="s">
        <v>119</v>
      </c>
      <c r="B10" s="76">
        <f>'Operating Budget'!B6+'Operating Budget'!B7+'Operating Budget'!B8+'Operating Budget'!C6+'Operating Budget'!C7+'Operating Budget'!C8+'Operating Budget'!D6+'Operating Budget'!D7+'Operating Budget'!D8</f>
        <v>1550000</v>
      </c>
      <c r="C10" s="76">
        <f>'Operating Budget'!E6+'Operating Budget'!E7+'Operating Budget'!E8+'Operating Budget'!F6+'Operating Budget'!F7+'Operating Budget'!F8+'Operating Budget'!G6+'Operating Budget'!G7+'Operating Budget'!G8</f>
        <v>1627500</v>
      </c>
      <c r="D10" s="76">
        <f>'Operating Budget'!H6+'Operating Budget'!H7+'Operating Budget'!H8+'Operating Budget'!I6+'Operating Budget'!I7+'Operating Budget'!I8+'Operating Budget'!J6+'Operating Budget'!J7+'Operating Budget'!J8</f>
        <v>1708875</v>
      </c>
      <c r="E10" s="76">
        <f>'Operating Budget'!K6+'Operating Budget'!K7+'Operating Budget'!K8+'Operating Budget'!L6+'Operating Budget'!L7+'Operating Budget'!L8+'Operating Budget'!M6+'Operating Budget'!M7+'Operating Budget'!M8</f>
        <v>1794318.75</v>
      </c>
      <c r="F10" s="76">
        <f>SUM(B10:E10)</f>
        <v>6680693.75</v>
      </c>
    </row>
    <row r="11" spans="1:12" s="111" customFormat="1">
      <c r="A11" s="107" t="s">
        <v>120</v>
      </c>
      <c r="B11" s="79">
        <v>17.35483870967742</v>
      </c>
      <c r="C11" s="79">
        <v>17.35483870967742</v>
      </c>
      <c r="D11" s="79">
        <v>17.35483870967742</v>
      </c>
      <c r="E11" s="79">
        <v>17.35483870967742</v>
      </c>
      <c r="F11" s="76">
        <f>F13/F10</f>
        <v>17.35483870967742</v>
      </c>
      <c r="G11" s="79"/>
      <c r="H11" s="108"/>
      <c r="I11" s="108"/>
      <c r="J11" s="108"/>
      <c r="K11" s="108"/>
      <c r="L11" s="108"/>
    </row>
    <row r="13" spans="1:12" s="111" customFormat="1">
      <c r="A13" s="107" t="s">
        <v>121</v>
      </c>
      <c r="B13" s="112">
        <f>'Operating Budget'!B16+'Operating Budget'!C16+'Operating Budget'!D16</f>
        <v>26900000</v>
      </c>
      <c r="C13" s="112">
        <f>'Operating Budget'!E16+'Operating Budget'!F16+'Operating Budget'!G16</f>
        <v>28245000</v>
      </c>
      <c r="D13" s="112">
        <f>'Operating Budget'!H16+'Operating Budget'!I16+'Operating Budget'!J16</f>
        <v>29657250</v>
      </c>
      <c r="E13" s="112">
        <f>'Operating Budget'!K16+'Operating Budget'!L16+'Operating Budget'!M16</f>
        <v>31140112.5</v>
      </c>
      <c r="F13" s="113">
        <f>B13+C13+D13+E13</f>
        <v>115942362.5</v>
      </c>
      <c r="G13" s="79"/>
      <c r="H13" s="108">
        <v>26900000</v>
      </c>
      <c r="I13" s="108">
        <v>28245000</v>
      </c>
      <c r="J13" s="108">
        <v>29657250</v>
      </c>
      <c r="K13" s="108">
        <v>31140112.5</v>
      </c>
      <c r="L13" s="108">
        <v>115942362.5</v>
      </c>
    </row>
    <row r="20" spans="1:6" ht="18">
      <c r="A20" s="180" t="s">
        <v>122</v>
      </c>
      <c r="B20" s="180"/>
      <c r="C20" s="180"/>
      <c r="D20" s="180"/>
      <c r="E20" s="180"/>
      <c r="F20" s="180"/>
    </row>
    <row r="22" spans="1:6">
      <c r="B22" s="109" t="s">
        <v>114</v>
      </c>
      <c r="C22" s="109" t="s">
        <v>115</v>
      </c>
      <c r="D22" s="109" t="s">
        <v>116</v>
      </c>
      <c r="E22" s="109" t="s">
        <v>117</v>
      </c>
      <c r="F22" s="109" t="s">
        <v>118</v>
      </c>
    </row>
    <row r="24" spans="1:6">
      <c r="A24" s="107" t="str">
        <f>A10</f>
        <v>Expected unit sales</v>
      </c>
    </row>
    <row r="25" spans="1:6">
      <c r="A25" s="114" t="s">
        <v>123</v>
      </c>
      <c r="B25" s="115"/>
      <c r="C25" s="115"/>
      <c r="D25" s="115"/>
      <c r="E25" s="115"/>
      <c r="F25" s="115"/>
    </row>
    <row r="26" spans="1:6">
      <c r="A26" s="107" t="s">
        <v>124</v>
      </c>
    </row>
    <row r="27" spans="1:6">
      <c r="A27" s="76" t="s">
        <v>125</v>
      </c>
    </row>
    <row r="29" spans="1:6">
      <c r="A29" s="107" t="s">
        <v>126</v>
      </c>
      <c r="B29" s="113"/>
      <c r="C29" s="113"/>
      <c r="D29" s="113"/>
      <c r="E29" s="113"/>
      <c r="F29" s="113"/>
    </row>
    <row r="32" spans="1:6" ht="18">
      <c r="A32" s="180" t="s">
        <v>127</v>
      </c>
      <c r="B32" s="180"/>
      <c r="C32" s="180"/>
      <c r="D32" s="180"/>
      <c r="E32" s="180"/>
      <c r="F32" s="180"/>
    </row>
    <row r="34" spans="1:6">
      <c r="B34" s="109" t="s">
        <v>114</v>
      </c>
      <c r="C34" s="109" t="s">
        <v>115</v>
      </c>
      <c r="D34" s="109" t="s">
        <v>116</v>
      </c>
      <c r="E34" s="109" t="s">
        <v>117</v>
      </c>
      <c r="F34" s="109" t="s">
        <v>118</v>
      </c>
    </row>
    <row r="36" spans="1:6">
      <c r="A36" s="107" t="str">
        <f>A29</f>
        <v>Required unit production</v>
      </c>
    </row>
    <row r="37" spans="1:6">
      <c r="A37" s="107" t="s">
        <v>128</v>
      </c>
      <c r="B37" s="116"/>
      <c r="C37" s="116"/>
      <c r="D37" s="116"/>
      <c r="E37" s="116"/>
      <c r="F37" s="116"/>
    </row>
    <row r="38" spans="1:6">
      <c r="A38" s="107" t="s">
        <v>129</v>
      </c>
    </row>
    <row r="39" spans="1:6">
      <c r="A39" s="107" t="s">
        <v>130</v>
      </c>
      <c r="B39" s="115"/>
      <c r="C39" s="115"/>
      <c r="D39" s="115"/>
      <c r="E39" s="115"/>
      <c r="F39" s="115"/>
    </row>
    <row r="40" spans="1:6">
      <c r="A40" s="107" t="s">
        <v>131</v>
      </c>
    </row>
    <row r="41" spans="1:6">
      <c r="A41" s="107" t="s">
        <v>132</v>
      </c>
      <c r="B41" s="115"/>
      <c r="C41" s="115"/>
      <c r="D41" s="115"/>
      <c r="E41" s="115"/>
      <c r="F41" s="115"/>
    </row>
    <row r="42" spans="1:6">
      <c r="A42" s="107" t="s">
        <v>133</v>
      </c>
    </row>
    <row r="44" spans="1:6">
      <c r="A44" s="107" t="s">
        <v>134</v>
      </c>
      <c r="B44" s="117"/>
      <c r="C44" s="117"/>
      <c r="D44" s="117"/>
      <c r="E44" s="117"/>
      <c r="F44" s="117"/>
    </row>
    <row r="45" spans="1:6">
      <c r="A45" s="107" t="s">
        <v>135</v>
      </c>
      <c r="B45" s="118"/>
      <c r="C45" s="118"/>
      <c r="D45" s="118"/>
      <c r="E45" s="118"/>
      <c r="F45" s="118"/>
    </row>
    <row r="48" spans="1:6" ht="18">
      <c r="A48" s="180" t="s">
        <v>136</v>
      </c>
      <c r="B48" s="180"/>
      <c r="C48" s="180"/>
      <c r="D48" s="180"/>
      <c r="E48" s="180"/>
      <c r="F48" s="180"/>
    </row>
    <row r="50" spans="1:6">
      <c r="B50" s="109" t="s">
        <v>114</v>
      </c>
      <c r="C50" s="109" t="s">
        <v>115</v>
      </c>
      <c r="D50" s="109" t="s">
        <v>116</v>
      </c>
      <c r="E50" s="109" t="s">
        <v>117</v>
      </c>
      <c r="F50" s="109" t="s">
        <v>118</v>
      </c>
    </row>
    <row r="52" spans="1:6">
      <c r="A52" s="107" t="s">
        <v>137</v>
      </c>
    </row>
    <row r="53" spans="1:6">
      <c r="A53" s="107" t="s">
        <v>138</v>
      </c>
      <c r="B53" s="116"/>
      <c r="C53" s="116"/>
      <c r="D53" s="116"/>
      <c r="E53" s="116"/>
      <c r="F53" s="116"/>
    </row>
    <row r="54" spans="1:6">
      <c r="A54" s="107" t="s">
        <v>139</v>
      </c>
    </row>
    <row r="55" spans="1:6">
      <c r="A55" s="107" t="s">
        <v>140</v>
      </c>
      <c r="B55" s="117"/>
      <c r="C55" s="117"/>
      <c r="D55" s="117"/>
      <c r="E55" s="117"/>
      <c r="F55" s="117"/>
    </row>
    <row r="56" spans="1:6">
      <c r="A56" s="107" t="s">
        <v>141</v>
      </c>
      <c r="B56" s="118"/>
      <c r="C56" s="118"/>
      <c r="D56" s="118"/>
      <c r="E56" s="118"/>
      <c r="F56" s="118"/>
    </row>
    <row r="59" spans="1:6" ht="18">
      <c r="A59" s="180" t="s">
        <v>142</v>
      </c>
      <c r="B59" s="180"/>
      <c r="C59" s="180"/>
      <c r="D59" s="180"/>
      <c r="E59" s="180"/>
      <c r="F59" s="180"/>
    </row>
    <row r="61" spans="1:6">
      <c r="B61" s="109" t="s">
        <v>114</v>
      </c>
      <c r="C61" s="109" t="s">
        <v>115</v>
      </c>
      <c r="D61" s="109" t="s">
        <v>116</v>
      </c>
      <c r="E61" s="109" t="s">
        <v>117</v>
      </c>
      <c r="F61" s="109" t="s">
        <v>118</v>
      </c>
    </row>
    <row r="63" spans="1:6">
      <c r="A63" s="107" t="s">
        <v>143</v>
      </c>
    </row>
    <row r="64" spans="1:6">
      <c r="A64" s="119" t="str">
        <f>[2]Input!A29</f>
        <v>Indirect labor</v>
      </c>
      <c r="B64" s="111"/>
      <c r="C64" s="111"/>
      <c r="D64" s="111"/>
      <c r="E64" s="111"/>
      <c r="F64" s="111"/>
    </row>
    <row r="65" spans="1:6">
      <c r="A65" s="119" t="str">
        <f>[2]Input!A30</f>
        <v>Indirect materials</v>
      </c>
    </row>
    <row r="66" spans="1:6">
      <c r="A66" s="119" t="str">
        <f>[2]Input!A31</f>
        <v>Utilities</v>
      </c>
    </row>
    <row r="67" spans="1:6">
      <c r="A67" s="119" t="str">
        <f>[2]Input!A32</f>
        <v>Maintenance</v>
      </c>
    </row>
    <row r="68" spans="1:6">
      <c r="A68" s="119"/>
    </row>
    <row r="69" spans="1:6">
      <c r="A69" s="120" t="s">
        <v>144</v>
      </c>
      <c r="B69" s="121"/>
      <c r="C69" s="121"/>
      <c r="D69" s="121"/>
      <c r="E69" s="121"/>
      <c r="F69" s="121"/>
    </row>
    <row r="71" spans="1:6">
      <c r="A71" s="107" t="s">
        <v>145</v>
      </c>
    </row>
    <row r="72" spans="1:6">
      <c r="A72" s="119" t="str">
        <f>[2]Input!A33</f>
        <v>Supervisor salaries</v>
      </c>
    </row>
    <row r="73" spans="1:6">
      <c r="A73" s="119" t="str">
        <f>[2]Input!A34</f>
        <v>Rent</v>
      </c>
    </row>
    <row r="74" spans="1:6">
      <c r="A74" s="119" t="str">
        <f>[2]Input!A35</f>
        <v>Depreciation</v>
      </c>
    </row>
    <row r="75" spans="1:6">
      <c r="A75" s="119" t="str">
        <f>[2]Input!A36</f>
        <v>Insurance</v>
      </c>
    </row>
    <row r="77" spans="1:6">
      <c r="A77" s="107" t="s">
        <v>146</v>
      </c>
      <c r="B77" s="121"/>
      <c r="C77" s="121"/>
      <c r="D77" s="121"/>
      <c r="E77" s="121"/>
      <c r="F77" s="121"/>
    </row>
    <row r="78" spans="1:6">
      <c r="A78" s="107" t="s">
        <v>147</v>
      </c>
      <c r="B78" s="118"/>
      <c r="C78" s="118"/>
      <c r="D78" s="118"/>
      <c r="E78" s="118"/>
      <c r="F78" s="118"/>
    </row>
    <row r="80" spans="1:6">
      <c r="A80" s="107" t="s">
        <v>148</v>
      </c>
      <c r="B80" s="122"/>
      <c r="C80" s="122"/>
      <c r="D80" s="122"/>
      <c r="E80" s="122"/>
      <c r="F80" s="122"/>
    </row>
    <row r="82" spans="1:6">
      <c r="A82" s="107" t="s">
        <v>149</v>
      </c>
      <c r="F82" s="123"/>
    </row>
    <row r="85" spans="1:6" ht="18">
      <c r="A85" s="180" t="s">
        <v>150</v>
      </c>
      <c r="B85" s="180"/>
      <c r="C85" s="180"/>
      <c r="D85" s="180"/>
      <c r="E85" s="180"/>
      <c r="F85" s="180"/>
    </row>
    <row r="87" spans="1:6">
      <c r="B87" s="109" t="s">
        <v>114</v>
      </c>
      <c r="C87" s="109" t="s">
        <v>115</v>
      </c>
      <c r="D87" s="109" t="s">
        <v>116</v>
      </c>
      <c r="E87" s="109" t="s">
        <v>117</v>
      </c>
      <c r="F87" s="109" t="s">
        <v>118</v>
      </c>
    </row>
    <row r="89" spans="1:6">
      <c r="A89" s="107" t="s">
        <v>151</v>
      </c>
    </row>
    <row r="90" spans="1:6">
      <c r="A90" s="119" t="str">
        <f>[2]Input!A40</f>
        <v>Sales commissions</v>
      </c>
      <c r="B90" s="111"/>
      <c r="C90" s="111"/>
      <c r="D90" s="111"/>
      <c r="E90" s="111"/>
      <c r="F90" s="111"/>
    </row>
    <row r="91" spans="1:6">
      <c r="A91" s="119" t="str">
        <f>[2]Input!A41</f>
        <v>Delivery expenses</v>
      </c>
    </row>
    <row r="92" spans="1:6">
      <c r="A92" s="119"/>
    </row>
    <row r="93" spans="1:6">
      <c r="A93" s="120" t="s">
        <v>152</v>
      </c>
      <c r="B93" s="121"/>
      <c r="C93" s="121"/>
      <c r="D93" s="121"/>
      <c r="E93" s="121"/>
      <c r="F93" s="121"/>
    </row>
    <row r="95" spans="1:6">
      <c r="A95" s="107" t="s">
        <v>153</v>
      </c>
    </row>
    <row r="96" spans="1:6">
      <c r="A96" s="119" t="str">
        <f>[2]Input!A42</f>
        <v>Sales salaries</v>
      </c>
    </row>
    <row r="97" spans="1:6">
      <c r="A97" s="119" t="str">
        <f>[2]Input!A43</f>
        <v>Office salaries</v>
      </c>
    </row>
    <row r="98" spans="1:6">
      <c r="A98" s="119" t="str">
        <f>[2]Input!A44</f>
        <v>Advertising expense</v>
      </c>
    </row>
    <row r="99" spans="1:6">
      <c r="A99" s="119" t="str">
        <f>[2]Input!A45</f>
        <v>Depreciation expense</v>
      </c>
    </row>
    <row r="100" spans="1:6">
      <c r="A100" s="119" t="str">
        <f>[2]Input!A46</f>
        <v>Insurance</v>
      </c>
    </row>
    <row r="101" spans="1:6">
      <c r="A101" s="119" t="str">
        <f>[2]Input!A47</f>
        <v>Rent</v>
      </c>
    </row>
    <row r="102" spans="1:6">
      <c r="A102" s="119"/>
    </row>
    <row r="103" spans="1:6">
      <c r="A103" s="120" t="s">
        <v>154</v>
      </c>
      <c r="B103" s="121"/>
      <c r="C103" s="121"/>
      <c r="D103" s="121"/>
      <c r="E103" s="121"/>
      <c r="F103" s="121"/>
    </row>
    <row r="105" spans="1:6">
      <c r="A105" s="107" t="s">
        <v>155</v>
      </c>
      <c r="B105" s="124"/>
      <c r="C105" s="124"/>
      <c r="D105" s="124"/>
      <c r="E105" s="124"/>
      <c r="F105" s="124"/>
    </row>
    <row r="108" spans="1:6" ht="18">
      <c r="A108" s="180" t="s">
        <v>156</v>
      </c>
      <c r="B108" s="180"/>
      <c r="C108" s="180"/>
      <c r="D108" s="180"/>
      <c r="E108" s="180"/>
      <c r="F108" s="180"/>
    </row>
    <row r="110" spans="1:6">
      <c r="C110" s="181" t="s">
        <v>157</v>
      </c>
      <c r="D110" s="181"/>
      <c r="E110" s="125" t="s">
        <v>158</v>
      </c>
      <c r="F110" s="125" t="s">
        <v>3</v>
      </c>
    </row>
    <row r="111" spans="1:6">
      <c r="A111" s="107" t="s">
        <v>159</v>
      </c>
      <c r="C111" s="107"/>
      <c r="E111" s="117"/>
      <c r="F111" s="117"/>
    </row>
    <row r="112" spans="1:6">
      <c r="A112" s="107" t="s">
        <v>160</v>
      </c>
      <c r="C112" s="107"/>
      <c r="E112" s="117"/>
      <c r="F112" s="117"/>
    </row>
    <row r="113" spans="1:12">
      <c r="A113" s="107" t="s">
        <v>161</v>
      </c>
      <c r="C113" s="107"/>
      <c r="E113" s="117"/>
      <c r="F113" s="117"/>
    </row>
    <row r="115" spans="1:12">
      <c r="A115" s="119" t="s">
        <v>162</v>
      </c>
      <c r="F115" s="126"/>
    </row>
    <row r="118" spans="1:12" ht="18">
      <c r="A118" s="180" t="s">
        <v>163</v>
      </c>
      <c r="B118" s="180"/>
      <c r="C118" s="180"/>
      <c r="D118" s="180"/>
      <c r="E118" s="180"/>
      <c r="F118" s="180"/>
    </row>
    <row r="120" spans="1:12">
      <c r="B120" s="127" t="s">
        <v>114</v>
      </c>
      <c r="C120" s="127" t="s">
        <v>115</v>
      </c>
      <c r="D120" s="127" t="s">
        <v>116</v>
      </c>
      <c r="E120" s="127" t="s">
        <v>117</v>
      </c>
      <c r="F120" s="127" t="s">
        <v>118</v>
      </c>
      <c r="H120" s="128" t="s">
        <v>322</v>
      </c>
      <c r="I120" s="128" t="s">
        <v>325</v>
      </c>
    </row>
    <row r="121" spans="1:12">
      <c r="H121" s="128" t="s">
        <v>323</v>
      </c>
      <c r="I121" s="128" t="s">
        <v>326</v>
      </c>
    </row>
    <row r="122" spans="1:12">
      <c r="A122" s="107" t="s">
        <v>164</v>
      </c>
      <c r="B122" s="129">
        <f>B13</f>
        <v>26900000</v>
      </c>
      <c r="C122" s="129">
        <f t="shared" ref="C122:E122" si="0">C13</f>
        <v>28245000</v>
      </c>
      <c r="D122" s="129">
        <f t="shared" si="0"/>
        <v>29657250</v>
      </c>
      <c r="E122" s="129">
        <f t="shared" si="0"/>
        <v>31140112.5</v>
      </c>
      <c r="F122" s="130">
        <f>SUM(B122:E122)</f>
        <v>115942362.5</v>
      </c>
      <c r="H122" s="128" t="s">
        <v>324</v>
      </c>
      <c r="I122" s="128" t="s">
        <v>327</v>
      </c>
    </row>
    <row r="123" spans="1:12">
      <c r="A123" s="107" t="s">
        <v>165</v>
      </c>
      <c r="B123" s="131">
        <f>-('Operating Budget'!B59+'Operating Budget'!C59+'Operating Budget'!D59)</f>
        <v>-6499999.9999999981</v>
      </c>
      <c r="C123" s="131">
        <f>-('Operating Budget'!E59+'Operating Budget'!F59+'Operating Budget'!G59)</f>
        <v>-6825000</v>
      </c>
      <c r="D123" s="131">
        <f>-('Operating Budget'!H59+'Operating Budget'!I59+'Operating Budget'!J59)</f>
        <v>-7166250</v>
      </c>
      <c r="E123" s="131">
        <f>-('Operating Budget'!K59+'Operating Budget'!L59+'Operating Budget'!M59)</f>
        <v>-7524562.5</v>
      </c>
      <c r="F123" s="79">
        <f>SUM(B123:E123)</f>
        <v>-28015812.5</v>
      </c>
    </row>
    <row r="124" spans="1:12" s="104" customFormat="1">
      <c r="A124" s="132" t="s">
        <v>166</v>
      </c>
      <c r="B124" s="104">
        <f>SUM(B122:B123)</f>
        <v>20400000</v>
      </c>
      <c r="C124" s="104">
        <f t="shared" ref="C124:F124" si="1">SUM(C122:C123)</f>
        <v>21420000</v>
      </c>
      <c r="D124" s="104">
        <f t="shared" si="1"/>
        <v>22491000</v>
      </c>
      <c r="E124" s="104">
        <f t="shared" si="1"/>
        <v>23615550</v>
      </c>
      <c r="F124" s="104">
        <f t="shared" si="1"/>
        <v>87926550</v>
      </c>
      <c r="G124" s="133"/>
      <c r="H124" s="134"/>
      <c r="I124" s="134"/>
      <c r="J124" s="134"/>
      <c r="K124" s="134"/>
      <c r="L124" s="134"/>
    </row>
    <row r="125" spans="1:12" s="104" customFormat="1">
      <c r="A125" s="135" t="s">
        <v>318</v>
      </c>
      <c r="B125" s="136">
        <f>-('Operating Budget'!B72+'Operating Budget'!C72+'Operating Budget'!D72)</f>
        <v>-8000000</v>
      </c>
      <c r="C125" s="136">
        <f>-('Operating Budget'!E72+'Operating Budget'!F72+'Operating Budget'!G72)</f>
        <v>-8000000</v>
      </c>
      <c r="D125" s="136">
        <f>-('Operating Budget'!H72+'Operating Budget'!I72+'Operating Budget'!J72)</f>
        <v>-8000000</v>
      </c>
      <c r="E125" s="136">
        <f>-('Operating Budget'!K72+'Operating Budget'!L72+'Operating Budget'!M72)</f>
        <v>-8000000</v>
      </c>
      <c r="F125" s="79">
        <f>SUM(B125:E125)</f>
        <v>-32000000</v>
      </c>
      <c r="G125" s="133"/>
      <c r="H125" s="134"/>
      <c r="I125" s="134"/>
      <c r="J125" s="134"/>
      <c r="K125" s="134"/>
      <c r="L125" s="134"/>
    </row>
    <row r="126" spans="1:12">
      <c r="A126" s="107" t="s">
        <v>167</v>
      </c>
      <c r="B126" s="115">
        <f>-('Operating Budget'!B81+'Operating Budget'!C81+'Operating Budget'!D81)</f>
        <v>-6999999.9999999991</v>
      </c>
      <c r="C126" s="115">
        <f>-('Operating Budget'!E81+'Operating Budget'!F81+'Operating Budget'!G81)</f>
        <v>-6999999.9999999991</v>
      </c>
      <c r="D126" s="115">
        <f>-('Operating Budget'!H81+'Operating Budget'!I81+'Operating Budget'!J81)</f>
        <v>-6999999.9999999991</v>
      </c>
      <c r="E126" s="115">
        <f>-('Operating Budget'!K81+'Operating Budget'!L81+'Operating Budget'!M81)</f>
        <v>-6999999.9999999991</v>
      </c>
      <c r="F126" s="79">
        <f>SUM(B126:E126)</f>
        <v>-27999999.999999996</v>
      </c>
    </row>
    <row r="127" spans="1:12">
      <c r="A127" s="137" t="s">
        <v>320</v>
      </c>
      <c r="B127" s="138">
        <f>SUM(B124:B126)</f>
        <v>5400000.0000000009</v>
      </c>
      <c r="C127" s="138">
        <f t="shared" ref="C127:F127" si="2">SUM(C124:C126)</f>
        <v>6420000.0000000009</v>
      </c>
      <c r="D127" s="138">
        <f t="shared" si="2"/>
        <v>7491000.0000000009</v>
      </c>
      <c r="E127" s="138">
        <f t="shared" si="2"/>
        <v>8615550</v>
      </c>
      <c r="F127" s="76">
        <f t="shared" si="2"/>
        <v>27926550.000000004</v>
      </c>
    </row>
    <row r="128" spans="1:12">
      <c r="A128" s="139" t="s">
        <v>321</v>
      </c>
      <c r="B128" s="76">
        <v>-200000</v>
      </c>
      <c r="C128" s="76">
        <v>-200000</v>
      </c>
      <c r="D128" s="76">
        <v>-200000</v>
      </c>
      <c r="E128" s="76">
        <v>-200000</v>
      </c>
      <c r="F128" s="79">
        <f>SUM(B128:E128)</f>
        <v>-800000</v>
      </c>
      <c r="G128" s="79">
        <v>200000</v>
      </c>
      <c r="H128" s="108" t="s">
        <v>230</v>
      </c>
    </row>
    <row r="129" spans="1:9">
      <c r="A129" s="107" t="s">
        <v>168</v>
      </c>
      <c r="B129" s="115">
        <v>-300000</v>
      </c>
      <c r="C129" s="115">
        <v>-300000</v>
      </c>
      <c r="D129" s="115">
        <v>-300000</v>
      </c>
      <c r="E129" s="115">
        <v>-300000</v>
      </c>
      <c r="F129" s="79">
        <f>SUM(B129:E129)</f>
        <v>-1200000</v>
      </c>
      <c r="G129" s="130">
        <v>300000</v>
      </c>
      <c r="H129" s="140" t="s">
        <v>319</v>
      </c>
      <c r="I129" s="140"/>
    </row>
    <row r="130" spans="1:9">
      <c r="A130" s="107" t="s">
        <v>169</v>
      </c>
      <c r="B130" s="138">
        <f>SUM(B127:B129)</f>
        <v>4900000.0000000009</v>
      </c>
      <c r="C130" s="138">
        <f t="shared" ref="C130:E130" si="3">SUM(C127:C129)</f>
        <v>5920000.0000000009</v>
      </c>
      <c r="D130" s="138">
        <f t="shared" si="3"/>
        <v>6991000.0000000009</v>
      </c>
      <c r="E130" s="138">
        <f t="shared" si="3"/>
        <v>8115550</v>
      </c>
      <c r="F130" s="76">
        <f>SUM(F127:F129)</f>
        <v>25926550.000000004</v>
      </c>
    </row>
    <row r="131" spans="1:9">
      <c r="A131" s="107" t="s">
        <v>170</v>
      </c>
      <c r="B131" s="76">
        <f>-(B130*30%)</f>
        <v>-1470000.0000000002</v>
      </c>
      <c r="C131" s="76">
        <f>-(C130*30%)</f>
        <v>-1776000.0000000002</v>
      </c>
      <c r="D131" s="76">
        <f t="shared" ref="D131:E131" si="4">-(D130*30%)</f>
        <v>-2097300</v>
      </c>
      <c r="E131" s="76">
        <f t="shared" si="4"/>
        <v>-2434665</v>
      </c>
      <c r="F131" s="79">
        <f>SUM(B131:E131)</f>
        <v>-7777965</v>
      </c>
    </row>
    <row r="132" spans="1:9">
      <c r="A132" s="107" t="s">
        <v>171</v>
      </c>
      <c r="B132" s="141">
        <f>SUM(B130:B131)</f>
        <v>3430000.0000000009</v>
      </c>
      <c r="C132" s="141">
        <f t="shared" ref="C132:E132" si="5">SUM(C130:C131)</f>
        <v>4144000.0000000009</v>
      </c>
      <c r="D132" s="141">
        <f t="shared" si="5"/>
        <v>4893700.0000000009</v>
      </c>
      <c r="E132" s="141">
        <f t="shared" si="5"/>
        <v>5680885</v>
      </c>
      <c r="F132" s="76">
        <f>SUM(F130:F131)</f>
        <v>18148585.000000004</v>
      </c>
    </row>
  </sheetData>
  <mergeCells count="12">
    <mergeCell ref="A118:F118"/>
    <mergeCell ref="A85:F85"/>
    <mergeCell ref="A108:F108"/>
    <mergeCell ref="C110:D110"/>
    <mergeCell ref="A1:F1"/>
    <mergeCell ref="A2:F2"/>
    <mergeCell ref="A3:F3"/>
    <mergeCell ref="A6:F6"/>
    <mergeCell ref="A20:F20"/>
    <mergeCell ref="A32:F32"/>
    <mergeCell ref="A48:F48"/>
    <mergeCell ref="A59:F59"/>
  </mergeCells>
  <pageMargins left="0.75" right="0.75" top="1" bottom="1" header="0.5" footer="0.5"/>
  <pageSetup paperSize="9" fitToWidth="0" fitToHeight="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Operating Budget Template</vt:lpstr>
      <vt:lpstr>Input</vt:lpstr>
      <vt:lpstr>Revenue workings</vt:lpstr>
      <vt:lpstr>Operating Budget 1</vt:lpstr>
      <vt:lpstr>Income Statement</vt:lpstr>
      <vt:lpstr>CASH BUDGET</vt:lpstr>
      <vt:lpstr>Balance Sheet</vt:lpstr>
      <vt:lpstr>Assumption</vt:lpstr>
      <vt:lpstr>Operating Budgets</vt:lpstr>
      <vt:lpstr>Income Statemen</vt:lpstr>
      <vt:lpstr>Operating Budget</vt:lpstr>
      <vt:lpstr>Financial Budgets Template</vt:lpstr>
      <vt:lpstr>Input (2)</vt:lpstr>
      <vt:lpstr>cost</vt:lpstr>
      <vt:lpstr>hours</vt:lpstr>
      <vt:lpstr>price</vt:lpstr>
      <vt:lpstr>sales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DELL 3330</cp:lastModifiedBy>
  <dcterms:created xsi:type="dcterms:W3CDTF">2017-09-11T20:41:10Z</dcterms:created>
  <dcterms:modified xsi:type="dcterms:W3CDTF">2024-06-15T15:26:53Z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c847de2e12dd448b8c754147076bb6db</vt:lpwstr>
  </property>
</Properties>
</file>