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P\Desktop\OLUSOLA DOCUMENTS\HOA PATHFINDER\WEEK 3\FINANCIAL MODELING\"/>
    </mc:Choice>
  </mc:AlternateContent>
  <xr:revisionPtr revIDLastSave="0" documentId="13_ncr:1_{55A8E394-2EEA-4761-A9F8-530F93F9C8BB}" xr6:coauthVersionLast="47" xr6:coauthVersionMax="47" xr10:uidLastSave="{00000000-0000-0000-0000-000000000000}"/>
  <bookViews>
    <workbookView xWindow="-110" yWindow="-110" windowWidth="19420" windowHeight="10300" tabRatio="590" activeTab="6" xr2:uid="{00000000-000D-0000-FFFF-FFFF00000000}"/>
  </bookViews>
  <sheets>
    <sheet name="LIVE CASE" sheetId="33" r:id="rId1"/>
    <sheet name="INCOME STS" sheetId="34" r:id="rId2"/>
    <sheet name="SOFP" sheetId="35" r:id="rId3"/>
    <sheet name="CASHFLOWS STS" sheetId="36" r:id="rId4"/>
    <sheet name="SCHEDULE" sheetId="37" r:id="rId5"/>
    <sheet name="VISUALS" sheetId="38" r:id="rId6"/>
    <sheet name="Cover Page" sheetId="23" r:id="rId7"/>
    <sheet name="PRACTICAL" sheetId="26" state="hidden" r:id="rId8"/>
    <sheet name="Three Statement Model" sheetId="21" state="hidden" r:id="rId9"/>
    <sheet name="HINTS" sheetId="24" r:id="rId10"/>
    <sheet name="Raw Data" sheetId="22" r:id="rId11"/>
    <sheet name="LIVE CASE OR ASSUM" sheetId="27" r:id="rId12"/>
    <sheet name="INCOME STATEMENT" sheetId="28" r:id="rId13"/>
    <sheet name="BALANCE SHEET" sheetId="29" r:id="rId14"/>
    <sheet name="CASHFLOWS" sheetId="30" r:id="rId15"/>
    <sheet name="SUPPORTING SCH" sheetId="31" r:id="rId16"/>
    <sheet name="CHARTS &amp; GRAPH" sheetId="32" r:id="rId17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6">'Cover Page'!$B$3:$O$25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8" l="1"/>
  <c r="D6" i="38"/>
  <c r="E6" i="38"/>
  <c r="F6" i="38"/>
  <c r="G6" i="38"/>
  <c r="H6" i="38"/>
  <c r="I6" i="38"/>
  <c r="J6" i="38"/>
  <c r="K6" i="38"/>
  <c r="L6" i="38"/>
  <c r="D5" i="38"/>
  <c r="E5" i="38"/>
  <c r="F5" i="38"/>
  <c r="G5" i="38"/>
  <c r="H5" i="38"/>
  <c r="I5" i="38"/>
  <c r="J5" i="38"/>
  <c r="K5" i="38"/>
  <c r="L5" i="38"/>
  <c r="C5" i="38"/>
  <c r="A6" i="38"/>
  <c r="A5" i="38"/>
  <c r="D4" i="38"/>
  <c r="E4" i="38"/>
  <c r="F4" i="38"/>
  <c r="G4" i="38"/>
  <c r="H4" i="38"/>
  <c r="I4" i="38"/>
  <c r="J4" i="38"/>
  <c r="K4" i="38"/>
  <c r="L4" i="38"/>
  <c r="C4" i="38"/>
  <c r="A4" i="38"/>
  <c r="C3" i="38"/>
  <c r="D3" i="38"/>
  <c r="E3" i="38"/>
  <c r="F3" i="38"/>
  <c r="G3" i="38"/>
  <c r="H3" i="38"/>
  <c r="I3" i="38"/>
  <c r="J3" i="38"/>
  <c r="K3" i="38"/>
  <c r="L3" i="38"/>
  <c r="B3" i="38"/>
  <c r="G20" i="36"/>
  <c r="G5" i="35" s="1"/>
  <c r="F20" i="36"/>
  <c r="G19" i="36" s="1"/>
  <c r="F19" i="36"/>
  <c r="G18" i="36"/>
  <c r="H18" i="36"/>
  <c r="I18" i="36"/>
  <c r="J18" i="36"/>
  <c r="K18" i="36"/>
  <c r="F18" i="36"/>
  <c r="G16" i="36"/>
  <c r="H16" i="36"/>
  <c r="I16" i="36"/>
  <c r="J16" i="36"/>
  <c r="K16" i="36"/>
  <c r="F16" i="36"/>
  <c r="H15" i="36"/>
  <c r="I15" i="36"/>
  <c r="J15" i="36"/>
  <c r="K15" i="36"/>
  <c r="G15" i="36"/>
  <c r="G11" i="36"/>
  <c r="H11" i="36"/>
  <c r="I11" i="36"/>
  <c r="J11" i="36"/>
  <c r="K11" i="36"/>
  <c r="H10" i="36"/>
  <c r="I10" i="36"/>
  <c r="J10" i="36"/>
  <c r="K10" i="36"/>
  <c r="G10" i="36"/>
  <c r="G7" i="36"/>
  <c r="H7" i="36"/>
  <c r="I7" i="36"/>
  <c r="J7" i="36"/>
  <c r="K7" i="36"/>
  <c r="H6" i="36"/>
  <c r="I6" i="36"/>
  <c r="J6" i="36"/>
  <c r="K6" i="36"/>
  <c r="G6" i="36"/>
  <c r="H5" i="36"/>
  <c r="I5" i="36"/>
  <c r="J5" i="36"/>
  <c r="K5" i="36"/>
  <c r="G5" i="36"/>
  <c r="H13" i="35"/>
  <c r="H14" i="35" s="1"/>
  <c r="I13" i="35"/>
  <c r="I14" i="35" s="1"/>
  <c r="J13" i="35"/>
  <c r="J14" i="35" s="1"/>
  <c r="K13" i="35"/>
  <c r="G13" i="35"/>
  <c r="H9" i="34"/>
  <c r="I9" i="34"/>
  <c r="J9" i="34"/>
  <c r="K9" i="34"/>
  <c r="G9" i="34"/>
  <c r="H10" i="34"/>
  <c r="I10" i="34"/>
  <c r="J10" i="34"/>
  <c r="K10" i="34"/>
  <c r="G10" i="34"/>
  <c r="H20" i="37"/>
  <c r="G20" i="37"/>
  <c r="H18" i="37"/>
  <c r="G18" i="37"/>
  <c r="G21" i="37"/>
  <c r="G11" i="34"/>
  <c r="G12" i="34" s="1"/>
  <c r="H14" i="36"/>
  <c r="H19" i="37" s="1"/>
  <c r="I14" i="36"/>
  <c r="I19" i="37" s="1"/>
  <c r="J14" i="36"/>
  <c r="K14" i="36"/>
  <c r="G14" i="36"/>
  <c r="G19" i="37" s="1"/>
  <c r="C18" i="37"/>
  <c r="D18" i="37"/>
  <c r="E18" i="37"/>
  <c r="F18" i="37"/>
  <c r="G20" i="31"/>
  <c r="G19" i="31"/>
  <c r="G18" i="31"/>
  <c r="C18" i="31"/>
  <c r="C21" i="37"/>
  <c r="D21" i="37"/>
  <c r="E21" i="37"/>
  <c r="F21" i="37"/>
  <c r="C20" i="37"/>
  <c r="D20" i="37"/>
  <c r="E20" i="37"/>
  <c r="F20" i="37"/>
  <c r="C19" i="37"/>
  <c r="D19" i="37"/>
  <c r="E19" i="37"/>
  <c r="F19" i="37"/>
  <c r="J19" i="37"/>
  <c r="K19" i="37"/>
  <c r="B20" i="37"/>
  <c r="B18" i="37"/>
  <c r="B18" i="31"/>
  <c r="B21" i="37"/>
  <c r="B19" i="37"/>
  <c r="H8" i="35"/>
  <c r="I8" i="35"/>
  <c r="J8" i="35"/>
  <c r="K8" i="35"/>
  <c r="G8" i="35"/>
  <c r="C15" i="37"/>
  <c r="B15" i="37"/>
  <c r="C12" i="37" s="1"/>
  <c r="D12" i="37" s="1"/>
  <c r="D15" i="37" s="1"/>
  <c r="E12" i="37" s="1"/>
  <c r="E15" i="37" s="1"/>
  <c r="F12" i="37" s="1"/>
  <c r="F15" i="37" s="1"/>
  <c r="G12" i="37" s="1"/>
  <c r="H13" i="37"/>
  <c r="I13" i="37"/>
  <c r="J13" i="37"/>
  <c r="K13" i="37"/>
  <c r="G13" i="37"/>
  <c r="G14" i="31"/>
  <c r="C13" i="37"/>
  <c r="D13" i="37"/>
  <c r="E13" i="37"/>
  <c r="F13" i="37"/>
  <c r="C14" i="37"/>
  <c r="D14" i="37"/>
  <c r="E14" i="37"/>
  <c r="F14" i="37"/>
  <c r="B13" i="37"/>
  <c r="B14" i="37"/>
  <c r="J9" i="37"/>
  <c r="K9" i="37"/>
  <c r="E9" i="37"/>
  <c r="F9" i="37"/>
  <c r="G9" i="37"/>
  <c r="H9" i="37"/>
  <c r="I9" i="37"/>
  <c r="D9" i="37"/>
  <c r="C9" i="37"/>
  <c r="B9" i="37"/>
  <c r="C9" i="31"/>
  <c r="B9" i="31"/>
  <c r="C8" i="37"/>
  <c r="D8" i="37"/>
  <c r="E8" i="37"/>
  <c r="F8" i="37"/>
  <c r="G8" i="37"/>
  <c r="H8" i="37"/>
  <c r="I8" i="37"/>
  <c r="J8" i="37"/>
  <c r="K8" i="37"/>
  <c r="B8" i="37"/>
  <c r="C7" i="37"/>
  <c r="D7" i="37"/>
  <c r="E7" i="37"/>
  <c r="F7" i="37"/>
  <c r="G7" i="37"/>
  <c r="H7" i="37"/>
  <c r="I7" i="37"/>
  <c r="J7" i="37"/>
  <c r="K7" i="37"/>
  <c r="B7" i="37"/>
  <c r="C6" i="37"/>
  <c r="D6" i="37"/>
  <c r="E6" i="37"/>
  <c r="F6" i="37"/>
  <c r="G6" i="37"/>
  <c r="H6" i="37"/>
  <c r="I6" i="37"/>
  <c r="J6" i="37"/>
  <c r="K6" i="37"/>
  <c r="B6" i="37"/>
  <c r="C5" i="37"/>
  <c r="D5" i="37"/>
  <c r="E5" i="37"/>
  <c r="F5" i="37"/>
  <c r="G5" i="37"/>
  <c r="H5" i="37"/>
  <c r="I5" i="37"/>
  <c r="J5" i="37"/>
  <c r="K5" i="37"/>
  <c r="B5" i="37"/>
  <c r="C3" i="37"/>
  <c r="D3" i="37" s="1"/>
  <c r="E3" i="37" s="1"/>
  <c r="F3" i="37" s="1"/>
  <c r="G3" i="37" s="1"/>
  <c r="H3" i="37" s="1"/>
  <c r="I3" i="37" s="1"/>
  <c r="J3" i="37" s="1"/>
  <c r="K3" i="37" s="1"/>
  <c r="D1" i="37"/>
  <c r="H16" i="35"/>
  <c r="I16" i="35" s="1"/>
  <c r="G16" i="35"/>
  <c r="G14" i="35"/>
  <c r="K14" i="35"/>
  <c r="H12" i="35"/>
  <c r="I12" i="35"/>
  <c r="J12" i="35"/>
  <c r="K12" i="35"/>
  <c r="G12" i="35"/>
  <c r="H7" i="35"/>
  <c r="I7" i="35"/>
  <c r="J7" i="35"/>
  <c r="K7" i="35"/>
  <c r="G7" i="35"/>
  <c r="H6" i="35"/>
  <c r="I6" i="35"/>
  <c r="J6" i="35"/>
  <c r="K6" i="35"/>
  <c r="G6" i="35"/>
  <c r="F15" i="34"/>
  <c r="H8" i="34"/>
  <c r="I8" i="34"/>
  <c r="J8" i="34"/>
  <c r="K8" i="34"/>
  <c r="G8" i="34"/>
  <c r="H7" i="34"/>
  <c r="I7" i="34"/>
  <c r="J7" i="34"/>
  <c r="K7" i="34"/>
  <c r="G7" i="34"/>
  <c r="G5" i="34"/>
  <c r="F5" i="34"/>
  <c r="F12" i="34" s="1"/>
  <c r="H5" i="34"/>
  <c r="I5" i="34"/>
  <c r="J5" i="34"/>
  <c r="K5" i="34"/>
  <c r="H4" i="34"/>
  <c r="I4" i="34"/>
  <c r="J4" i="34"/>
  <c r="K4" i="34"/>
  <c r="G4" i="34"/>
  <c r="I3" i="34"/>
  <c r="J3" i="34" s="1"/>
  <c r="K3" i="34" s="1"/>
  <c r="H3" i="34"/>
  <c r="G3" i="34"/>
  <c r="C15" i="33"/>
  <c r="D15" i="33"/>
  <c r="E15" i="33"/>
  <c r="F15" i="33"/>
  <c r="B15" i="33"/>
  <c r="C14" i="33"/>
  <c r="D14" i="33"/>
  <c r="E14" i="33"/>
  <c r="F14" i="33"/>
  <c r="B14" i="33"/>
  <c r="C13" i="33"/>
  <c r="D13" i="33"/>
  <c r="E13" i="33"/>
  <c r="F13" i="33"/>
  <c r="B13" i="33"/>
  <c r="C12" i="33"/>
  <c r="D12" i="33"/>
  <c r="E12" i="33"/>
  <c r="F12" i="33"/>
  <c r="B12" i="33"/>
  <c r="C11" i="33"/>
  <c r="D11" i="33"/>
  <c r="E11" i="33"/>
  <c r="F11" i="33"/>
  <c r="B11" i="33"/>
  <c r="C10" i="33"/>
  <c r="D10" i="33"/>
  <c r="E10" i="33"/>
  <c r="F10" i="33"/>
  <c r="B10" i="33"/>
  <c r="C9" i="33"/>
  <c r="D9" i="33"/>
  <c r="E9" i="33"/>
  <c r="B9" i="33"/>
  <c r="C8" i="33"/>
  <c r="D8" i="33"/>
  <c r="E8" i="33"/>
  <c r="F8" i="33"/>
  <c r="B8" i="33"/>
  <c r="C7" i="33"/>
  <c r="D7" i="33"/>
  <c r="E7" i="33"/>
  <c r="F7" i="33"/>
  <c r="B7" i="33"/>
  <c r="C6" i="33"/>
  <c r="D6" i="33"/>
  <c r="E6" i="33"/>
  <c r="F6" i="33"/>
  <c r="B6" i="33"/>
  <c r="C5" i="33"/>
  <c r="D5" i="33"/>
  <c r="E5" i="33"/>
  <c r="F5" i="33"/>
  <c r="B5" i="33"/>
  <c r="C4" i="33"/>
  <c r="D4" i="33"/>
  <c r="E4" i="33"/>
  <c r="F4" i="33"/>
  <c r="B4" i="33"/>
  <c r="F3" i="33"/>
  <c r="D3" i="33"/>
  <c r="E3" i="33"/>
  <c r="C3" i="33"/>
  <c r="E18" i="36"/>
  <c r="C22" i="36"/>
  <c r="D22" i="36"/>
  <c r="E22" i="36"/>
  <c r="B22" i="36"/>
  <c r="D19" i="36"/>
  <c r="E19" i="36"/>
  <c r="C19" i="36"/>
  <c r="C20" i="36"/>
  <c r="D20" i="36"/>
  <c r="E20" i="36"/>
  <c r="B20" i="36"/>
  <c r="C18" i="36"/>
  <c r="D18" i="36"/>
  <c r="B18" i="36"/>
  <c r="C16" i="36"/>
  <c r="D16" i="36"/>
  <c r="E16" i="36"/>
  <c r="B16" i="36"/>
  <c r="C11" i="36"/>
  <c r="D11" i="36"/>
  <c r="E11" i="36"/>
  <c r="F11" i="36"/>
  <c r="B11" i="36"/>
  <c r="F7" i="36"/>
  <c r="C7" i="36"/>
  <c r="D7" i="36"/>
  <c r="E7" i="36"/>
  <c r="B7" i="36"/>
  <c r="C21" i="35"/>
  <c r="D21" i="35"/>
  <c r="E21" i="35"/>
  <c r="F21" i="35"/>
  <c r="B21" i="35"/>
  <c r="C18" i="35"/>
  <c r="D18" i="35"/>
  <c r="D19" i="35" s="1"/>
  <c r="E18" i="35"/>
  <c r="E19" i="35" s="1"/>
  <c r="F18" i="35"/>
  <c r="B18" i="35"/>
  <c r="B19" i="35" s="1"/>
  <c r="C19" i="35"/>
  <c r="F19" i="35"/>
  <c r="B14" i="35"/>
  <c r="C14" i="35"/>
  <c r="D14" i="35"/>
  <c r="E14" i="35"/>
  <c r="F14" i="35"/>
  <c r="C9" i="35"/>
  <c r="D9" i="35"/>
  <c r="E9" i="35"/>
  <c r="F9" i="35"/>
  <c r="B9" i="35"/>
  <c r="C15" i="34"/>
  <c r="B15" i="34"/>
  <c r="D15" i="34"/>
  <c r="E15" i="34"/>
  <c r="B12" i="34"/>
  <c r="C12" i="34"/>
  <c r="D12" i="34"/>
  <c r="E12" i="34"/>
  <c r="C11" i="34"/>
  <c r="D11" i="34"/>
  <c r="E11" i="34"/>
  <c r="F11" i="34"/>
  <c r="B11" i="34"/>
  <c r="B5" i="34"/>
  <c r="C5" i="34"/>
  <c r="D5" i="34"/>
  <c r="E5" i="34"/>
  <c r="G2" i="36"/>
  <c r="H2" i="36" s="1"/>
  <c r="I2" i="36" s="1"/>
  <c r="J2" i="36" s="1"/>
  <c r="K2" i="36" s="1"/>
  <c r="C1" i="36"/>
  <c r="G3" i="35"/>
  <c r="H3" i="35" s="1"/>
  <c r="I3" i="35" s="1"/>
  <c r="J3" i="35" s="1"/>
  <c r="K3" i="35" s="1"/>
  <c r="C1" i="35"/>
  <c r="G2" i="34"/>
  <c r="H2" i="34" s="1"/>
  <c r="I2" i="34" s="1"/>
  <c r="J2" i="34" s="1"/>
  <c r="K2" i="34" s="1"/>
  <c r="C1" i="34"/>
  <c r="G4" i="28"/>
  <c r="D2" i="33"/>
  <c r="E2" i="33" s="1"/>
  <c r="F2" i="33" s="1"/>
  <c r="G2" i="33" s="1"/>
  <c r="H2" i="33" s="1"/>
  <c r="I2" i="33" s="1"/>
  <c r="J2" i="33" s="1"/>
  <c r="K2" i="33" s="1"/>
  <c r="C2" i="33"/>
  <c r="B1" i="33"/>
  <c r="B13" i="27"/>
  <c r="C1" i="28"/>
  <c r="D1" i="31"/>
  <c r="C1" i="29" s="1"/>
  <c r="D1" i="30" s="1"/>
  <c r="B1" i="27" s="1"/>
  <c r="C3" i="32"/>
  <c r="D3" i="32" s="1"/>
  <c r="E3" i="32" s="1"/>
  <c r="F3" i="32" s="1"/>
  <c r="G3" i="32" s="1"/>
  <c r="H3" i="32" s="1"/>
  <c r="I3" i="32" s="1"/>
  <c r="J3" i="32" s="1"/>
  <c r="K3" i="32" s="1"/>
  <c r="H19" i="36" l="1"/>
  <c r="H20" i="36" s="1"/>
  <c r="G9" i="35"/>
  <c r="G22" i="36"/>
  <c r="F22" i="36"/>
  <c r="H11" i="34"/>
  <c r="H12" i="34" s="1"/>
  <c r="H14" i="34" s="1"/>
  <c r="H15" i="34" s="1"/>
  <c r="H4" i="36" s="1"/>
  <c r="H21" i="37"/>
  <c r="G14" i="34"/>
  <c r="G15" i="34" s="1"/>
  <c r="I18" i="37"/>
  <c r="B12" i="37"/>
  <c r="G14" i="37"/>
  <c r="G15" i="37" s="1"/>
  <c r="H12" i="37" s="1"/>
  <c r="J16" i="35"/>
  <c r="F9" i="33"/>
  <c r="D69" i="21"/>
  <c r="I15" i="30"/>
  <c r="I16" i="30" s="1"/>
  <c r="J15" i="30"/>
  <c r="J16" i="30" s="1"/>
  <c r="K15" i="30"/>
  <c r="L15" i="30"/>
  <c r="H15" i="30"/>
  <c r="I14" i="30"/>
  <c r="H19" i="31" s="1"/>
  <c r="J14" i="30"/>
  <c r="K14" i="30"/>
  <c r="J19" i="31" s="1"/>
  <c r="L14" i="30"/>
  <c r="K19" i="31" s="1"/>
  <c r="H14" i="30"/>
  <c r="H16" i="30" s="1"/>
  <c r="H10" i="30"/>
  <c r="H11" i="30" s="1"/>
  <c r="I10" i="30"/>
  <c r="J10" i="30"/>
  <c r="I13" i="31" s="1"/>
  <c r="K10" i="30"/>
  <c r="K11" i="30" s="1"/>
  <c r="L10" i="30"/>
  <c r="K13" i="31" s="1"/>
  <c r="G16" i="29"/>
  <c r="H16" i="29" s="1"/>
  <c r="I16" i="29" s="1"/>
  <c r="G6" i="29"/>
  <c r="G5" i="31" s="1"/>
  <c r="H9" i="28"/>
  <c r="I9" i="28"/>
  <c r="J9" i="28"/>
  <c r="K9" i="28"/>
  <c r="G9" i="28"/>
  <c r="G5" i="28"/>
  <c r="G7" i="29" s="1"/>
  <c r="G6" i="31" s="1"/>
  <c r="H4" i="28"/>
  <c r="I4" i="28" s="1"/>
  <c r="G8" i="28"/>
  <c r="C15" i="27"/>
  <c r="D15" i="27"/>
  <c r="E15" i="27"/>
  <c r="F15" i="27"/>
  <c r="B15" i="27"/>
  <c r="C14" i="27"/>
  <c r="D14" i="27"/>
  <c r="E14" i="27"/>
  <c r="F14" i="27"/>
  <c r="B14" i="27"/>
  <c r="C13" i="27"/>
  <c r="D13" i="27"/>
  <c r="E13" i="27"/>
  <c r="F13" i="27"/>
  <c r="C12" i="27"/>
  <c r="D12" i="27"/>
  <c r="E12" i="27"/>
  <c r="F12" i="27"/>
  <c r="B12" i="27"/>
  <c r="C11" i="27"/>
  <c r="D11" i="27"/>
  <c r="E11" i="27"/>
  <c r="F11" i="27"/>
  <c r="B11" i="27"/>
  <c r="C10" i="27"/>
  <c r="D10" i="27"/>
  <c r="E10" i="27"/>
  <c r="F10" i="27"/>
  <c r="B10" i="27"/>
  <c r="C8" i="27"/>
  <c r="D8" i="27"/>
  <c r="E8" i="27"/>
  <c r="F8" i="27"/>
  <c r="B8" i="27"/>
  <c r="C7" i="27"/>
  <c r="D7" i="27"/>
  <c r="E7" i="27"/>
  <c r="F7" i="27"/>
  <c r="B7" i="27"/>
  <c r="C6" i="27"/>
  <c r="D6" i="27"/>
  <c r="E6" i="27"/>
  <c r="F6" i="27"/>
  <c r="B6" i="27"/>
  <c r="C5" i="27"/>
  <c r="D5" i="27"/>
  <c r="E5" i="27"/>
  <c r="F5" i="27"/>
  <c r="B5" i="27"/>
  <c r="C4" i="27"/>
  <c r="D4" i="27"/>
  <c r="E4" i="27"/>
  <c r="F4" i="27"/>
  <c r="B4" i="27"/>
  <c r="D3" i="27"/>
  <c r="E3" i="27"/>
  <c r="F3" i="27"/>
  <c r="C3" i="27"/>
  <c r="D2" i="27"/>
  <c r="E2" i="27" s="1"/>
  <c r="F2" i="27" s="1"/>
  <c r="G2" i="27" s="1"/>
  <c r="H2" i="27" s="1"/>
  <c r="I2" i="27" s="1"/>
  <c r="J2" i="27" s="1"/>
  <c r="K2" i="27" s="1"/>
  <c r="C2" i="27"/>
  <c r="D19" i="31"/>
  <c r="F18" i="31"/>
  <c r="D18" i="31"/>
  <c r="E18" i="31"/>
  <c r="H102" i="21"/>
  <c r="E102" i="21"/>
  <c r="D102" i="21"/>
  <c r="C19" i="31"/>
  <c r="E19" i="31"/>
  <c r="F19" i="31"/>
  <c r="I19" i="31"/>
  <c r="B19" i="31"/>
  <c r="C21" i="31"/>
  <c r="D21" i="31"/>
  <c r="E21" i="31"/>
  <c r="F21" i="31"/>
  <c r="B21" i="31"/>
  <c r="C20" i="31"/>
  <c r="D20" i="31"/>
  <c r="E20" i="31"/>
  <c r="F20" i="31"/>
  <c r="B20" i="31"/>
  <c r="C15" i="31"/>
  <c r="C12" i="31" s="1"/>
  <c r="D15" i="31"/>
  <c r="E15" i="31"/>
  <c r="F15" i="31"/>
  <c r="G12" i="31" s="1"/>
  <c r="E99" i="21"/>
  <c r="B15" i="31"/>
  <c r="B12" i="31" s="1"/>
  <c r="C14" i="31"/>
  <c r="D14" i="31"/>
  <c r="E14" i="31"/>
  <c r="F14" i="31"/>
  <c r="B14" i="31"/>
  <c r="C13" i="31"/>
  <c r="D13" i="31"/>
  <c r="E13" i="31"/>
  <c r="F13" i="31"/>
  <c r="G13" i="31"/>
  <c r="H13" i="31"/>
  <c r="J13" i="31"/>
  <c r="B13" i="31"/>
  <c r="C7" i="31"/>
  <c r="D7" i="31"/>
  <c r="E7" i="31"/>
  <c r="F7" i="31"/>
  <c r="B7" i="31"/>
  <c r="C6" i="31"/>
  <c r="D6" i="31"/>
  <c r="E6" i="31"/>
  <c r="F6" i="31"/>
  <c r="B6" i="31"/>
  <c r="C5" i="31"/>
  <c r="D5" i="31"/>
  <c r="D8" i="31" s="1"/>
  <c r="E5" i="31"/>
  <c r="F5" i="31"/>
  <c r="B5" i="31"/>
  <c r="D89" i="21"/>
  <c r="C3" i="31"/>
  <c r="D3" i="31" s="1"/>
  <c r="E3" i="31" s="1"/>
  <c r="F3" i="31" s="1"/>
  <c r="G3" i="31" s="1"/>
  <c r="H3" i="31" s="1"/>
  <c r="I3" i="31" s="1"/>
  <c r="J3" i="31" s="1"/>
  <c r="K3" i="31" s="1"/>
  <c r="G19" i="30"/>
  <c r="F19" i="30"/>
  <c r="E19" i="30"/>
  <c r="D19" i="30"/>
  <c r="C16" i="30"/>
  <c r="C11" i="30"/>
  <c r="E82" i="21"/>
  <c r="D82" i="21"/>
  <c r="D16" i="30"/>
  <c r="E16" i="30"/>
  <c r="F16" i="30"/>
  <c r="G16" i="30"/>
  <c r="D11" i="30"/>
  <c r="E11" i="30"/>
  <c r="F11" i="30"/>
  <c r="G11" i="30"/>
  <c r="I11" i="30"/>
  <c r="J11" i="30"/>
  <c r="H2" i="30"/>
  <c r="I2" i="30" s="1"/>
  <c r="J2" i="30" s="1"/>
  <c r="K2" i="30" s="1"/>
  <c r="L2" i="30" s="1"/>
  <c r="C18" i="29"/>
  <c r="D18" i="29"/>
  <c r="E18" i="29"/>
  <c r="F18" i="29"/>
  <c r="B18" i="29"/>
  <c r="C14" i="29"/>
  <c r="C19" i="29" s="1"/>
  <c r="C21" i="29" s="1"/>
  <c r="D14" i="29"/>
  <c r="D19" i="29" s="1"/>
  <c r="D21" i="29" s="1"/>
  <c r="E14" i="29"/>
  <c r="E19" i="29" s="1"/>
  <c r="E21" i="29" s="1"/>
  <c r="F14" i="29"/>
  <c r="F19" i="29" s="1"/>
  <c r="F21" i="29" s="1"/>
  <c r="B14" i="29"/>
  <c r="B19" i="29" s="1"/>
  <c r="C9" i="29"/>
  <c r="B9" i="29"/>
  <c r="D9" i="29"/>
  <c r="E9" i="29"/>
  <c r="F9" i="29"/>
  <c r="G3" i="29"/>
  <c r="H3" i="29" s="1"/>
  <c r="I3" i="29" s="1"/>
  <c r="J3" i="29" s="1"/>
  <c r="K3" i="29" s="1"/>
  <c r="C16" i="28"/>
  <c r="D4" i="30" s="1"/>
  <c r="D7" i="30" s="1"/>
  <c r="D18" i="30" s="1"/>
  <c r="D16" i="28"/>
  <c r="E4" i="30" s="1"/>
  <c r="E7" i="30" s="1"/>
  <c r="E18" i="30" s="1"/>
  <c r="E20" i="30" s="1"/>
  <c r="E22" i="30" s="1"/>
  <c r="B12" i="28"/>
  <c r="B13" i="28" s="1"/>
  <c r="C13" i="28"/>
  <c r="C9" i="27" s="1"/>
  <c r="D13" i="28"/>
  <c r="D9" i="27" s="1"/>
  <c r="E13" i="28"/>
  <c r="E16" i="28" s="1"/>
  <c r="F4" i="30" s="1"/>
  <c r="F7" i="30" s="1"/>
  <c r="F18" i="30" s="1"/>
  <c r="C12" i="28"/>
  <c r="D12" i="28"/>
  <c r="E12" i="28"/>
  <c r="F12" i="28"/>
  <c r="H2" i="28"/>
  <c r="I2" i="28"/>
  <c r="J2" i="28"/>
  <c r="K2" i="28" s="1"/>
  <c r="G2" i="28"/>
  <c r="C6" i="28"/>
  <c r="C5" i="32" s="1"/>
  <c r="D6" i="28"/>
  <c r="D5" i="32" s="1"/>
  <c r="E6" i="28"/>
  <c r="E5" i="32" s="1"/>
  <c r="F6" i="28"/>
  <c r="F13" i="28" s="1"/>
  <c r="G6" i="28"/>
  <c r="G5" i="32" s="1"/>
  <c r="B6" i="28"/>
  <c r="B5" i="32" s="1"/>
  <c r="H22" i="36" l="1"/>
  <c r="H5" i="35"/>
  <c r="H9" i="35" s="1"/>
  <c r="I19" i="36"/>
  <c r="I20" i="37"/>
  <c r="G4" i="36"/>
  <c r="G17" i="35"/>
  <c r="H14" i="37"/>
  <c r="H15" i="37" s="1"/>
  <c r="I12" i="37" s="1"/>
  <c r="K16" i="35"/>
  <c r="F16" i="28"/>
  <c r="G4" i="30" s="1"/>
  <c r="G7" i="30" s="1"/>
  <c r="G18" i="30" s="1"/>
  <c r="F9" i="27"/>
  <c r="B21" i="29"/>
  <c r="B16" i="28"/>
  <c r="C4" i="30" s="1"/>
  <c r="C7" i="30" s="1"/>
  <c r="C18" i="30" s="1"/>
  <c r="C20" i="30" s="1"/>
  <c r="C22" i="30" s="1"/>
  <c r="B9" i="27"/>
  <c r="J4" i="28"/>
  <c r="I6" i="29"/>
  <c r="I5" i="31" s="1"/>
  <c r="I5" i="28"/>
  <c r="I6" i="28" s="1"/>
  <c r="I5" i="32" s="1"/>
  <c r="I8" i="28"/>
  <c r="D20" i="30"/>
  <c r="D22" i="30" s="1"/>
  <c r="F20" i="30"/>
  <c r="F22" i="30" s="1"/>
  <c r="H8" i="28"/>
  <c r="E9" i="27"/>
  <c r="E8" i="31"/>
  <c r="E9" i="31" s="1"/>
  <c r="F5" i="32"/>
  <c r="G20" i="30"/>
  <c r="G12" i="29"/>
  <c r="G7" i="31" s="1"/>
  <c r="G8" i="31" s="1"/>
  <c r="E12" i="31"/>
  <c r="H18" i="31"/>
  <c r="H5" i="28"/>
  <c r="H6" i="29"/>
  <c r="H5" i="31" s="1"/>
  <c r="D12" i="31"/>
  <c r="H19" i="30"/>
  <c r="G22" i="30"/>
  <c r="D9" i="31"/>
  <c r="F8" i="31"/>
  <c r="B8" i="31"/>
  <c r="C8" i="31"/>
  <c r="G15" i="31"/>
  <c r="F12" i="31"/>
  <c r="L16" i="30"/>
  <c r="K16" i="30"/>
  <c r="L11" i="30"/>
  <c r="J16" i="29"/>
  <c r="C5" i="23"/>
  <c r="I20" i="36" l="1"/>
  <c r="I22" i="36"/>
  <c r="J18" i="37"/>
  <c r="I21" i="37"/>
  <c r="I11" i="34"/>
  <c r="I12" i="34" s="1"/>
  <c r="H17" i="35"/>
  <c r="G18" i="35"/>
  <c r="G19" i="35" s="1"/>
  <c r="G21" i="35" s="1"/>
  <c r="I14" i="37"/>
  <c r="I15" i="37" s="1"/>
  <c r="J12" i="37" s="1"/>
  <c r="G13" i="29"/>
  <c r="G14" i="29" s="1"/>
  <c r="G21" i="31"/>
  <c r="G11" i="28" s="1"/>
  <c r="H12" i="29"/>
  <c r="H7" i="31" s="1"/>
  <c r="H7" i="29"/>
  <c r="H6" i="31" s="1"/>
  <c r="H6" i="28"/>
  <c r="H5" i="32" s="1"/>
  <c r="J6" i="29"/>
  <c r="J5" i="31" s="1"/>
  <c r="K4" i="28"/>
  <c r="J5" i="28"/>
  <c r="J8" i="28"/>
  <c r="F9" i="31"/>
  <c r="G9" i="31"/>
  <c r="H6" i="30" s="1"/>
  <c r="I12" i="29"/>
  <c r="I7" i="31" s="1"/>
  <c r="I7" i="29"/>
  <c r="I6" i="31" s="1"/>
  <c r="H20" i="31"/>
  <c r="G8" i="29"/>
  <c r="H12" i="31"/>
  <c r="H5" i="30"/>
  <c r="G10" i="28"/>
  <c r="K16" i="29"/>
  <c r="H110" i="26"/>
  <c r="G110" i="26"/>
  <c r="F110" i="26"/>
  <c r="E110" i="26"/>
  <c r="D110" i="26"/>
  <c r="H105" i="26"/>
  <c r="G105" i="26"/>
  <c r="F105" i="26"/>
  <c r="E105" i="26"/>
  <c r="D105" i="26"/>
  <c r="M103" i="26"/>
  <c r="L103" i="26"/>
  <c r="K103" i="26"/>
  <c r="K78" i="26" s="1"/>
  <c r="K130" i="26" s="1"/>
  <c r="J103" i="26"/>
  <c r="I103" i="26"/>
  <c r="H103" i="26"/>
  <c r="G103" i="26"/>
  <c r="E103" i="26"/>
  <c r="D103" i="26"/>
  <c r="H102" i="26"/>
  <c r="H104" i="26" s="1"/>
  <c r="I102" i="26" s="1"/>
  <c r="G102" i="26"/>
  <c r="G104" i="26" s="1"/>
  <c r="F102" i="26"/>
  <c r="F104" i="26" s="1"/>
  <c r="E102" i="26"/>
  <c r="E104" i="26" s="1"/>
  <c r="D102" i="26"/>
  <c r="H99" i="26"/>
  <c r="G99" i="26"/>
  <c r="F99" i="26"/>
  <c r="E99" i="26"/>
  <c r="D99" i="26"/>
  <c r="H98" i="26"/>
  <c r="G98" i="26"/>
  <c r="F98" i="26"/>
  <c r="E98" i="26"/>
  <c r="D98" i="26"/>
  <c r="M97" i="26"/>
  <c r="L97" i="26"/>
  <c r="K97" i="26"/>
  <c r="J97" i="26"/>
  <c r="I97" i="26"/>
  <c r="H97" i="26"/>
  <c r="G97" i="26"/>
  <c r="F97" i="26"/>
  <c r="E97" i="26"/>
  <c r="D97" i="26"/>
  <c r="I96" i="26"/>
  <c r="H91" i="26"/>
  <c r="G91" i="26"/>
  <c r="F91" i="26"/>
  <c r="E91" i="26"/>
  <c r="D91" i="26"/>
  <c r="H90" i="26"/>
  <c r="G90" i="26"/>
  <c r="F90" i="26"/>
  <c r="E90" i="26"/>
  <c r="D90" i="26"/>
  <c r="H89" i="26"/>
  <c r="G89" i="26"/>
  <c r="F89" i="26"/>
  <c r="E89" i="26"/>
  <c r="D89" i="26"/>
  <c r="H82" i="26"/>
  <c r="H84" i="26" s="1"/>
  <c r="G82" i="26"/>
  <c r="G84" i="26" s="1"/>
  <c r="F82" i="26"/>
  <c r="F84" i="26" s="1"/>
  <c r="E82" i="26"/>
  <c r="E84" i="26" s="1"/>
  <c r="D82" i="26"/>
  <c r="D84" i="26" s="1"/>
  <c r="J78" i="26"/>
  <c r="J130" i="26" s="1"/>
  <c r="H78" i="26"/>
  <c r="H130" i="26" s="1"/>
  <c r="G78" i="26"/>
  <c r="G130" i="26" s="1"/>
  <c r="F78" i="26"/>
  <c r="F130" i="26" s="1"/>
  <c r="E78" i="26"/>
  <c r="E130" i="26" s="1"/>
  <c r="D78" i="26"/>
  <c r="D130" i="26" s="1"/>
  <c r="L78" i="26"/>
  <c r="L130" i="26" s="1"/>
  <c r="L73" i="26"/>
  <c r="L129" i="26" s="1"/>
  <c r="I73" i="26"/>
  <c r="I129" i="26" s="1"/>
  <c r="H73" i="26"/>
  <c r="H129" i="26" s="1"/>
  <c r="G73" i="26"/>
  <c r="G129" i="26" s="1"/>
  <c r="F73" i="26"/>
  <c r="F129" i="26" s="1"/>
  <c r="E73" i="26"/>
  <c r="E129" i="26" s="1"/>
  <c r="D73" i="26"/>
  <c r="D129" i="26" s="1"/>
  <c r="M73" i="26"/>
  <c r="M129" i="26" s="1"/>
  <c r="K73" i="26"/>
  <c r="K129" i="26" s="1"/>
  <c r="J73" i="26"/>
  <c r="J129" i="26" s="1"/>
  <c r="H69" i="26"/>
  <c r="H128" i="26" s="1"/>
  <c r="G69" i="26"/>
  <c r="G128" i="26" s="1"/>
  <c r="F69" i="26"/>
  <c r="F128" i="26" s="1"/>
  <c r="E69" i="26"/>
  <c r="E128" i="26" s="1"/>
  <c r="D69" i="26"/>
  <c r="D128" i="26" s="1"/>
  <c r="H57" i="26"/>
  <c r="G57" i="26"/>
  <c r="F57" i="26"/>
  <c r="E57" i="26"/>
  <c r="D57" i="26"/>
  <c r="H53" i="26"/>
  <c r="G53" i="26"/>
  <c r="G58" i="26" s="1"/>
  <c r="F53" i="26"/>
  <c r="F58" i="26" s="1"/>
  <c r="E53" i="26"/>
  <c r="D53" i="26"/>
  <c r="H48" i="26"/>
  <c r="G48" i="26"/>
  <c r="F48" i="26"/>
  <c r="E48" i="26"/>
  <c r="D48" i="26"/>
  <c r="H34" i="26"/>
  <c r="G34" i="26"/>
  <c r="F34" i="26"/>
  <c r="E34" i="26"/>
  <c r="D34" i="26"/>
  <c r="H28" i="26"/>
  <c r="H111" i="26" s="1"/>
  <c r="G28" i="26"/>
  <c r="G111" i="26" s="1"/>
  <c r="F28" i="26"/>
  <c r="F111" i="26" s="1"/>
  <c r="E28" i="26"/>
  <c r="E35" i="26" s="1"/>
  <c r="D28" i="26"/>
  <c r="F3" i="26"/>
  <c r="G3" i="26" s="1"/>
  <c r="H3" i="26" s="1"/>
  <c r="I3" i="26" s="1"/>
  <c r="J3" i="26" s="1"/>
  <c r="K3" i="26" s="1"/>
  <c r="L3" i="26" s="1"/>
  <c r="M3" i="26" s="1"/>
  <c r="E3" i="26"/>
  <c r="D10" i="21"/>
  <c r="E9" i="21"/>
  <c r="J19" i="36" l="1"/>
  <c r="I5" i="35"/>
  <c r="I9" i="35" s="1"/>
  <c r="I14" i="34"/>
  <c r="I15" i="34" s="1"/>
  <c r="J20" i="37"/>
  <c r="H18" i="35"/>
  <c r="H19" i="35" s="1"/>
  <c r="H21" i="35" s="1"/>
  <c r="G12" i="28"/>
  <c r="G13" i="28" s="1"/>
  <c r="G15" i="28" s="1"/>
  <c r="G16" i="28" s="1"/>
  <c r="J14" i="37"/>
  <c r="J15" i="37" s="1"/>
  <c r="K12" i="37" s="1"/>
  <c r="I8" i="31"/>
  <c r="H8" i="31"/>
  <c r="H9" i="31" s="1"/>
  <c r="I6" i="30" s="1"/>
  <c r="E92" i="26"/>
  <c r="E58" i="26"/>
  <c r="F96" i="26"/>
  <c r="J6" i="28"/>
  <c r="J5" i="32" s="1"/>
  <c r="J12" i="29"/>
  <c r="J7" i="31" s="1"/>
  <c r="J7" i="29"/>
  <c r="J6" i="31" s="1"/>
  <c r="K8" i="28"/>
  <c r="K6" i="29"/>
  <c r="K5" i="31" s="1"/>
  <c r="K5" i="28"/>
  <c r="K6" i="28"/>
  <c r="K5" i="32" s="1"/>
  <c r="H13" i="29"/>
  <c r="H14" i="29" s="1"/>
  <c r="H21" i="31"/>
  <c r="H11" i="28" s="1"/>
  <c r="H14" i="31"/>
  <c r="H15" i="31" s="1"/>
  <c r="I18" i="31"/>
  <c r="I20" i="31" s="1"/>
  <c r="H4" i="30"/>
  <c r="H7" i="30" s="1"/>
  <c r="H18" i="30" s="1"/>
  <c r="H20" i="30" s="1"/>
  <c r="G17" i="29"/>
  <c r="D104" i="26"/>
  <c r="E60" i="26"/>
  <c r="E4" i="26" s="1"/>
  <c r="F60" i="26"/>
  <c r="F4" i="26" s="1"/>
  <c r="F92" i="26"/>
  <c r="F93" i="26" s="1"/>
  <c r="G92" i="26"/>
  <c r="E96" i="26"/>
  <c r="D35" i="26"/>
  <c r="G96" i="26"/>
  <c r="D96" i="26"/>
  <c r="H96" i="26"/>
  <c r="F35" i="26"/>
  <c r="F38" i="26" s="1"/>
  <c r="E38" i="26"/>
  <c r="I104" i="26"/>
  <c r="I110" i="26"/>
  <c r="I28" i="26"/>
  <c r="I89" i="26"/>
  <c r="I78" i="26"/>
  <c r="I130" i="26" s="1"/>
  <c r="D38" i="26"/>
  <c r="H35" i="26"/>
  <c r="D58" i="26"/>
  <c r="D60" i="26" s="1"/>
  <c r="D4" i="26" s="1"/>
  <c r="H58" i="26"/>
  <c r="H60" i="26" s="1"/>
  <c r="H4" i="26" s="1"/>
  <c r="I98" i="26"/>
  <c r="D111" i="26"/>
  <c r="E111" i="26"/>
  <c r="G60" i="26"/>
  <c r="G4" i="26" s="1"/>
  <c r="D92" i="26"/>
  <c r="D93" i="26" s="1"/>
  <c r="H92" i="26"/>
  <c r="H93" i="26" s="1"/>
  <c r="G35" i="26"/>
  <c r="E110" i="21"/>
  <c r="F110" i="21"/>
  <c r="G110" i="21"/>
  <c r="H110" i="21"/>
  <c r="D110" i="21"/>
  <c r="L103" i="21"/>
  <c r="L77" i="21" s="1"/>
  <c r="M103" i="21"/>
  <c r="M77" i="21" s="1"/>
  <c r="I103" i="21"/>
  <c r="J103" i="21"/>
  <c r="J77" i="21" s="1"/>
  <c r="J78" i="21" s="1"/>
  <c r="J130" i="21" s="1"/>
  <c r="K103" i="21"/>
  <c r="K76" i="21" s="1"/>
  <c r="K78" i="21" s="1"/>
  <c r="K130" i="21" s="1"/>
  <c r="H99" i="21"/>
  <c r="I96" i="21" s="1"/>
  <c r="J97" i="21"/>
  <c r="J72" i="21" s="1"/>
  <c r="J73" i="21" s="1"/>
  <c r="J129" i="21" s="1"/>
  <c r="K97" i="21"/>
  <c r="K72" i="21" s="1"/>
  <c r="K73" i="21" s="1"/>
  <c r="K129" i="21" s="1"/>
  <c r="L97" i="21"/>
  <c r="L72" i="21" s="1"/>
  <c r="L73" i="21" s="1"/>
  <c r="L129" i="21" s="1"/>
  <c r="M97" i="21"/>
  <c r="M72" i="21" s="1"/>
  <c r="M73" i="21" s="1"/>
  <c r="M129" i="21" s="1"/>
  <c r="I97" i="21"/>
  <c r="I72" i="21" s="1"/>
  <c r="I73" i="21" s="1"/>
  <c r="I129" i="21" s="1"/>
  <c r="J31" i="21"/>
  <c r="K31" i="21"/>
  <c r="L31" i="21"/>
  <c r="M31" i="21"/>
  <c r="I31" i="21"/>
  <c r="I26" i="21"/>
  <c r="I30" i="21" s="1"/>
  <c r="J22" i="36" l="1"/>
  <c r="J20" i="36"/>
  <c r="I4" i="36"/>
  <c r="I17" i="35"/>
  <c r="J21" i="37"/>
  <c r="J11" i="34"/>
  <c r="J12" i="34" s="1"/>
  <c r="J14" i="34" s="1"/>
  <c r="J15" i="34" s="1"/>
  <c r="J4" i="36" s="1"/>
  <c r="K18" i="37"/>
  <c r="K20" i="37" s="1"/>
  <c r="K14" i="37"/>
  <c r="K15" i="37" s="1"/>
  <c r="I9" i="31"/>
  <c r="J6" i="30" s="1"/>
  <c r="J8" i="31"/>
  <c r="J9" i="31" s="1"/>
  <c r="K6" i="30" s="1"/>
  <c r="G93" i="26"/>
  <c r="I98" i="21"/>
  <c r="I67" i="21" s="1"/>
  <c r="I99" i="21"/>
  <c r="M76" i="21"/>
  <c r="L76" i="21"/>
  <c r="L78" i="21" s="1"/>
  <c r="L130" i="21" s="1"/>
  <c r="K7" i="29"/>
  <c r="K6" i="31" s="1"/>
  <c r="K12" i="29"/>
  <c r="K7" i="31" s="1"/>
  <c r="K8" i="31"/>
  <c r="I5" i="30"/>
  <c r="H10" i="28"/>
  <c r="H12" i="28" s="1"/>
  <c r="H13" i="28" s="1"/>
  <c r="H15" i="28" s="1"/>
  <c r="H16" i="28" s="1"/>
  <c r="I4" i="30" s="1"/>
  <c r="I7" i="30" s="1"/>
  <c r="I18" i="30" s="1"/>
  <c r="I12" i="31"/>
  <c r="H8" i="29"/>
  <c r="I13" i="29"/>
  <c r="I14" i="29" s="1"/>
  <c r="I21" i="31"/>
  <c r="I11" i="28" s="1"/>
  <c r="J18" i="31"/>
  <c r="J20" i="31" s="1"/>
  <c r="I19" i="30"/>
  <c r="G5" i="29"/>
  <c r="G9" i="29" s="1"/>
  <c r="G18" i="29"/>
  <c r="G19" i="29" s="1"/>
  <c r="H17" i="29"/>
  <c r="J26" i="21"/>
  <c r="I110" i="21"/>
  <c r="I27" i="21"/>
  <c r="I45" i="21"/>
  <c r="I89" i="21" s="1"/>
  <c r="E93" i="26"/>
  <c r="J89" i="26"/>
  <c r="J110" i="26"/>
  <c r="J102" i="26"/>
  <c r="M78" i="26"/>
  <c r="M130" i="26" s="1"/>
  <c r="I90" i="26"/>
  <c r="G38" i="26"/>
  <c r="I99" i="26"/>
  <c r="H38" i="26"/>
  <c r="I111" i="26"/>
  <c r="I105" i="26"/>
  <c r="M78" i="21"/>
  <c r="M130" i="21" s="1"/>
  <c r="I32" i="21"/>
  <c r="E21" i="21"/>
  <c r="F21" i="21"/>
  <c r="G21" i="21"/>
  <c r="H21" i="21"/>
  <c r="D21" i="21"/>
  <c r="E20" i="21"/>
  <c r="F20" i="21"/>
  <c r="G20" i="21"/>
  <c r="H20" i="21"/>
  <c r="D20" i="21"/>
  <c r="E19" i="21"/>
  <c r="F19" i="21"/>
  <c r="G19" i="21"/>
  <c r="H19" i="21"/>
  <c r="D19" i="21"/>
  <c r="E18" i="21"/>
  <c r="F18" i="21"/>
  <c r="G18" i="21"/>
  <c r="H18" i="21"/>
  <c r="D18" i="21"/>
  <c r="E17" i="21"/>
  <c r="F17" i="21"/>
  <c r="G17" i="21"/>
  <c r="H17" i="21"/>
  <c r="D17" i="21"/>
  <c r="E16" i="21"/>
  <c r="F16" i="21"/>
  <c r="G16" i="21"/>
  <c r="H16" i="21"/>
  <c r="D16" i="21"/>
  <c r="E14" i="21"/>
  <c r="F14" i="21"/>
  <c r="G14" i="21"/>
  <c r="H14" i="21"/>
  <c r="D14" i="21"/>
  <c r="E13" i="21"/>
  <c r="F13" i="21"/>
  <c r="G13" i="21"/>
  <c r="H13" i="21"/>
  <c r="D13" i="21"/>
  <c r="E12" i="21"/>
  <c r="F12" i="21"/>
  <c r="G12" i="21"/>
  <c r="H12" i="21"/>
  <c r="D12" i="21"/>
  <c r="E11" i="21"/>
  <c r="F11" i="21"/>
  <c r="G11" i="21"/>
  <c r="H11" i="21"/>
  <c r="D11" i="21"/>
  <c r="E10" i="21"/>
  <c r="F10" i="21"/>
  <c r="G10" i="21"/>
  <c r="H10" i="21"/>
  <c r="F9" i="21"/>
  <c r="G9" i="21"/>
  <c r="H9" i="21"/>
  <c r="E105" i="21"/>
  <c r="F105" i="21"/>
  <c r="G105" i="21"/>
  <c r="H105" i="21"/>
  <c r="D105" i="21"/>
  <c r="E103" i="21"/>
  <c r="G103" i="21"/>
  <c r="H103" i="21"/>
  <c r="H104" i="21" s="1"/>
  <c r="I102" i="21" s="1"/>
  <c r="D103" i="21"/>
  <c r="F102" i="21"/>
  <c r="F104" i="21" s="1"/>
  <c r="G102" i="21"/>
  <c r="E97" i="21"/>
  <c r="F97" i="21"/>
  <c r="G97" i="21"/>
  <c r="H97" i="21"/>
  <c r="D97" i="21"/>
  <c r="E98" i="21"/>
  <c r="F98" i="21"/>
  <c r="G98" i="21"/>
  <c r="H98" i="21"/>
  <c r="D98" i="21"/>
  <c r="F99" i="21"/>
  <c r="G99" i="21"/>
  <c r="D99" i="21"/>
  <c r="E91" i="21"/>
  <c r="F91" i="21"/>
  <c r="G91" i="21"/>
  <c r="H91" i="21"/>
  <c r="E90" i="21"/>
  <c r="F90" i="21"/>
  <c r="G90" i="21"/>
  <c r="H90" i="21"/>
  <c r="E89" i="21"/>
  <c r="F89" i="21"/>
  <c r="F92" i="21" s="1"/>
  <c r="G89" i="21"/>
  <c r="H89" i="21"/>
  <c r="D91" i="21"/>
  <c r="D90" i="21"/>
  <c r="E84" i="21"/>
  <c r="F82" i="21"/>
  <c r="F84" i="21" s="1"/>
  <c r="G82" i="21"/>
  <c r="G84" i="21" s="1"/>
  <c r="H82" i="21"/>
  <c r="I81" i="21" s="1"/>
  <c r="D84" i="21"/>
  <c r="E78" i="21"/>
  <c r="E130" i="21" s="1"/>
  <c r="F78" i="21"/>
  <c r="F130" i="21" s="1"/>
  <c r="G78" i="21"/>
  <c r="G130" i="21" s="1"/>
  <c r="H78" i="21"/>
  <c r="H130" i="21" s="1"/>
  <c r="D78" i="21"/>
  <c r="D130" i="21" s="1"/>
  <c r="E73" i="21"/>
  <c r="E129" i="21" s="1"/>
  <c r="F73" i="21"/>
  <c r="F129" i="21" s="1"/>
  <c r="G73" i="21"/>
  <c r="G129" i="21" s="1"/>
  <c r="H73" i="21"/>
  <c r="H129" i="21" s="1"/>
  <c r="D73" i="21"/>
  <c r="D129" i="21" s="1"/>
  <c r="E69" i="21"/>
  <c r="E128" i="21" s="1"/>
  <c r="F69" i="21"/>
  <c r="F128" i="21" s="1"/>
  <c r="G69" i="21"/>
  <c r="G128" i="21" s="1"/>
  <c r="H69" i="21"/>
  <c r="H128" i="21" s="1"/>
  <c r="D128" i="21"/>
  <c r="E57" i="21"/>
  <c r="F57" i="21"/>
  <c r="G57" i="21"/>
  <c r="H57" i="21"/>
  <c r="D57" i="21"/>
  <c r="D53" i="21"/>
  <c r="E53" i="21"/>
  <c r="F53" i="21"/>
  <c r="G53" i="21"/>
  <c r="H53" i="21"/>
  <c r="E48" i="21"/>
  <c r="F48" i="21"/>
  <c r="G48" i="21"/>
  <c r="H48" i="21"/>
  <c r="D48" i="21"/>
  <c r="E34" i="21"/>
  <c r="F34" i="21"/>
  <c r="G34" i="21"/>
  <c r="H34" i="21"/>
  <c r="D34" i="21"/>
  <c r="E28" i="21"/>
  <c r="E111" i="21" s="1"/>
  <c r="F28" i="21"/>
  <c r="F111" i="21" s="1"/>
  <c r="G28" i="21"/>
  <c r="G111" i="21" s="1"/>
  <c r="H28" i="21"/>
  <c r="H111" i="21" s="1"/>
  <c r="D28" i="21"/>
  <c r="D111" i="21" s="1"/>
  <c r="J5" i="35" l="1"/>
  <c r="J9" i="35" s="1"/>
  <c r="K19" i="36"/>
  <c r="J17" i="35"/>
  <c r="J18" i="35" s="1"/>
  <c r="J19" i="35" s="1"/>
  <c r="J21" i="35" s="1"/>
  <c r="I18" i="35"/>
  <c r="I19" i="35" s="1"/>
  <c r="I21" i="35" s="1"/>
  <c r="K21" i="37"/>
  <c r="K11" i="34"/>
  <c r="K12" i="34" s="1"/>
  <c r="I20" i="30"/>
  <c r="H5" i="29" s="1"/>
  <c r="H9" i="29" s="1"/>
  <c r="K9" i="31"/>
  <c r="L6" i="30" s="1"/>
  <c r="H92" i="21"/>
  <c r="G92" i="21"/>
  <c r="G93" i="21" s="1"/>
  <c r="E92" i="21"/>
  <c r="F93" i="21" s="1"/>
  <c r="K18" i="31"/>
  <c r="K20" i="31" s="1"/>
  <c r="J13" i="29"/>
  <c r="J14" i="29" s="1"/>
  <c r="J21" i="31"/>
  <c r="J11" i="28" s="1"/>
  <c r="I14" i="31"/>
  <c r="G21" i="29"/>
  <c r="H22" i="30"/>
  <c r="H18" i="29"/>
  <c r="H19" i="29" s="1"/>
  <c r="H96" i="21"/>
  <c r="G104" i="21"/>
  <c r="D104" i="21"/>
  <c r="H58" i="21"/>
  <c r="H60" i="21" s="1"/>
  <c r="F35" i="21"/>
  <c r="D35" i="21"/>
  <c r="E35" i="21"/>
  <c r="H35" i="21"/>
  <c r="G35" i="21"/>
  <c r="I51" i="21"/>
  <c r="I91" i="21" s="1"/>
  <c r="I46" i="21"/>
  <c r="I90" i="21" s="1"/>
  <c r="I28" i="21"/>
  <c r="I111" i="21" s="1"/>
  <c r="J110" i="21"/>
  <c r="J30" i="21"/>
  <c r="K26" i="21"/>
  <c r="J45" i="21"/>
  <c r="J89" i="21" s="1"/>
  <c r="J27" i="21"/>
  <c r="J28" i="21" s="1"/>
  <c r="J111" i="21" s="1"/>
  <c r="I34" i="26"/>
  <c r="I35" i="26" s="1"/>
  <c r="I38" i="26"/>
  <c r="J90" i="26"/>
  <c r="J96" i="26"/>
  <c r="K110" i="26"/>
  <c r="K89" i="26"/>
  <c r="K28" i="26"/>
  <c r="I91" i="26"/>
  <c r="I92" i="26" s="1"/>
  <c r="I93" i="26" s="1"/>
  <c r="I53" i="26"/>
  <c r="J104" i="26"/>
  <c r="J105" i="26" s="1"/>
  <c r="J28" i="26"/>
  <c r="H84" i="21"/>
  <c r="J96" i="21"/>
  <c r="J98" i="21" s="1"/>
  <c r="I47" i="21"/>
  <c r="G96" i="21"/>
  <c r="D92" i="21"/>
  <c r="D93" i="21" s="1"/>
  <c r="D96" i="21"/>
  <c r="E58" i="21"/>
  <c r="E60" i="21" s="1"/>
  <c r="G58" i="21"/>
  <c r="G60" i="21" s="1"/>
  <c r="D58" i="21"/>
  <c r="D60" i="21" s="1"/>
  <c r="F58" i="21"/>
  <c r="F60" i="21" s="1"/>
  <c r="F96" i="21"/>
  <c r="E96" i="21"/>
  <c r="E104" i="21"/>
  <c r="K20" i="36" l="1"/>
  <c r="K5" i="35" s="1"/>
  <c r="K9" i="35" s="1"/>
  <c r="K22" i="36"/>
  <c r="K14" i="34"/>
  <c r="K15" i="34" s="1"/>
  <c r="J19" i="30"/>
  <c r="H93" i="21"/>
  <c r="E93" i="21"/>
  <c r="H21" i="29"/>
  <c r="J5" i="30"/>
  <c r="I10" i="28"/>
  <c r="I12" i="28" s="1"/>
  <c r="I13" i="28" s="1"/>
  <c r="I15" i="28" s="1"/>
  <c r="I16" i="28" s="1"/>
  <c r="I15" i="31"/>
  <c r="K13" i="29"/>
  <c r="K14" i="29" s="1"/>
  <c r="K21" i="31"/>
  <c r="K11" i="28" s="1"/>
  <c r="I22" i="30"/>
  <c r="I92" i="21"/>
  <c r="I93" i="21" s="1"/>
  <c r="I68" i="21" s="1"/>
  <c r="E38" i="21"/>
  <c r="E15" i="21"/>
  <c r="D38" i="21"/>
  <c r="D15" i="21"/>
  <c r="H38" i="21"/>
  <c r="H15" i="21"/>
  <c r="G15" i="21"/>
  <c r="G38" i="21"/>
  <c r="F38" i="21"/>
  <c r="F15" i="21"/>
  <c r="J51" i="21"/>
  <c r="J91" i="21" s="1"/>
  <c r="J46" i="21"/>
  <c r="J90" i="21" s="1"/>
  <c r="K110" i="21"/>
  <c r="K30" i="21"/>
  <c r="L26" i="21"/>
  <c r="K45" i="21"/>
  <c r="K89" i="21" s="1"/>
  <c r="K27" i="21"/>
  <c r="J99" i="21"/>
  <c r="J47" i="21" s="1"/>
  <c r="I69" i="26"/>
  <c r="K111" i="26"/>
  <c r="J98" i="26"/>
  <c r="J99" i="26" s="1"/>
  <c r="K90" i="26"/>
  <c r="J91" i="26"/>
  <c r="J92" i="26" s="1"/>
  <c r="J93" i="26" s="1"/>
  <c r="J111" i="26"/>
  <c r="K102" i="26"/>
  <c r="J53" i="26"/>
  <c r="L110" i="26"/>
  <c r="L89" i="26"/>
  <c r="J32" i="21"/>
  <c r="J67" i="21"/>
  <c r="C16" i="23"/>
  <c r="C15" i="23"/>
  <c r="K4" i="36" l="1"/>
  <c r="K17" i="35"/>
  <c r="K18" i="35" s="1"/>
  <c r="K19" i="35" s="1"/>
  <c r="K21" i="35" s="1"/>
  <c r="K96" i="21"/>
  <c r="K98" i="21" s="1"/>
  <c r="K67" i="21" s="1"/>
  <c r="J12" i="31"/>
  <c r="I8" i="29"/>
  <c r="J4" i="30"/>
  <c r="J7" i="30" s="1"/>
  <c r="J18" i="30" s="1"/>
  <c r="J20" i="30" s="1"/>
  <c r="I17" i="29"/>
  <c r="J92" i="21"/>
  <c r="J93" i="21" s="1"/>
  <c r="J68" i="21" s="1"/>
  <c r="K51" i="21"/>
  <c r="K91" i="21" s="1"/>
  <c r="K46" i="21"/>
  <c r="K90" i="21" s="1"/>
  <c r="L45" i="21"/>
  <c r="L89" i="21" s="1"/>
  <c r="L27" i="21"/>
  <c r="L110" i="21"/>
  <c r="L30" i="21"/>
  <c r="M26" i="21"/>
  <c r="K28" i="21"/>
  <c r="K111" i="21" s="1"/>
  <c r="M110" i="26"/>
  <c r="M89" i="26"/>
  <c r="M28" i="26"/>
  <c r="M111" i="26" s="1"/>
  <c r="K91" i="26"/>
  <c r="K92" i="26" s="1"/>
  <c r="K93" i="26" s="1"/>
  <c r="L90" i="26"/>
  <c r="L28" i="26"/>
  <c r="K104" i="26"/>
  <c r="J34" i="26"/>
  <c r="J35" i="26" s="1"/>
  <c r="I57" i="26"/>
  <c r="I58" i="26" s="1"/>
  <c r="K96" i="26"/>
  <c r="I128" i="26"/>
  <c r="I82" i="26"/>
  <c r="K32" i="21"/>
  <c r="E3" i="21"/>
  <c r="F3" i="21" s="1"/>
  <c r="G3" i="21" s="1"/>
  <c r="H3" i="21" s="1"/>
  <c r="I3" i="21" s="1"/>
  <c r="K99" i="21" l="1"/>
  <c r="L96" i="21" s="1"/>
  <c r="L98" i="21" s="1"/>
  <c r="L99" i="21" s="1"/>
  <c r="K92" i="21"/>
  <c r="K93" i="21" s="1"/>
  <c r="K68" i="21" s="1"/>
  <c r="I18" i="29"/>
  <c r="I19" i="29" s="1"/>
  <c r="K19" i="30"/>
  <c r="I5" i="29"/>
  <c r="I9" i="29" s="1"/>
  <c r="J14" i="31"/>
  <c r="L51" i="21"/>
  <c r="L91" i="21" s="1"/>
  <c r="L46" i="21"/>
  <c r="L90" i="21" s="1"/>
  <c r="L92" i="21" s="1"/>
  <c r="M45" i="21"/>
  <c r="M89" i="21" s="1"/>
  <c r="M27" i="21"/>
  <c r="M110" i="21"/>
  <c r="M30" i="21"/>
  <c r="L28" i="21"/>
  <c r="L111" i="21" s="1"/>
  <c r="L111" i="26"/>
  <c r="J38" i="26"/>
  <c r="L102" i="26"/>
  <c r="K53" i="26"/>
  <c r="L91" i="26"/>
  <c r="L92" i="26" s="1"/>
  <c r="L93" i="26" s="1"/>
  <c r="I48" i="26"/>
  <c r="I60" i="26" s="1"/>
  <c r="I4" i="26" s="1"/>
  <c r="K98" i="26"/>
  <c r="K105" i="26"/>
  <c r="M90" i="26"/>
  <c r="K47" i="21"/>
  <c r="J3" i="21"/>
  <c r="K3" i="21" s="1"/>
  <c r="L3" i="21" s="1"/>
  <c r="M3" i="21" s="1"/>
  <c r="F4" i="21"/>
  <c r="G4" i="21"/>
  <c r="E4" i="21"/>
  <c r="D4" i="21"/>
  <c r="H4" i="21"/>
  <c r="L93" i="21" l="1"/>
  <c r="L68" i="21" s="1"/>
  <c r="I21" i="29"/>
  <c r="K5" i="30"/>
  <c r="J10" i="28"/>
  <c r="J12" i="28" s="1"/>
  <c r="J13" i="28" s="1"/>
  <c r="J15" i="28" s="1"/>
  <c r="J16" i="28" s="1"/>
  <c r="J15" i="31"/>
  <c r="J22" i="30"/>
  <c r="M46" i="21"/>
  <c r="M90" i="21" s="1"/>
  <c r="M51" i="21"/>
  <c r="M91" i="21" s="1"/>
  <c r="M28" i="21"/>
  <c r="M111" i="21" s="1"/>
  <c r="I84" i="26"/>
  <c r="M91" i="26"/>
  <c r="M92" i="26" s="1"/>
  <c r="M93" i="26" s="1"/>
  <c r="K34" i="26"/>
  <c r="K35" i="26" s="1"/>
  <c r="L104" i="26"/>
  <c r="J69" i="26"/>
  <c r="K99" i="26"/>
  <c r="M96" i="21"/>
  <c r="M98" i="21" s="1"/>
  <c r="L47" i="21"/>
  <c r="L32" i="21"/>
  <c r="L67" i="21"/>
  <c r="K4" i="30" l="1"/>
  <c r="K7" i="30" s="1"/>
  <c r="K18" i="30" s="1"/>
  <c r="K20" i="30" s="1"/>
  <c r="J17" i="29"/>
  <c r="K12" i="31"/>
  <c r="J8" i="29"/>
  <c r="M92" i="21"/>
  <c r="M93" i="21" s="1"/>
  <c r="M68" i="21" s="1"/>
  <c r="L53" i="26"/>
  <c r="M102" i="26"/>
  <c r="J82" i="26"/>
  <c r="J128" i="26"/>
  <c r="L96" i="26"/>
  <c r="K38" i="26"/>
  <c r="K69" i="26" s="1"/>
  <c r="L105" i="26"/>
  <c r="J57" i="26"/>
  <c r="J58" i="26" s="1"/>
  <c r="M32" i="21"/>
  <c r="M67" i="21"/>
  <c r="M99" i="21"/>
  <c r="M47" i="21" s="1"/>
  <c r="K14" i="31" l="1"/>
  <c r="K15" i="31"/>
  <c r="K8" i="29" s="1"/>
  <c r="J18" i="29"/>
  <c r="J19" i="29" s="1"/>
  <c r="J5" i="29"/>
  <c r="J9" i="29" s="1"/>
  <c r="L19" i="30"/>
  <c r="K128" i="26"/>
  <c r="J48" i="26"/>
  <c r="J60" i="26" s="1"/>
  <c r="J4" i="26" s="1"/>
  <c r="M104" i="26"/>
  <c r="M53" i="26" s="1"/>
  <c r="L98" i="26"/>
  <c r="L99" i="26" s="1"/>
  <c r="I77" i="21"/>
  <c r="I104" i="21"/>
  <c r="J102" i="21" s="1"/>
  <c r="K22" i="30" l="1"/>
  <c r="J21" i="29"/>
  <c r="L5" i="30"/>
  <c r="K10" i="28"/>
  <c r="K12" i="28" s="1"/>
  <c r="K13" i="28" s="1"/>
  <c r="K15" i="28" s="1"/>
  <c r="K16" i="28" s="1"/>
  <c r="M105" i="26"/>
  <c r="M96" i="26"/>
  <c r="K57" i="26"/>
  <c r="K58" i="26" s="1"/>
  <c r="L34" i="26"/>
  <c r="L35" i="26" s="1"/>
  <c r="J84" i="26"/>
  <c r="K82" i="26"/>
  <c r="I55" i="21"/>
  <c r="J55" i="21" s="1"/>
  <c r="I78" i="21"/>
  <c r="I130" i="21" s="1"/>
  <c r="J104" i="21"/>
  <c r="J105" i="21" s="1"/>
  <c r="J33" i="21" s="1"/>
  <c r="J34" i="21" s="1"/>
  <c r="J35" i="21" s="1"/>
  <c r="I105" i="21"/>
  <c r="I33" i="21" s="1"/>
  <c r="I34" i="21" s="1"/>
  <c r="I35" i="21" s="1"/>
  <c r="I37" i="21" s="1"/>
  <c r="I52" i="21"/>
  <c r="I53" i="21" s="1"/>
  <c r="L4" i="30" l="1"/>
  <c r="L7" i="30" s="1"/>
  <c r="L18" i="30" s="1"/>
  <c r="L20" i="30" s="1"/>
  <c r="K17" i="29"/>
  <c r="K18" i="29" s="1"/>
  <c r="K19" i="29" s="1"/>
  <c r="L38" i="26"/>
  <c r="M98" i="26"/>
  <c r="K48" i="26"/>
  <c r="K60" i="26" s="1"/>
  <c r="K4" i="26" s="1"/>
  <c r="J37" i="21"/>
  <c r="J38" i="21" s="1"/>
  <c r="J66" i="21" s="1"/>
  <c r="J69" i="21" s="1"/>
  <c r="K102" i="21"/>
  <c r="J52" i="21"/>
  <c r="J53" i="21" s="1"/>
  <c r="K55" i="21"/>
  <c r="I38" i="21"/>
  <c r="K5" i="29" l="1"/>
  <c r="K9" i="29" s="1"/>
  <c r="K21" i="29" s="1"/>
  <c r="J80" i="21"/>
  <c r="J128" i="21"/>
  <c r="L69" i="26"/>
  <c r="M34" i="26"/>
  <c r="M35" i="26" s="1"/>
  <c r="M99" i="26"/>
  <c r="K84" i="26"/>
  <c r="I66" i="21"/>
  <c r="I69" i="21" s="1"/>
  <c r="I80" i="21" s="1"/>
  <c r="I82" i="21" s="1"/>
  <c r="I56" i="21"/>
  <c r="K104" i="21"/>
  <c r="K105" i="21" s="1"/>
  <c r="K33" i="21" s="1"/>
  <c r="K34" i="21" s="1"/>
  <c r="K35" i="21" s="1"/>
  <c r="L55" i="21"/>
  <c r="L22" i="30" l="1"/>
  <c r="I44" i="21"/>
  <c r="I48" i="21" s="1"/>
  <c r="I128" i="21"/>
  <c r="L128" i="26"/>
  <c r="L82" i="26"/>
  <c r="M38" i="26"/>
  <c r="L57" i="26"/>
  <c r="L58" i="26" s="1"/>
  <c r="K37" i="21"/>
  <c r="K38" i="21" s="1"/>
  <c r="K66" i="21" s="1"/>
  <c r="K69" i="21" s="1"/>
  <c r="M55" i="21"/>
  <c r="J56" i="21"/>
  <c r="I57" i="21"/>
  <c r="I58" i="21" s="1"/>
  <c r="K52" i="21"/>
  <c r="K53" i="21" s="1"/>
  <c r="L102" i="21"/>
  <c r="I60" i="21" l="1"/>
  <c r="I4" i="21" s="1"/>
  <c r="J81" i="21"/>
  <c r="J82" i="21" s="1"/>
  <c r="J44" i="21" s="1"/>
  <c r="J48" i="21" s="1"/>
  <c r="K80" i="21"/>
  <c r="K128" i="21"/>
  <c r="M69" i="26"/>
  <c r="M57" i="26"/>
  <c r="M58" i="26" s="1"/>
  <c r="L48" i="26"/>
  <c r="L60" i="26" s="1"/>
  <c r="L4" i="26" s="1"/>
  <c r="I84" i="21"/>
  <c r="L104" i="21"/>
  <c r="L105" i="21" s="1"/>
  <c r="L33" i="21" s="1"/>
  <c r="L34" i="21" s="1"/>
  <c r="L35" i="21" s="1"/>
  <c r="K56" i="21"/>
  <c r="J57" i="21"/>
  <c r="J58" i="21" s="1"/>
  <c r="K81" i="21" l="1"/>
  <c r="K82" i="21" s="1"/>
  <c r="K44" i="21" s="1"/>
  <c r="K48" i="21" s="1"/>
  <c r="J84" i="21"/>
  <c r="M128" i="26"/>
  <c r="M82" i="26"/>
  <c r="L84" i="26"/>
  <c r="J60" i="21"/>
  <c r="J4" i="21" s="1"/>
  <c r="L37" i="21"/>
  <c r="L38" i="21" s="1"/>
  <c r="K57" i="21"/>
  <c r="K58" i="21" s="1"/>
  <c r="L52" i="21"/>
  <c r="L53" i="21" s="1"/>
  <c r="M102" i="21"/>
  <c r="L81" i="21" l="1"/>
  <c r="K84" i="21"/>
  <c r="M48" i="26"/>
  <c r="M60" i="26" s="1"/>
  <c r="M4" i="26" s="1"/>
  <c r="K60" i="21"/>
  <c r="K4" i="21" s="1"/>
  <c r="L66" i="21"/>
  <c r="L69" i="21" s="1"/>
  <c r="L56" i="21"/>
  <c r="L57" i="21" s="1"/>
  <c r="L58" i="21" s="1"/>
  <c r="M104" i="21"/>
  <c r="M52" i="21" s="1"/>
  <c r="M53" i="21" s="1"/>
  <c r="L80" i="21" l="1"/>
  <c r="L82" i="21" s="1"/>
  <c r="L44" i="21" s="1"/>
  <c r="L48" i="21" s="1"/>
  <c r="L60" i="21" s="1"/>
  <c r="L4" i="21" s="1"/>
  <c r="L128" i="21"/>
  <c r="M84" i="26"/>
  <c r="M105" i="21"/>
  <c r="M33" i="21" s="1"/>
  <c r="M34" i="21" s="1"/>
  <c r="M35" i="21" s="1"/>
  <c r="L84" i="21" l="1"/>
  <c r="M81" i="21"/>
  <c r="M37" i="21"/>
  <c r="M38" i="21" s="1"/>
  <c r="M66" i="21" l="1"/>
  <c r="M69" i="21" s="1"/>
  <c r="M56" i="21"/>
  <c r="M57" i="21" s="1"/>
  <c r="M58" i="21" s="1"/>
  <c r="M80" i="21" l="1"/>
  <c r="M82" i="21" s="1"/>
  <c r="M44" i="21" s="1"/>
  <c r="M48" i="21" s="1"/>
  <c r="M60" i="21" s="1"/>
  <c r="M4" i="21" s="1"/>
  <c r="M128" i="21"/>
  <c r="M84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Sunday</author>
  </authors>
  <commentList>
    <comment ref="G10" authorId="0" shapeId="0" xr:uid="{108EC06C-8430-4068-A51D-2137A3588AD1}">
      <text>
        <r>
          <rPr>
            <b/>
            <sz val="9"/>
            <color indexed="81"/>
            <rFont val="Tahoma"/>
            <charset val="1"/>
          </rPr>
          <t>Sunday:</t>
        </r>
        <r>
          <rPr>
            <sz val="9"/>
            <color indexed="81"/>
            <rFont val="Tahoma"/>
            <charset val="1"/>
          </rPr>
          <t xml:space="preserve">
Average (opening debt _ closing debt)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0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We are using term debt/bond in this example so there's no compounding interest. To learn more about revolver and compound interest, take our LBO modeling course.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0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We are using term debt/bond in this example so there's no compounding interest. To learn more about revolver and compound interest, take our LBO modeling course.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B8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We are using term debt/bond in this example so there's no compounding interest. To learn more about revolver and compound interest, take our LBO modeling course.</t>
        </r>
      </text>
    </comment>
    <comment ref="C8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We are using term debt/bond in this example so there's no compounding interest. To learn more about revolver and compound interest, take our LBO modeling course.</t>
        </r>
      </text>
    </comment>
  </commentList>
</comments>
</file>

<file path=xl/sharedStrings.xml><?xml version="1.0" encoding="utf-8"?>
<sst xmlns="http://schemas.openxmlformats.org/spreadsheetml/2006/main" count="541" uniqueCount="162">
  <si>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</si>
  <si>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</si>
  <si>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</si>
  <si>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</si>
  <si>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</si>
  <si>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</si>
  <si>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</si>
  <si>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</si>
  <si>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</si>
  <si>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</si>
  <si>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</si>
  <si>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</si>
  <si>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</si>
  <si>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</si>
  <si>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</si>
  <si>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</si>
  <si>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</si>
  <si>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</si>
  <si>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</si>
  <si>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</si>
  <si>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</si>
  <si>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</si>
  <si>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</si>
  <si>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</si>
  <si>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</si>
  <si>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</si>
  <si>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</si>
  <si>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</si>
  <si>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</si>
  <si>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</si>
  <si>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</si>
  <si>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</si>
  <si>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</si>
  <si>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</si>
  <si>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</si>
  <si>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</si>
  <si>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</si>
  <si>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</si>
  <si>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</si>
  <si>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</si>
  <si>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</si>
  <si>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</si>
  <si>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</si>
  <si>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</si>
  <si>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</si>
  <si>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</si>
  <si>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</si>
  <si>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</si>
  <si>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</si>
  <si>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</si>
  <si>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</si>
  <si>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</si>
  <si>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</si>
  <si>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</si>
  <si>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</si>
  <si>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</si>
  <si>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</si>
  <si>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</si>
  <si>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</si>
  <si>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</si>
  <si>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</si>
  <si>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</si>
  <si>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</si>
  <si>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</si>
  <si>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</si>
  <si>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</si>
  <si>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</si>
  <si>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</si>
  <si>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</si>
  <si>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</si>
  <si>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</si>
  <si>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</si>
  <si>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</si>
  <si>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</si>
  <si>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</si>
  <si>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LIVE SCENARIO</t>
  </si>
  <si>
    <t>Charts and Graphs</t>
  </si>
  <si>
    <t>Revenue</t>
  </si>
  <si>
    <t>Table of Contents</t>
  </si>
  <si>
    <t>HOUSE OF ACCOUNTANTS TRANING ON FINANCIAL MODELING</t>
  </si>
  <si>
    <t>HOA - Three Statement Model - Worksheet</t>
  </si>
  <si>
    <t>HOUSE OF ACCOUNTANTS PROFESSIONAL SERVICES - (+234) 07084195077</t>
  </si>
  <si>
    <t>OLASHORE JAMES, ACA, FMVA, HND</t>
  </si>
  <si>
    <t xml:space="preserve">HINTS ON PRACTICAL FINANCIAL MODELING </t>
  </si>
  <si>
    <t>A</t>
  </si>
  <si>
    <t>PART ONE - HISTORICAL INFORMATION</t>
  </si>
  <si>
    <t>Management Accounts Will help</t>
  </si>
  <si>
    <t>Re-Arrange Years</t>
  </si>
  <si>
    <t>Copy &amp; Paste Historical Figures</t>
  </si>
  <si>
    <t>Colour Black For Formular &amp; Blue For Ordinary</t>
  </si>
  <si>
    <t>Add Formular To Sub Total</t>
  </si>
  <si>
    <t>Balance All Statements Based On Historical Figures</t>
  </si>
  <si>
    <t xml:space="preserve">Prepare Supporting Schedules </t>
  </si>
  <si>
    <t>Working Capital</t>
  </si>
  <si>
    <t>WC= Trade Receivable + Inventory -Trade Payable</t>
  </si>
  <si>
    <t>Depreciation Schedule(Closing Ppe)</t>
  </si>
  <si>
    <t>OPNING PPE+ADDITION -DEPRE</t>
  </si>
  <si>
    <t>Debt &amp; Interest</t>
  </si>
  <si>
    <t>FROM SOFP</t>
  </si>
  <si>
    <t>B</t>
  </si>
  <si>
    <t>PART TWO (NORMAL ASSUMPTIONS)</t>
  </si>
  <si>
    <t>RATIOS BASED ON HISTORICAL FIGURES (LIVE SCENARIO)</t>
  </si>
  <si>
    <t>(Current Rev/Previous Rev)-1</t>
  </si>
  <si>
    <t>COS/Revenue</t>
  </si>
  <si>
    <t>Salary/Revenue</t>
  </si>
  <si>
    <t>Direct Figure</t>
  </si>
  <si>
    <t>Depre/ PPE or Revenue</t>
  </si>
  <si>
    <t>Interest/Debt</t>
  </si>
  <si>
    <t>Tax/PBT</t>
  </si>
  <si>
    <t>(Accont Receivable/Revenue)*365</t>
  </si>
  <si>
    <t>(Inventory/COS)*365</t>
  </si>
  <si>
    <t>(Accont Payable/COS)*365</t>
  </si>
  <si>
    <t>C</t>
  </si>
  <si>
    <t>MANAGEMENT ASSUMPTIONS-FORECAST INFORMATION</t>
  </si>
  <si>
    <t>Ratios from Management</t>
  </si>
  <si>
    <t>D</t>
  </si>
  <si>
    <t>BUILDING 3 STATEMENTS WITH MANAGEMENT INFORMATION</t>
  </si>
  <si>
    <t>Previous Revenue * (1+Revenue rate forecast)</t>
  </si>
  <si>
    <t>Revenue * (cost rate forecast)</t>
  </si>
  <si>
    <t>Revenue * (Salaries rate forecast)</t>
  </si>
  <si>
    <t>Rent and Overhead - Fixed cost</t>
  </si>
  <si>
    <t>PPE Schedule</t>
  </si>
  <si>
    <t>Debt Schedule</t>
  </si>
  <si>
    <t xml:space="preserve">Tax </t>
  </si>
  <si>
    <t>Balance Sheet   -   SOFP</t>
  </si>
  <si>
    <t>Closing Cash Balance from cash flow</t>
  </si>
  <si>
    <t>(Revenue * AR forecast rate)/365</t>
  </si>
  <si>
    <t>(COS * Inventory forecast rate)/365</t>
  </si>
  <si>
    <r>
      <t xml:space="preserve">PPE Closing- </t>
    </r>
    <r>
      <rPr>
        <sz val="12"/>
        <color rgb="FF0000FF"/>
        <rFont val="Arial Narrow"/>
        <family val="2"/>
      </rPr>
      <t>PPE schedule</t>
    </r>
  </si>
  <si>
    <t>(COS * AP forecast rate)/365</t>
  </si>
  <si>
    <t>Debt &amp; Interest Schedule-closing Debt</t>
  </si>
  <si>
    <t>Previous Equity + Issuance (repayment) of equity (Cash flow)</t>
  </si>
  <si>
    <t>Previous RE + Net Income</t>
  </si>
  <si>
    <t>CASH FLOWS</t>
  </si>
  <si>
    <t>Direct Figure- PPE SCHEDULE</t>
  </si>
  <si>
    <t>Direct Figure- WC SCHEDULE</t>
  </si>
  <si>
    <t>Direct Figure- DEBT SCHEDULE</t>
  </si>
  <si>
    <t>Direct Figure- EQUITY SCHEDULE</t>
  </si>
  <si>
    <t>Add Operating, Investing &amp; Financing</t>
  </si>
  <si>
    <t>Closing for previous Year</t>
  </si>
  <si>
    <t>Net Increase in Cash + Opening cash balance</t>
  </si>
  <si>
    <t>E</t>
  </si>
  <si>
    <t>SUPPORTING SCHEDULE</t>
  </si>
  <si>
    <t>Capex /Additions PPE</t>
  </si>
  <si>
    <t xml:space="preserve">Depreciation </t>
  </si>
  <si>
    <t>PPE Opening * Depre forecast rate</t>
  </si>
  <si>
    <t>Average (Debt Opening+Debt Closing)*Interest forecast rate</t>
  </si>
  <si>
    <t>F</t>
  </si>
  <si>
    <t>GRAPH /CHART</t>
  </si>
  <si>
    <t>Gross Profit Margin</t>
  </si>
  <si>
    <t>Reveue / Gross profit</t>
  </si>
  <si>
    <t>Use a chart</t>
  </si>
  <si>
    <t>Gross profit Margin</t>
  </si>
  <si>
    <t>DATE:     DEC 2023</t>
  </si>
  <si>
    <t>BALANCEE SHHET</t>
  </si>
  <si>
    <t>SUPPORTI NG SCHEDULE</t>
  </si>
  <si>
    <t>FORECAST</t>
  </si>
  <si>
    <t>Tax Rate*PBT</t>
  </si>
  <si>
    <t>Gross Profit Margine</t>
  </si>
  <si>
    <t>CHARTS</t>
  </si>
  <si>
    <t>HOUSE OF ACCOUNTANTS PROFESSIONAL SERVICES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</si>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</sst>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  <numFmt numFmtId="170" formatCode="#,##0.00;[Red]#,##0.00"/>
    <numFmt numFmtId="171" formatCode="0;[Red]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  <font>
      <sz val="18"/>
      <color theme="0"/>
      <name val="Arial Narrow"/>
      <family val="2"/>
    </font>
    <font>
      <b/>
      <sz val="18"/>
      <color theme="0"/>
      <name val="Arial Narrow"/>
      <family val="2"/>
    </font>
    <font>
      <b/>
      <sz val="11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1"/>
      <color rgb="FF0000FF"/>
      <name val="Calibri"/>
      <family val="2"/>
      <scheme val="minor"/>
    </font>
    <font>
      <i/>
      <sz val="12"/>
      <color rgb="FF0000FF"/>
      <name val="Arial Narrow"/>
      <family val="2"/>
    </font>
    <font>
      <sz val="22"/>
      <color theme="1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2"/>
      <color theme="1"/>
      <name val="Arial Narrow"/>
      <family val="2"/>
    </font>
    <font>
      <sz val="11"/>
      <color rgb="FF132E57"/>
      <name val="Calibri"/>
      <family val="2"/>
      <scheme val="minor"/>
    </font>
    <font>
      <b/>
      <sz val="11"/>
      <color rgb="FF193E75"/>
      <name val="Calibri"/>
      <family val="2"/>
      <scheme val="minor"/>
    </font>
    <font>
      <b/>
      <sz val="16"/>
      <color rgb="FF193E75"/>
      <name val="Calibri"/>
      <family val="2"/>
      <scheme val="minor"/>
    </font>
    <font>
      <b/>
      <sz val="14"/>
      <color rgb="FF193E75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2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189">
    <xf numFmtId="0" fontId="0" fillId="0" borderId="0" xfId="0"/>
    <xf numFmtId="165" fontId="5" fillId="0" borderId="0" xfId="1" applyNumberFormat="1" applyFont="1" applyFill="1" applyProtection="1">
      <protection locked="0"/>
    </xf>
    <xf numFmtId="167" fontId="9" fillId="0" borderId="2" xfId="2" applyNumberFormat="1" applyFont="1" applyFill="1" applyBorder="1" applyProtection="1">
      <protection locked="0"/>
    </xf>
    <xf numFmtId="167" fontId="10" fillId="0" borderId="2" xfId="2" applyNumberFormat="1" applyFont="1" applyFill="1" applyBorder="1" applyProtection="1">
      <protection locked="0"/>
    </xf>
    <xf numFmtId="165" fontId="2" fillId="0" borderId="2" xfId="1" applyNumberFormat="1" applyFont="1" applyBorder="1" applyProtection="1">
      <protection locked="0"/>
    </xf>
    <xf numFmtId="165" fontId="2" fillId="0" borderId="0" xfId="1" applyNumberFormat="1" applyFont="1" applyFill="1" applyProtection="1">
      <protection locked="0"/>
    </xf>
    <xf numFmtId="165" fontId="2" fillId="0" borderId="0" xfId="1" applyNumberFormat="1" applyFont="1" applyBorder="1" applyProtection="1">
      <protection locked="0"/>
    </xf>
    <xf numFmtId="165" fontId="2" fillId="0" borderId="0" xfId="1" applyNumberFormat="1" applyFont="1" applyProtection="1">
      <protection locked="0"/>
    </xf>
    <xf numFmtId="165" fontId="5" fillId="0" borderId="0" xfId="1" applyNumberFormat="1" applyFont="1" applyProtection="1">
      <protection locked="0"/>
    </xf>
    <xf numFmtId="165" fontId="2" fillId="0" borderId="0" xfId="1" applyNumberFormat="1" applyFont="1" applyAlignment="1" applyProtection="1">
      <alignment horizontal="center"/>
      <protection locked="0"/>
    </xf>
    <xf numFmtId="165" fontId="5" fillId="0" borderId="0" xfId="1" applyNumberFormat="1" applyFont="1" applyBorder="1" applyAlignment="1" applyProtection="1">
      <alignment horizontal="center"/>
      <protection locked="0"/>
    </xf>
    <xf numFmtId="165" fontId="3" fillId="0" borderId="0" xfId="1" applyNumberFormat="1" applyFont="1" applyAlignment="1" applyProtection="1">
      <protection locked="0"/>
    </xf>
    <xf numFmtId="165" fontId="10" fillId="0" borderId="0" xfId="1" applyNumberFormat="1" applyFont="1" applyFill="1" applyProtection="1">
      <protection locked="0"/>
    </xf>
    <xf numFmtId="165" fontId="9" fillId="0" borderId="0" xfId="1" applyNumberFormat="1" applyFont="1" applyFill="1" applyProtection="1">
      <protection locked="0"/>
    </xf>
    <xf numFmtId="165" fontId="5" fillId="0" borderId="2" xfId="1" applyNumberFormat="1" applyFont="1" applyBorder="1" applyProtection="1"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65" fontId="2" fillId="0" borderId="0" xfId="1" applyNumberFormat="1" applyFont="1" applyBorder="1" applyAlignment="1" applyProtection="1">
      <alignment horizontal="center"/>
      <protection locked="0"/>
    </xf>
    <xf numFmtId="167" fontId="10" fillId="0" borderId="0" xfId="2" applyNumberFormat="1" applyFont="1" applyFill="1" applyBorder="1" applyProtection="1">
      <protection locked="0"/>
    </xf>
    <xf numFmtId="167" fontId="9" fillId="0" borderId="0" xfId="2" applyNumberFormat="1" applyFont="1" applyFill="1" applyBorder="1" applyProtection="1">
      <protection locked="0"/>
    </xf>
    <xf numFmtId="165" fontId="10" fillId="0" borderId="0" xfId="1" applyNumberFormat="1" applyFont="1" applyFill="1" applyBorder="1" applyProtection="1">
      <protection locked="0"/>
    </xf>
    <xf numFmtId="165" fontId="9" fillId="0" borderId="0" xfId="1" applyNumberFormat="1" applyFont="1" applyFill="1" applyBorder="1" applyProtection="1">
      <protection locked="0"/>
    </xf>
    <xf numFmtId="165" fontId="6" fillId="0" borderId="0" xfId="1" applyNumberFormat="1" applyFont="1" applyBorder="1" applyProtection="1">
      <protection locked="0"/>
    </xf>
    <xf numFmtId="165" fontId="6" fillId="0" borderId="0" xfId="1" applyNumberFormat="1" applyFont="1" applyBorder="1" applyAlignment="1" applyProtection="1">
      <alignment horizontal="center"/>
      <protection locked="0"/>
    </xf>
    <xf numFmtId="9" fontId="9" fillId="0" borderId="0" xfId="2" applyFont="1" applyFill="1" applyAlignment="1" applyProtection="1">
      <alignment horizontal="center"/>
      <protection locked="0"/>
    </xf>
    <xf numFmtId="165" fontId="5" fillId="0" borderId="0" xfId="1" applyNumberFormat="1" applyFont="1" applyBorder="1" applyProtection="1">
      <protection locked="0"/>
    </xf>
    <xf numFmtId="165" fontId="5" fillId="0" borderId="0" xfId="1" applyNumberFormat="1" applyFont="1" applyAlignment="1" applyProtection="1">
      <alignment horizontal="center"/>
      <protection locked="0"/>
    </xf>
    <xf numFmtId="165" fontId="2" fillId="0" borderId="1" xfId="1" applyNumberFormat="1" applyFont="1" applyBorder="1" applyProtection="1">
      <protection locked="0"/>
    </xf>
    <xf numFmtId="165" fontId="2" fillId="0" borderId="1" xfId="1" applyNumberFormat="1" applyFont="1" applyBorder="1" applyAlignment="1" applyProtection="1">
      <alignment horizontal="center"/>
      <protection locked="0"/>
    </xf>
    <xf numFmtId="169" fontId="2" fillId="0" borderId="0" xfId="1" applyNumberFormat="1" applyFont="1" applyFill="1" applyProtection="1">
      <protection locked="0"/>
    </xf>
    <xf numFmtId="165" fontId="5" fillId="0" borderId="4" xfId="1" applyNumberFormat="1" applyFont="1" applyBorder="1" applyProtection="1">
      <protection locked="0"/>
    </xf>
    <xf numFmtId="165" fontId="5" fillId="0" borderId="4" xfId="1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5" fontId="5" fillId="0" borderId="3" xfId="1" applyNumberFormat="1" applyFont="1" applyBorder="1" applyProtection="1">
      <protection locked="0"/>
    </xf>
    <xf numFmtId="165" fontId="5" fillId="0" borderId="3" xfId="1" applyNumberFormat="1" applyFont="1" applyBorder="1" applyAlignment="1" applyProtection="1">
      <alignment horizontal="center"/>
      <protection locked="0"/>
    </xf>
    <xf numFmtId="165" fontId="6" fillId="0" borderId="0" xfId="1" applyNumberFormat="1" applyFont="1" applyProtection="1">
      <protection locked="0"/>
    </xf>
    <xf numFmtId="166" fontId="6" fillId="0" borderId="0" xfId="1" applyNumberFormat="1" applyFont="1" applyProtection="1">
      <protection locked="0"/>
    </xf>
    <xf numFmtId="166" fontId="6" fillId="0" borderId="0" xfId="1" applyNumberFormat="1" applyFont="1" applyAlignment="1" applyProtection="1">
      <alignment horizontal="center"/>
      <protection locked="0"/>
    </xf>
    <xf numFmtId="165" fontId="2" fillId="0" borderId="2" xfId="1" applyNumberFormat="1" applyFont="1" applyBorder="1" applyAlignment="1" applyProtection="1">
      <alignment horizontal="center"/>
      <protection locked="0"/>
    </xf>
    <xf numFmtId="165" fontId="12" fillId="2" borderId="0" xfId="1" applyNumberFormat="1" applyFont="1" applyFill="1" applyProtection="1">
      <protection locked="0"/>
    </xf>
    <xf numFmtId="165" fontId="2" fillId="2" borderId="0" xfId="1" applyNumberFormat="1" applyFont="1" applyFill="1" applyProtection="1">
      <protection locked="0"/>
    </xf>
    <xf numFmtId="165" fontId="2" fillId="2" borderId="0" xfId="1" applyNumberFormat="1" applyFont="1" applyFill="1" applyAlignment="1" applyProtection="1">
      <alignment horizontal="center"/>
      <protection locked="0"/>
    </xf>
    <xf numFmtId="165" fontId="14" fillId="2" borderId="0" xfId="1" applyNumberFormat="1" applyFont="1" applyFill="1" applyAlignment="1" applyProtection="1">
      <protection locked="0"/>
    </xf>
    <xf numFmtId="165" fontId="4" fillId="2" borderId="0" xfId="1" applyNumberFormat="1" applyFont="1" applyFill="1" applyAlignment="1" applyProtection="1">
      <protection locked="0"/>
    </xf>
    <xf numFmtId="165" fontId="4" fillId="2" borderId="0" xfId="1" applyNumberFormat="1" applyFont="1" applyFill="1" applyAlignment="1" applyProtection="1">
      <alignment horizontal="center"/>
      <protection locked="0"/>
    </xf>
    <xf numFmtId="165" fontId="10" fillId="3" borderId="0" xfId="1" applyNumberFormat="1" applyFont="1" applyFill="1" applyBorder="1" applyProtection="1">
      <protection locked="0"/>
    </xf>
    <xf numFmtId="165" fontId="10" fillId="3" borderId="0" xfId="1" applyNumberFormat="1" applyFont="1" applyFill="1" applyBorder="1" applyAlignment="1" applyProtection="1">
      <alignment horizontal="center"/>
      <protection locked="0"/>
    </xf>
    <xf numFmtId="165" fontId="14" fillId="3" borderId="0" xfId="1" applyNumberFormat="1" applyFont="1" applyFill="1" applyBorder="1" applyProtection="1">
      <protection locked="0"/>
    </xf>
    <xf numFmtId="1" fontId="0" fillId="0" borderId="0" xfId="1" applyNumberFormat="1" applyFont="1"/>
    <xf numFmtId="0" fontId="18" fillId="3" borderId="0" xfId="4" applyFont="1" applyFill="1"/>
    <xf numFmtId="0" fontId="18" fillId="0" borderId="0" xfId="4" applyFont="1"/>
    <xf numFmtId="0" fontId="19" fillId="0" borderId="0" xfId="4" applyFont="1" applyProtection="1">
      <protection locked="0"/>
    </xf>
    <xf numFmtId="0" fontId="20" fillId="0" borderId="0" xfId="4" applyFont="1" applyAlignment="1">
      <alignment horizontal="right"/>
    </xf>
    <xf numFmtId="0" fontId="18" fillId="0" borderId="0" xfId="4" applyFont="1" applyProtection="1">
      <protection locked="0"/>
    </xf>
    <xf numFmtId="0" fontId="20" fillId="0" borderId="0" xfId="4" applyFont="1" applyProtection="1">
      <protection locked="0"/>
    </xf>
    <xf numFmtId="0" fontId="22" fillId="0" borderId="0" xfId="5" applyFont="1" applyFill="1" applyBorder="1" applyProtection="1">
      <protection locked="0"/>
    </xf>
    <xf numFmtId="0" fontId="18" fillId="0" borderId="2" xfId="4" applyFont="1" applyBorder="1"/>
    <xf numFmtId="0" fontId="23" fillId="0" borderId="0" xfId="5" applyFont="1" applyFill="1" applyBorder="1"/>
    <xf numFmtId="0" fontId="18" fillId="0" borderId="0" xfId="6" applyFont="1"/>
    <xf numFmtId="0" fontId="23" fillId="0" borderId="0" xfId="7" applyFont="1" applyFill="1" applyBorder="1"/>
    <xf numFmtId="0" fontId="18" fillId="4" borderId="0" xfId="6" applyFont="1" applyFill="1"/>
    <xf numFmtId="0" fontId="25" fillId="0" borderId="2" xfId="3" applyFont="1" applyFill="1" applyBorder="1" applyProtection="1">
      <protection locked="0"/>
    </xf>
    <xf numFmtId="0" fontId="25" fillId="0" borderId="0" xfId="3" applyFont="1" applyFill="1" applyBorder="1" applyProtection="1">
      <protection locked="0"/>
    </xf>
    <xf numFmtId="165" fontId="26" fillId="5" borderId="0" xfId="1" applyNumberFormat="1" applyFont="1" applyFill="1" applyProtection="1">
      <protection locked="0"/>
    </xf>
    <xf numFmtId="165" fontId="27" fillId="5" borderId="0" xfId="1" applyNumberFormat="1" applyFont="1" applyFill="1" applyAlignment="1" applyProtection="1">
      <alignment horizontal="left"/>
      <protection locked="0"/>
    </xf>
    <xf numFmtId="0" fontId="24" fillId="6" borderId="0" xfId="6" applyFont="1" applyFill="1"/>
    <xf numFmtId="0" fontId="18" fillId="6" borderId="0" xfId="6" applyFont="1" applyFill="1"/>
    <xf numFmtId="164" fontId="0" fillId="0" borderId="0" xfId="1" applyFont="1"/>
    <xf numFmtId="164" fontId="28" fillId="0" borderId="0" xfId="1" applyFont="1"/>
    <xf numFmtId="0" fontId="28" fillId="0" borderId="0" xfId="0" applyFont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center"/>
    </xf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34" fillId="0" borderId="0" xfId="0" applyFont="1"/>
    <xf numFmtId="0" fontId="35" fillId="0" borderId="0" xfId="0" applyFont="1"/>
    <xf numFmtId="0" fontId="33" fillId="0" borderId="0" xfId="0" applyFont="1"/>
    <xf numFmtId="165" fontId="36" fillId="0" borderId="0" xfId="1" applyNumberFormat="1" applyFont="1" applyBorder="1" applyAlignment="1" applyProtection="1">
      <protection locked="0"/>
    </xf>
    <xf numFmtId="165" fontId="37" fillId="0" borderId="0" xfId="1" applyNumberFormat="1" applyFont="1" applyFill="1" applyBorder="1" applyAlignment="1" applyProtection="1">
      <protection locked="0"/>
    </xf>
    <xf numFmtId="165" fontId="37" fillId="0" borderId="0" xfId="1" applyNumberFormat="1" applyFont="1" applyBorder="1" applyAlignment="1" applyProtection="1">
      <protection locked="0"/>
    </xf>
    <xf numFmtId="165" fontId="36" fillId="0" borderId="0" xfId="1" applyNumberFormat="1" applyFont="1" applyFill="1" applyBorder="1" applyAlignment="1" applyProtection="1">
      <protection locked="0"/>
    </xf>
    <xf numFmtId="165" fontId="36" fillId="0" borderId="0" xfId="1" applyNumberFormat="1" applyFont="1" applyAlignment="1" applyProtection="1">
      <protection locked="0"/>
    </xf>
    <xf numFmtId="168" fontId="8" fillId="0" borderId="0" xfId="1" applyNumberFormat="1" applyFont="1" applyBorder="1" applyProtection="1">
      <protection locked="0"/>
    </xf>
    <xf numFmtId="168" fontId="10" fillId="0" borderId="0" xfId="1" applyNumberFormat="1" applyFont="1" applyFill="1" applyProtection="1">
      <protection locked="0"/>
    </xf>
    <xf numFmtId="165" fontId="5" fillId="0" borderId="5" xfId="1" applyNumberFormat="1" applyFont="1" applyBorder="1" applyAlignment="1" applyProtection="1">
      <alignment horizontal="center"/>
      <protection locked="0"/>
    </xf>
    <xf numFmtId="168" fontId="38" fillId="0" borderId="1" xfId="1" applyNumberFormat="1" applyFont="1" applyFill="1" applyBorder="1"/>
    <xf numFmtId="169" fontId="2" fillId="0" borderId="1" xfId="1" applyNumberFormat="1" applyFont="1" applyFill="1" applyBorder="1" applyProtection="1">
      <protection locked="0"/>
    </xf>
    <xf numFmtId="165" fontId="37" fillId="0" borderId="0" xfId="1" applyNumberFormat="1" applyFont="1" applyAlignment="1" applyProtection="1">
      <protection locked="0"/>
    </xf>
    <xf numFmtId="165" fontId="26" fillId="0" borderId="0" xfId="1" applyNumberFormat="1" applyFont="1" applyFill="1" applyProtection="1">
      <protection locked="0"/>
    </xf>
    <xf numFmtId="165" fontId="13" fillId="0" borderId="0" xfId="1" applyNumberFormat="1" applyFont="1" applyFill="1" applyAlignment="1" applyProtection="1">
      <alignment horizontal="centerContinuous"/>
      <protection locked="0"/>
    </xf>
    <xf numFmtId="165" fontId="11" fillId="0" borderId="0" xfId="1" applyNumberFormat="1" applyFont="1" applyFill="1" applyAlignment="1" applyProtection="1">
      <alignment horizontal="centerContinuous"/>
      <protection locked="0"/>
    </xf>
    <xf numFmtId="0" fontId="4" fillId="0" borderId="0" xfId="1" applyNumberFormat="1" applyFont="1" applyFill="1" applyAlignment="1" applyProtection="1">
      <protection locked="0"/>
    </xf>
    <xf numFmtId="165" fontId="6" fillId="0" borderId="0" xfId="1" applyNumberFormat="1" applyFont="1" applyFill="1" applyAlignment="1" applyProtection="1">
      <alignment horizontal="right"/>
      <protection locked="0"/>
    </xf>
    <xf numFmtId="165" fontId="8" fillId="0" borderId="0" xfId="1" applyNumberFormat="1" applyFont="1" applyFill="1" applyBorder="1" applyProtection="1">
      <protection locked="0"/>
    </xf>
    <xf numFmtId="165" fontId="7" fillId="0" borderId="0" xfId="1" applyNumberFormat="1" applyFont="1" applyFill="1" applyBorder="1" applyProtection="1">
      <protection locked="0"/>
    </xf>
    <xf numFmtId="168" fontId="38" fillId="0" borderId="0" xfId="1" applyNumberFormat="1" applyFont="1" applyFill="1"/>
    <xf numFmtId="168" fontId="28" fillId="0" borderId="0" xfId="1" applyNumberFormat="1" applyFont="1" applyFill="1"/>
    <xf numFmtId="9" fontId="8" fillId="0" borderId="0" xfId="2" applyFont="1" applyFill="1" applyBorder="1" applyProtection="1">
      <protection locked="0"/>
    </xf>
    <xf numFmtId="165" fontId="10" fillId="0" borderId="1" xfId="1" applyNumberFormat="1" applyFont="1" applyFill="1" applyBorder="1" applyProtection="1">
      <protection locked="0"/>
    </xf>
    <xf numFmtId="168" fontId="28" fillId="0" borderId="3" xfId="1" applyNumberFormat="1" applyFont="1" applyFill="1" applyBorder="1"/>
    <xf numFmtId="168" fontId="9" fillId="0" borderId="0" xfId="1" applyNumberFormat="1" applyFont="1" applyFill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8" fontId="2" fillId="0" borderId="0" xfId="1" applyNumberFormat="1" applyFont="1" applyFill="1" applyProtection="1">
      <protection locked="0"/>
    </xf>
    <xf numFmtId="165" fontId="5" fillId="0" borderId="0" xfId="1" applyNumberFormat="1" applyFont="1" applyFill="1" applyBorder="1" applyProtection="1">
      <protection locked="0"/>
    </xf>
    <xf numFmtId="165" fontId="2" fillId="0" borderId="1" xfId="1" applyNumberFormat="1" applyFont="1" applyFill="1" applyBorder="1" applyProtection="1">
      <protection locked="0"/>
    </xf>
    <xf numFmtId="168" fontId="39" fillId="0" borderId="0" xfId="1" applyNumberFormat="1" applyFont="1" applyFill="1" applyProtection="1">
      <protection locked="0"/>
    </xf>
    <xf numFmtId="166" fontId="6" fillId="0" borderId="0" xfId="1" applyNumberFormat="1" applyFont="1" applyFill="1" applyProtection="1">
      <protection locked="0"/>
    </xf>
    <xf numFmtId="168" fontId="8" fillId="0" borderId="0" xfId="1" applyNumberFormat="1" applyFont="1" applyFill="1" applyBorder="1" applyProtection="1">
      <protection locked="0"/>
    </xf>
    <xf numFmtId="165" fontId="2" fillId="0" borderId="0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2" xfId="1" applyNumberFormat="1" applyFont="1" applyFill="1" applyBorder="1" applyProtection="1">
      <protection locked="0"/>
    </xf>
    <xf numFmtId="37" fontId="10" fillId="0" borderId="0" xfId="1" applyNumberFormat="1" applyFont="1" applyFill="1" applyProtection="1">
      <protection locked="0"/>
    </xf>
    <xf numFmtId="9" fontId="2" fillId="0" borderId="0" xfId="2" applyFont="1" applyFill="1" applyProtection="1">
      <protection locked="0"/>
    </xf>
    <xf numFmtId="43" fontId="2" fillId="0" borderId="0" xfId="1" applyNumberFormat="1" applyFont="1" applyFill="1" applyProtection="1">
      <protection locked="0"/>
    </xf>
    <xf numFmtId="0" fontId="19" fillId="0" borderId="0" xfId="4" applyFont="1"/>
    <xf numFmtId="0" fontId="40" fillId="0" borderId="0" xfId="4" applyFont="1"/>
    <xf numFmtId="0" fontId="28" fillId="0" borderId="0" xfId="0" applyFont="1"/>
    <xf numFmtId="164" fontId="38" fillId="0" borderId="0" xfId="1" applyFont="1"/>
    <xf numFmtId="39" fontId="38" fillId="0" borderId="0" xfId="1" applyNumberFormat="1" applyFont="1"/>
    <xf numFmtId="39" fontId="0" fillId="0" borderId="0" xfId="0" applyNumberFormat="1"/>
    <xf numFmtId="0" fontId="43" fillId="0" borderId="0" xfId="0" applyFont="1"/>
    <xf numFmtId="39" fontId="43" fillId="0" borderId="0" xfId="1" applyNumberFormat="1" applyFont="1"/>
    <xf numFmtId="39" fontId="44" fillId="0" borderId="0" xfId="1" applyNumberFormat="1" applyFont="1"/>
    <xf numFmtId="39" fontId="43" fillId="0" borderId="4" xfId="1" applyNumberFormat="1" applyFont="1" applyBorder="1"/>
    <xf numFmtId="39" fontId="43" fillId="0" borderId="2" xfId="1" applyNumberFormat="1" applyFont="1" applyBorder="1"/>
    <xf numFmtId="0" fontId="41" fillId="7" borderId="0" xfId="0" applyFont="1" applyFill="1"/>
    <xf numFmtId="1" fontId="41" fillId="7" borderId="0" xfId="1" applyNumberFormat="1" applyFont="1" applyFill="1" applyAlignment="1">
      <alignment horizontal="center"/>
    </xf>
    <xf numFmtId="1" fontId="41" fillId="7" borderId="0" xfId="0" applyNumberFormat="1" applyFont="1" applyFill="1" applyAlignment="1">
      <alignment horizontal="center"/>
    </xf>
    <xf numFmtId="0" fontId="45" fillId="7" borderId="0" xfId="0" applyFont="1" applyFill="1"/>
    <xf numFmtId="39" fontId="43" fillId="0" borderId="3" xfId="1" applyNumberFormat="1" applyFont="1" applyBorder="1"/>
    <xf numFmtId="0" fontId="46" fillId="7" borderId="0" xfId="0" applyFont="1" applyFill="1"/>
    <xf numFmtId="0" fontId="47" fillId="7" borderId="0" xfId="0" applyFont="1" applyFill="1"/>
    <xf numFmtId="164" fontId="43" fillId="0" borderId="2" xfId="1" applyFont="1" applyBorder="1"/>
    <xf numFmtId="164" fontId="43" fillId="0" borderId="4" xfId="1" applyFont="1" applyBorder="1"/>
    <xf numFmtId="0" fontId="41" fillId="0" borderId="0" xfId="0" applyFont="1"/>
    <xf numFmtId="164" fontId="0" fillId="4" borderId="0" xfId="1" applyFont="1" applyFill="1"/>
    <xf numFmtId="39" fontId="38" fillId="4" borderId="0" xfId="1" applyNumberFormat="1" applyFont="1" applyFill="1"/>
    <xf numFmtId="39" fontId="28" fillId="0" borderId="0" xfId="1" applyNumberFormat="1" applyFont="1"/>
    <xf numFmtId="39" fontId="28" fillId="0" borderId="0" xfId="0" applyNumberFormat="1" applyFont="1"/>
    <xf numFmtId="39" fontId="0" fillId="0" borderId="0" xfId="1" applyNumberFormat="1" applyFont="1"/>
    <xf numFmtId="39" fontId="28" fillId="0" borderId="2" xfId="1" applyNumberFormat="1" applyFont="1" applyBorder="1"/>
    <xf numFmtId="39" fontId="0" fillId="0" borderId="0" xfId="1" applyNumberFormat="1" applyFont="1" applyBorder="1"/>
    <xf numFmtId="0" fontId="38" fillId="0" borderId="0" xfId="0" applyFont="1"/>
    <xf numFmtId="165" fontId="48" fillId="0" borderId="0" xfId="1" applyNumberFormat="1" applyFont="1" applyProtection="1">
      <protection locked="0"/>
    </xf>
    <xf numFmtId="164" fontId="49" fillId="2" borderId="0" xfId="1" applyFont="1" applyFill="1"/>
    <xf numFmtId="0" fontId="49" fillId="2" borderId="0" xfId="0" applyFont="1" applyFill="1"/>
    <xf numFmtId="1" fontId="41" fillId="2" borderId="0" xfId="1" applyNumberFormat="1" applyFont="1" applyFill="1" applyAlignment="1">
      <alignment horizontal="center"/>
    </xf>
    <xf numFmtId="0" fontId="41" fillId="2" borderId="0" xfId="0" applyFont="1" applyFill="1"/>
    <xf numFmtId="0" fontId="0" fillId="0" borderId="0" xfId="0" applyAlignment="1">
      <alignment horizontal="center"/>
    </xf>
    <xf numFmtId="165" fontId="13" fillId="2" borderId="0" xfId="1" applyNumberFormat="1" applyFont="1" applyFill="1" applyProtection="1">
      <protection locked="0"/>
    </xf>
    <xf numFmtId="0" fontId="41" fillId="2" borderId="0" xfId="0" applyFont="1" applyFill="1" applyAlignment="1">
      <alignment horizontal="center"/>
    </xf>
    <xf numFmtId="167" fontId="5" fillId="0" borderId="2" xfId="2" applyNumberFormat="1" applyFont="1" applyBorder="1" applyAlignment="1" applyProtection="1">
      <alignment horizontal="center"/>
      <protection locked="0"/>
    </xf>
    <xf numFmtId="167" fontId="2" fillId="0" borderId="0" xfId="2" applyNumberFormat="1" applyFont="1" applyBorder="1" applyProtection="1">
      <protection locked="0"/>
    </xf>
    <xf numFmtId="167" fontId="6" fillId="0" borderId="0" xfId="2" applyNumberFormat="1" applyFont="1" applyBorder="1" applyProtection="1">
      <protection locked="0"/>
    </xf>
    <xf numFmtId="164" fontId="43" fillId="0" borderId="3" xfId="1" applyFont="1" applyBorder="1"/>
    <xf numFmtId="170" fontId="0" fillId="0" borderId="0" xfId="0" applyNumberFormat="1"/>
    <xf numFmtId="170" fontId="43" fillId="0" borderId="4" xfId="1" applyNumberFormat="1" applyFont="1" applyBorder="1"/>
    <xf numFmtId="170" fontId="43" fillId="0" borderId="2" xfId="1" applyNumberFormat="1" applyFont="1" applyBorder="1"/>
    <xf numFmtId="39" fontId="44" fillId="4" borderId="0" xfId="1" applyNumberFormat="1" applyFont="1" applyFill="1"/>
    <xf numFmtId="171" fontId="41" fillId="7" borderId="0" xfId="0" applyNumberFormat="1" applyFont="1" applyFill="1" applyAlignment="1">
      <alignment horizontal="center"/>
    </xf>
    <xf numFmtId="0" fontId="51" fillId="0" borderId="0" xfId="0" applyFont="1"/>
    <xf numFmtId="164" fontId="52" fillId="0" borderId="0" xfId="1" applyFont="1"/>
    <xf numFmtId="0" fontId="52" fillId="0" borderId="0" xfId="0" applyFont="1"/>
    <xf numFmtId="0" fontId="50" fillId="0" borderId="0" xfId="0" applyFont="1"/>
    <xf numFmtId="164" fontId="28" fillId="0" borderId="2" xfId="1" applyFont="1" applyBorder="1"/>
    <xf numFmtId="43" fontId="0" fillId="0" borderId="0" xfId="1" applyNumberFormat="1" applyFont="1"/>
    <xf numFmtId="43" fontId="28" fillId="0" borderId="0" xfId="1" applyNumberFormat="1" applyFont="1"/>
    <xf numFmtId="43" fontId="28" fillId="0" borderId="2" xfId="1" applyNumberFormat="1" applyFont="1" applyBorder="1"/>
    <xf numFmtId="43" fontId="28" fillId="0" borderId="4" xfId="1" applyNumberFormat="1" applyFont="1" applyBorder="1"/>
    <xf numFmtId="164" fontId="53" fillId="0" borderId="0" xfId="1" applyFont="1"/>
    <xf numFmtId="43" fontId="53" fillId="0" borderId="0" xfId="1" applyNumberFormat="1" applyFont="1"/>
    <xf numFmtId="164" fontId="28" fillId="0" borderId="4" xfId="1" applyFont="1" applyBorder="1"/>
    <xf numFmtId="167" fontId="54" fillId="0" borderId="2" xfId="2" applyNumberFormat="1" applyFont="1" applyFill="1" applyBorder="1" applyProtection="1">
      <protection locked="0"/>
    </xf>
    <xf numFmtId="43" fontId="0" fillId="0" borderId="0" xfId="0" applyNumberFormat="1"/>
    <xf numFmtId="43" fontId="28" fillId="0" borderId="2" xfId="0" applyNumberFormat="1" applyFont="1" applyBorder="1"/>
    <xf numFmtId="167" fontId="54" fillId="0" borderId="0" xfId="2" applyNumberFormat="1" applyFont="1" applyFill="1" applyBorder="1" applyProtection="1">
      <protection locked="0"/>
    </xf>
    <xf numFmtId="165" fontId="54" fillId="0" borderId="0" xfId="1" applyNumberFormat="1" applyFont="1" applyFill="1" applyBorder="1" applyProtection="1">
      <protection locked="0"/>
    </xf>
    <xf numFmtId="165" fontId="54" fillId="0" borderId="0" xfId="1" applyNumberFormat="1" applyFont="1" applyFill="1" applyProtection="1">
      <protection locked="0"/>
    </xf>
    <xf numFmtId="39" fontId="1" fillId="4" borderId="0" xfId="1" applyNumberFormat="1" applyFont="1" applyFill="1"/>
    <xf numFmtId="39" fontId="1" fillId="0" borderId="0" xfId="1" applyNumberFormat="1" applyFont="1"/>
    <xf numFmtId="0" fontId="42" fillId="2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43" fontId="28" fillId="0" borderId="0" xfId="0" applyNumberFormat="1" applyFont="1"/>
    <xf numFmtId="43" fontId="0" fillId="0" borderId="0" xfId="0" applyNumberFormat="1" applyFont="1"/>
    <xf numFmtId="39" fontId="1" fillId="0" borderId="0" xfId="0" applyNumberFormat="1" applyFont="1"/>
    <xf numFmtId="164" fontId="1" fillId="0" borderId="0" xfId="1" applyFont="1"/>
    <xf numFmtId="0" fontId="1" fillId="0" borderId="0" xfId="0" applyFont="1"/>
    <xf numFmtId="39" fontId="57" fillId="4" borderId="0" xfId="1" applyNumberFormat="1" applyFont="1" applyFill="1"/>
  </cellXfs>
  <cellStyles count="8">
    <cellStyle name="Comma" xfId="1" builtinId="3"/>
    <cellStyle name="Hyperlink" xfId="3" builtinId="8"/>
    <cellStyle name="Hyperlink 2" xfId="5" xr:uid="{00000000-0005-0000-0000-000002000000}"/>
    <cellStyle name="Hyperlink 2 2" xfId="7" xr:uid="{00000000-0005-0000-0000-000003000000}"/>
    <cellStyle name="Normal" xfId="0" builtinId="0"/>
    <cellStyle name="Normal 2" xfId="4" xr:uid="{00000000-0005-0000-0000-000005000000}"/>
    <cellStyle name="Normal 2 2" xfId="6" xr:uid="{00000000-0005-0000-0000-000006000000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193E75"/>
      <color rgb="FF132E57"/>
      <color rgb="FF1E8496"/>
      <color rgb="FF676767"/>
      <color rgb="FFED942D"/>
      <color rgb="FFE6E7E8"/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Cashflow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VISUALS!$A$4</c:f>
              <c:strCache>
                <c:ptCount val="1"/>
                <c:pt idx="0">
                  <c:v>Operating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VISUALS!$B$3:$L$3</c:f>
              <c:numCache>
                <c:formatCode>General</c:formatCode>
                <c:ptCount val="11"/>
                <c:pt idx="0">
                  <c:v>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VISUALS!$B$4:$L$4</c:f>
              <c:numCache>
                <c:formatCode>_-* #,##0.00_-;\-* #,##0.00_-;_-* "-"??_-;_-@_-</c:formatCode>
                <c:ptCount val="11"/>
                <c:pt idx="1">
                  <c:v>12971.179199999999</c:v>
                </c:pt>
                <c:pt idx="2">
                  <c:v>28238.733497877969</c:v>
                </c:pt>
                <c:pt idx="3">
                  <c:v>37505.343885131326</c:v>
                </c:pt>
                <c:pt idx="4">
                  <c:v>42354.07902359531</c:v>
                </c:pt>
                <c:pt idx="5">
                  <c:v>43480.18475858029</c:v>
                </c:pt>
                <c:pt idx="6">
                  <c:v>36500.354542739726</c:v>
                </c:pt>
                <c:pt idx="7">
                  <c:v>33124.751947356162</c:v>
                </c:pt>
                <c:pt idx="8">
                  <c:v>33652.123569408912</c:v>
                </c:pt>
                <c:pt idx="9">
                  <c:v>69849.249436795275</c:v>
                </c:pt>
                <c:pt idx="10">
                  <c:v>74464.042169829263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F7B-AD09-4E5BD5B58EF7}"/>
            </c:ext>
          </c:extLst>
        </c:ser>
        <c:ser>
          <c:idx val="1"/>
          <c:order val="1"/>
          <c:tx>
            <c:strRef>
              <c:f>VISUALS!$A$5</c:f>
              <c:strCache>
                <c:ptCount val="1"/>
                <c:pt idx="0">
                  <c:v>Investing Cash Flow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VISUALS!$B$3:$L$3</c:f>
              <c:numCache>
                <c:formatCode>General</c:formatCode>
                <c:ptCount val="11"/>
                <c:pt idx="0">
                  <c:v>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VISUALS!$B$5:$L$5</c:f>
              <c:numCache>
                <c:formatCode>_-* #,##0.00_-;\-* #,##0.00_-;_-* "-"??_-;_-@_-</c:formatCode>
                <c:ptCount val="11"/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5-4F7B-AD09-4E5BD5B58EF7}"/>
            </c:ext>
          </c:extLst>
        </c:ser>
        <c:ser>
          <c:idx val="2"/>
          <c:order val="2"/>
          <c:tx>
            <c:strRef>
              <c:f>VISUALS!$A$6</c:f>
              <c:strCache>
                <c:ptCount val="1"/>
                <c:pt idx="0">
                  <c:v>Financing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VISUALS!$B$3:$L$3</c:f>
              <c:numCache>
                <c:formatCode>General</c:formatCode>
                <c:ptCount val="11"/>
                <c:pt idx="0">
                  <c:v>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VISUALS!$B$6:$L$6</c:f>
              <c:numCache>
                <c:formatCode>_-* #,##0.00_-;\-* #,##0.00_-;_-* "-"??_-;_-@_-</c:formatCode>
                <c:ptCount val="11"/>
                <c:pt idx="1">
                  <c:v>70000</c:v>
                </c:pt>
                <c:pt idx="2">
                  <c:v>0</c:v>
                </c:pt>
                <c:pt idx="3">
                  <c:v>-20000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-20000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5-4F7B-AD09-4E5BD5B5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0443791"/>
        <c:axId val="1870437551"/>
      </c:barChart>
      <c:catAx>
        <c:axId val="187044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37551"/>
        <c:crosses val="autoZero"/>
        <c:auto val="1"/>
        <c:lblAlgn val="ctr"/>
        <c:lblOffset val="100"/>
        <c:noMultiLvlLbl val="0"/>
      </c:catAx>
      <c:valAx>
        <c:axId val="18704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43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&amp; Gross profit Margin</a:t>
            </a:r>
          </a:p>
        </c:rich>
      </c:tx>
      <c:layout>
        <c:manualLayout>
          <c:xMode val="edge"/>
          <c:yMode val="edge"/>
          <c:x val="0.18340266841644792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56736657917759"/>
          <c:y val="5.5972222222222236E-2"/>
          <c:w val="0.76530993000874881"/>
          <c:h val="0.73072506561679795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PRACTICAL!$D$110:$M$110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5-4B06-AFC5-6458ACCB0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0302480"/>
        <c:axId val="-1120321520"/>
      </c:barChart>
      <c:lineChart>
        <c:grouping val="standard"/>
        <c:varyColors val="0"/>
        <c:ser>
          <c:idx val="1"/>
          <c:order val="1"/>
          <c:tx>
            <c:v>GROSS PROFIT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PRACTICAL!$D$111:$M$111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5-4B06-AFC5-6458ACCB0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299216"/>
        <c:axId val="-1120327504"/>
      </c:lineChart>
      <c:dateAx>
        <c:axId val="-11203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21520"/>
        <c:crosses val="autoZero"/>
        <c:auto val="0"/>
        <c:lblOffset val="100"/>
        <c:baseTimeUnit val="days"/>
      </c:dateAx>
      <c:valAx>
        <c:axId val="-11203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02480"/>
        <c:crosses val="autoZero"/>
        <c:crossBetween val="between"/>
      </c:valAx>
      <c:valAx>
        <c:axId val="-112032750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299216"/>
        <c:crosses val="max"/>
        <c:crossBetween val="between"/>
      </c:valAx>
      <c:dateAx>
        <c:axId val="-1120299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120327504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FLOWS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PRACTICAL!$D$128:$M$128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7-4137-ABD7-BB7F4E8F426E}"/>
            </c:ext>
          </c:extLst>
        </c:ser>
        <c:ser>
          <c:idx val="1"/>
          <c:order val="1"/>
          <c:tx>
            <c:v>INVESTING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PRACTICAL!$D$129:$M$129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7-4137-ABD7-BB7F4E8F426E}"/>
            </c:ext>
          </c:extLst>
        </c:ser>
        <c:ser>
          <c:idx val="2"/>
          <c:order val="2"/>
          <c:tx>
            <c:v>FINANCING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PRACTICAL!$D$130:$M$130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7-4137-ABD7-BB7F4E8F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20329136"/>
        <c:axId val="-1120316624"/>
      </c:barChart>
      <c:catAx>
        <c:axId val="-112032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16624"/>
        <c:crosses val="autoZero"/>
        <c:auto val="1"/>
        <c:lblAlgn val="ctr"/>
        <c:lblOffset val="100"/>
        <c:noMultiLvlLbl val="0"/>
      </c:catAx>
      <c:valAx>
        <c:axId val="-1120316624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&amp; Gross profit Margin</a:t>
            </a:r>
          </a:p>
        </c:rich>
      </c:tx>
      <c:layout>
        <c:manualLayout>
          <c:xMode val="edge"/>
          <c:yMode val="edge"/>
          <c:x val="0.18340266841644792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56736657917759"/>
          <c:y val="5.5972222222222236E-2"/>
          <c:w val="0.76530993000874881"/>
          <c:h val="0.73072506561679795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'Three Statement Model'!$D$110:$M$110</c:f>
            </c:numRef>
          </c:val>
          <c:extLst>
            <c:ext xmlns:c16="http://schemas.microsoft.com/office/drawing/2014/chart" uri="{C3380CC4-5D6E-409C-BE32-E72D297353CC}">
              <c16:uniqueId val="{00000001-7BB9-494B-885F-EE0A5489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0323696"/>
        <c:axId val="-1120304112"/>
      </c:barChart>
      <c:lineChart>
        <c:grouping val="standard"/>
        <c:varyColors val="0"/>
        <c:ser>
          <c:idx val="1"/>
          <c:order val="1"/>
          <c:tx>
            <c:v>GROSS PROFIT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'Three Statement Model'!$D$111:$M$111</c:f>
            </c:numRef>
          </c:val>
          <c:smooth val="0"/>
          <c:extLst>
            <c:ext xmlns:c16="http://schemas.microsoft.com/office/drawing/2014/chart" uri="{C3380CC4-5D6E-409C-BE32-E72D297353CC}">
              <c16:uniqueId val="{00000002-7BB9-494B-885F-EE0A5489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316080"/>
        <c:axId val="-1120303568"/>
      </c:lineChart>
      <c:dateAx>
        <c:axId val="-11203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04112"/>
        <c:crosses val="autoZero"/>
        <c:auto val="0"/>
        <c:lblOffset val="100"/>
        <c:baseTimeUnit val="days"/>
      </c:dateAx>
      <c:valAx>
        <c:axId val="-11203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23696"/>
        <c:crosses val="autoZero"/>
        <c:crossBetween val="between"/>
      </c:valAx>
      <c:valAx>
        <c:axId val="-112030356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16080"/>
        <c:crosses val="max"/>
        <c:crossBetween val="between"/>
      </c:valAx>
      <c:dateAx>
        <c:axId val="-1120316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-1120303568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FLOWS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'Three Statement Model'!$D$128:$M$128</c:f>
            </c:numRef>
          </c:val>
          <c:extLst>
            <c:ext xmlns:c16="http://schemas.microsoft.com/office/drawing/2014/chart" uri="{C3380CC4-5D6E-409C-BE32-E72D297353CC}">
              <c16:uniqueId val="{00000000-1196-48B8-B2F1-A556FDE152BE}"/>
            </c:ext>
          </c:extLst>
        </c:ser>
        <c:ser>
          <c:idx val="1"/>
          <c:order val="1"/>
          <c:tx>
            <c:v>INVESTING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'Three Statement Model'!$D$129:$M$129</c:f>
            </c:numRef>
          </c:val>
          <c:extLst>
            <c:ext xmlns:c16="http://schemas.microsoft.com/office/drawing/2014/chart" uri="{C3380CC4-5D6E-409C-BE32-E72D297353CC}">
              <c16:uniqueId val="{00000001-1196-48B8-B2F1-A556FDE152BE}"/>
            </c:ext>
          </c:extLst>
        </c:ser>
        <c:ser>
          <c:idx val="2"/>
          <c:order val="2"/>
          <c:tx>
            <c:v>FINANCING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'Three Statement Model'!$D$130:$M$130</c:f>
            </c:numRef>
          </c:val>
          <c:extLst>
            <c:ext xmlns:c16="http://schemas.microsoft.com/office/drawing/2014/chart" uri="{C3380CC4-5D6E-409C-BE32-E72D297353CC}">
              <c16:uniqueId val="{00000002-1196-48B8-B2F1-A556FDE1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20300848"/>
        <c:axId val="-1120315536"/>
      </c:barChart>
      <c:catAx>
        <c:axId val="-112030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15536"/>
        <c:crosses val="autoZero"/>
        <c:auto val="1"/>
        <c:lblAlgn val="ctr"/>
        <c:lblOffset val="100"/>
        <c:noMultiLvlLbl val="0"/>
      </c:catAx>
      <c:valAx>
        <c:axId val="-1120315536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&amp; GRAPH'!$A$4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'CHARTS &amp; GRAPH'!$B$4:$K$4</c:f>
              <c:numCache>
                <c:formatCode>_-* #,##0.00_-;\-* #,##0.00_-;_-* "-"??_-;_-@_-</c:formatCode>
                <c:ptCount val="10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  <c:pt idx="5">
                  <c:v>165849.20000000001</c:v>
                </c:pt>
                <c:pt idx="6">
                  <c:v>182434.12000000002</c:v>
                </c:pt>
                <c:pt idx="7">
                  <c:v>200677.53200000004</c:v>
                </c:pt>
                <c:pt idx="8">
                  <c:v>220745.28520000007</c:v>
                </c:pt>
                <c:pt idx="9">
                  <c:v>242819.81372000009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B-4A17-95F0-6479C85A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0314992"/>
        <c:axId val="-1120326960"/>
      </c:barChart>
      <c:lineChart>
        <c:grouping val="standard"/>
        <c:varyColors val="0"/>
        <c:ser>
          <c:idx val="1"/>
          <c:order val="1"/>
          <c:tx>
            <c:strRef>
              <c:f>'CHARTS &amp; GRAPH'!$A$5</c:f>
              <c:strCache>
                <c:ptCount val="1"/>
                <c:pt idx="0">
                  <c:v>Gross Profit Margine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'CHARTS &amp; GRAPH'!$B$5:$K$5</c:f>
              <c:numCache>
                <c:formatCode>_-* #,##0.00_-;\-* #,##0.00_-;_-* "-"??_-;_-@_-</c:formatCode>
                <c:ptCount val="10"/>
                <c:pt idx="0">
                  <c:v>61.744782220827986</c:v>
                </c:pt>
                <c:pt idx="1">
                  <c:v>59.348271598665377</c:v>
                </c:pt>
                <c:pt idx="2">
                  <c:v>62.600022840610606</c:v>
                </c:pt>
                <c:pt idx="3">
                  <c:v>63.008549890755297</c:v>
                </c:pt>
                <c:pt idx="4">
                  <c:v>62.38691534237126</c:v>
                </c:pt>
                <c:pt idx="5">
                  <c:v>57.999999999999993</c:v>
                </c:pt>
                <c:pt idx="6">
                  <c:v>53</c:v>
                </c:pt>
                <c:pt idx="7">
                  <c:v>50</c:v>
                </c:pt>
                <c:pt idx="8">
                  <c:v>64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B-4A17-95F0-6479C85A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314992"/>
        <c:axId val="-1120326960"/>
      </c:lineChart>
      <c:catAx>
        <c:axId val="-112031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26960"/>
        <c:crosses val="autoZero"/>
        <c:auto val="1"/>
        <c:lblAlgn val="ctr"/>
        <c:lblOffset val="100"/>
        <c:noMultiLvlLbl val="0"/>
      </c:catAx>
      <c:valAx>
        <c:axId val="-11203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422275</xdr:colOff>
      <xdr:row>7</xdr:row>
      <xdr:rowOff>107950</xdr:rowOff>
    </xdr:from>
    <xdr:to>
      <xdr:col>8</xdr:col>
      <xdr:colOff>841375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C18B6-214F-0405-F2C4-49F27B187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225136</xdr:colOff>
      <xdr:row>111</xdr:row>
      <xdr:rowOff>86597</xdr:rowOff>
    </xdr:from>
    <xdr:to>
      <xdr:col>5</xdr:col>
      <xdr:colOff>727363</xdr:colOff>
      <xdr:row>125</xdr:row>
      <xdr:rowOff>41570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199159</xdr:colOff>
      <xdr:row>132</xdr:row>
      <xdr:rowOff>95256</xdr:rowOff>
    </xdr:from>
    <xdr:to>
      <xdr:col>6</xdr:col>
      <xdr:colOff>640773</xdr:colOff>
      <xdr:row>146</xdr:row>
      <xdr:rowOff>50229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225136</xdr:colOff>
      <xdr:row>111</xdr:row>
      <xdr:rowOff>86597</xdr:rowOff>
    </xdr:from>
    <xdr:to>
      <xdr:col>5</xdr:col>
      <xdr:colOff>727363</xdr:colOff>
      <xdr:row>125</xdr:row>
      <xdr:rowOff>41570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199159</xdr:colOff>
      <xdr:row>132</xdr:row>
      <xdr:rowOff>95256</xdr:rowOff>
    </xdr:from>
    <xdr:to>
      <xdr:col>6</xdr:col>
      <xdr:colOff>640773</xdr:colOff>
      <xdr:row>146</xdr:row>
      <xdr:rowOff>50229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166687</xdr:rowOff>
    </xdr:from>
    <xdr:to>
      <xdr:col>9</xdr:col>
      <xdr:colOff>171450</xdr:colOff>
      <xdr:row>21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604F-6EBD-4844-A2E9-641F844C0C04}">
  <dimension ref="A1:K15"/>
  <sheetViews>
    <sheetView workbookViewId="0">
      <selection activeCell="G15" sqref="G15"/>
    </sheetView>
  </sheetViews>
  <sheetFormatPr defaultRowHeight="14.5" x14ac:dyDescent="0.35"/>
  <cols>
    <col min="1" max="1" width="37.54296875" customWidth="1"/>
    <col min="2" max="2" width="10" customWidth="1"/>
    <col min="3" max="3" width="9.7265625" customWidth="1"/>
    <col min="4" max="4" width="9.453125" customWidth="1"/>
  </cols>
  <sheetData>
    <row r="1" spans="1:11" ht="15.5" x14ac:dyDescent="0.35">
      <c r="A1" s="150" t="s">
        <v>75</v>
      </c>
      <c r="B1" s="164" t="str">
        <f>CASHFLOWS!D1</f>
        <v>HOUSE OF ACCOUNTANTS PROFESSIONAL SERVICES</v>
      </c>
      <c r="G1" s="181" t="s">
        <v>156</v>
      </c>
      <c r="H1" s="181"/>
      <c r="I1" s="181"/>
      <c r="J1" s="181"/>
      <c r="K1" s="181"/>
    </row>
    <row r="2" spans="1:11" s="149" customFormat="1" x14ac:dyDescent="0.35">
      <c r="A2" s="151"/>
      <c r="B2" s="151">
        <v>2013</v>
      </c>
      <c r="C2" s="151">
        <f>B2+1</f>
        <v>2014</v>
      </c>
      <c r="D2" s="151">
        <f t="shared" ref="D2:K2" si="0">C2+1</f>
        <v>2015</v>
      </c>
      <c r="E2" s="151">
        <f t="shared" si="0"/>
        <v>2016</v>
      </c>
      <c r="F2" s="151">
        <f t="shared" si="0"/>
        <v>2017</v>
      </c>
      <c r="G2" s="151">
        <f t="shared" si="0"/>
        <v>2018</v>
      </c>
      <c r="H2" s="151">
        <f t="shared" si="0"/>
        <v>2019</v>
      </c>
      <c r="I2" s="151">
        <f t="shared" si="0"/>
        <v>2020</v>
      </c>
      <c r="J2" s="151">
        <f t="shared" si="0"/>
        <v>2021</v>
      </c>
      <c r="K2" s="151">
        <f t="shared" si="0"/>
        <v>2022</v>
      </c>
    </row>
    <row r="3" spans="1:11" ht="15.5" x14ac:dyDescent="0.35">
      <c r="A3" s="4" t="s">
        <v>61</v>
      </c>
      <c r="B3" s="14"/>
      <c r="C3" s="152">
        <f>('INCOME STS'!C3/'INCOME STS'!B3)-1</f>
        <v>0.15762643740135474</v>
      </c>
      <c r="D3" s="152">
        <f>('INCOME STS'!D3/'INCOME STS'!C3)-1</f>
        <v>0.1122825737174602</v>
      </c>
      <c r="E3" s="152">
        <f>('INCOME STS'!E3/'INCOME STS'!D3)-1</f>
        <v>8.3718451406600947E-2</v>
      </c>
      <c r="F3" s="152">
        <f>('INCOME STS'!F3/'INCOME STS'!E3)-1</f>
        <v>5.9231001608812672E-2</v>
      </c>
      <c r="G3" s="173">
        <v>0.1</v>
      </c>
      <c r="H3" s="173">
        <v>0.1</v>
      </c>
      <c r="I3" s="173">
        <v>0.1</v>
      </c>
      <c r="J3" s="173">
        <v>0.1</v>
      </c>
      <c r="K3" s="173">
        <v>0.1</v>
      </c>
    </row>
    <row r="4" spans="1:11" ht="15.5" x14ac:dyDescent="0.35">
      <c r="A4" s="6" t="s">
        <v>57</v>
      </c>
      <c r="B4" s="153">
        <f>-'INCOME STS'!B4/'INCOME STS'!B3</f>
        <v>0.38255217779172018</v>
      </c>
      <c r="C4" s="153">
        <f>-'INCOME STS'!C4/'INCOME STS'!C3</f>
        <v>0.40651728401334619</v>
      </c>
      <c r="D4" s="153">
        <f>-'INCOME STS'!D4/'INCOME STS'!D3</f>
        <v>0.37399977159389397</v>
      </c>
      <c r="E4" s="153">
        <f>-'INCOME STS'!E4/'INCOME STS'!E3</f>
        <v>0.369914501092447</v>
      </c>
      <c r="F4" s="153">
        <f>-'INCOME STS'!F4/'INCOME STS'!F3</f>
        <v>0.37613084657628737</v>
      </c>
      <c r="G4" s="176">
        <v>0.42</v>
      </c>
      <c r="H4" s="176">
        <v>0.47</v>
      </c>
      <c r="I4" s="176">
        <v>0.5</v>
      </c>
      <c r="J4" s="176">
        <v>0.36</v>
      </c>
      <c r="K4" s="176">
        <v>0.35</v>
      </c>
    </row>
    <row r="5" spans="1:11" ht="15.5" x14ac:dyDescent="0.35">
      <c r="A5" s="6" t="s">
        <v>58</v>
      </c>
      <c r="B5" s="153">
        <f>-'INCOME STS'!B7/'INCOME STS'!B3</f>
        <v>0.25907045594910155</v>
      </c>
      <c r="C5" s="153">
        <f>-'INCOME STS'!C7/'INCOME STS'!C3</f>
        <v>0.19187710651559034</v>
      </c>
      <c r="D5" s="153">
        <f>-'INCOME STS'!D7/'INCOME STS'!D3</f>
        <v>0.18175035212608018</v>
      </c>
      <c r="E5" s="153">
        <f>-'INCOME STS'!E7/'INCOME STS'!E3</f>
        <v>0.16159785304304453</v>
      </c>
      <c r="F5" s="153">
        <f>-'INCOME STS'!F7/'INCOME STS'!F3</f>
        <v>0.16743825113416283</v>
      </c>
      <c r="G5" s="176">
        <v>0.17</v>
      </c>
      <c r="H5" s="176">
        <v>0.17</v>
      </c>
      <c r="I5" s="176">
        <v>0.17</v>
      </c>
      <c r="J5" s="176">
        <v>0.17</v>
      </c>
      <c r="K5" s="176">
        <v>0.17</v>
      </c>
    </row>
    <row r="6" spans="1:11" ht="15.5" x14ac:dyDescent="0.35">
      <c r="A6" s="6" t="s">
        <v>59</v>
      </c>
      <c r="B6" s="6">
        <f>-'INCOME STS'!B8</f>
        <v>10963</v>
      </c>
      <c r="C6" s="6">
        <f>-'INCOME STS'!C8</f>
        <v>10125</v>
      </c>
      <c r="D6" s="6">
        <f>-'INCOME STS'!D8</f>
        <v>10087</v>
      </c>
      <c r="E6" s="6">
        <f>-'INCOME STS'!E8</f>
        <v>11020</v>
      </c>
      <c r="F6" s="6">
        <f>-'INCOME STS'!F8</f>
        <v>11412</v>
      </c>
      <c r="G6" s="177">
        <v>15000</v>
      </c>
      <c r="H6" s="177">
        <v>15000</v>
      </c>
      <c r="I6" s="177">
        <v>15000</v>
      </c>
      <c r="J6" s="177">
        <v>15000</v>
      </c>
      <c r="K6" s="177">
        <v>15000</v>
      </c>
    </row>
    <row r="7" spans="1:11" ht="15.5" x14ac:dyDescent="0.35">
      <c r="A7" s="6" t="s">
        <v>60</v>
      </c>
      <c r="B7" s="153">
        <f>-'INCOME STS'!B9/SOFP!B8</f>
        <v>0.42857142857142855</v>
      </c>
      <c r="C7" s="153">
        <f>-'INCOME STS'!C9/SOFP!C8</f>
        <v>0.42857142857142855</v>
      </c>
      <c r="D7" s="153">
        <f>-'INCOME STS'!D9/SOFP!D8</f>
        <v>0.42857142857142855</v>
      </c>
      <c r="E7" s="153">
        <f>-'INCOME STS'!E9/SOFP!E8</f>
        <v>0.42857142857142855</v>
      </c>
      <c r="F7" s="153">
        <f>-'INCOME STS'!F9/SOFP!F8</f>
        <v>0.42857142857142855</v>
      </c>
      <c r="G7" s="176">
        <v>0.35</v>
      </c>
      <c r="H7" s="176">
        <v>0.35</v>
      </c>
      <c r="I7" s="176">
        <v>0.35</v>
      </c>
      <c r="J7" s="176">
        <v>0.35</v>
      </c>
      <c r="K7" s="176">
        <v>0.35</v>
      </c>
    </row>
    <row r="8" spans="1:11" ht="15.5" x14ac:dyDescent="0.35">
      <c r="A8" s="6" t="s">
        <v>62</v>
      </c>
      <c r="B8" s="153">
        <f>-'INCOME STS'!B10/SOFP!B13</f>
        <v>0.05</v>
      </c>
      <c r="C8" s="153">
        <f>-'INCOME STS'!C10/SOFP!C13</f>
        <v>0.05</v>
      </c>
      <c r="D8" s="153">
        <f>-'INCOME STS'!D10/SOFP!D13</f>
        <v>0.05</v>
      </c>
      <c r="E8" s="153">
        <f>-'INCOME STS'!E10/SOFP!E13</f>
        <v>0.05</v>
      </c>
      <c r="F8" s="153">
        <f>-'INCOME STS'!F10/SOFP!F13</f>
        <v>0.05</v>
      </c>
      <c r="G8" s="176">
        <v>0.1</v>
      </c>
      <c r="H8" s="176">
        <v>0.1</v>
      </c>
      <c r="I8" s="176">
        <v>0.1</v>
      </c>
      <c r="J8" s="176">
        <v>0.1</v>
      </c>
      <c r="K8" s="176">
        <v>0.1</v>
      </c>
    </row>
    <row r="9" spans="1:11" ht="15.5" x14ac:dyDescent="0.35">
      <c r="A9" s="6" t="s">
        <v>63</v>
      </c>
      <c r="B9" s="154">
        <f>-'INCOME STS'!B14/'INCOME STS'!B12</f>
        <v>0.31167801892042296</v>
      </c>
      <c r="C9" s="154">
        <f>-'INCOME STS'!C14/'INCOME STS'!C12</f>
        <v>0.29180230056592166</v>
      </c>
      <c r="D9" s="154">
        <f>-'INCOME STS'!D14/'INCOME STS'!D12</f>
        <v>0.28698850107817442</v>
      </c>
      <c r="E9" s="154">
        <f>-'INCOME STS'!E14/'INCOME STS'!E12</f>
        <v>0.28994115004464732</v>
      </c>
      <c r="F9" s="154">
        <f>-'INCOME STS'!F14/'INCOME STS'!F12</f>
        <v>0.29121899033183546</v>
      </c>
      <c r="G9" s="176">
        <v>0.28000000000000003</v>
      </c>
      <c r="H9" s="176">
        <v>0.28000000000000003</v>
      </c>
      <c r="I9" s="176">
        <v>0.28000000000000003</v>
      </c>
      <c r="J9" s="176">
        <v>0.28000000000000003</v>
      </c>
      <c r="K9" s="176">
        <v>0.28000000000000003</v>
      </c>
    </row>
    <row r="10" spans="1:11" ht="15.5" x14ac:dyDescent="0.35">
      <c r="A10" s="7" t="s">
        <v>64</v>
      </c>
      <c r="B10" s="7">
        <f>(SOFP!B6/'INCOME STS'!B3)*365</f>
        <v>18.25</v>
      </c>
      <c r="C10" s="7">
        <f>(SOFP!C6/'INCOME STS'!C3)*365</f>
        <v>18.25</v>
      </c>
      <c r="D10" s="7">
        <f>(SOFP!D6/'INCOME STS'!D3)*365</f>
        <v>18.25</v>
      </c>
      <c r="E10" s="7">
        <f>(SOFP!E6/'INCOME STS'!E3)*365</f>
        <v>18.25</v>
      </c>
      <c r="F10" s="7">
        <f>(SOFP!F6/'INCOME STS'!F3)*365</f>
        <v>18.25</v>
      </c>
      <c r="G10" s="178">
        <v>18</v>
      </c>
      <c r="H10" s="178">
        <v>18</v>
      </c>
      <c r="I10" s="178">
        <v>18</v>
      </c>
      <c r="J10" s="178">
        <v>18</v>
      </c>
      <c r="K10" s="178">
        <v>18</v>
      </c>
    </row>
    <row r="11" spans="1:11" ht="15.5" x14ac:dyDescent="0.35">
      <c r="A11" s="7" t="s">
        <v>65</v>
      </c>
      <c r="B11" s="7">
        <f>(SOFP!B7/(-'INCOME STS'!B4))*365</f>
        <v>73</v>
      </c>
      <c r="C11" s="7">
        <f>(SOFP!C7/(-'INCOME STS'!C4))*365</f>
        <v>73</v>
      </c>
      <c r="D11" s="7">
        <f>(SOFP!D7/(-'INCOME STS'!D4))*365</f>
        <v>73</v>
      </c>
      <c r="E11" s="7">
        <f>(SOFP!E7/(-'INCOME STS'!E4))*365</f>
        <v>73</v>
      </c>
      <c r="F11" s="7">
        <f>(SOFP!F7/(-'INCOME STS'!F4))*365</f>
        <v>73</v>
      </c>
      <c r="G11" s="178">
        <v>80</v>
      </c>
      <c r="H11" s="178">
        <v>90</v>
      </c>
      <c r="I11" s="178">
        <v>100</v>
      </c>
      <c r="J11" s="178">
        <v>100</v>
      </c>
      <c r="K11" s="178">
        <v>100</v>
      </c>
    </row>
    <row r="12" spans="1:11" ht="15.5" x14ac:dyDescent="0.35">
      <c r="A12" s="7" t="s">
        <v>66</v>
      </c>
      <c r="B12" s="7">
        <f>(SOFP!B12/(-'INCOME STS'!B4))*365</f>
        <v>36.5</v>
      </c>
      <c r="C12" s="7">
        <f>(SOFP!C12/(-'INCOME STS'!C4))*365</f>
        <v>36.5</v>
      </c>
      <c r="D12" s="7">
        <f>(SOFP!D12/(-'INCOME STS'!D4))*365</f>
        <v>36.5</v>
      </c>
      <c r="E12" s="7">
        <f>(SOFP!E12/(-'INCOME STS'!E4))*365</f>
        <v>36.5</v>
      </c>
      <c r="F12" s="7">
        <f>(SOFP!F12/(-'INCOME STS'!F4))*365</f>
        <v>36.5</v>
      </c>
      <c r="G12" s="178">
        <v>37</v>
      </c>
      <c r="H12" s="178">
        <v>37</v>
      </c>
      <c r="I12" s="178">
        <v>37</v>
      </c>
      <c r="J12" s="178">
        <v>37</v>
      </c>
      <c r="K12" s="178">
        <v>37</v>
      </c>
    </row>
    <row r="13" spans="1:11" ht="15.5" x14ac:dyDescent="0.35">
      <c r="A13" s="7" t="s">
        <v>67</v>
      </c>
      <c r="B13" s="7">
        <f>-'CASHFLOWS STS'!B10</f>
        <v>15000</v>
      </c>
      <c r="C13" s="7">
        <f>-'CASHFLOWS STS'!C10</f>
        <v>15000</v>
      </c>
      <c r="D13" s="7">
        <f>-'CASHFLOWS STS'!D10</f>
        <v>15000</v>
      </c>
      <c r="E13" s="7">
        <f>-'CASHFLOWS STS'!E10</f>
        <v>15000</v>
      </c>
      <c r="F13" s="7">
        <f>-'CASHFLOWS STS'!F10</f>
        <v>15000</v>
      </c>
      <c r="G13" s="178">
        <v>15000</v>
      </c>
      <c r="H13" s="178">
        <v>15000</v>
      </c>
      <c r="I13" s="178">
        <v>15000</v>
      </c>
      <c r="J13" s="178">
        <v>15000</v>
      </c>
      <c r="K13" s="178">
        <v>15000</v>
      </c>
    </row>
    <row r="14" spans="1:11" ht="15.5" x14ac:dyDescent="0.35">
      <c r="A14" s="7" t="s">
        <v>69</v>
      </c>
      <c r="B14" s="7">
        <f>'CASHFLOWS STS'!B14</f>
        <v>0</v>
      </c>
      <c r="C14" s="7">
        <f>'CASHFLOWS STS'!C14</f>
        <v>0</v>
      </c>
      <c r="D14" s="7">
        <f>'CASHFLOWS STS'!D14</f>
        <v>-20000</v>
      </c>
      <c r="E14" s="7">
        <f>'CASHFLOWS STS'!E14</f>
        <v>0</v>
      </c>
      <c r="F14" s="7">
        <f>'CASHFLOWS STS'!F14</f>
        <v>0</v>
      </c>
      <c r="G14" s="178"/>
      <c r="H14" s="178"/>
      <c r="I14" s="178">
        <v>-20000</v>
      </c>
      <c r="J14" s="178"/>
      <c r="K14" s="178"/>
    </row>
    <row r="15" spans="1:11" ht="15.5" x14ac:dyDescent="0.35">
      <c r="A15" s="7" t="s">
        <v>68</v>
      </c>
      <c r="B15" s="7">
        <f>'CASHFLOWS STS'!B15</f>
        <v>70000</v>
      </c>
      <c r="C15" s="7">
        <f>'CASHFLOWS STS'!C15</f>
        <v>0</v>
      </c>
      <c r="D15" s="7">
        <f>'CASHFLOWS STS'!D15</f>
        <v>0</v>
      </c>
      <c r="E15" s="7">
        <f>'CASHFLOWS STS'!E15</f>
        <v>0</v>
      </c>
      <c r="F15" s="7">
        <f>'CASHFLOWS STS'!F15</f>
        <v>0</v>
      </c>
      <c r="G15" s="178"/>
      <c r="H15" s="178"/>
      <c r="I15" s="178"/>
      <c r="J15" s="178"/>
      <c r="K15" s="178"/>
    </row>
  </sheetData>
  <mergeCells count="1">
    <mergeCell ref="G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9"/>
  <sheetViews>
    <sheetView showGridLines="0" topLeftCell="A79" zoomScale="120" zoomScaleNormal="120" workbookViewId="0">
      <selection activeCell="C84" sqref="C84"/>
    </sheetView>
  </sheetViews>
  <sheetFormatPr defaultColWidth="9.1796875" defaultRowHeight="14.5" x14ac:dyDescent="0.35"/>
  <cols>
    <col min="1" max="1" width="9.1796875" style="68"/>
    <col min="2" max="2" width="55.81640625" customWidth="1"/>
    <col min="3" max="3" width="53.26953125" customWidth="1"/>
  </cols>
  <sheetData>
    <row r="1" spans="1:3" ht="21" x14ac:dyDescent="0.5">
      <c r="B1" s="182" t="s">
        <v>81</v>
      </c>
      <c r="C1" s="182"/>
    </row>
    <row r="2" spans="1:3" ht="21" x14ac:dyDescent="0.5">
      <c r="B2" s="182" t="s">
        <v>82</v>
      </c>
      <c r="C2" s="182"/>
    </row>
    <row r="3" spans="1:3" ht="18.5" x14ac:dyDescent="0.45">
      <c r="B3" s="69" t="s">
        <v>83</v>
      </c>
      <c r="C3" s="69" t="s">
        <v>153</v>
      </c>
    </row>
    <row r="4" spans="1:3" ht="15.5" x14ac:dyDescent="0.35">
      <c r="A4" s="70" t="s">
        <v>84</v>
      </c>
      <c r="B4" s="71" t="s">
        <v>85</v>
      </c>
      <c r="C4" s="72"/>
    </row>
    <row r="5" spans="1:3" ht="15.5" x14ac:dyDescent="0.35">
      <c r="A5" s="73">
        <v>1</v>
      </c>
      <c r="B5" s="74" t="s">
        <v>86</v>
      </c>
      <c r="C5" s="72"/>
    </row>
    <row r="6" spans="1:3" ht="15.5" x14ac:dyDescent="0.35">
      <c r="A6" s="73">
        <v>2</v>
      </c>
      <c r="B6" s="74" t="s">
        <v>87</v>
      </c>
      <c r="C6" s="72"/>
    </row>
    <row r="7" spans="1:3" ht="15.5" x14ac:dyDescent="0.35">
      <c r="A7" s="73">
        <v>3</v>
      </c>
      <c r="B7" s="74" t="s">
        <v>88</v>
      </c>
      <c r="C7" s="72"/>
    </row>
    <row r="8" spans="1:3" ht="15.5" x14ac:dyDescent="0.35">
      <c r="A8" s="73">
        <v>4</v>
      </c>
      <c r="B8" s="74" t="s">
        <v>89</v>
      </c>
      <c r="C8" s="72"/>
    </row>
    <row r="9" spans="1:3" ht="15.5" x14ac:dyDescent="0.35">
      <c r="A9" s="73">
        <v>5</v>
      </c>
      <c r="B9" s="74" t="s">
        <v>90</v>
      </c>
      <c r="C9" s="72"/>
    </row>
    <row r="10" spans="1:3" ht="15.5" x14ac:dyDescent="0.35">
      <c r="A10" s="73">
        <v>6</v>
      </c>
      <c r="B10" s="74" t="s">
        <v>91</v>
      </c>
      <c r="C10" s="72"/>
    </row>
    <row r="11" spans="1:3" ht="15.5" x14ac:dyDescent="0.35">
      <c r="A11" s="73">
        <v>7</v>
      </c>
      <c r="B11" s="74" t="s">
        <v>92</v>
      </c>
      <c r="C11" s="72"/>
    </row>
    <row r="12" spans="1:3" ht="15.5" x14ac:dyDescent="0.35">
      <c r="A12" s="70"/>
      <c r="B12" s="74" t="s">
        <v>93</v>
      </c>
      <c r="C12" s="72" t="s">
        <v>94</v>
      </c>
    </row>
    <row r="13" spans="1:3" ht="15.5" x14ac:dyDescent="0.35">
      <c r="A13" s="70"/>
      <c r="B13" s="74" t="s">
        <v>95</v>
      </c>
      <c r="C13" s="72" t="s">
        <v>96</v>
      </c>
    </row>
    <row r="14" spans="1:3" ht="15.5" x14ac:dyDescent="0.35">
      <c r="A14" s="70"/>
      <c r="B14" s="74" t="s">
        <v>97</v>
      </c>
      <c r="C14" s="72" t="s">
        <v>98</v>
      </c>
    </row>
    <row r="15" spans="1:3" ht="15.5" x14ac:dyDescent="0.35">
      <c r="A15" s="70"/>
      <c r="B15" s="72"/>
      <c r="C15" s="72"/>
    </row>
    <row r="16" spans="1:3" ht="15.5" x14ac:dyDescent="0.35">
      <c r="A16" s="70" t="s">
        <v>99</v>
      </c>
      <c r="B16" s="75" t="s">
        <v>100</v>
      </c>
      <c r="C16" s="72"/>
    </row>
    <row r="17" spans="1:3" ht="15.5" x14ac:dyDescent="0.35">
      <c r="A17" s="70"/>
      <c r="B17" s="75" t="s">
        <v>101</v>
      </c>
      <c r="C17" s="72"/>
    </row>
    <row r="18" spans="1:3" ht="15.5" x14ac:dyDescent="0.35">
      <c r="A18" s="70"/>
      <c r="B18" s="76" t="s">
        <v>61</v>
      </c>
      <c r="C18" s="72" t="s">
        <v>102</v>
      </c>
    </row>
    <row r="19" spans="1:3" ht="15.5" x14ac:dyDescent="0.35">
      <c r="A19" s="70"/>
      <c r="B19" s="76" t="s">
        <v>57</v>
      </c>
      <c r="C19" s="72" t="s">
        <v>103</v>
      </c>
    </row>
    <row r="20" spans="1:3" ht="15.5" x14ac:dyDescent="0.35">
      <c r="A20" s="70"/>
      <c r="B20" s="76" t="s">
        <v>58</v>
      </c>
      <c r="C20" s="72" t="s">
        <v>104</v>
      </c>
    </row>
    <row r="21" spans="1:3" ht="15.5" x14ac:dyDescent="0.35">
      <c r="A21" s="70"/>
      <c r="B21" s="76" t="s">
        <v>59</v>
      </c>
      <c r="C21" s="72" t="s">
        <v>105</v>
      </c>
    </row>
    <row r="22" spans="1:3" ht="15.5" x14ac:dyDescent="0.35">
      <c r="A22" s="70"/>
      <c r="B22" s="76" t="s">
        <v>60</v>
      </c>
      <c r="C22" s="72" t="s">
        <v>106</v>
      </c>
    </row>
    <row r="23" spans="1:3" ht="15.5" x14ac:dyDescent="0.35">
      <c r="A23" s="70"/>
      <c r="B23" s="76" t="s">
        <v>62</v>
      </c>
      <c r="C23" s="72" t="s">
        <v>107</v>
      </c>
    </row>
    <row r="24" spans="1:3" ht="15.5" x14ac:dyDescent="0.35">
      <c r="A24" s="70"/>
      <c r="B24" s="76" t="s">
        <v>63</v>
      </c>
      <c r="C24" s="72" t="s">
        <v>108</v>
      </c>
    </row>
    <row r="25" spans="1:3" ht="15.5" x14ac:dyDescent="0.35">
      <c r="A25" s="70"/>
      <c r="B25" s="76" t="s">
        <v>64</v>
      </c>
      <c r="C25" s="72" t="s">
        <v>109</v>
      </c>
    </row>
    <row r="26" spans="1:3" ht="15.5" x14ac:dyDescent="0.35">
      <c r="A26" s="70"/>
      <c r="B26" s="76" t="s">
        <v>65</v>
      </c>
      <c r="C26" s="72" t="s">
        <v>110</v>
      </c>
    </row>
    <row r="27" spans="1:3" ht="15.5" x14ac:dyDescent="0.35">
      <c r="A27" s="70"/>
      <c r="B27" s="76" t="s">
        <v>66</v>
      </c>
      <c r="C27" s="72" t="s">
        <v>111</v>
      </c>
    </row>
    <row r="28" spans="1:3" ht="15.5" x14ac:dyDescent="0.35">
      <c r="A28" s="70"/>
      <c r="B28" s="76" t="s">
        <v>67</v>
      </c>
      <c r="C28" s="72" t="s">
        <v>105</v>
      </c>
    </row>
    <row r="29" spans="1:3" ht="15.5" x14ac:dyDescent="0.35">
      <c r="A29" s="70"/>
      <c r="B29" s="76" t="s">
        <v>69</v>
      </c>
      <c r="C29" s="72" t="s">
        <v>105</v>
      </c>
    </row>
    <row r="30" spans="1:3" ht="15.5" x14ac:dyDescent="0.35">
      <c r="A30" s="70"/>
      <c r="B30" s="76" t="s">
        <v>68</v>
      </c>
      <c r="C30" s="72" t="s">
        <v>105</v>
      </c>
    </row>
    <row r="31" spans="1:3" ht="15.5" x14ac:dyDescent="0.35">
      <c r="A31" s="70"/>
      <c r="B31" s="72"/>
      <c r="C31" s="72"/>
    </row>
    <row r="32" spans="1:3" ht="15.5" x14ac:dyDescent="0.35">
      <c r="A32" s="70" t="s">
        <v>112</v>
      </c>
      <c r="B32" s="75" t="s">
        <v>113</v>
      </c>
      <c r="C32" s="72"/>
    </row>
    <row r="33" spans="1:3" ht="15.5" x14ac:dyDescent="0.35">
      <c r="A33" s="70"/>
      <c r="B33" s="77" t="s">
        <v>114</v>
      </c>
      <c r="C33" s="77" t="s">
        <v>105</v>
      </c>
    </row>
    <row r="34" spans="1:3" ht="15.5" x14ac:dyDescent="0.35">
      <c r="A34" s="70"/>
      <c r="B34" s="77" t="s">
        <v>61</v>
      </c>
      <c r="C34" s="77" t="s">
        <v>105</v>
      </c>
    </row>
    <row r="35" spans="1:3" ht="15.5" x14ac:dyDescent="0.35">
      <c r="A35" s="70"/>
      <c r="B35" s="77" t="s">
        <v>57</v>
      </c>
      <c r="C35" s="77" t="s">
        <v>105</v>
      </c>
    </row>
    <row r="36" spans="1:3" ht="15.5" x14ac:dyDescent="0.35">
      <c r="A36" s="70"/>
      <c r="B36" s="77" t="s">
        <v>58</v>
      </c>
      <c r="C36" s="77" t="s">
        <v>105</v>
      </c>
    </row>
    <row r="37" spans="1:3" ht="15.5" x14ac:dyDescent="0.35">
      <c r="A37" s="70"/>
      <c r="B37" s="77" t="s">
        <v>59</v>
      </c>
      <c r="C37" s="77" t="s">
        <v>105</v>
      </c>
    </row>
    <row r="38" spans="1:3" ht="15.5" x14ac:dyDescent="0.35">
      <c r="A38" s="70"/>
      <c r="B38" s="77" t="s">
        <v>60</v>
      </c>
      <c r="C38" s="77" t="s">
        <v>105</v>
      </c>
    </row>
    <row r="39" spans="1:3" ht="15.5" x14ac:dyDescent="0.35">
      <c r="A39" s="70"/>
      <c r="B39" s="77" t="s">
        <v>62</v>
      </c>
      <c r="C39" s="77" t="s">
        <v>105</v>
      </c>
    </row>
    <row r="40" spans="1:3" ht="15.5" x14ac:dyDescent="0.35">
      <c r="A40" s="70"/>
      <c r="B40" s="77" t="s">
        <v>63</v>
      </c>
      <c r="C40" s="77" t="s">
        <v>105</v>
      </c>
    </row>
    <row r="41" spans="1:3" ht="15.5" x14ac:dyDescent="0.35">
      <c r="A41" s="70"/>
      <c r="B41" s="77" t="s">
        <v>64</v>
      </c>
      <c r="C41" s="77" t="s">
        <v>105</v>
      </c>
    </row>
    <row r="42" spans="1:3" ht="15.5" x14ac:dyDescent="0.35">
      <c r="A42" s="70"/>
      <c r="B42" s="77" t="s">
        <v>65</v>
      </c>
      <c r="C42" s="77" t="s">
        <v>105</v>
      </c>
    </row>
    <row r="43" spans="1:3" ht="15.5" x14ac:dyDescent="0.35">
      <c r="A43" s="70"/>
      <c r="B43" s="77" t="s">
        <v>66</v>
      </c>
      <c r="C43" s="77" t="s">
        <v>105</v>
      </c>
    </row>
    <row r="44" spans="1:3" ht="15.5" x14ac:dyDescent="0.35">
      <c r="A44" s="70"/>
      <c r="B44" s="77" t="s">
        <v>67</v>
      </c>
      <c r="C44" s="77" t="s">
        <v>105</v>
      </c>
    </row>
    <row r="45" spans="1:3" ht="15.5" x14ac:dyDescent="0.35">
      <c r="A45" s="70"/>
      <c r="B45" s="77" t="s">
        <v>69</v>
      </c>
      <c r="C45" s="77" t="s">
        <v>105</v>
      </c>
    </row>
    <row r="46" spans="1:3" ht="15.5" x14ac:dyDescent="0.35">
      <c r="A46" s="70"/>
      <c r="B46" s="77" t="s">
        <v>68</v>
      </c>
      <c r="C46" s="77" t="s">
        <v>105</v>
      </c>
    </row>
    <row r="47" spans="1:3" ht="15.5" x14ac:dyDescent="0.35">
      <c r="A47" s="70"/>
      <c r="B47" s="72"/>
      <c r="C47" s="72"/>
    </row>
    <row r="48" spans="1:3" ht="15.5" x14ac:dyDescent="0.35">
      <c r="A48" s="70" t="s">
        <v>115</v>
      </c>
      <c r="B48" s="71" t="s">
        <v>116</v>
      </c>
      <c r="C48" s="72"/>
    </row>
    <row r="49" spans="1:3" ht="15.5" x14ac:dyDescent="0.35">
      <c r="A49" s="70">
        <v>1</v>
      </c>
      <c r="B49" s="78" t="s">
        <v>77</v>
      </c>
      <c r="C49" s="72" t="s">
        <v>117</v>
      </c>
    </row>
    <row r="50" spans="1:3" ht="15.5" x14ac:dyDescent="0.35">
      <c r="A50" s="70"/>
      <c r="B50" s="78" t="s">
        <v>54</v>
      </c>
      <c r="C50" s="72" t="s">
        <v>118</v>
      </c>
    </row>
    <row r="51" spans="1:3" ht="15.5" x14ac:dyDescent="0.35">
      <c r="A51" s="70"/>
      <c r="B51" s="78" t="s">
        <v>2</v>
      </c>
      <c r="C51" s="72" t="s">
        <v>119</v>
      </c>
    </row>
    <row r="52" spans="1:3" ht="15.5" x14ac:dyDescent="0.35">
      <c r="A52" s="70"/>
      <c r="B52" s="78" t="s">
        <v>120</v>
      </c>
      <c r="C52" s="77" t="s">
        <v>105</v>
      </c>
    </row>
    <row r="53" spans="1:3" ht="15.5" x14ac:dyDescent="0.35">
      <c r="A53" s="70"/>
      <c r="B53" s="78" t="s">
        <v>4</v>
      </c>
      <c r="C53" s="72" t="s">
        <v>121</v>
      </c>
    </row>
    <row r="54" spans="1:3" ht="15.5" x14ac:dyDescent="0.35">
      <c r="A54" s="70"/>
      <c r="B54" s="78" t="s">
        <v>5</v>
      </c>
      <c r="C54" s="72" t="s">
        <v>122</v>
      </c>
    </row>
    <row r="55" spans="1:3" ht="15.5" x14ac:dyDescent="0.35">
      <c r="A55" s="70"/>
      <c r="B55" s="75" t="s">
        <v>123</v>
      </c>
      <c r="C55" s="72" t="s">
        <v>157</v>
      </c>
    </row>
    <row r="56" spans="1:3" ht="15.5" x14ac:dyDescent="0.35">
      <c r="A56" s="70"/>
      <c r="B56" s="72"/>
      <c r="C56" s="72"/>
    </row>
    <row r="57" spans="1:3" ht="15.5" x14ac:dyDescent="0.35">
      <c r="A57" s="70">
        <v>2</v>
      </c>
      <c r="B57" s="79" t="s">
        <v>124</v>
      </c>
      <c r="C57" s="72"/>
    </row>
    <row r="58" spans="1:3" ht="15.5" x14ac:dyDescent="0.35">
      <c r="A58" s="70"/>
      <c r="B58" s="78" t="s">
        <v>11</v>
      </c>
      <c r="C58" s="78" t="s">
        <v>125</v>
      </c>
    </row>
    <row r="59" spans="1:3" ht="15.5" x14ac:dyDescent="0.35">
      <c r="A59" s="70"/>
      <c r="B59" s="78" t="s">
        <v>12</v>
      </c>
      <c r="C59" s="72" t="s">
        <v>126</v>
      </c>
    </row>
    <row r="60" spans="1:3" ht="15.5" x14ac:dyDescent="0.35">
      <c r="A60" s="70"/>
      <c r="B60" s="78" t="s">
        <v>18</v>
      </c>
      <c r="C60" s="72" t="s">
        <v>127</v>
      </c>
    </row>
    <row r="61" spans="1:3" ht="15.5" x14ac:dyDescent="0.35">
      <c r="A61" s="70"/>
      <c r="B61" s="78" t="s">
        <v>13</v>
      </c>
      <c r="C61" s="78" t="s">
        <v>128</v>
      </c>
    </row>
    <row r="62" spans="1:3" ht="15.5" x14ac:dyDescent="0.35">
      <c r="A62" s="70"/>
      <c r="B62" s="78" t="s">
        <v>21</v>
      </c>
      <c r="C62" s="72" t="s">
        <v>129</v>
      </c>
    </row>
    <row r="63" spans="1:3" ht="15.5" x14ac:dyDescent="0.35">
      <c r="A63" s="70"/>
      <c r="B63" s="78" t="s">
        <v>22</v>
      </c>
      <c r="C63" s="78" t="s">
        <v>130</v>
      </c>
    </row>
    <row r="64" spans="1:3" ht="15.5" x14ac:dyDescent="0.35">
      <c r="A64" s="70"/>
      <c r="B64" s="78" t="s">
        <v>29</v>
      </c>
      <c r="C64" s="78" t="s">
        <v>131</v>
      </c>
    </row>
    <row r="65" spans="1:3" ht="15.5" x14ac:dyDescent="0.35">
      <c r="A65" s="70"/>
      <c r="B65" s="78" t="s">
        <v>30</v>
      </c>
      <c r="C65" s="78" t="s">
        <v>132</v>
      </c>
    </row>
    <row r="66" spans="1:3" ht="15.5" x14ac:dyDescent="0.35">
      <c r="A66" s="70"/>
      <c r="B66" s="72"/>
      <c r="C66" s="72"/>
    </row>
    <row r="67" spans="1:3" ht="15.5" x14ac:dyDescent="0.35">
      <c r="A67" s="70">
        <v>3</v>
      </c>
      <c r="B67" s="80" t="s">
        <v>133</v>
      </c>
      <c r="C67" s="72"/>
    </row>
    <row r="68" spans="1:3" ht="15.5" x14ac:dyDescent="0.35">
      <c r="A68" s="70"/>
      <c r="B68" s="78" t="s">
        <v>8</v>
      </c>
      <c r="C68" s="77" t="s">
        <v>105</v>
      </c>
    </row>
    <row r="69" spans="1:3" ht="15.5" x14ac:dyDescent="0.35">
      <c r="A69" s="70"/>
      <c r="B69" s="78" t="s">
        <v>33</v>
      </c>
      <c r="C69" s="77" t="s">
        <v>134</v>
      </c>
    </row>
    <row r="70" spans="1:3" ht="15.5" x14ac:dyDescent="0.35">
      <c r="A70" s="70"/>
      <c r="B70" s="78" t="s">
        <v>37</v>
      </c>
      <c r="C70" s="77" t="s">
        <v>135</v>
      </c>
    </row>
    <row r="71" spans="1:3" ht="15.5" x14ac:dyDescent="0.35">
      <c r="A71" s="70"/>
      <c r="B71" s="78" t="s">
        <v>39</v>
      </c>
      <c r="C71" s="77" t="s">
        <v>105</v>
      </c>
    </row>
    <row r="72" spans="1:3" ht="15.5" x14ac:dyDescent="0.35">
      <c r="A72" s="70"/>
      <c r="B72" s="78" t="s">
        <v>42</v>
      </c>
      <c r="C72" s="77" t="s">
        <v>136</v>
      </c>
    </row>
    <row r="73" spans="1:3" ht="15.5" x14ac:dyDescent="0.35">
      <c r="A73" s="70"/>
      <c r="B73" s="78" t="s">
        <v>43</v>
      </c>
      <c r="C73" s="77" t="s">
        <v>137</v>
      </c>
    </row>
    <row r="74" spans="1:3" ht="15.5" x14ac:dyDescent="0.35">
      <c r="A74" s="70"/>
      <c r="B74" s="78" t="s">
        <v>45</v>
      </c>
      <c r="C74" s="78" t="s">
        <v>138</v>
      </c>
    </row>
    <row r="75" spans="1:3" ht="15.5" x14ac:dyDescent="0.35">
      <c r="A75" s="70"/>
      <c r="B75" s="78" t="s">
        <v>46</v>
      </c>
      <c r="C75" s="78" t="s">
        <v>139</v>
      </c>
    </row>
    <row r="76" spans="1:3" ht="15.5" x14ac:dyDescent="0.35">
      <c r="A76" s="70"/>
      <c r="B76" s="80" t="s">
        <v>47</v>
      </c>
      <c r="C76" s="78" t="s">
        <v>140</v>
      </c>
    </row>
    <row r="77" spans="1:3" ht="15.5" x14ac:dyDescent="0.35">
      <c r="A77" s="70"/>
      <c r="B77" s="72"/>
      <c r="C77" s="72"/>
    </row>
    <row r="78" spans="1:3" ht="15.5" x14ac:dyDescent="0.35">
      <c r="A78" s="70" t="s">
        <v>141</v>
      </c>
      <c r="B78" s="79" t="s">
        <v>142</v>
      </c>
      <c r="C78" s="72"/>
    </row>
    <row r="79" spans="1:3" ht="15.5" x14ac:dyDescent="0.35">
      <c r="A79" s="70"/>
      <c r="B79" s="81" t="s">
        <v>93</v>
      </c>
      <c r="C79" s="72" t="s">
        <v>94</v>
      </c>
    </row>
    <row r="80" spans="1:3" ht="15.5" x14ac:dyDescent="0.35">
      <c r="A80" s="70"/>
      <c r="B80" s="81" t="s">
        <v>143</v>
      </c>
      <c r="C80" s="77" t="s">
        <v>105</v>
      </c>
    </row>
    <row r="81" spans="1:3" ht="15.5" x14ac:dyDescent="0.35">
      <c r="A81" s="70"/>
      <c r="B81" s="81" t="s">
        <v>144</v>
      </c>
      <c r="C81" s="82" t="s">
        <v>145</v>
      </c>
    </row>
    <row r="82" spans="1:3" ht="15.5" x14ac:dyDescent="0.35">
      <c r="A82" s="70"/>
      <c r="B82" s="82" t="s">
        <v>23</v>
      </c>
      <c r="C82" s="77" t="s">
        <v>105</v>
      </c>
    </row>
    <row r="83" spans="1:3" ht="15.5" x14ac:dyDescent="0.35">
      <c r="A83" s="70"/>
      <c r="B83" s="82" t="s">
        <v>24</v>
      </c>
      <c r="C83" s="77" t="s">
        <v>105</v>
      </c>
    </row>
    <row r="84" spans="1:3" ht="15.5" x14ac:dyDescent="0.35">
      <c r="A84" s="70"/>
      <c r="B84" s="78" t="s">
        <v>26</v>
      </c>
      <c r="C84" s="82" t="s">
        <v>146</v>
      </c>
    </row>
    <row r="85" spans="1:3" ht="15.5" x14ac:dyDescent="0.35">
      <c r="A85" s="70"/>
      <c r="B85" s="72"/>
      <c r="C85" s="72"/>
    </row>
    <row r="86" spans="1:3" ht="15.5" x14ac:dyDescent="0.35">
      <c r="A86" s="68" t="s">
        <v>147</v>
      </c>
      <c r="B86" s="79" t="s">
        <v>148</v>
      </c>
    </row>
    <row r="87" spans="1:3" ht="15.5" x14ac:dyDescent="0.35">
      <c r="B87" s="81" t="s">
        <v>77</v>
      </c>
      <c r="C87" s="77" t="s">
        <v>105</v>
      </c>
    </row>
    <row r="88" spans="1:3" ht="15.5" x14ac:dyDescent="0.35">
      <c r="B88" s="81" t="s">
        <v>149</v>
      </c>
      <c r="C88" t="s">
        <v>150</v>
      </c>
    </row>
    <row r="89" spans="1:3" ht="15.5" x14ac:dyDescent="0.35">
      <c r="B89" s="81" t="s">
        <v>151</v>
      </c>
    </row>
  </sheetData>
  <mergeCells count="2">
    <mergeCell ref="B1:C1"/>
    <mergeCell ref="B2:C2"/>
  </mergeCells>
  <pageMargins left="0.7" right="0.7" top="0.75" bottom="0.75" header="0.3" footer="0.3"/>
  <pageSetup orientation="landscape" horizontalDpi="4294967295" verticalDpi="4294967295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9"/>
  <sheetViews>
    <sheetView zoomScaleNormal="100" workbookViewId="0">
      <selection sqref="A1:XFD1048576"/>
    </sheetView>
  </sheetViews>
  <sheetFormatPr defaultRowHeight="14.5" x14ac:dyDescent="0.35"/>
  <cols>
    <col min="1" max="1" width="32.81640625" bestFit="1" customWidth="1"/>
    <col min="2" max="6" width="11.54296875" style="66" bestFit="1" customWidth="1"/>
  </cols>
  <sheetData>
    <row r="1" spans="1:6" x14ac:dyDescent="0.35">
      <c r="B1" s="47">
        <v>2013</v>
      </c>
      <c r="C1" s="47">
        <v>2014</v>
      </c>
      <c r="D1" s="47">
        <v>2015</v>
      </c>
      <c r="E1" s="47">
        <v>2016</v>
      </c>
      <c r="F1" s="47">
        <v>2017</v>
      </c>
    </row>
    <row r="2" spans="1:6" x14ac:dyDescent="0.35">
      <c r="A2" t="s">
        <v>0</v>
      </c>
    </row>
    <row r="3" spans="1:6" x14ac:dyDescent="0.35">
      <c r="A3" t="s">
        <v>77</v>
      </c>
      <c r="B3" s="66">
        <v>102007</v>
      </c>
      <c r="C3" s="66">
        <v>118086</v>
      </c>
      <c r="D3" s="66">
        <v>131345</v>
      </c>
      <c r="E3" s="66">
        <v>142341</v>
      </c>
      <c r="F3" s="66">
        <v>150772</v>
      </c>
    </row>
    <row r="4" spans="1:6" x14ac:dyDescent="0.35">
      <c r="A4" t="s">
        <v>54</v>
      </c>
      <c r="B4" s="66">
        <v>39023</v>
      </c>
      <c r="C4" s="66">
        <v>48004</v>
      </c>
      <c r="D4" s="66">
        <v>49123</v>
      </c>
      <c r="E4" s="66">
        <v>52654</v>
      </c>
      <c r="F4" s="66">
        <v>56710</v>
      </c>
    </row>
    <row r="5" spans="1:6" x14ac:dyDescent="0.35">
      <c r="A5" t="s">
        <v>1</v>
      </c>
      <c r="B5" s="66">
        <v>62984</v>
      </c>
      <c r="C5" s="66">
        <v>70082</v>
      </c>
      <c r="D5" s="66">
        <v>82222</v>
      </c>
      <c r="E5" s="66">
        <v>89687</v>
      </c>
      <c r="F5" s="66">
        <v>94062</v>
      </c>
    </row>
    <row r="6" spans="1:6" x14ac:dyDescent="0.35">
      <c r="A6" t="s">
        <v>73</v>
      </c>
    </row>
    <row r="7" spans="1:6" x14ac:dyDescent="0.35">
      <c r="A7" t="s">
        <v>2</v>
      </c>
      <c r="B7" s="66">
        <v>26427</v>
      </c>
      <c r="C7" s="66">
        <v>22658</v>
      </c>
      <c r="D7" s="66">
        <v>23872</v>
      </c>
      <c r="E7" s="66">
        <v>23002</v>
      </c>
      <c r="F7" s="66">
        <v>25245</v>
      </c>
    </row>
    <row r="8" spans="1:6" x14ac:dyDescent="0.35">
      <c r="A8" t="s">
        <v>3</v>
      </c>
      <c r="B8" s="66">
        <v>10963</v>
      </c>
      <c r="C8" s="66">
        <v>10125</v>
      </c>
      <c r="D8" s="66">
        <v>10087</v>
      </c>
      <c r="E8" s="66">
        <v>11020</v>
      </c>
      <c r="F8" s="66">
        <v>11412</v>
      </c>
    </row>
    <row r="9" spans="1:6" x14ac:dyDescent="0.35">
      <c r="A9" t="s">
        <v>4</v>
      </c>
      <c r="B9" s="66">
        <v>19500</v>
      </c>
      <c r="C9" s="66">
        <v>18150</v>
      </c>
      <c r="D9" s="66">
        <v>17205</v>
      </c>
      <c r="E9" s="66">
        <v>16543.5</v>
      </c>
      <c r="F9" s="66">
        <v>16080.449999999999</v>
      </c>
    </row>
    <row r="10" spans="1:6" x14ac:dyDescent="0.35">
      <c r="A10" t="s">
        <v>5</v>
      </c>
      <c r="B10" s="66">
        <v>2500</v>
      </c>
      <c r="C10" s="66">
        <v>2500</v>
      </c>
      <c r="D10" s="66">
        <v>1500</v>
      </c>
      <c r="E10" s="66">
        <v>1500</v>
      </c>
      <c r="F10" s="66">
        <v>1500</v>
      </c>
    </row>
    <row r="11" spans="1:6" x14ac:dyDescent="0.35">
      <c r="A11" t="s">
        <v>74</v>
      </c>
      <c r="B11" s="66">
        <v>59390</v>
      </c>
      <c r="C11" s="66">
        <v>53433</v>
      </c>
      <c r="D11" s="66">
        <v>52664</v>
      </c>
      <c r="E11" s="66">
        <v>52065.5</v>
      </c>
      <c r="F11" s="66">
        <v>54237.45</v>
      </c>
    </row>
    <row r="12" spans="1:6" x14ac:dyDescent="0.35">
      <c r="A12" t="s">
        <v>6</v>
      </c>
      <c r="B12" s="66">
        <v>3594</v>
      </c>
      <c r="C12" s="66">
        <v>16649</v>
      </c>
      <c r="D12" s="66">
        <v>29558</v>
      </c>
      <c r="E12" s="66">
        <v>37621.5</v>
      </c>
      <c r="F12" s="66">
        <v>39824.550000000003</v>
      </c>
    </row>
    <row r="14" spans="1:6" x14ac:dyDescent="0.35">
      <c r="A14" t="s">
        <v>7</v>
      </c>
      <c r="B14" s="66">
        <v>1120.1708000000001</v>
      </c>
      <c r="C14" s="66">
        <v>4858.2165021220308</v>
      </c>
      <c r="D14" s="66">
        <v>8482.8061148686775</v>
      </c>
      <c r="E14" s="66">
        <v>10908.02097640469</v>
      </c>
      <c r="F14" s="66">
        <v>11597.665241419718</v>
      </c>
    </row>
    <row r="15" spans="1:6" x14ac:dyDescent="0.35">
      <c r="A15" t="s">
        <v>8</v>
      </c>
      <c r="B15" s="67">
        <v>2473.8292000000001</v>
      </c>
      <c r="C15" s="67">
        <v>11790.783497877968</v>
      </c>
      <c r="D15" s="67">
        <v>21075.193885131324</v>
      </c>
      <c r="E15" s="67">
        <v>26713.479023595311</v>
      </c>
      <c r="F15" s="67">
        <v>28226.884758580287</v>
      </c>
    </row>
    <row r="19" spans="1:6" x14ac:dyDescent="0.35">
      <c r="A19" t="s">
        <v>9</v>
      </c>
    </row>
    <row r="20" spans="1:6" x14ac:dyDescent="0.35">
      <c r="A20" t="s">
        <v>10</v>
      </c>
    </row>
    <row r="21" spans="1:6" x14ac:dyDescent="0.35">
      <c r="A21" t="s">
        <v>11</v>
      </c>
      <c r="B21" s="66">
        <v>67971.179200000013</v>
      </c>
      <c r="C21" s="66">
        <v>81209.912697877968</v>
      </c>
      <c r="D21" s="66">
        <v>83715.256583009294</v>
      </c>
      <c r="E21" s="66">
        <v>111069.33560660461</v>
      </c>
      <c r="F21" s="66">
        <v>139549.5203651849</v>
      </c>
    </row>
    <row r="22" spans="1:6" x14ac:dyDescent="0.35">
      <c r="A22" t="s">
        <v>12</v>
      </c>
      <c r="B22" s="66">
        <v>5100.3500000000004</v>
      </c>
      <c r="C22" s="66">
        <v>5904.3</v>
      </c>
      <c r="D22" s="66">
        <v>6567.25</v>
      </c>
      <c r="E22" s="66">
        <v>7117.05</v>
      </c>
      <c r="F22" s="66">
        <v>7538.6</v>
      </c>
    </row>
    <row r="23" spans="1:6" x14ac:dyDescent="0.35">
      <c r="A23" t="s">
        <v>18</v>
      </c>
      <c r="B23" s="66">
        <v>7804.6</v>
      </c>
      <c r="C23" s="66">
        <v>9600.8000000000011</v>
      </c>
      <c r="D23" s="66">
        <v>9824.6</v>
      </c>
      <c r="E23" s="66">
        <v>10530.800000000001</v>
      </c>
      <c r="F23" s="66">
        <v>11342</v>
      </c>
    </row>
    <row r="24" spans="1:6" x14ac:dyDescent="0.35">
      <c r="A24" t="s">
        <v>13</v>
      </c>
      <c r="B24" s="66">
        <v>45500</v>
      </c>
      <c r="C24" s="66">
        <v>42350</v>
      </c>
      <c r="D24" s="66">
        <v>40145</v>
      </c>
      <c r="E24" s="66">
        <v>38601.5</v>
      </c>
      <c r="F24" s="66">
        <v>37521.050000000003</v>
      </c>
    </row>
    <row r="25" spans="1:6" x14ac:dyDescent="0.35">
      <c r="A25" t="s">
        <v>19</v>
      </c>
      <c r="B25" s="66">
        <v>126376.12920000002</v>
      </c>
      <c r="C25" s="66">
        <v>139065.01269787797</v>
      </c>
      <c r="D25" s="66">
        <v>140252.1065830093</v>
      </c>
      <c r="E25" s="66">
        <v>167318.68560660462</v>
      </c>
      <c r="F25" s="66">
        <v>195951.17036518489</v>
      </c>
    </row>
    <row r="27" spans="1:6" x14ac:dyDescent="0.35">
      <c r="A27" t="s">
        <v>20</v>
      </c>
    </row>
    <row r="28" spans="1:6" x14ac:dyDescent="0.35">
      <c r="A28" t="s">
        <v>21</v>
      </c>
      <c r="B28" s="66">
        <v>3902.3</v>
      </c>
      <c r="C28" s="66">
        <v>4800.4000000000005</v>
      </c>
      <c r="D28" s="66">
        <v>4912.3</v>
      </c>
      <c r="E28" s="66">
        <v>5265.4000000000005</v>
      </c>
      <c r="F28" s="66">
        <v>5671</v>
      </c>
    </row>
    <row r="29" spans="1:6" x14ac:dyDescent="0.35">
      <c r="A29" t="s">
        <v>22</v>
      </c>
      <c r="B29" s="66">
        <v>50000</v>
      </c>
      <c r="C29" s="66">
        <v>50000</v>
      </c>
      <c r="D29" s="66">
        <v>30000</v>
      </c>
      <c r="E29" s="66">
        <v>30000</v>
      </c>
      <c r="F29" s="66">
        <v>30000</v>
      </c>
    </row>
    <row r="30" spans="1:6" x14ac:dyDescent="0.35">
      <c r="A30" t="s">
        <v>27</v>
      </c>
      <c r="B30" s="66">
        <v>53902.3</v>
      </c>
      <c r="C30" s="66">
        <v>54800.4</v>
      </c>
      <c r="D30" s="66">
        <v>34912.300000000003</v>
      </c>
      <c r="E30" s="66">
        <v>35265.4</v>
      </c>
      <c r="F30" s="66">
        <v>35671</v>
      </c>
    </row>
    <row r="31" spans="1:6" x14ac:dyDescent="0.35">
      <c r="A31" t="s">
        <v>28</v>
      </c>
    </row>
    <row r="32" spans="1:6" x14ac:dyDescent="0.35">
      <c r="A32" t="s">
        <v>29</v>
      </c>
      <c r="B32" s="66">
        <v>70000</v>
      </c>
      <c r="C32" s="66">
        <v>70000</v>
      </c>
      <c r="D32" s="66">
        <v>70000</v>
      </c>
      <c r="E32" s="66">
        <v>70000</v>
      </c>
      <c r="F32" s="66">
        <v>70000</v>
      </c>
    </row>
    <row r="33" spans="1:6" x14ac:dyDescent="0.35">
      <c r="A33" t="s">
        <v>30</v>
      </c>
      <c r="B33" s="66">
        <v>2473.8292000000001</v>
      </c>
      <c r="C33" s="66">
        <v>14264.612697877968</v>
      </c>
      <c r="D33" s="66">
        <v>35339.806583009296</v>
      </c>
      <c r="E33" s="66">
        <v>62053.285606604608</v>
      </c>
      <c r="F33" s="66">
        <v>90280.170365184895</v>
      </c>
    </row>
    <row r="34" spans="1:6" x14ac:dyDescent="0.35">
      <c r="A34" t="s">
        <v>28</v>
      </c>
      <c r="B34" s="66">
        <v>72473.829200000007</v>
      </c>
      <c r="C34" s="66">
        <v>84264.612697877965</v>
      </c>
      <c r="D34" s="66">
        <v>105339.8065830093</v>
      </c>
      <c r="E34" s="66">
        <v>132053.28560660459</v>
      </c>
      <c r="F34" s="66">
        <v>160280.17036518489</v>
      </c>
    </row>
    <row r="35" spans="1:6" x14ac:dyDescent="0.35">
      <c r="A35" t="s">
        <v>31</v>
      </c>
      <c r="B35" s="66">
        <v>126376.12920000001</v>
      </c>
      <c r="C35" s="66">
        <v>139065.01269787797</v>
      </c>
      <c r="D35" s="66">
        <v>140252.1065830093</v>
      </c>
      <c r="E35" s="66">
        <v>167318.68560660459</v>
      </c>
      <c r="F35" s="66">
        <v>195951.17036518489</v>
      </c>
    </row>
    <row r="37" spans="1:6" x14ac:dyDescent="0.35">
      <c r="A37" t="s">
        <v>49</v>
      </c>
      <c r="B37" s="66">
        <v>0</v>
      </c>
      <c r="C37" s="66">
        <v>0</v>
      </c>
      <c r="D37" s="66">
        <v>0</v>
      </c>
      <c r="E37" s="66">
        <v>0</v>
      </c>
      <c r="F37" s="66">
        <v>0</v>
      </c>
    </row>
    <row r="41" spans="1:6" x14ac:dyDescent="0.35">
      <c r="A41" t="s">
        <v>48</v>
      </c>
    </row>
    <row r="42" spans="1:6" x14ac:dyDescent="0.35">
      <c r="A42" t="s">
        <v>32</v>
      </c>
    </row>
    <row r="43" spans="1:6" x14ac:dyDescent="0.35">
      <c r="A43" t="s">
        <v>8</v>
      </c>
      <c r="B43" s="66">
        <v>2473.8292000000001</v>
      </c>
      <c r="C43" s="66">
        <v>11790.783497877968</v>
      </c>
      <c r="D43" s="66">
        <v>21075.193885131324</v>
      </c>
      <c r="E43" s="66">
        <v>26713.479023595311</v>
      </c>
      <c r="F43" s="66">
        <v>28226.884758580287</v>
      </c>
    </row>
    <row r="44" spans="1:6" x14ac:dyDescent="0.35">
      <c r="A44" t="s">
        <v>33</v>
      </c>
      <c r="B44" s="66">
        <v>19500</v>
      </c>
      <c r="C44" s="66">
        <v>18150</v>
      </c>
      <c r="D44" s="66">
        <v>17205</v>
      </c>
      <c r="E44" s="66">
        <v>16543.5</v>
      </c>
      <c r="F44" s="66">
        <v>16080.449999999999</v>
      </c>
    </row>
    <row r="45" spans="1:6" x14ac:dyDescent="0.35">
      <c r="A45" t="s">
        <v>37</v>
      </c>
      <c r="B45" s="66">
        <v>9002.6500000000015</v>
      </c>
      <c r="C45" s="66">
        <v>1702.0499999999993</v>
      </c>
      <c r="D45" s="66">
        <v>774.84999999999854</v>
      </c>
      <c r="E45" s="66">
        <v>902.90000000000146</v>
      </c>
      <c r="F45" s="66">
        <v>827.14999999999782</v>
      </c>
    </row>
    <row r="46" spans="1:6" x14ac:dyDescent="0.35">
      <c r="A46" t="s">
        <v>34</v>
      </c>
      <c r="B46" s="66">
        <v>12971.179199999999</v>
      </c>
      <c r="C46" s="66">
        <v>28238.733497877969</v>
      </c>
      <c r="D46" s="66">
        <v>37505.343885131326</v>
      </c>
      <c r="E46" s="66">
        <v>42354.07902359531</v>
      </c>
      <c r="F46" s="66">
        <v>43480.18475858029</v>
      </c>
    </row>
    <row r="48" spans="1:6" x14ac:dyDescent="0.35">
      <c r="A48" t="s">
        <v>38</v>
      </c>
    </row>
    <row r="49" spans="1:6" x14ac:dyDescent="0.35">
      <c r="A49" t="s">
        <v>39</v>
      </c>
      <c r="B49" s="66">
        <v>15000</v>
      </c>
      <c r="C49" s="66">
        <v>15000</v>
      </c>
      <c r="D49" s="66">
        <v>15000</v>
      </c>
      <c r="E49" s="66">
        <v>15000</v>
      </c>
      <c r="F49" s="66">
        <v>15000</v>
      </c>
    </row>
    <row r="50" spans="1:6" x14ac:dyDescent="0.35">
      <c r="A50" t="s">
        <v>40</v>
      </c>
      <c r="B50" s="66">
        <v>15000</v>
      </c>
      <c r="C50" s="66">
        <v>15000</v>
      </c>
      <c r="D50" s="66">
        <v>15000</v>
      </c>
      <c r="E50" s="66">
        <v>15000</v>
      </c>
      <c r="F50" s="66">
        <v>15000</v>
      </c>
    </row>
    <row r="52" spans="1:6" x14ac:dyDescent="0.35">
      <c r="A52" t="s">
        <v>41</v>
      </c>
    </row>
    <row r="53" spans="1:6" x14ac:dyDescent="0.35">
      <c r="A53" t="s">
        <v>42</v>
      </c>
      <c r="B53" s="66">
        <v>0</v>
      </c>
      <c r="C53" s="66">
        <v>0</v>
      </c>
      <c r="D53" s="66">
        <v>-20000</v>
      </c>
      <c r="E53" s="66">
        <v>0</v>
      </c>
      <c r="F53" s="66">
        <v>0</v>
      </c>
    </row>
    <row r="54" spans="1:6" x14ac:dyDescent="0.35">
      <c r="A54" t="s">
        <v>43</v>
      </c>
      <c r="B54" s="66">
        <v>70000</v>
      </c>
      <c r="C54" s="66">
        <v>0</v>
      </c>
      <c r="D54" s="66">
        <v>0</v>
      </c>
      <c r="E54" s="66">
        <v>0</v>
      </c>
      <c r="F54" s="66">
        <v>0</v>
      </c>
    </row>
    <row r="55" spans="1:6" x14ac:dyDescent="0.35">
      <c r="A55" t="s">
        <v>44</v>
      </c>
      <c r="B55" s="66">
        <v>70000</v>
      </c>
      <c r="C55" s="66">
        <v>0</v>
      </c>
      <c r="D55" s="66">
        <v>-20000</v>
      </c>
      <c r="E55" s="66">
        <v>0</v>
      </c>
      <c r="F55" s="66">
        <v>0</v>
      </c>
    </row>
    <row r="57" spans="1:6" x14ac:dyDescent="0.35">
      <c r="A57" t="s">
        <v>45</v>
      </c>
      <c r="B57" s="66">
        <v>67971.179199999999</v>
      </c>
      <c r="C57" s="66">
        <v>13238.733497877969</v>
      </c>
      <c r="D57" s="66">
        <v>2505.3438851313258</v>
      </c>
      <c r="E57" s="66">
        <v>27354.07902359531</v>
      </c>
      <c r="F57" s="66">
        <v>28480.18475858029</v>
      </c>
    </row>
    <row r="58" spans="1:6" x14ac:dyDescent="0.35">
      <c r="A58" t="s">
        <v>46</v>
      </c>
      <c r="B58" s="66">
        <v>0</v>
      </c>
      <c r="C58" s="66">
        <v>67971.179200000013</v>
      </c>
      <c r="D58" s="66">
        <v>81209.912697877968</v>
      </c>
      <c r="E58" s="66">
        <v>83715.256583009294</v>
      </c>
      <c r="F58" s="66">
        <v>111069.33560660461</v>
      </c>
    </row>
    <row r="59" spans="1:6" x14ac:dyDescent="0.35">
      <c r="A59" t="s">
        <v>47</v>
      </c>
      <c r="B59" s="66">
        <v>67971.179199999999</v>
      </c>
      <c r="C59" s="66">
        <v>81209.912697877982</v>
      </c>
      <c r="D59" s="66">
        <v>83715.256583009294</v>
      </c>
      <c r="E59" s="66">
        <v>111069.33560660461</v>
      </c>
      <c r="F59" s="66">
        <v>139549.5203651849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showGridLines="0" zoomScale="130" zoomScaleNormal="130" workbookViewId="0">
      <selection activeCell="A14" sqref="A14"/>
    </sheetView>
  </sheetViews>
  <sheetFormatPr defaultRowHeight="14.5" x14ac:dyDescent="0.35"/>
  <cols>
    <col min="1" max="1" width="37.54296875" customWidth="1"/>
    <col min="2" max="2" width="10" customWidth="1"/>
    <col min="3" max="3" width="9.7265625" customWidth="1"/>
    <col min="4" max="4" width="9.453125" customWidth="1"/>
  </cols>
  <sheetData>
    <row r="1" spans="1:11" ht="15.5" x14ac:dyDescent="0.35">
      <c r="A1" s="150" t="s">
        <v>75</v>
      </c>
      <c r="B1" s="164" t="str">
        <f>CASHFLOWS!D1</f>
        <v>HOUSE OF ACCOUNTANTS PROFESSIONAL SERVICES</v>
      </c>
      <c r="G1" s="181" t="s">
        <v>156</v>
      </c>
      <c r="H1" s="181"/>
      <c r="I1" s="181"/>
      <c r="J1" s="181"/>
      <c r="K1" s="181"/>
    </row>
    <row r="2" spans="1:11" s="149" customFormat="1" x14ac:dyDescent="0.35">
      <c r="A2" s="151"/>
      <c r="B2" s="151">
        <v>2013</v>
      </c>
      <c r="C2" s="151">
        <f>B2+1</f>
        <v>2014</v>
      </c>
      <c r="D2" s="151">
        <f t="shared" ref="D2:K2" si="0">C2+1</f>
        <v>2015</v>
      </c>
      <c r="E2" s="151">
        <f t="shared" si="0"/>
        <v>2016</v>
      </c>
      <c r="F2" s="151">
        <f t="shared" si="0"/>
        <v>2017</v>
      </c>
      <c r="G2" s="151">
        <f t="shared" si="0"/>
        <v>2018</v>
      </c>
      <c r="H2" s="151">
        <f t="shared" si="0"/>
        <v>2019</v>
      </c>
      <c r="I2" s="151">
        <f t="shared" si="0"/>
        <v>2020</v>
      </c>
      <c r="J2" s="151">
        <f t="shared" si="0"/>
        <v>2021</v>
      </c>
      <c r="K2" s="151">
        <f t="shared" si="0"/>
        <v>2022</v>
      </c>
    </row>
    <row r="3" spans="1:11" ht="15.5" x14ac:dyDescent="0.35">
      <c r="A3" s="4" t="s">
        <v>61</v>
      </c>
      <c r="B3" s="14"/>
      <c r="C3" s="152">
        <f>('INCOME STATEMENT'!C4/'INCOME STATEMENT'!B4)-1</f>
        <v>0.15762643740135474</v>
      </c>
      <c r="D3" s="152">
        <f>('INCOME STATEMENT'!D4/'INCOME STATEMENT'!C4)-1</f>
        <v>0.1122825737174602</v>
      </c>
      <c r="E3" s="152">
        <f>('INCOME STATEMENT'!E4/'INCOME STATEMENT'!D4)-1</f>
        <v>8.3718451406600947E-2</v>
      </c>
      <c r="F3" s="152">
        <f>('INCOME STATEMENT'!F4/'INCOME STATEMENT'!E4)-1</f>
        <v>5.9231001608812672E-2</v>
      </c>
      <c r="G3" s="2">
        <v>0.1</v>
      </c>
      <c r="H3" s="2">
        <v>0.1</v>
      </c>
      <c r="I3" s="2">
        <v>0.1</v>
      </c>
      <c r="J3" s="2">
        <v>0.1</v>
      </c>
      <c r="K3" s="2">
        <v>0.1</v>
      </c>
    </row>
    <row r="4" spans="1:11" ht="15.5" x14ac:dyDescent="0.35">
      <c r="A4" s="6" t="s">
        <v>57</v>
      </c>
      <c r="B4" s="153">
        <f>-'INCOME STATEMENT'!B5/'INCOME STATEMENT'!B4</f>
        <v>0.38255217779172018</v>
      </c>
      <c r="C4" s="153">
        <f>-'INCOME STATEMENT'!C5/'INCOME STATEMENT'!C4</f>
        <v>0.40651728401334619</v>
      </c>
      <c r="D4" s="153">
        <f>-'INCOME STATEMENT'!D5/'INCOME STATEMENT'!D4</f>
        <v>0.37399977159389397</v>
      </c>
      <c r="E4" s="153">
        <f>-'INCOME STATEMENT'!E5/'INCOME STATEMENT'!E4</f>
        <v>0.369914501092447</v>
      </c>
      <c r="F4" s="153">
        <f>-'INCOME STATEMENT'!F5/'INCOME STATEMENT'!F4</f>
        <v>0.37613084657628737</v>
      </c>
      <c r="G4" s="18">
        <v>0.42</v>
      </c>
      <c r="H4" s="18">
        <v>0.47</v>
      </c>
      <c r="I4" s="18">
        <v>0.5</v>
      </c>
      <c r="J4" s="18">
        <v>0.36</v>
      </c>
      <c r="K4" s="18">
        <v>0.35</v>
      </c>
    </row>
    <row r="5" spans="1:11" ht="15.5" x14ac:dyDescent="0.35">
      <c r="A5" s="6" t="s">
        <v>58</v>
      </c>
      <c r="B5" s="153">
        <f>'INCOME STATEMENT'!B8/'INCOME STATEMENT'!B4</f>
        <v>0.25907045594910155</v>
      </c>
      <c r="C5" s="153">
        <f>'INCOME STATEMENT'!C8/'INCOME STATEMENT'!C4</f>
        <v>0.19187710651559034</v>
      </c>
      <c r="D5" s="153">
        <f>'INCOME STATEMENT'!D8/'INCOME STATEMENT'!D4</f>
        <v>0.18175035212608018</v>
      </c>
      <c r="E5" s="153">
        <f>'INCOME STATEMENT'!E8/'INCOME STATEMENT'!E4</f>
        <v>0.16159785304304453</v>
      </c>
      <c r="F5" s="153">
        <f>'INCOME STATEMENT'!F8/'INCOME STATEMENT'!F4</f>
        <v>0.16743825113416283</v>
      </c>
      <c r="G5" s="18">
        <v>0.17</v>
      </c>
      <c r="H5" s="18">
        <v>0.17</v>
      </c>
      <c r="I5" s="18">
        <v>0.17</v>
      </c>
      <c r="J5" s="18">
        <v>0.17</v>
      </c>
      <c r="K5" s="18">
        <v>0.17</v>
      </c>
    </row>
    <row r="6" spans="1:11" ht="15.5" x14ac:dyDescent="0.35">
      <c r="A6" s="6" t="s">
        <v>59</v>
      </c>
      <c r="B6" s="6">
        <f>'INCOME STATEMENT'!B9</f>
        <v>10963</v>
      </c>
      <c r="C6" s="6">
        <f>'INCOME STATEMENT'!C9</f>
        <v>10125</v>
      </c>
      <c r="D6" s="6">
        <f>'INCOME STATEMENT'!D9</f>
        <v>10087</v>
      </c>
      <c r="E6" s="6">
        <f>'INCOME STATEMENT'!E9</f>
        <v>11020</v>
      </c>
      <c r="F6" s="6">
        <f>'INCOME STATEMENT'!F9</f>
        <v>11412</v>
      </c>
      <c r="G6" s="20">
        <v>15000</v>
      </c>
      <c r="H6" s="20">
        <v>15000</v>
      </c>
      <c r="I6" s="20">
        <v>15000</v>
      </c>
      <c r="J6" s="20">
        <v>15000</v>
      </c>
      <c r="K6" s="20">
        <v>15000</v>
      </c>
    </row>
    <row r="7" spans="1:11" ht="15.5" x14ac:dyDescent="0.35">
      <c r="A7" s="6" t="s">
        <v>60</v>
      </c>
      <c r="B7" s="153">
        <f>'INCOME STATEMENT'!B10/'BALANCE SHEET'!B8</f>
        <v>0.42857142857142855</v>
      </c>
      <c r="C7" s="153">
        <f>'INCOME STATEMENT'!C10/'BALANCE SHEET'!C8</f>
        <v>0.42857142857142855</v>
      </c>
      <c r="D7" s="153">
        <f>'INCOME STATEMENT'!D10/'BALANCE SHEET'!D8</f>
        <v>0.42857142857142855</v>
      </c>
      <c r="E7" s="153">
        <f>'INCOME STATEMENT'!E10/'BALANCE SHEET'!E8</f>
        <v>0.42857142857142855</v>
      </c>
      <c r="F7" s="153">
        <f>'INCOME STATEMENT'!F10/'BALANCE SHEET'!F8</f>
        <v>0.42857142857142849</v>
      </c>
      <c r="G7" s="18">
        <v>0.35</v>
      </c>
      <c r="H7" s="18">
        <v>0.35</v>
      </c>
      <c r="I7" s="18">
        <v>0.35</v>
      </c>
      <c r="J7" s="18">
        <v>0.35</v>
      </c>
      <c r="K7" s="18">
        <v>0.35</v>
      </c>
    </row>
    <row r="8" spans="1:11" ht="15.5" x14ac:dyDescent="0.35">
      <c r="A8" s="6" t="s">
        <v>62</v>
      </c>
      <c r="B8" s="153">
        <f>'INCOME STATEMENT'!B11/'BALANCE SHEET'!B13</f>
        <v>0.05</v>
      </c>
      <c r="C8" s="153">
        <f>'INCOME STATEMENT'!C11/'BALANCE SHEET'!C13</f>
        <v>0.05</v>
      </c>
      <c r="D8" s="153">
        <f>'INCOME STATEMENT'!D11/'BALANCE SHEET'!D13</f>
        <v>0.05</v>
      </c>
      <c r="E8" s="153">
        <f>'INCOME STATEMENT'!E11/'BALANCE SHEET'!E13</f>
        <v>0.05</v>
      </c>
      <c r="F8" s="153">
        <f>'INCOME STATEMENT'!F11/'BALANCE SHEET'!F13</f>
        <v>0.05</v>
      </c>
      <c r="G8" s="18">
        <v>0.1</v>
      </c>
      <c r="H8" s="18">
        <v>0.1</v>
      </c>
      <c r="I8" s="18">
        <v>0.1</v>
      </c>
      <c r="J8" s="18">
        <v>0.1</v>
      </c>
      <c r="K8" s="18">
        <v>0.1</v>
      </c>
    </row>
    <row r="9" spans="1:11" ht="15.5" x14ac:dyDescent="0.35">
      <c r="A9" s="6" t="s">
        <v>63</v>
      </c>
      <c r="B9" s="154">
        <f>'INCOME STATEMENT'!B15/'INCOME STATEMENT'!B13</f>
        <v>0.31167801892042296</v>
      </c>
      <c r="C9" s="154">
        <f>'INCOME STATEMENT'!C15/'INCOME STATEMENT'!C13</f>
        <v>0.29180230056592171</v>
      </c>
      <c r="D9" s="154">
        <f>'INCOME STATEMENT'!D15/'INCOME STATEMENT'!D13</f>
        <v>0.28698850107817436</v>
      </c>
      <c r="E9" s="154">
        <f>'INCOME STATEMENT'!E15/'INCOME STATEMENT'!E13</f>
        <v>0.2899411500446471</v>
      </c>
      <c r="F9" s="154">
        <f>'INCOME STATEMENT'!F15/'INCOME STATEMENT'!F13</f>
        <v>0.29121899033183596</v>
      </c>
      <c r="G9" s="18">
        <v>0.28000000000000003</v>
      </c>
      <c r="H9" s="18">
        <v>0.28000000000000003</v>
      </c>
      <c r="I9" s="18">
        <v>0.28000000000000003</v>
      </c>
      <c r="J9" s="18">
        <v>0.28000000000000003</v>
      </c>
      <c r="K9" s="18">
        <v>0.28000000000000003</v>
      </c>
    </row>
    <row r="10" spans="1:11" ht="15.5" x14ac:dyDescent="0.35">
      <c r="A10" s="7" t="s">
        <v>64</v>
      </c>
      <c r="B10" s="7">
        <f>('BALANCE SHEET'!B6/'INCOME STATEMENT'!B4)*365</f>
        <v>18.25</v>
      </c>
      <c r="C10" s="7">
        <f>('BALANCE SHEET'!C6/'INCOME STATEMENT'!C4)*365</f>
        <v>18.25</v>
      </c>
      <c r="D10" s="7">
        <f>('BALANCE SHEET'!D6/'INCOME STATEMENT'!D4)*365</f>
        <v>18.25</v>
      </c>
      <c r="E10" s="7">
        <f>('BALANCE SHEET'!E6/'INCOME STATEMENT'!E4)*365</f>
        <v>18.25</v>
      </c>
      <c r="F10" s="7">
        <f>('BALANCE SHEET'!F6/'INCOME STATEMENT'!F4)*365</f>
        <v>18.25</v>
      </c>
      <c r="G10" s="13">
        <v>18</v>
      </c>
      <c r="H10" s="13">
        <v>18</v>
      </c>
      <c r="I10" s="13">
        <v>18</v>
      </c>
      <c r="J10" s="13">
        <v>18</v>
      </c>
      <c r="K10" s="13">
        <v>18</v>
      </c>
    </row>
    <row r="11" spans="1:11" ht="15.5" x14ac:dyDescent="0.35">
      <c r="A11" s="7" t="s">
        <v>65</v>
      </c>
      <c r="B11" s="7">
        <f>('BALANCE SHEET'!B7/-'INCOME STATEMENT'!B5)*365</f>
        <v>73</v>
      </c>
      <c r="C11" s="7">
        <f>('BALANCE SHEET'!C7/-'INCOME STATEMENT'!C5)*365</f>
        <v>73</v>
      </c>
      <c r="D11" s="7">
        <f>('BALANCE SHEET'!D7/-'INCOME STATEMENT'!D5)*365</f>
        <v>73</v>
      </c>
      <c r="E11" s="7">
        <f>('BALANCE SHEET'!E7/-'INCOME STATEMENT'!E5)*365</f>
        <v>73</v>
      </c>
      <c r="F11" s="7">
        <f>('BALANCE SHEET'!F7/-'INCOME STATEMENT'!F5)*365</f>
        <v>73</v>
      </c>
      <c r="G11" s="13">
        <v>80</v>
      </c>
      <c r="H11" s="13">
        <v>90</v>
      </c>
      <c r="I11" s="13">
        <v>100</v>
      </c>
      <c r="J11" s="13">
        <v>100</v>
      </c>
      <c r="K11" s="13">
        <v>100</v>
      </c>
    </row>
    <row r="12" spans="1:11" ht="15.5" x14ac:dyDescent="0.35">
      <c r="A12" s="7" t="s">
        <v>66</v>
      </c>
      <c r="B12" s="7">
        <f>('BALANCE SHEET'!B12/-'INCOME STATEMENT'!B5)*365</f>
        <v>36.5</v>
      </c>
      <c r="C12" s="7">
        <f>('BALANCE SHEET'!C12/-'INCOME STATEMENT'!C5)*365</f>
        <v>36.5</v>
      </c>
      <c r="D12" s="7">
        <f>('BALANCE SHEET'!D12/-'INCOME STATEMENT'!D5)*365</f>
        <v>36.5</v>
      </c>
      <c r="E12" s="7">
        <f>('BALANCE SHEET'!E12/-'INCOME STATEMENT'!E5)*365</f>
        <v>36.5</v>
      </c>
      <c r="F12" s="7">
        <f>('BALANCE SHEET'!F12/-'INCOME STATEMENT'!F5)*365</f>
        <v>36.5</v>
      </c>
      <c r="G12" s="13">
        <v>37</v>
      </c>
      <c r="H12" s="13">
        <v>37</v>
      </c>
      <c r="I12" s="13">
        <v>37</v>
      </c>
      <c r="J12" s="13">
        <v>37</v>
      </c>
      <c r="K12" s="13">
        <v>37</v>
      </c>
    </row>
    <row r="13" spans="1:11" ht="15.5" x14ac:dyDescent="0.35">
      <c r="A13" s="7" t="s">
        <v>67</v>
      </c>
      <c r="B13" s="7">
        <f>-CASHFLOWS!C10</f>
        <v>15000</v>
      </c>
      <c r="C13" s="7">
        <f>-CASHFLOWS!D10</f>
        <v>15000</v>
      </c>
      <c r="D13" s="7">
        <f>-CASHFLOWS!E10</f>
        <v>15000</v>
      </c>
      <c r="E13" s="7">
        <f>-CASHFLOWS!F10</f>
        <v>15000</v>
      </c>
      <c r="F13" s="7">
        <f>-CASHFLOWS!G10</f>
        <v>15000</v>
      </c>
      <c r="G13" s="13">
        <v>15000</v>
      </c>
      <c r="H13" s="13">
        <v>15000</v>
      </c>
      <c r="I13" s="13">
        <v>15000</v>
      </c>
      <c r="J13" s="13">
        <v>15000</v>
      </c>
      <c r="K13" s="13">
        <v>15000</v>
      </c>
    </row>
    <row r="14" spans="1:11" ht="15.5" x14ac:dyDescent="0.35">
      <c r="A14" s="7" t="s">
        <v>69</v>
      </c>
      <c r="B14" s="7">
        <f>CASHFLOWS!C14</f>
        <v>0</v>
      </c>
      <c r="C14" s="7">
        <f>CASHFLOWS!D14</f>
        <v>0</v>
      </c>
      <c r="D14" s="7">
        <f>CASHFLOWS!E14</f>
        <v>-20000</v>
      </c>
      <c r="E14" s="7">
        <f>CASHFLOWS!F14</f>
        <v>0</v>
      </c>
      <c r="F14" s="7">
        <f>CASHFLOWS!G14</f>
        <v>0</v>
      </c>
      <c r="G14" s="13">
        <v>0</v>
      </c>
      <c r="H14" s="13">
        <v>0</v>
      </c>
      <c r="I14" s="13">
        <v>-20000</v>
      </c>
      <c r="J14" s="13">
        <v>0</v>
      </c>
      <c r="K14" s="13">
        <v>0</v>
      </c>
    </row>
    <row r="15" spans="1:11" ht="15.5" x14ac:dyDescent="0.35">
      <c r="A15" s="7" t="s">
        <v>68</v>
      </c>
      <c r="B15" s="7">
        <f>CASHFLOWS!C15</f>
        <v>70000</v>
      </c>
      <c r="C15" s="7">
        <f>CASHFLOWS!D15</f>
        <v>0</v>
      </c>
      <c r="D15" s="7">
        <f>CASHFLOWS!E15</f>
        <v>0</v>
      </c>
      <c r="E15" s="7">
        <f>CASHFLOWS!F15</f>
        <v>0</v>
      </c>
      <c r="F15" s="7">
        <f>CASHFLOWS!G15</f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</row>
  </sheetData>
  <mergeCells count="1">
    <mergeCell ref="G1:K1"/>
  </mergeCells>
  <pageMargins left="0.7" right="0.7" top="0.75" bottom="0.75" header="0.3" footer="0.3"/>
  <pageSetup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"/>
  <sheetViews>
    <sheetView showGridLines="0" zoomScale="110" zoomScaleNormal="110" workbookViewId="0">
      <selection sqref="A1:XFD2"/>
    </sheetView>
  </sheetViews>
  <sheetFormatPr defaultRowHeight="14.5" x14ac:dyDescent="0.35"/>
  <cols>
    <col min="1" max="1" width="30.26953125" customWidth="1"/>
    <col min="2" max="2" width="18.54296875" customWidth="1"/>
    <col min="3" max="3" width="13.54296875" customWidth="1"/>
    <col min="4" max="4" width="19.26953125" customWidth="1"/>
    <col min="5" max="5" width="12.81640625" customWidth="1"/>
    <col min="6" max="6" width="16.7265625" customWidth="1"/>
    <col min="7" max="7" width="11.54296875" bestFit="1" customWidth="1"/>
    <col min="8" max="8" width="11.81640625" customWidth="1"/>
    <col min="9" max="9" width="12.81640625" customWidth="1"/>
    <col min="10" max="10" width="13.1796875" customWidth="1"/>
    <col min="11" max="11" width="12.26953125" customWidth="1"/>
  </cols>
  <sheetData>
    <row r="1" spans="1:14" ht="18.75" customHeight="1" x14ac:dyDescent="0.45">
      <c r="A1" s="129" t="s">
        <v>0</v>
      </c>
      <c r="C1" s="163" t="str">
        <f>'SUPPORTING SCH'!D1</f>
        <v>HOUSE OF ACCOUNTANTS PROFESSIONAL SERVICES</v>
      </c>
    </row>
    <row r="2" spans="1:14" s="117" customFormat="1" x14ac:dyDescent="0.35">
      <c r="A2" s="126"/>
      <c r="B2" s="127">
        <v>2013</v>
      </c>
      <c r="C2" s="127">
        <v>2014</v>
      </c>
      <c r="D2" s="127">
        <v>2015</v>
      </c>
      <c r="E2" s="127">
        <v>2016</v>
      </c>
      <c r="F2" s="127">
        <v>2017</v>
      </c>
      <c r="G2" s="128">
        <f>F2+1</f>
        <v>2018</v>
      </c>
      <c r="H2" s="128">
        <f t="shared" ref="H2:K2" si="0">G2+1</f>
        <v>2019</v>
      </c>
      <c r="I2" s="128">
        <f t="shared" si="0"/>
        <v>2020</v>
      </c>
      <c r="J2" s="128">
        <f t="shared" si="0"/>
        <v>2021</v>
      </c>
      <c r="K2" s="128">
        <f t="shared" si="0"/>
        <v>2022</v>
      </c>
    </row>
    <row r="3" spans="1:14" x14ac:dyDescent="0.35">
      <c r="B3" s="66"/>
      <c r="C3" s="66"/>
      <c r="D3" s="66"/>
      <c r="E3" s="66"/>
      <c r="F3" s="66"/>
    </row>
    <row r="4" spans="1:14" x14ac:dyDescent="0.35">
      <c r="A4" t="s">
        <v>77</v>
      </c>
      <c r="B4" s="119">
        <v>102007</v>
      </c>
      <c r="C4" s="119">
        <v>118086</v>
      </c>
      <c r="D4" s="119">
        <v>131345</v>
      </c>
      <c r="E4" s="119">
        <v>142341</v>
      </c>
      <c r="F4" s="119">
        <v>150772</v>
      </c>
      <c r="G4" s="66">
        <f>F4*(1+'LIVE CASE OR ASSUM'!G3)</f>
        <v>165849.20000000001</v>
      </c>
      <c r="H4" s="66">
        <f>G4*(1+'LIVE CASE OR ASSUM'!H3)</f>
        <v>182434.12000000002</v>
      </c>
      <c r="I4" s="66">
        <f>H4*(1+'LIVE CASE OR ASSUM'!I3)</f>
        <v>200677.53200000004</v>
      </c>
      <c r="J4" s="66">
        <f>I4*(1+'LIVE CASE OR ASSUM'!J3)</f>
        <v>220745.28520000007</v>
      </c>
      <c r="K4" s="66">
        <f>J4*(1+'LIVE CASE OR ASSUM'!K3)</f>
        <v>242819.81372000009</v>
      </c>
    </row>
    <row r="5" spans="1:14" x14ac:dyDescent="0.35">
      <c r="A5" t="s">
        <v>54</v>
      </c>
      <c r="B5" s="119">
        <v>-39023</v>
      </c>
      <c r="C5" s="119">
        <v>-48004</v>
      </c>
      <c r="D5" s="119">
        <v>-49123</v>
      </c>
      <c r="E5" s="119">
        <v>-52654</v>
      </c>
      <c r="F5" s="119">
        <v>-56710</v>
      </c>
      <c r="G5" s="140">
        <f>-(G4*'LIVE CASE OR ASSUM'!G4)</f>
        <v>-69656.664000000004</v>
      </c>
      <c r="H5" s="140">
        <f>-(H4*'LIVE CASE OR ASSUM'!H4)</f>
        <v>-85744.036400000012</v>
      </c>
      <c r="I5" s="140">
        <f>-(I4*'LIVE CASE OR ASSUM'!I4)</f>
        <v>-100338.76600000002</v>
      </c>
      <c r="J5" s="140">
        <f>-(J4*'LIVE CASE OR ASSUM'!J4)</f>
        <v>-79468.30267200002</v>
      </c>
      <c r="K5" s="140">
        <f>-(K4*'LIVE CASE OR ASSUM'!K4)</f>
        <v>-84986.934802000033</v>
      </c>
    </row>
    <row r="6" spans="1:14" s="121" customFormat="1" x14ac:dyDescent="0.35">
      <c r="A6" s="121" t="s">
        <v>1</v>
      </c>
      <c r="B6" s="125">
        <f>SUM(B4:B5)</f>
        <v>62984</v>
      </c>
      <c r="C6" s="125">
        <f t="shared" ref="C6:K6" si="1">SUM(C4:C5)</f>
        <v>70082</v>
      </c>
      <c r="D6" s="125">
        <f t="shared" si="1"/>
        <v>82222</v>
      </c>
      <c r="E6" s="125">
        <f t="shared" si="1"/>
        <v>89687</v>
      </c>
      <c r="F6" s="125">
        <f t="shared" si="1"/>
        <v>94062</v>
      </c>
      <c r="G6" s="133">
        <f t="shared" si="1"/>
        <v>96192.536000000007</v>
      </c>
      <c r="H6" s="133">
        <f t="shared" si="1"/>
        <v>96690.083600000013</v>
      </c>
      <c r="I6" s="133">
        <f t="shared" si="1"/>
        <v>100338.76600000002</v>
      </c>
      <c r="J6" s="133">
        <f t="shared" si="1"/>
        <v>141276.98252800005</v>
      </c>
      <c r="K6" s="133">
        <f t="shared" si="1"/>
        <v>157832.87891800006</v>
      </c>
      <c r="L6" s="122"/>
      <c r="M6" s="122"/>
      <c r="N6" s="122"/>
    </row>
    <row r="7" spans="1:14" x14ac:dyDescent="0.35">
      <c r="A7" t="s">
        <v>73</v>
      </c>
      <c r="B7" s="119"/>
      <c r="C7" s="119"/>
      <c r="D7" s="119"/>
      <c r="E7" s="119"/>
      <c r="F7" s="119"/>
      <c r="G7" s="66"/>
      <c r="H7" s="66"/>
      <c r="I7" s="66"/>
      <c r="J7" s="66"/>
      <c r="K7" s="66"/>
    </row>
    <row r="8" spans="1:14" x14ac:dyDescent="0.35">
      <c r="A8" t="s">
        <v>2</v>
      </c>
      <c r="B8" s="119">
        <v>26427</v>
      </c>
      <c r="C8" s="119">
        <v>22658</v>
      </c>
      <c r="D8" s="119">
        <v>23872</v>
      </c>
      <c r="E8" s="119">
        <v>23002</v>
      </c>
      <c r="F8" s="119">
        <v>25245</v>
      </c>
      <c r="G8" s="66">
        <f>(G4*'LIVE CASE OR ASSUM'!G5)</f>
        <v>28194.364000000005</v>
      </c>
      <c r="H8" s="66">
        <f>(H4*'LIVE CASE OR ASSUM'!H5)</f>
        <v>31013.800400000007</v>
      </c>
      <c r="I8" s="66">
        <f>(I4*'LIVE CASE OR ASSUM'!I5)</f>
        <v>34115.180440000011</v>
      </c>
      <c r="J8" s="66">
        <f>(J4*'LIVE CASE OR ASSUM'!J5)</f>
        <v>37526.698484000015</v>
      </c>
      <c r="K8" s="66">
        <f>(K4*'LIVE CASE OR ASSUM'!K5)</f>
        <v>41279.368332400016</v>
      </c>
    </row>
    <row r="9" spans="1:14" x14ac:dyDescent="0.35">
      <c r="A9" t="s">
        <v>3</v>
      </c>
      <c r="B9" s="119">
        <v>10963</v>
      </c>
      <c r="C9" s="119">
        <v>10125</v>
      </c>
      <c r="D9" s="119">
        <v>10087</v>
      </c>
      <c r="E9" s="119">
        <v>11020</v>
      </c>
      <c r="F9" s="119">
        <v>11412</v>
      </c>
      <c r="G9" s="66">
        <f>'LIVE CASE OR ASSUM'!G6</f>
        <v>15000</v>
      </c>
      <c r="H9" s="66">
        <f>'LIVE CASE OR ASSUM'!H6</f>
        <v>15000</v>
      </c>
      <c r="I9" s="66">
        <f>'LIVE CASE OR ASSUM'!I6</f>
        <v>15000</v>
      </c>
      <c r="J9" s="66">
        <f>'LIVE CASE OR ASSUM'!J6</f>
        <v>15000</v>
      </c>
      <c r="K9" s="66">
        <f>'LIVE CASE OR ASSUM'!K6</f>
        <v>15000</v>
      </c>
    </row>
    <row r="10" spans="1:14" x14ac:dyDescent="0.35">
      <c r="A10" t="s">
        <v>4</v>
      </c>
      <c r="B10" s="119">
        <v>19500</v>
      </c>
      <c r="C10" s="119">
        <v>18150</v>
      </c>
      <c r="D10" s="119">
        <v>17205</v>
      </c>
      <c r="E10" s="119">
        <v>16543.5</v>
      </c>
      <c r="F10" s="119">
        <v>16080.449999999999</v>
      </c>
      <c r="G10" s="136">
        <f>'SUPPORTING SCH'!G14</f>
        <v>13132.3675</v>
      </c>
      <c r="H10" s="136">
        <f>'SUPPORTING SCH'!H14</f>
        <v>13786.038875</v>
      </c>
      <c r="I10" s="136">
        <f>'SUPPORTING SCH'!I14</f>
        <v>14210.925268750001</v>
      </c>
      <c r="J10" s="136">
        <f>'SUPPORTING SCH'!J14</f>
        <v>14487.101424687498</v>
      </c>
      <c r="K10" s="136">
        <f>'SUPPORTING SCH'!K14</f>
        <v>14666.615926046874</v>
      </c>
    </row>
    <row r="11" spans="1:14" x14ac:dyDescent="0.35">
      <c r="A11" t="s">
        <v>5</v>
      </c>
      <c r="B11" s="119">
        <v>2500</v>
      </c>
      <c r="C11" s="119">
        <v>2500</v>
      </c>
      <c r="D11" s="119">
        <v>1500</v>
      </c>
      <c r="E11" s="119">
        <v>1500</v>
      </c>
      <c r="F11" s="119">
        <v>1500</v>
      </c>
      <c r="G11" s="136">
        <f>'SUPPORTING SCH'!G21</f>
        <v>3000</v>
      </c>
      <c r="H11" s="136">
        <f>'SUPPORTING SCH'!H21</f>
        <v>3000</v>
      </c>
      <c r="I11" s="136">
        <f>'SUPPORTING SCH'!I21</f>
        <v>2000</v>
      </c>
      <c r="J11" s="136">
        <f>'SUPPORTING SCH'!J21</f>
        <v>1000</v>
      </c>
      <c r="K11" s="136">
        <f>'SUPPORTING SCH'!K21</f>
        <v>1000</v>
      </c>
    </row>
    <row r="12" spans="1:14" s="121" customFormat="1" x14ac:dyDescent="0.35">
      <c r="A12" s="121" t="s">
        <v>74</v>
      </c>
      <c r="B12" s="130">
        <f>SUM(B8:B11)</f>
        <v>59390</v>
      </c>
      <c r="C12" s="130">
        <f t="shared" ref="C12:K12" si="2">SUM(C8:C11)</f>
        <v>53433</v>
      </c>
      <c r="D12" s="130">
        <f t="shared" si="2"/>
        <v>52664</v>
      </c>
      <c r="E12" s="130">
        <f t="shared" si="2"/>
        <v>52065.5</v>
      </c>
      <c r="F12" s="130">
        <f t="shared" si="2"/>
        <v>54237.45</v>
      </c>
      <c r="G12" s="155">
        <f t="shared" si="2"/>
        <v>59326.731500000002</v>
      </c>
      <c r="H12" s="155">
        <f t="shared" si="2"/>
        <v>62799.839275000006</v>
      </c>
      <c r="I12" s="155">
        <f t="shared" si="2"/>
        <v>65326.105708750008</v>
      </c>
      <c r="J12" s="155">
        <f t="shared" si="2"/>
        <v>68013.799908687506</v>
      </c>
      <c r="K12" s="155">
        <f t="shared" si="2"/>
        <v>71945.984258446886</v>
      </c>
    </row>
    <row r="13" spans="1:14" s="121" customFormat="1" x14ac:dyDescent="0.35">
      <c r="A13" s="121" t="s">
        <v>6</v>
      </c>
      <c r="B13" s="125">
        <f>B6-B12</f>
        <v>3594</v>
      </c>
      <c r="C13" s="125">
        <f t="shared" ref="C13:K13" si="3">C6-C12</f>
        <v>16649</v>
      </c>
      <c r="D13" s="125">
        <f t="shared" si="3"/>
        <v>29558</v>
      </c>
      <c r="E13" s="125">
        <f t="shared" si="3"/>
        <v>37621.5</v>
      </c>
      <c r="F13" s="125">
        <f t="shared" si="3"/>
        <v>39824.550000000003</v>
      </c>
      <c r="G13" s="133">
        <f t="shared" si="3"/>
        <v>36865.804500000006</v>
      </c>
      <c r="H13" s="133">
        <f t="shared" si="3"/>
        <v>33890.244325000007</v>
      </c>
      <c r="I13" s="133">
        <f t="shared" si="3"/>
        <v>35012.660291250009</v>
      </c>
      <c r="J13" s="133">
        <f t="shared" si="3"/>
        <v>73263.182619312545</v>
      </c>
      <c r="K13" s="133">
        <f t="shared" si="3"/>
        <v>85886.894659553174</v>
      </c>
    </row>
    <row r="14" spans="1:14" x14ac:dyDescent="0.35">
      <c r="B14" s="119"/>
      <c r="C14" s="119"/>
      <c r="D14" s="119"/>
      <c r="E14" s="119"/>
      <c r="F14" s="119"/>
      <c r="G14" s="66"/>
      <c r="H14" s="66"/>
      <c r="I14" s="66"/>
      <c r="J14" s="66"/>
      <c r="K14" s="66"/>
    </row>
    <row r="15" spans="1:14" x14ac:dyDescent="0.35">
      <c r="A15" t="s">
        <v>7</v>
      </c>
      <c r="B15" s="119">
        <v>1120.1708000000001</v>
      </c>
      <c r="C15" s="119">
        <v>4858.2165021220308</v>
      </c>
      <c r="D15" s="119">
        <v>8482.8061148686775</v>
      </c>
      <c r="E15" s="119">
        <v>10908.02097640469</v>
      </c>
      <c r="F15" s="119">
        <v>11597.665241419718</v>
      </c>
      <c r="G15" s="66">
        <f>'LIVE CASE OR ASSUM'!G9*'INCOME STATEMENT'!G13</f>
        <v>10322.425260000002</v>
      </c>
      <c r="H15" s="66">
        <f>'LIVE CASE OR ASSUM'!H9*'INCOME STATEMENT'!H13</f>
        <v>9489.2684110000027</v>
      </c>
      <c r="I15" s="66">
        <f>'LIVE CASE OR ASSUM'!I9*'INCOME STATEMENT'!I13</f>
        <v>9803.544881550004</v>
      </c>
      <c r="J15" s="66">
        <f>'LIVE CASE OR ASSUM'!J9*'INCOME STATEMENT'!J13</f>
        <v>20513.691133407516</v>
      </c>
      <c r="K15" s="66">
        <f>'LIVE CASE OR ASSUM'!K9*'INCOME STATEMENT'!K13</f>
        <v>24048.33050467489</v>
      </c>
    </row>
    <row r="16" spans="1:14" s="121" customFormat="1" ht="15" thickBot="1" x14ac:dyDescent="0.4">
      <c r="A16" s="121" t="s">
        <v>8</v>
      </c>
      <c r="B16" s="124">
        <f>B13-B15</f>
        <v>2473.8292000000001</v>
      </c>
      <c r="C16" s="124">
        <f t="shared" ref="C16:K16" si="4">C13-C15</f>
        <v>11790.783497877968</v>
      </c>
      <c r="D16" s="124">
        <f t="shared" si="4"/>
        <v>21075.193885131324</v>
      </c>
      <c r="E16" s="124">
        <f t="shared" si="4"/>
        <v>26713.479023595311</v>
      </c>
      <c r="F16" s="124">
        <f t="shared" si="4"/>
        <v>28226.884758580287</v>
      </c>
      <c r="G16" s="134">
        <f t="shared" si="4"/>
        <v>26543.379240000002</v>
      </c>
      <c r="H16" s="134">
        <f t="shared" si="4"/>
        <v>24400.975914000002</v>
      </c>
      <c r="I16" s="134">
        <f t="shared" si="4"/>
        <v>25209.115409700004</v>
      </c>
      <c r="J16" s="134">
        <f t="shared" si="4"/>
        <v>52749.491485905033</v>
      </c>
      <c r="K16" s="134">
        <f t="shared" si="4"/>
        <v>61838.564154878288</v>
      </c>
    </row>
    <row r="17" spans="2:6" ht="15" thickTop="1" x14ac:dyDescent="0.35">
      <c r="B17" s="120"/>
      <c r="C17" s="120"/>
      <c r="D17" s="120"/>
      <c r="E17" s="120"/>
      <c r="F17" s="120"/>
    </row>
    <row r="18" spans="2:6" x14ac:dyDescent="0.35">
      <c r="B18" s="120"/>
      <c r="C18" s="120"/>
      <c r="D18" s="120"/>
      <c r="E18" s="120"/>
      <c r="F18" s="120"/>
    </row>
  </sheetData>
  <pageMargins left="0.7" right="0.7" top="0.75" bottom="0.75" header="0.3" footer="0.3"/>
  <pageSetup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showGridLines="0" workbookViewId="0">
      <selection sqref="A1:XFD3"/>
    </sheetView>
  </sheetViews>
  <sheetFormatPr defaultRowHeight="14.5" x14ac:dyDescent="0.35"/>
  <cols>
    <col min="1" max="1" width="37" customWidth="1"/>
    <col min="2" max="2" width="11.54296875" customWidth="1"/>
    <col min="3" max="3" width="12.453125" customWidth="1"/>
    <col min="4" max="4" width="14.7265625" customWidth="1"/>
    <col min="5" max="5" width="12" customWidth="1"/>
    <col min="6" max="6" width="11.81640625" customWidth="1"/>
    <col min="7" max="7" width="14" customWidth="1"/>
    <col min="8" max="8" width="13.7265625" customWidth="1"/>
    <col min="9" max="11" width="11.7265625" customWidth="1"/>
  </cols>
  <sheetData>
    <row r="1" spans="1:11" ht="21" x14ac:dyDescent="0.5">
      <c r="C1" s="161" t="str">
        <f>'SUPPORTING SCH'!D1</f>
        <v>HOUSE OF ACCOUNTANTS PROFESSIONAL SERVICES</v>
      </c>
    </row>
    <row r="2" spans="1:11" ht="21" x14ac:dyDescent="0.5">
      <c r="A2" s="132" t="s">
        <v>154</v>
      </c>
    </row>
    <row r="3" spans="1:11" x14ac:dyDescent="0.35">
      <c r="A3" s="126"/>
      <c r="B3" s="127">
        <v>2013</v>
      </c>
      <c r="C3" s="127">
        <v>2014</v>
      </c>
      <c r="D3" s="127">
        <v>2015</v>
      </c>
      <c r="E3" s="127">
        <v>2016</v>
      </c>
      <c r="F3" s="127">
        <v>2017</v>
      </c>
      <c r="G3" s="160">
        <f>F3+1</f>
        <v>2018</v>
      </c>
      <c r="H3" s="160">
        <f t="shared" ref="H3:K3" si="0">G3+1</f>
        <v>2019</v>
      </c>
      <c r="I3" s="160">
        <f t="shared" si="0"/>
        <v>2020</v>
      </c>
      <c r="J3" s="160">
        <f t="shared" si="0"/>
        <v>2021</v>
      </c>
      <c r="K3" s="160">
        <f t="shared" si="0"/>
        <v>2022</v>
      </c>
    </row>
    <row r="4" spans="1:11" x14ac:dyDescent="0.35">
      <c r="A4" s="117" t="s">
        <v>10</v>
      </c>
      <c r="B4" s="66"/>
      <c r="C4" s="66"/>
      <c r="D4" s="66"/>
      <c r="E4" s="66"/>
      <c r="F4" s="66"/>
      <c r="G4" s="156"/>
      <c r="H4" s="156"/>
      <c r="I4" s="156"/>
      <c r="J4" s="156"/>
      <c r="K4" s="156"/>
    </row>
    <row r="5" spans="1:11" x14ac:dyDescent="0.35">
      <c r="A5" t="s">
        <v>11</v>
      </c>
      <c r="B5" s="118">
        <v>67971.179200000013</v>
      </c>
      <c r="C5" s="118">
        <v>81209.912697877968</v>
      </c>
      <c r="D5" s="118">
        <v>83715.256583009294</v>
      </c>
      <c r="E5" s="118">
        <v>111069.33560660461</v>
      </c>
      <c r="F5" s="118">
        <v>139549.5203651849</v>
      </c>
      <c r="G5" s="156">
        <f>CASHFLOWS!H20</f>
        <v>161049.87490792462</v>
      </c>
      <c r="H5" s="156">
        <f>CASHFLOWS!I20</f>
        <v>179174.62685528077</v>
      </c>
      <c r="I5" s="156">
        <f>CASHFLOWS!J20</f>
        <v>177826.75042468967</v>
      </c>
      <c r="J5" s="156">
        <f>CASHFLOWS!K20</f>
        <v>232675.99986148495</v>
      </c>
      <c r="K5" s="156">
        <f>CASHFLOWS!L20</f>
        <v>292140.04203131422</v>
      </c>
    </row>
    <row r="6" spans="1:11" x14ac:dyDescent="0.35">
      <c r="A6" t="s">
        <v>12</v>
      </c>
      <c r="B6" s="118">
        <v>5100.3500000000004</v>
      </c>
      <c r="C6" s="118">
        <v>5904.3</v>
      </c>
      <c r="D6" s="118">
        <v>6567.25</v>
      </c>
      <c r="E6" s="118">
        <v>7117.05</v>
      </c>
      <c r="F6" s="118">
        <v>7538.6</v>
      </c>
      <c r="G6" s="156">
        <f>('INCOME STATEMENT'!G4*'LIVE CASE OR ASSUM'!G10)/365</f>
        <v>8178.8646575342473</v>
      </c>
      <c r="H6" s="156">
        <f>('INCOME STATEMENT'!H4*'LIVE CASE OR ASSUM'!H10)/365</f>
        <v>8996.7511232876732</v>
      </c>
      <c r="I6" s="156">
        <f>('INCOME STATEMENT'!I4*'LIVE CASE OR ASSUM'!I10)/365</f>
        <v>9896.42623561644</v>
      </c>
      <c r="J6" s="156">
        <f>('INCOME STATEMENT'!J4*'LIVE CASE OR ASSUM'!J10)/365</f>
        <v>10886.068859178085</v>
      </c>
      <c r="K6" s="156">
        <f>('INCOME STATEMENT'!K4*'LIVE CASE OR ASSUM'!K10)/365</f>
        <v>11974.675745095894</v>
      </c>
    </row>
    <row r="7" spans="1:11" x14ac:dyDescent="0.35">
      <c r="A7" t="s">
        <v>18</v>
      </c>
      <c r="B7" s="118">
        <v>7804.6</v>
      </c>
      <c r="C7" s="118">
        <v>9600.8000000000011</v>
      </c>
      <c r="D7" s="118">
        <v>9824.6</v>
      </c>
      <c r="E7" s="118">
        <v>10530.800000000001</v>
      </c>
      <c r="F7" s="118">
        <v>11342</v>
      </c>
      <c r="G7" s="156">
        <f>-('INCOME STATEMENT'!G5*'LIVE CASE OR ASSUM'!G11)/365</f>
        <v>15267.21402739726</v>
      </c>
      <c r="H7" s="156">
        <f>-('INCOME STATEMENT'!H5*'LIVE CASE OR ASSUM'!H11)/365</f>
        <v>21142.365139726033</v>
      </c>
      <c r="I7" s="156">
        <f>-('INCOME STATEMENT'!I5*'LIVE CASE OR ASSUM'!I11)/365</f>
        <v>27490.072876712333</v>
      </c>
      <c r="J7" s="156">
        <f>-('INCOME STATEMENT'!J5*'LIVE CASE OR ASSUM'!J11)/365</f>
        <v>21772.137718356171</v>
      </c>
      <c r="K7" s="156">
        <f>-('INCOME STATEMENT'!K5*'LIVE CASE OR ASSUM'!K11)/365</f>
        <v>23284.091726575352</v>
      </c>
    </row>
    <row r="8" spans="1:11" x14ac:dyDescent="0.35">
      <c r="A8" t="s">
        <v>13</v>
      </c>
      <c r="B8" s="118">
        <v>45500</v>
      </c>
      <c r="C8" s="118">
        <v>42350</v>
      </c>
      <c r="D8" s="118">
        <v>40145</v>
      </c>
      <c r="E8" s="118">
        <v>38601.5</v>
      </c>
      <c r="F8" s="118">
        <v>37521.050000000003</v>
      </c>
      <c r="G8" s="156">
        <f>'SUPPORTING SCH'!G15</f>
        <v>39388.682500000003</v>
      </c>
      <c r="H8" s="156">
        <f>'SUPPORTING SCH'!H15</f>
        <v>40602.643625000004</v>
      </c>
      <c r="I8" s="156">
        <f>'SUPPORTING SCH'!I15</f>
        <v>41391.718356249999</v>
      </c>
      <c r="J8" s="156">
        <f>'SUPPORTING SCH'!J15</f>
        <v>41904.616931562501</v>
      </c>
      <c r="K8" s="156">
        <f>'SUPPORTING SCH'!K15</f>
        <v>42238.001005515631</v>
      </c>
    </row>
    <row r="9" spans="1:11" s="121" customFormat="1" ht="15" thickBot="1" x14ac:dyDescent="0.4">
      <c r="A9" s="121" t="s">
        <v>19</v>
      </c>
      <c r="B9" s="134">
        <f>SUM(B5:B8)</f>
        <v>126376.12920000002</v>
      </c>
      <c r="C9" s="134">
        <f>SUM(C5:C8)</f>
        <v>139065.01269787797</v>
      </c>
      <c r="D9" s="134">
        <f t="shared" ref="D9:K9" si="1">SUM(D5:D8)</f>
        <v>140252.1065830093</v>
      </c>
      <c r="E9" s="134">
        <f t="shared" si="1"/>
        <v>167318.68560660462</v>
      </c>
      <c r="F9" s="134">
        <f t="shared" si="1"/>
        <v>195951.17036518489</v>
      </c>
      <c r="G9" s="157">
        <f t="shared" si="1"/>
        <v>223884.63609285612</v>
      </c>
      <c r="H9" s="157">
        <f t="shared" si="1"/>
        <v>249916.38674329448</v>
      </c>
      <c r="I9" s="157">
        <f t="shared" si="1"/>
        <v>256604.96789326845</v>
      </c>
      <c r="J9" s="157">
        <f t="shared" si="1"/>
        <v>307238.82337058167</v>
      </c>
      <c r="K9" s="157">
        <f t="shared" si="1"/>
        <v>369636.81050850108</v>
      </c>
    </row>
    <row r="10" spans="1:11" ht="15" thickTop="1" x14ac:dyDescent="0.35">
      <c r="B10" s="118"/>
      <c r="C10" s="118"/>
      <c r="D10" s="118"/>
      <c r="E10" s="118"/>
      <c r="F10" s="118"/>
      <c r="G10" s="156"/>
      <c r="H10" s="156"/>
      <c r="I10" s="156"/>
      <c r="J10" s="156"/>
      <c r="K10" s="156"/>
    </row>
    <row r="11" spans="1:11" x14ac:dyDescent="0.35">
      <c r="A11" s="117" t="s">
        <v>20</v>
      </c>
      <c r="B11" s="118"/>
      <c r="C11" s="118"/>
      <c r="D11" s="118"/>
      <c r="E11" s="118"/>
      <c r="F11" s="118"/>
      <c r="G11" s="156"/>
      <c r="H11" s="156"/>
      <c r="I11" s="156"/>
      <c r="J11" s="156"/>
      <c r="K11" s="156"/>
    </row>
    <row r="12" spans="1:11" x14ac:dyDescent="0.35">
      <c r="A12" t="s">
        <v>21</v>
      </c>
      <c r="B12" s="118">
        <v>3902.3</v>
      </c>
      <c r="C12" s="118">
        <v>4800.4000000000005</v>
      </c>
      <c r="D12" s="118">
        <v>4912.3</v>
      </c>
      <c r="E12" s="118">
        <v>5265.4000000000005</v>
      </c>
      <c r="F12" s="118">
        <v>5671</v>
      </c>
      <c r="G12" s="156">
        <f>-('INCOME STATEMENT'!G5*'LIVE CASE OR ASSUM'!G12)/365</f>
        <v>7061.086487671233</v>
      </c>
      <c r="H12" s="156">
        <f>-('INCOME STATEMENT'!H5*'LIVE CASE OR ASSUM'!H12)/365</f>
        <v>8691.8612241095907</v>
      </c>
      <c r="I12" s="156">
        <f>-('INCOME STATEMENT'!I5*'LIVE CASE OR ASSUM'!I12)/365</f>
        <v>10171.326964383563</v>
      </c>
      <c r="J12" s="156">
        <f>-('INCOME STATEMENT'!J5*'LIVE CASE OR ASSUM'!J12)/365</f>
        <v>8055.6909557917834</v>
      </c>
      <c r="K12" s="156">
        <f>-('INCOME STATEMENT'!K5*'LIVE CASE OR ASSUM'!K12)/365</f>
        <v>8615.1139388328793</v>
      </c>
    </row>
    <row r="13" spans="1:11" x14ac:dyDescent="0.35">
      <c r="A13" t="s">
        <v>22</v>
      </c>
      <c r="B13" s="118">
        <v>50000</v>
      </c>
      <c r="C13" s="118">
        <v>50000</v>
      </c>
      <c r="D13" s="118">
        <v>30000</v>
      </c>
      <c r="E13" s="118">
        <v>30000</v>
      </c>
      <c r="F13" s="118">
        <v>30000</v>
      </c>
      <c r="G13" s="156">
        <f>'SUPPORTING SCH'!G20</f>
        <v>30000</v>
      </c>
      <c r="H13" s="156">
        <f>'SUPPORTING SCH'!H20</f>
        <v>30000</v>
      </c>
      <c r="I13" s="156">
        <f>'SUPPORTING SCH'!I20</f>
        <v>10000</v>
      </c>
      <c r="J13" s="156">
        <f>'SUPPORTING SCH'!J20</f>
        <v>10000</v>
      </c>
      <c r="K13" s="156">
        <f>'SUPPORTING SCH'!K20</f>
        <v>10000</v>
      </c>
    </row>
    <row r="14" spans="1:11" s="121" customFormat="1" x14ac:dyDescent="0.35">
      <c r="A14" s="121" t="s">
        <v>27</v>
      </c>
      <c r="B14" s="133">
        <f>SUM(B12:B13)</f>
        <v>53902.3</v>
      </c>
      <c r="C14" s="133">
        <f t="shared" ref="C14:K14" si="2">SUM(C12:C13)</f>
        <v>54800.4</v>
      </c>
      <c r="D14" s="133">
        <f t="shared" si="2"/>
        <v>34912.300000000003</v>
      </c>
      <c r="E14" s="133">
        <f t="shared" si="2"/>
        <v>35265.4</v>
      </c>
      <c r="F14" s="133">
        <f t="shared" si="2"/>
        <v>35671</v>
      </c>
      <c r="G14" s="158">
        <f t="shared" si="2"/>
        <v>37061.086487671229</v>
      </c>
      <c r="H14" s="158">
        <f t="shared" si="2"/>
        <v>38691.861224109591</v>
      </c>
      <c r="I14" s="158">
        <f t="shared" si="2"/>
        <v>20171.326964383563</v>
      </c>
      <c r="J14" s="158">
        <f t="shared" si="2"/>
        <v>18055.690955791782</v>
      </c>
      <c r="K14" s="158">
        <f t="shared" si="2"/>
        <v>18615.113938832881</v>
      </c>
    </row>
    <row r="15" spans="1:11" x14ac:dyDescent="0.35">
      <c r="A15" s="117" t="s">
        <v>28</v>
      </c>
      <c r="B15" s="118"/>
      <c r="C15" s="118"/>
      <c r="D15" s="118"/>
      <c r="E15" s="118"/>
      <c r="F15" s="118"/>
      <c r="G15" s="156"/>
      <c r="H15" s="156"/>
      <c r="I15" s="156"/>
      <c r="J15" s="156"/>
      <c r="K15" s="156"/>
    </row>
    <row r="16" spans="1:11" x14ac:dyDescent="0.35">
      <c r="A16" t="s">
        <v>29</v>
      </c>
      <c r="B16" s="118">
        <v>70000</v>
      </c>
      <c r="C16" s="118">
        <v>70000</v>
      </c>
      <c r="D16" s="118">
        <v>70000</v>
      </c>
      <c r="E16" s="118">
        <v>70000</v>
      </c>
      <c r="F16" s="118">
        <v>70000</v>
      </c>
      <c r="G16" s="156">
        <f>F16+'LIVE CASE OR ASSUM'!G15</f>
        <v>70000</v>
      </c>
      <c r="H16" s="156">
        <f>G16+'LIVE CASE OR ASSUM'!H15</f>
        <v>70000</v>
      </c>
      <c r="I16" s="156">
        <f>H16+'LIVE CASE OR ASSUM'!I15</f>
        <v>70000</v>
      </c>
      <c r="J16" s="156">
        <f>I16+'LIVE CASE OR ASSUM'!J15</f>
        <v>70000</v>
      </c>
      <c r="K16" s="156">
        <f>J16+'LIVE CASE OR ASSUM'!K15</f>
        <v>70000</v>
      </c>
    </row>
    <row r="17" spans="1:11" x14ac:dyDescent="0.35">
      <c r="A17" t="s">
        <v>30</v>
      </c>
      <c r="B17" s="118">
        <v>2473.8292000000001</v>
      </c>
      <c r="C17" s="118">
        <v>14264.612697877968</v>
      </c>
      <c r="D17" s="118">
        <v>35339.806583009296</v>
      </c>
      <c r="E17" s="118">
        <v>62053.285606604608</v>
      </c>
      <c r="F17" s="118">
        <v>90280.170365184895</v>
      </c>
      <c r="G17" s="156">
        <f>F17+'INCOME STATEMENT'!G16</f>
        <v>116823.5496051849</v>
      </c>
      <c r="H17" s="156">
        <f>G17+'INCOME STATEMENT'!H16</f>
        <v>141224.52551918491</v>
      </c>
      <c r="I17" s="156">
        <f>H17+'INCOME STATEMENT'!I16</f>
        <v>166433.64092888491</v>
      </c>
      <c r="J17" s="156">
        <f>I17+'INCOME STATEMENT'!J16</f>
        <v>219183.13241478993</v>
      </c>
      <c r="K17" s="156">
        <f>J17+'INCOME STATEMENT'!K16</f>
        <v>281021.69656966825</v>
      </c>
    </row>
    <row r="18" spans="1:11" s="121" customFormat="1" x14ac:dyDescent="0.35">
      <c r="A18" s="121" t="s">
        <v>28</v>
      </c>
      <c r="B18" s="133">
        <f>SUM(B16:B17)</f>
        <v>72473.829200000007</v>
      </c>
      <c r="C18" s="133">
        <f t="shared" ref="C18:K18" si="3">SUM(C16:C17)</f>
        <v>84264.612697877965</v>
      </c>
      <c r="D18" s="133">
        <f t="shared" si="3"/>
        <v>105339.8065830093</v>
      </c>
      <c r="E18" s="133">
        <f t="shared" si="3"/>
        <v>132053.28560660459</v>
      </c>
      <c r="F18" s="133">
        <f t="shared" si="3"/>
        <v>160280.17036518489</v>
      </c>
      <c r="G18" s="158">
        <f t="shared" si="3"/>
        <v>186823.5496051849</v>
      </c>
      <c r="H18" s="158">
        <f t="shared" si="3"/>
        <v>211224.52551918491</v>
      </c>
      <c r="I18" s="158">
        <f t="shared" si="3"/>
        <v>236433.64092888491</v>
      </c>
      <c r="J18" s="158">
        <f t="shared" si="3"/>
        <v>289183.13241478993</v>
      </c>
      <c r="K18" s="158">
        <f t="shared" si="3"/>
        <v>351021.69656966825</v>
      </c>
    </row>
    <row r="19" spans="1:11" s="121" customFormat="1" ht="15" thickBot="1" x14ac:dyDescent="0.4">
      <c r="A19" s="121" t="s">
        <v>31</v>
      </c>
      <c r="B19" s="134">
        <f>B14+B18</f>
        <v>126376.12920000001</v>
      </c>
      <c r="C19" s="134">
        <f t="shared" ref="C19:K19" si="4">C14+C18</f>
        <v>139065.01269787797</v>
      </c>
      <c r="D19" s="134">
        <f t="shared" si="4"/>
        <v>140252.1065830093</v>
      </c>
      <c r="E19" s="134">
        <f t="shared" si="4"/>
        <v>167318.68560660459</v>
      </c>
      <c r="F19" s="134">
        <f t="shared" si="4"/>
        <v>195951.17036518489</v>
      </c>
      <c r="G19" s="157">
        <f t="shared" si="4"/>
        <v>223884.63609285612</v>
      </c>
      <c r="H19" s="157">
        <f t="shared" si="4"/>
        <v>249916.38674329451</v>
      </c>
      <c r="I19" s="157">
        <f t="shared" si="4"/>
        <v>256604.96789326848</v>
      </c>
      <c r="J19" s="157">
        <f t="shared" si="4"/>
        <v>307238.82337058173</v>
      </c>
      <c r="K19" s="157">
        <f t="shared" si="4"/>
        <v>369636.81050850113</v>
      </c>
    </row>
    <row r="20" spans="1:11" ht="15" thickTop="1" x14ac:dyDescent="0.35">
      <c r="B20" s="66"/>
      <c r="C20" s="66"/>
      <c r="D20" s="66"/>
      <c r="E20" s="66"/>
      <c r="F20" s="66"/>
    </row>
    <row r="21" spans="1:11" s="117" customFormat="1" x14ac:dyDescent="0.35">
      <c r="A21" s="117" t="s">
        <v>49</v>
      </c>
      <c r="B21" s="67">
        <f>B9-B19</f>
        <v>0</v>
      </c>
      <c r="C21" s="67">
        <f t="shared" ref="C21:K21" si="5">C9-C19</f>
        <v>0</v>
      </c>
      <c r="D21" s="67">
        <f t="shared" si="5"/>
        <v>0</v>
      </c>
      <c r="E21" s="67">
        <f t="shared" si="5"/>
        <v>0</v>
      </c>
      <c r="F21" s="67">
        <f t="shared" si="5"/>
        <v>0</v>
      </c>
      <c r="G21" s="67">
        <f>G9-G19</f>
        <v>0</v>
      </c>
      <c r="H21" s="67">
        <f t="shared" si="5"/>
        <v>0</v>
      </c>
      <c r="I21" s="67">
        <f t="shared" si="5"/>
        <v>0</v>
      </c>
      <c r="J21" s="67">
        <f t="shared" si="5"/>
        <v>0</v>
      </c>
      <c r="K21" s="67">
        <f t="shared" si="5"/>
        <v>0</v>
      </c>
    </row>
  </sheetData>
  <pageMargins left="0.7" right="0.7" top="0.75" bottom="0.75" header="0.3" footer="0.3"/>
  <pageSetup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2"/>
  <sheetViews>
    <sheetView showGridLines="0" topLeftCell="B1" zoomScale="110" zoomScaleNormal="110" workbookViewId="0">
      <selection activeCell="B1" sqref="A1:XFD2"/>
    </sheetView>
  </sheetViews>
  <sheetFormatPr defaultRowHeight="14.5" outlineLevelRow="1" x14ac:dyDescent="0.35"/>
  <cols>
    <col min="1" max="1" width="2.81640625" customWidth="1"/>
    <col min="2" max="2" width="32" customWidth="1"/>
    <col min="3" max="3" width="16.453125" customWidth="1"/>
    <col min="4" max="4" width="12.1796875" customWidth="1"/>
    <col min="5" max="5" width="11.7265625" customWidth="1"/>
    <col min="6" max="6" width="12.7265625" customWidth="1"/>
    <col min="7" max="7" width="12" customWidth="1"/>
    <col min="8" max="8" width="11.26953125" bestFit="1" customWidth="1"/>
    <col min="9" max="9" width="11.26953125" customWidth="1"/>
    <col min="10" max="10" width="11.54296875" customWidth="1"/>
    <col min="11" max="11" width="11" customWidth="1"/>
    <col min="12" max="12" width="12.7265625" customWidth="1"/>
  </cols>
  <sheetData>
    <row r="1" spans="2:12" ht="18.5" x14ac:dyDescent="0.45">
      <c r="B1" s="131" t="s">
        <v>48</v>
      </c>
      <c r="D1" s="163" t="str">
        <f>'BALANCE SHEET'!C1</f>
        <v>HOUSE OF ACCOUNTANTS PROFESSIONAL SERVICES</v>
      </c>
    </row>
    <row r="2" spans="2:12" s="135" customFormat="1" x14ac:dyDescent="0.35">
      <c r="B2" s="126"/>
      <c r="C2" s="127">
        <v>2013</v>
      </c>
      <c r="D2" s="127">
        <v>2014</v>
      </c>
      <c r="E2" s="127">
        <v>2015</v>
      </c>
      <c r="F2" s="127">
        <v>2016</v>
      </c>
      <c r="G2" s="127">
        <v>2017</v>
      </c>
      <c r="H2" s="128">
        <f>G2+1</f>
        <v>2018</v>
      </c>
      <c r="I2" s="128">
        <f t="shared" ref="I2:L2" si="0">H2+1</f>
        <v>2019</v>
      </c>
      <c r="J2" s="128">
        <f t="shared" si="0"/>
        <v>2020</v>
      </c>
      <c r="K2" s="128">
        <f t="shared" si="0"/>
        <v>2021</v>
      </c>
      <c r="L2" s="128">
        <f t="shared" si="0"/>
        <v>2022</v>
      </c>
    </row>
    <row r="3" spans="2:12" x14ac:dyDescent="0.35">
      <c r="B3" s="117" t="s">
        <v>32</v>
      </c>
      <c r="C3" s="66"/>
      <c r="D3" s="66"/>
      <c r="E3" s="66"/>
      <c r="F3" s="66"/>
      <c r="G3" s="66"/>
    </row>
    <row r="4" spans="2:12" x14ac:dyDescent="0.35">
      <c r="B4" t="s">
        <v>8</v>
      </c>
      <c r="C4" s="137">
        <f>'INCOME STATEMENT'!B16</f>
        <v>2473.8292000000001</v>
      </c>
      <c r="D4" s="137">
        <f>'INCOME STATEMENT'!C16</f>
        <v>11790.783497877968</v>
      </c>
      <c r="E4" s="137">
        <f>'INCOME STATEMENT'!D16</f>
        <v>21075.193885131324</v>
      </c>
      <c r="F4" s="137">
        <f>'INCOME STATEMENT'!E16</f>
        <v>26713.479023595311</v>
      </c>
      <c r="G4" s="137">
        <f>'INCOME STATEMENT'!F16</f>
        <v>28226.884758580287</v>
      </c>
      <c r="H4" s="137">
        <f>'INCOME STATEMENT'!G16</f>
        <v>26543.379240000002</v>
      </c>
      <c r="I4" s="137">
        <f>'INCOME STATEMENT'!H16</f>
        <v>24400.975914000002</v>
      </c>
      <c r="J4" s="137">
        <f>'INCOME STATEMENT'!I16</f>
        <v>25209.115409700004</v>
      </c>
      <c r="K4" s="137">
        <f>'INCOME STATEMENT'!J16</f>
        <v>52749.491485905033</v>
      </c>
      <c r="L4" s="137">
        <f>'INCOME STATEMENT'!K16</f>
        <v>61838.564154878288</v>
      </c>
    </row>
    <row r="5" spans="2:12" x14ac:dyDescent="0.35">
      <c r="B5" t="s">
        <v>33</v>
      </c>
      <c r="C5" s="137">
        <v>19500</v>
      </c>
      <c r="D5" s="137">
        <v>18150</v>
      </c>
      <c r="E5" s="137">
        <v>17205</v>
      </c>
      <c r="F5" s="137">
        <v>16543.5</v>
      </c>
      <c r="G5" s="137">
        <v>16080.449999999999</v>
      </c>
      <c r="H5" s="120">
        <f>'SUPPORTING SCH'!G14</f>
        <v>13132.3675</v>
      </c>
      <c r="I5" s="120">
        <f>'SUPPORTING SCH'!H14</f>
        <v>13786.038875</v>
      </c>
      <c r="J5" s="120">
        <f>'SUPPORTING SCH'!I14</f>
        <v>14210.925268750001</v>
      </c>
      <c r="K5" s="120">
        <f>'SUPPORTING SCH'!J14</f>
        <v>14487.101424687498</v>
      </c>
      <c r="L5" s="120">
        <f>'SUPPORTING SCH'!K14</f>
        <v>14666.615926046874</v>
      </c>
    </row>
    <row r="6" spans="2:12" x14ac:dyDescent="0.35">
      <c r="B6" t="s">
        <v>37</v>
      </c>
      <c r="C6" s="137">
        <v>-9002.65</v>
      </c>
      <c r="D6" s="137">
        <v>-1702.05</v>
      </c>
      <c r="E6" s="137">
        <v>-774.849999999999</v>
      </c>
      <c r="F6" s="137">
        <v>-902.900000000001</v>
      </c>
      <c r="G6" s="137">
        <v>-827.14999999999804</v>
      </c>
      <c r="H6" s="120">
        <f>-'SUPPORTING SCH'!G9</f>
        <v>-3175.3921972602766</v>
      </c>
      <c r="I6" s="120">
        <f>-'SUPPORTING SCH'!H9</f>
        <v>-5062.2628416438383</v>
      </c>
      <c r="J6" s="120">
        <f>-'SUPPORTING SCH'!I9</f>
        <v>-5767.9171090411</v>
      </c>
      <c r="K6" s="120">
        <f>-'SUPPORTING SCH'!J9</f>
        <v>2612.6565262027398</v>
      </c>
      <c r="L6" s="120">
        <f>-'SUPPORTING SCH'!K9</f>
        <v>-2041.1379110958951</v>
      </c>
    </row>
    <row r="7" spans="2:12" s="117" customFormat="1" x14ac:dyDescent="0.35">
      <c r="B7" s="117" t="s">
        <v>34</v>
      </c>
      <c r="C7" s="141">
        <f>SUM(C4:C6)</f>
        <v>12971.1792</v>
      </c>
      <c r="D7" s="141">
        <f t="shared" ref="D7:L7" si="1">SUM(D4:D6)</f>
        <v>28238.733497877969</v>
      </c>
      <c r="E7" s="141">
        <f t="shared" si="1"/>
        <v>37505.343885131326</v>
      </c>
      <c r="F7" s="141">
        <f t="shared" si="1"/>
        <v>42354.07902359531</v>
      </c>
      <c r="G7" s="141">
        <f t="shared" si="1"/>
        <v>43480.184758580283</v>
      </c>
      <c r="H7" s="141">
        <f t="shared" si="1"/>
        <v>36500.354542739726</v>
      </c>
      <c r="I7" s="141">
        <f t="shared" si="1"/>
        <v>33124.751947356162</v>
      </c>
      <c r="J7" s="141">
        <f t="shared" si="1"/>
        <v>33652.123569408912</v>
      </c>
      <c r="K7" s="141">
        <f t="shared" si="1"/>
        <v>69849.249436795275</v>
      </c>
      <c r="L7" s="141">
        <f t="shared" si="1"/>
        <v>74464.042169829263</v>
      </c>
    </row>
    <row r="8" spans="2:12" x14ac:dyDescent="0.35">
      <c r="C8" s="140"/>
      <c r="D8" s="140"/>
      <c r="E8" s="140"/>
      <c r="F8" s="140"/>
      <c r="G8" s="140"/>
      <c r="H8" s="120"/>
      <c r="I8" s="120"/>
      <c r="J8" s="120"/>
      <c r="K8" s="120"/>
      <c r="L8" s="120"/>
    </row>
    <row r="9" spans="2:12" x14ac:dyDescent="0.35">
      <c r="B9" s="117" t="s">
        <v>38</v>
      </c>
      <c r="C9" s="140"/>
      <c r="D9" s="140"/>
      <c r="E9" s="140"/>
      <c r="F9" s="140"/>
      <c r="G9" s="140"/>
      <c r="H9" s="120"/>
      <c r="I9" s="120"/>
      <c r="J9" s="120"/>
      <c r="K9" s="120"/>
      <c r="L9" s="120"/>
    </row>
    <row r="10" spans="2:12" x14ac:dyDescent="0.35">
      <c r="B10" t="s">
        <v>39</v>
      </c>
      <c r="C10" s="119">
        <v>-15000</v>
      </c>
      <c r="D10" s="119">
        <v>-15000</v>
      </c>
      <c r="E10" s="119">
        <v>-15000</v>
      </c>
      <c r="F10" s="119">
        <v>-15000</v>
      </c>
      <c r="G10" s="119">
        <v>-15000</v>
      </c>
      <c r="H10" s="120">
        <f>-'LIVE CASE OR ASSUM'!G13</f>
        <v>-15000</v>
      </c>
      <c r="I10" s="120">
        <f>-'LIVE CASE OR ASSUM'!H13</f>
        <v>-15000</v>
      </c>
      <c r="J10" s="120">
        <f>-'LIVE CASE OR ASSUM'!I13</f>
        <v>-15000</v>
      </c>
      <c r="K10" s="120">
        <f>-'LIVE CASE OR ASSUM'!J13</f>
        <v>-15000</v>
      </c>
      <c r="L10" s="120">
        <f>-'LIVE CASE OR ASSUM'!K13</f>
        <v>-15000</v>
      </c>
    </row>
    <row r="11" spans="2:12" s="117" customFormat="1" x14ac:dyDescent="0.35">
      <c r="B11" s="117" t="s">
        <v>40</v>
      </c>
      <c r="C11" s="141">
        <f>SUM(C10)</f>
        <v>-15000</v>
      </c>
      <c r="D11" s="141">
        <f t="shared" ref="D11:L11" si="2">SUM(D10)</f>
        <v>-15000</v>
      </c>
      <c r="E11" s="141">
        <f t="shared" si="2"/>
        <v>-15000</v>
      </c>
      <c r="F11" s="141">
        <f t="shared" si="2"/>
        <v>-15000</v>
      </c>
      <c r="G11" s="141">
        <f t="shared" si="2"/>
        <v>-15000</v>
      </c>
      <c r="H11" s="141">
        <f t="shared" si="2"/>
        <v>-15000</v>
      </c>
      <c r="I11" s="141">
        <f t="shared" si="2"/>
        <v>-15000</v>
      </c>
      <c r="J11" s="141">
        <f t="shared" si="2"/>
        <v>-15000</v>
      </c>
      <c r="K11" s="141">
        <f t="shared" si="2"/>
        <v>-15000</v>
      </c>
      <c r="L11" s="141">
        <f t="shared" si="2"/>
        <v>-15000</v>
      </c>
    </row>
    <row r="12" spans="2:12" x14ac:dyDescent="0.35">
      <c r="C12" s="142"/>
      <c r="D12" s="142"/>
      <c r="E12" s="142"/>
      <c r="F12" s="142"/>
      <c r="G12" s="142"/>
      <c r="H12" s="120"/>
      <c r="I12" s="120"/>
      <c r="J12" s="120"/>
      <c r="K12" s="120"/>
      <c r="L12" s="120"/>
    </row>
    <row r="13" spans="2:12" x14ac:dyDescent="0.35">
      <c r="B13" s="117" t="s">
        <v>41</v>
      </c>
      <c r="C13" s="140"/>
      <c r="D13" s="140"/>
      <c r="E13" s="140"/>
      <c r="F13" s="140"/>
      <c r="G13" s="140"/>
      <c r="H13" s="120"/>
      <c r="I13" s="120"/>
      <c r="J13" s="120"/>
      <c r="K13" s="120"/>
      <c r="L13" s="120"/>
    </row>
    <row r="14" spans="2:12" x14ac:dyDescent="0.35">
      <c r="B14" t="s">
        <v>42</v>
      </c>
      <c r="C14" s="119">
        <v>0</v>
      </c>
      <c r="D14" s="119">
        <v>0</v>
      </c>
      <c r="E14" s="119">
        <v>-20000</v>
      </c>
      <c r="F14" s="119">
        <v>0</v>
      </c>
      <c r="G14" s="119">
        <v>0</v>
      </c>
      <c r="H14" s="120">
        <f>'LIVE CASE OR ASSUM'!G14</f>
        <v>0</v>
      </c>
      <c r="I14" s="120">
        <f>'LIVE CASE OR ASSUM'!H14</f>
        <v>0</v>
      </c>
      <c r="J14" s="120">
        <f>'LIVE CASE OR ASSUM'!I14</f>
        <v>-20000</v>
      </c>
      <c r="K14" s="120">
        <f>'LIVE CASE OR ASSUM'!J14</f>
        <v>0</v>
      </c>
      <c r="L14" s="120">
        <f>'LIVE CASE OR ASSUM'!K14</f>
        <v>0</v>
      </c>
    </row>
    <row r="15" spans="2:12" x14ac:dyDescent="0.35">
      <c r="B15" t="s">
        <v>43</v>
      </c>
      <c r="C15" s="119">
        <v>70000</v>
      </c>
      <c r="D15" s="119">
        <v>0</v>
      </c>
      <c r="E15" s="119">
        <v>0</v>
      </c>
      <c r="F15" s="119">
        <v>0</v>
      </c>
      <c r="G15" s="119">
        <v>0</v>
      </c>
      <c r="H15" s="120">
        <f>'LIVE CASE OR ASSUM'!G15</f>
        <v>0</v>
      </c>
      <c r="I15" s="120">
        <f>'LIVE CASE OR ASSUM'!H15</f>
        <v>0</v>
      </c>
      <c r="J15" s="120">
        <f>'LIVE CASE OR ASSUM'!I15</f>
        <v>0</v>
      </c>
      <c r="K15" s="120">
        <f>'LIVE CASE OR ASSUM'!J15</f>
        <v>0</v>
      </c>
      <c r="L15" s="120">
        <f>'LIVE CASE OR ASSUM'!K15</f>
        <v>0</v>
      </c>
    </row>
    <row r="16" spans="2:12" s="117" customFormat="1" x14ac:dyDescent="0.35">
      <c r="B16" s="117" t="s">
        <v>44</v>
      </c>
      <c r="C16" s="141">
        <f>SUM(C14:C15)</f>
        <v>70000</v>
      </c>
      <c r="D16" s="141">
        <f t="shared" ref="D16:L16" si="3">SUM(D14:D15)</f>
        <v>0</v>
      </c>
      <c r="E16" s="141">
        <f t="shared" si="3"/>
        <v>-20000</v>
      </c>
      <c r="F16" s="141">
        <f t="shared" si="3"/>
        <v>0</v>
      </c>
      <c r="G16" s="141">
        <f t="shared" si="3"/>
        <v>0</v>
      </c>
      <c r="H16" s="141">
        <f t="shared" si="3"/>
        <v>0</v>
      </c>
      <c r="I16" s="141">
        <f t="shared" si="3"/>
        <v>0</v>
      </c>
      <c r="J16" s="141">
        <f t="shared" si="3"/>
        <v>-20000</v>
      </c>
      <c r="K16" s="141">
        <f t="shared" si="3"/>
        <v>0</v>
      </c>
      <c r="L16" s="141">
        <f t="shared" si="3"/>
        <v>0</v>
      </c>
    </row>
    <row r="17" spans="1:14" x14ac:dyDescent="0.35">
      <c r="C17" s="140"/>
      <c r="D17" s="140"/>
      <c r="E17" s="140"/>
      <c r="F17" s="140"/>
      <c r="G17" s="140"/>
      <c r="H17" s="120"/>
      <c r="I17" s="120"/>
      <c r="J17" s="120"/>
      <c r="K17" s="120"/>
      <c r="L17" s="120"/>
    </row>
    <row r="18" spans="1:14" s="117" customFormat="1" x14ac:dyDescent="0.35">
      <c r="B18" s="117" t="s">
        <v>45</v>
      </c>
      <c r="C18" s="138">
        <f>C7+C11+C16</f>
        <v>67971.179199999999</v>
      </c>
      <c r="D18" s="138">
        <f t="shared" ref="D18:L18" si="4">D7+D11+D16</f>
        <v>13238.733497877969</v>
      </c>
      <c r="E18" s="138">
        <f t="shared" si="4"/>
        <v>2505.3438851313258</v>
      </c>
      <c r="F18" s="138">
        <f t="shared" si="4"/>
        <v>27354.07902359531</v>
      </c>
      <c r="G18" s="138">
        <f t="shared" si="4"/>
        <v>28480.184758580283</v>
      </c>
      <c r="H18" s="138">
        <f t="shared" si="4"/>
        <v>21500.354542739726</v>
      </c>
      <c r="I18" s="138">
        <f t="shared" si="4"/>
        <v>18124.751947356162</v>
      </c>
      <c r="J18" s="138">
        <f>J7+J11+J16</f>
        <v>-1347.8764305910881</v>
      </c>
      <c r="K18" s="138">
        <f t="shared" si="4"/>
        <v>54849.249436795275</v>
      </c>
      <c r="L18" s="138">
        <f t="shared" si="4"/>
        <v>59464.042169829263</v>
      </c>
    </row>
    <row r="19" spans="1:14" x14ac:dyDescent="0.35">
      <c r="B19" s="143" t="s">
        <v>46</v>
      </c>
      <c r="C19" s="119">
        <v>0</v>
      </c>
      <c r="D19" s="119">
        <f>'BALANCE SHEET'!B5</f>
        <v>67971.179200000013</v>
      </c>
      <c r="E19" s="119">
        <f>'BALANCE SHEET'!C5</f>
        <v>81209.912697877968</v>
      </c>
      <c r="F19" s="119">
        <f>'BALANCE SHEET'!D5</f>
        <v>83715.256583009294</v>
      </c>
      <c r="G19" s="119">
        <f>'BALANCE SHEET'!E5</f>
        <v>111069.33560660461</v>
      </c>
      <c r="H19" s="120">
        <f>G20</f>
        <v>139549.5203651849</v>
      </c>
      <c r="I19" s="120">
        <f t="shared" ref="I19:L19" si="5">H20</f>
        <v>161049.87490792462</v>
      </c>
      <c r="J19" s="120">
        <f t="shared" si="5"/>
        <v>179174.62685528077</v>
      </c>
      <c r="K19" s="120">
        <f t="shared" si="5"/>
        <v>177826.75042468967</v>
      </c>
      <c r="L19" s="120">
        <f t="shared" si="5"/>
        <v>232675.99986148495</v>
      </c>
    </row>
    <row r="20" spans="1:14" s="117" customFormat="1" x14ac:dyDescent="0.35">
      <c r="B20" s="117" t="s">
        <v>47</v>
      </c>
      <c r="C20" s="141">
        <f>SUM(C18:C19)</f>
        <v>67971.179199999999</v>
      </c>
      <c r="D20" s="141">
        <f>SUM(D18:D19)</f>
        <v>81209.912697877982</v>
      </c>
      <c r="E20" s="141">
        <f t="shared" ref="E20:L20" si="6">SUM(E18:E19)</f>
        <v>83715.256583009294</v>
      </c>
      <c r="F20" s="141">
        <f t="shared" si="6"/>
        <v>111069.33560660461</v>
      </c>
      <c r="G20" s="141">
        <f t="shared" si="6"/>
        <v>139549.5203651849</v>
      </c>
      <c r="H20" s="141">
        <f>SUM(H18:H19)</f>
        <v>161049.87490792462</v>
      </c>
      <c r="I20" s="141">
        <f t="shared" si="6"/>
        <v>179174.62685528077</v>
      </c>
      <c r="J20" s="141">
        <f t="shared" si="6"/>
        <v>177826.75042468967</v>
      </c>
      <c r="K20" s="141">
        <f t="shared" si="6"/>
        <v>232675.99986148495</v>
      </c>
      <c r="L20" s="141">
        <f t="shared" si="6"/>
        <v>292140.04203131422</v>
      </c>
    </row>
    <row r="21" spans="1:14" x14ac:dyDescent="0.35">
      <c r="C21" s="140"/>
      <c r="D21" s="140"/>
      <c r="E21" s="140"/>
      <c r="F21" s="140"/>
      <c r="G21" s="140"/>
      <c r="H21" s="120"/>
      <c r="I21" s="120"/>
      <c r="J21" s="120"/>
      <c r="K21" s="120"/>
      <c r="L21" s="120"/>
    </row>
    <row r="22" spans="1:14" s="8" customFormat="1" ht="15.5" outlineLevel="1" x14ac:dyDescent="0.35">
      <c r="A22" s="144" t="s">
        <v>49</v>
      </c>
      <c r="C22" s="25">
        <f>C20-'BALANCE SHEET'!B5</f>
        <v>0</v>
      </c>
      <c r="D22" s="25">
        <f>D20-'BALANCE SHEET'!C5</f>
        <v>0</v>
      </c>
      <c r="E22" s="25">
        <f>E20-'BALANCE SHEET'!D5</f>
        <v>0</v>
      </c>
      <c r="F22" s="25">
        <f>F20-'BALANCE SHEET'!E5</f>
        <v>0</v>
      </c>
      <c r="G22" s="25">
        <f>G20-'BALANCE SHEET'!F5</f>
        <v>0</v>
      </c>
      <c r="H22" s="25">
        <f>H20-'BALANCE SHEET'!G5</f>
        <v>0</v>
      </c>
      <c r="I22" s="25">
        <f>I20-'BALANCE SHEET'!H5</f>
        <v>0</v>
      </c>
      <c r="J22" s="25">
        <f>J20-'BALANCE SHEET'!I5</f>
        <v>0</v>
      </c>
      <c r="K22" s="25">
        <f>K20-'BALANCE SHEET'!J5</f>
        <v>0</v>
      </c>
      <c r="L22" s="25">
        <f>L20-'BALANCE SHEET'!K5</f>
        <v>0</v>
      </c>
      <c r="M22" s="108"/>
      <c r="N22" s="83"/>
    </row>
  </sheetData>
  <pageMargins left="0.7" right="0.7" top="0.75" bottom="0.75" header="0.3" footer="0.3"/>
  <pageSetup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2"/>
  <sheetViews>
    <sheetView showGridLines="0" topLeftCell="A13" zoomScale="120" zoomScaleNormal="120" workbookViewId="0">
      <selection activeCell="G25" sqref="G25"/>
    </sheetView>
  </sheetViews>
  <sheetFormatPr defaultRowHeight="14.5" x14ac:dyDescent="0.35"/>
  <cols>
    <col min="1" max="1" width="31.1796875" customWidth="1"/>
    <col min="2" max="2" width="10.54296875" style="66" bestFit="1" customWidth="1"/>
    <col min="3" max="3" width="13" style="66" customWidth="1"/>
    <col min="4" max="4" width="11.7265625" style="66" customWidth="1"/>
    <col min="5" max="5" width="12" style="66" customWidth="1"/>
    <col min="6" max="7" width="10.54296875" style="66" bestFit="1" customWidth="1"/>
    <col min="8" max="8" width="11.1796875" customWidth="1"/>
    <col min="9" max="9" width="10.54296875" customWidth="1"/>
    <col min="10" max="10" width="10.7265625" customWidth="1"/>
    <col min="11" max="11" width="10.54296875" customWidth="1"/>
    <col min="12" max="12" width="9.81640625" bestFit="1" customWidth="1"/>
  </cols>
  <sheetData>
    <row r="1" spans="1:13" ht="18.5" x14ac:dyDescent="0.45">
      <c r="D1" s="162" t="str">
        <f>'CHARTS &amp; GRAPH'!C1</f>
        <v>HOUSE OF ACCOUNTANTS PROFESSIONAL SERVICES</v>
      </c>
    </row>
    <row r="2" spans="1:13" x14ac:dyDescent="0.35">
      <c r="A2" s="148" t="s">
        <v>155</v>
      </c>
      <c r="B2" s="145"/>
      <c r="C2" s="145"/>
      <c r="D2" s="145"/>
      <c r="E2" s="145"/>
      <c r="F2" s="145"/>
      <c r="G2" s="145"/>
      <c r="H2" s="146"/>
      <c r="I2" s="146"/>
      <c r="J2" s="146"/>
      <c r="K2" s="146"/>
    </row>
    <row r="3" spans="1:13" x14ac:dyDescent="0.35">
      <c r="B3" s="147">
        <v>2013</v>
      </c>
      <c r="C3" s="147">
        <f t="shared" ref="C3:K3" si="0">B3+1</f>
        <v>2014</v>
      </c>
      <c r="D3" s="147">
        <f t="shared" si="0"/>
        <v>2015</v>
      </c>
      <c r="E3" s="147">
        <f t="shared" si="0"/>
        <v>2016</v>
      </c>
      <c r="F3" s="147">
        <f t="shared" si="0"/>
        <v>2017</v>
      </c>
      <c r="G3" s="147">
        <f t="shared" si="0"/>
        <v>2018</v>
      </c>
      <c r="H3" s="147">
        <f t="shared" si="0"/>
        <v>2019</v>
      </c>
      <c r="I3" s="147">
        <f t="shared" si="0"/>
        <v>2020</v>
      </c>
      <c r="J3" s="147">
        <f t="shared" si="0"/>
        <v>2021</v>
      </c>
      <c r="K3" s="147">
        <f t="shared" si="0"/>
        <v>2022</v>
      </c>
    </row>
    <row r="4" spans="1:13" x14ac:dyDescent="0.35">
      <c r="A4" s="117" t="s">
        <v>51</v>
      </c>
      <c r="L4" s="47"/>
      <c r="M4" s="47"/>
    </row>
    <row r="5" spans="1:13" x14ac:dyDescent="0.35">
      <c r="A5" t="s">
        <v>12</v>
      </c>
      <c r="B5" s="137">
        <f>'BALANCE SHEET'!B6</f>
        <v>5100.3500000000004</v>
      </c>
      <c r="C5" s="137">
        <f>'BALANCE SHEET'!C6</f>
        <v>5904.3</v>
      </c>
      <c r="D5" s="137">
        <f>'BALANCE SHEET'!D6</f>
        <v>6567.25</v>
      </c>
      <c r="E5" s="137">
        <f>'BALANCE SHEET'!E6</f>
        <v>7117.05</v>
      </c>
      <c r="F5" s="137">
        <f>'BALANCE SHEET'!F6</f>
        <v>7538.6</v>
      </c>
      <c r="G5" s="159">
        <f>'BALANCE SHEET'!G6</f>
        <v>8178.8646575342473</v>
      </c>
      <c r="H5" s="159">
        <f>'BALANCE SHEET'!H6</f>
        <v>8996.7511232876732</v>
      </c>
      <c r="I5" s="159">
        <f>'BALANCE SHEET'!I6</f>
        <v>9896.42623561644</v>
      </c>
      <c r="J5" s="159">
        <f>'BALANCE SHEET'!J6</f>
        <v>10886.068859178085</v>
      </c>
      <c r="K5" s="159">
        <f>'BALANCE SHEET'!K6</f>
        <v>11974.675745095894</v>
      </c>
      <c r="L5" s="120"/>
    </row>
    <row r="6" spans="1:13" x14ac:dyDescent="0.35">
      <c r="A6" t="s">
        <v>18</v>
      </c>
      <c r="B6" s="137">
        <f>'BALANCE SHEET'!B7</f>
        <v>7804.6</v>
      </c>
      <c r="C6" s="137">
        <f>'BALANCE SHEET'!C7</f>
        <v>9600.8000000000011</v>
      </c>
      <c r="D6" s="137">
        <f>'BALANCE SHEET'!D7</f>
        <v>9824.6</v>
      </c>
      <c r="E6" s="137">
        <f>'BALANCE SHEET'!E7</f>
        <v>10530.800000000001</v>
      </c>
      <c r="F6" s="137">
        <f>'BALANCE SHEET'!F7</f>
        <v>11342</v>
      </c>
      <c r="G6" s="159">
        <f>'BALANCE SHEET'!G7</f>
        <v>15267.21402739726</v>
      </c>
      <c r="H6" s="159">
        <f>'BALANCE SHEET'!H7</f>
        <v>21142.365139726033</v>
      </c>
      <c r="I6" s="159">
        <f>'BALANCE SHEET'!I7</f>
        <v>27490.072876712333</v>
      </c>
      <c r="J6" s="159">
        <f>'BALANCE SHEET'!J7</f>
        <v>21772.137718356171</v>
      </c>
      <c r="K6" s="159">
        <f>'BALANCE SHEET'!K7</f>
        <v>23284.091726575352</v>
      </c>
      <c r="L6" s="120"/>
    </row>
    <row r="7" spans="1:13" x14ac:dyDescent="0.35">
      <c r="A7" t="s">
        <v>21</v>
      </c>
      <c r="B7" s="137">
        <f>'BALANCE SHEET'!B12</f>
        <v>3902.3</v>
      </c>
      <c r="C7" s="137">
        <f>'BALANCE SHEET'!C12</f>
        <v>4800.4000000000005</v>
      </c>
      <c r="D7" s="137">
        <f>'BALANCE SHEET'!D12</f>
        <v>4912.3</v>
      </c>
      <c r="E7" s="137">
        <f>'BALANCE SHEET'!E12</f>
        <v>5265.4000000000005</v>
      </c>
      <c r="F7" s="137">
        <f>'BALANCE SHEET'!F12</f>
        <v>5671</v>
      </c>
      <c r="G7" s="159">
        <f>'BALANCE SHEET'!G12</f>
        <v>7061.086487671233</v>
      </c>
      <c r="H7" s="159">
        <f>'BALANCE SHEET'!H12</f>
        <v>8691.8612241095907</v>
      </c>
      <c r="I7" s="159">
        <f>'BALANCE SHEET'!I12</f>
        <v>10171.326964383563</v>
      </c>
      <c r="J7" s="159">
        <f>'BALANCE SHEET'!J12</f>
        <v>8055.6909557917834</v>
      </c>
      <c r="K7" s="159">
        <f>'BALANCE SHEET'!K12</f>
        <v>8615.1139388328793</v>
      </c>
      <c r="L7" s="120"/>
    </row>
    <row r="8" spans="1:13" s="117" customFormat="1" x14ac:dyDescent="0.35">
      <c r="A8" s="117" t="s">
        <v>36</v>
      </c>
      <c r="B8" s="141">
        <f>B5+B6-B7</f>
        <v>9002.6500000000015</v>
      </c>
      <c r="C8" s="141">
        <f t="shared" ref="C8:F8" si="1">C5+C6-C7</f>
        <v>10704.7</v>
      </c>
      <c r="D8" s="141">
        <f t="shared" si="1"/>
        <v>11479.55</v>
      </c>
      <c r="E8" s="141">
        <f t="shared" si="1"/>
        <v>12382.45</v>
      </c>
      <c r="F8" s="141">
        <f t="shared" si="1"/>
        <v>13209.599999999999</v>
      </c>
      <c r="G8" s="141">
        <f>G5+G6-G7</f>
        <v>16384.992197260275</v>
      </c>
      <c r="H8" s="141">
        <f t="shared" ref="H8:K8" si="2">H5+H6-H7</f>
        <v>21447.255038904113</v>
      </c>
      <c r="I8" s="141">
        <f t="shared" si="2"/>
        <v>27215.172147945214</v>
      </c>
      <c r="J8" s="141">
        <f t="shared" si="2"/>
        <v>24602.515621742474</v>
      </c>
      <c r="K8" s="141">
        <f t="shared" si="2"/>
        <v>26643.653532838369</v>
      </c>
      <c r="L8" s="139"/>
    </row>
    <row r="9" spans="1:13" s="117" customFormat="1" x14ac:dyDescent="0.35">
      <c r="A9" s="117" t="s">
        <v>35</v>
      </c>
      <c r="B9" s="138">
        <f>B8</f>
        <v>9002.6500000000015</v>
      </c>
      <c r="C9" s="138">
        <f>C8-B8</f>
        <v>1702.0499999999993</v>
      </c>
      <c r="D9" s="138">
        <f t="shared" ref="D9:K9" si="3">D8-C8</f>
        <v>774.84999999999854</v>
      </c>
      <c r="E9" s="138">
        <f t="shared" si="3"/>
        <v>902.90000000000146</v>
      </c>
      <c r="F9" s="138">
        <f t="shared" si="3"/>
        <v>827.14999999999782</v>
      </c>
      <c r="G9" s="138">
        <f t="shared" si="3"/>
        <v>3175.3921972602766</v>
      </c>
      <c r="H9" s="138">
        <f t="shared" si="3"/>
        <v>5062.2628416438383</v>
      </c>
      <c r="I9" s="138">
        <f t="shared" si="3"/>
        <v>5767.9171090411</v>
      </c>
      <c r="J9" s="138">
        <f t="shared" si="3"/>
        <v>-2612.6565262027398</v>
      </c>
      <c r="K9" s="138">
        <f t="shared" si="3"/>
        <v>2041.1379110958951</v>
      </c>
    </row>
    <row r="10" spans="1:13" x14ac:dyDescent="0.35">
      <c r="B10" s="140"/>
      <c r="C10" s="140"/>
      <c r="D10" s="140"/>
      <c r="E10" s="140"/>
      <c r="F10" s="140"/>
      <c r="G10" s="140"/>
      <c r="H10" s="120"/>
      <c r="I10" s="120"/>
      <c r="J10" s="120"/>
      <c r="K10" s="120"/>
    </row>
    <row r="11" spans="1:13" x14ac:dyDescent="0.35">
      <c r="A11" s="117" t="s">
        <v>52</v>
      </c>
      <c r="B11" s="140"/>
      <c r="C11" s="140"/>
      <c r="D11" s="140"/>
      <c r="E11" s="140"/>
      <c r="F11" s="140"/>
      <c r="G11" s="140"/>
      <c r="H11" s="120"/>
      <c r="I11" s="120"/>
      <c r="J11" s="120"/>
      <c r="K11" s="120"/>
    </row>
    <row r="12" spans="1:13" s="121" customFormat="1" x14ac:dyDescent="0.35">
      <c r="A12" s="121" t="s">
        <v>14</v>
      </c>
      <c r="B12" s="122">
        <f>B15+B14-B13</f>
        <v>50000</v>
      </c>
      <c r="C12" s="122">
        <f t="shared" ref="C12:F12" si="4">C15+C14-C13</f>
        <v>45500</v>
      </c>
      <c r="D12" s="122">
        <f t="shared" si="4"/>
        <v>42350</v>
      </c>
      <c r="E12" s="122">
        <f t="shared" si="4"/>
        <v>40145</v>
      </c>
      <c r="F12" s="122">
        <f t="shared" si="4"/>
        <v>38601.5</v>
      </c>
      <c r="G12" s="122">
        <f>F15</f>
        <v>37521.050000000003</v>
      </c>
      <c r="H12" s="122">
        <f>G15</f>
        <v>39388.682500000003</v>
      </c>
      <c r="I12" s="122">
        <f t="shared" ref="I12:K12" si="5">H15</f>
        <v>40602.643625000004</v>
      </c>
      <c r="J12" s="122">
        <f t="shared" si="5"/>
        <v>41391.718356249999</v>
      </c>
      <c r="K12" s="122">
        <f t="shared" si="5"/>
        <v>41904.616931562501</v>
      </c>
    </row>
    <row r="13" spans="1:13" x14ac:dyDescent="0.35">
      <c r="A13" t="s">
        <v>15</v>
      </c>
      <c r="B13" s="119">
        <f>-CASHFLOWS!C10</f>
        <v>15000</v>
      </c>
      <c r="C13" s="119">
        <f>-CASHFLOWS!D10</f>
        <v>15000</v>
      </c>
      <c r="D13" s="119">
        <f>-CASHFLOWS!E10</f>
        <v>15000</v>
      </c>
      <c r="E13" s="119">
        <f>-CASHFLOWS!F10</f>
        <v>15000</v>
      </c>
      <c r="F13" s="119">
        <f>-CASHFLOWS!G10</f>
        <v>15000</v>
      </c>
      <c r="G13" s="123">
        <f>-CASHFLOWS!H10</f>
        <v>15000</v>
      </c>
      <c r="H13" s="123">
        <f>-CASHFLOWS!I10</f>
        <v>15000</v>
      </c>
      <c r="I13" s="123">
        <f>-CASHFLOWS!J10</f>
        <v>15000</v>
      </c>
      <c r="J13" s="123">
        <f>-CASHFLOWS!K10</f>
        <v>15000</v>
      </c>
      <c r="K13" s="123">
        <f>-CASHFLOWS!L10</f>
        <v>15000</v>
      </c>
    </row>
    <row r="14" spans="1:13" x14ac:dyDescent="0.35">
      <c r="A14" t="s">
        <v>16</v>
      </c>
      <c r="B14" s="119">
        <f>'INCOME STATEMENT'!B10</f>
        <v>19500</v>
      </c>
      <c r="C14" s="119">
        <f>'INCOME STATEMENT'!C10</f>
        <v>18150</v>
      </c>
      <c r="D14" s="119">
        <f>'INCOME STATEMENT'!D10</f>
        <v>17205</v>
      </c>
      <c r="E14" s="119">
        <f>'INCOME STATEMENT'!E10</f>
        <v>16543.5</v>
      </c>
      <c r="F14" s="119">
        <f>'INCOME STATEMENT'!F10</f>
        <v>16080.449999999999</v>
      </c>
      <c r="G14" s="123">
        <f>G12*'LIVE CASE OR ASSUM'!G7</f>
        <v>13132.3675</v>
      </c>
      <c r="H14" s="123">
        <f>H12*'LIVE CASE OR ASSUM'!H7</f>
        <v>13786.038875</v>
      </c>
      <c r="I14" s="123">
        <f>I12*'LIVE CASE OR ASSUM'!I7</f>
        <v>14210.925268750001</v>
      </c>
      <c r="J14" s="123">
        <f>J12*'LIVE CASE OR ASSUM'!J7</f>
        <v>14487.101424687498</v>
      </c>
      <c r="K14" s="123">
        <f>K12*'LIVE CASE OR ASSUM'!K7</f>
        <v>14666.615926046874</v>
      </c>
    </row>
    <row r="15" spans="1:13" s="121" customFormat="1" x14ac:dyDescent="0.35">
      <c r="A15" s="121" t="s">
        <v>17</v>
      </c>
      <c r="B15" s="122">
        <f>'BALANCE SHEET'!B8</f>
        <v>45500</v>
      </c>
      <c r="C15" s="122">
        <f>'BALANCE SHEET'!C8</f>
        <v>42350</v>
      </c>
      <c r="D15" s="122">
        <f>'BALANCE SHEET'!D8</f>
        <v>40145</v>
      </c>
      <c r="E15" s="122">
        <f>'BALANCE SHEET'!E8</f>
        <v>38601.5</v>
      </c>
      <c r="F15" s="122">
        <f>'BALANCE SHEET'!F8</f>
        <v>37521.050000000003</v>
      </c>
      <c r="G15" s="122">
        <f>G12+G13-G14</f>
        <v>39388.682500000003</v>
      </c>
      <c r="H15" s="122">
        <f>H12+H13-H14</f>
        <v>40602.643625000004</v>
      </c>
      <c r="I15" s="122">
        <f>I12+I13-I14</f>
        <v>41391.718356249999</v>
      </c>
      <c r="J15" s="122">
        <f>J12+J13-J14</f>
        <v>41904.616931562501</v>
      </c>
      <c r="K15" s="122">
        <f>K12+K13-K14</f>
        <v>42238.001005515631</v>
      </c>
    </row>
    <row r="16" spans="1:13" x14ac:dyDescent="0.35">
      <c r="B16" s="140"/>
      <c r="C16" s="140"/>
      <c r="D16" s="140"/>
      <c r="E16" s="140"/>
      <c r="F16" s="140"/>
      <c r="G16" s="140"/>
      <c r="H16" s="120"/>
      <c r="I16" s="120"/>
      <c r="J16" s="120"/>
      <c r="K16" s="120"/>
    </row>
    <row r="17" spans="1:11" x14ac:dyDescent="0.35">
      <c r="A17" s="117" t="s">
        <v>53</v>
      </c>
      <c r="B17" s="140"/>
      <c r="C17" s="140"/>
      <c r="D17" s="140"/>
      <c r="E17" s="140"/>
      <c r="F17" s="140"/>
      <c r="G17" s="140"/>
      <c r="H17" s="120"/>
      <c r="I17" s="120"/>
      <c r="J17" s="120"/>
      <c r="K17" s="120"/>
    </row>
    <row r="18" spans="1:11" s="117" customFormat="1" x14ac:dyDescent="0.35">
      <c r="A18" s="117" t="s">
        <v>23</v>
      </c>
      <c r="B18" s="138">
        <f>'BALANCE SHEET'!B13-CASHFLOWS!C14</f>
        <v>50000</v>
      </c>
      <c r="C18" s="138">
        <f>'BALANCE SHEET'!C13-CASHFLOWS!D14</f>
        <v>50000</v>
      </c>
      <c r="D18" s="138">
        <f>'BALANCE SHEET'!D13-CASHFLOWS!E14</f>
        <v>50000</v>
      </c>
      <c r="E18" s="138">
        <f>'BALANCE SHEET'!E13-CASHFLOWS!F14</f>
        <v>30000</v>
      </c>
      <c r="F18" s="138">
        <f>'BALANCE SHEET'!F13-CASHFLOWS!G14</f>
        <v>30000</v>
      </c>
      <c r="G18" s="138">
        <f>F20</f>
        <v>30000</v>
      </c>
      <c r="H18" s="138">
        <f>G20</f>
        <v>30000</v>
      </c>
      <c r="I18" s="138">
        <f>H20</f>
        <v>30000</v>
      </c>
      <c r="J18" s="138">
        <f>I20</f>
        <v>10000</v>
      </c>
      <c r="K18" s="138">
        <f>J20</f>
        <v>10000</v>
      </c>
    </row>
    <row r="19" spans="1:11" x14ac:dyDescent="0.35">
      <c r="A19" t="s">
        <v>24</v>
      </c>
      <c r="B19" s="119">
        <f>CASHFLOWS!C14</f>
        <v>0</v>
      </c>
      <c r="C19" s="119">
        <f>CASHFLOWS!D14</f>
        <v>0</v>
      </c>
      <c r="D19" s="119">
        <f>CASHFLOWS!E14</f>
        <v>-20000</v>
      </c>
      <c r="E19" s="119">
        <f>CASHFLOWS!F14</f>
        <v>0</v>
      </c>
      <c r="F19" s="119">
        <f>CASHFLOWS!G14</f>
        <v>0</v>
      </c>
      <c r="G19" s="140">
        <f>CASHFLOWS!H14</f>
        <v>0</v>
      </c>
      <c r="H19" s="140">
        <f>CASHFLOWS!I14</f>
        <v>0</v>
      </c>
      <c r="I19" s="140">
        <f>CASHFLOWS!J14</f>
        <v>-20000</v>
      </c>
      <c r="J19" s="140">
        <f>CASHFLOWS!K14</f>
        <v>0</v>
      </c>
      <c r="K19" s="140">
        <f>CASHFLOWS!L14</f>
        <v>0</v>
      </c>
    </row>
    <row r="20" spans="1:11" x14ac:dyDescent="0.35">
      <c r="A20" t="s">
        <v>25</v>
      </c>
      <c r="B20" s="119">
        <f>'BALANCE SHEET'!B13</f>
        <v>50000</v>
      </c>
      <c r="C20" s="119">
        <f>'BALANCE SHEET'!C13</f>
        <v>50000</v>
      </c>
      <c r="D20" s="119">
        <f>'BALANCE SHEET'!D13</f>
        <v>30000</v>
      </c>
      <c r="E20" s="119">
        <f>'BALANCE SHEET'!E13</f>
        <v>30000</v>
      </c>
      <c r="F20" s="119">
        <f>'BALANCE SHEET'!F13</f>
        <v>30000</v>
      </c>
      <c r="G20" s="140">
        <f>G18+G19</f>
        <v>30000</v>
      </c>
      <c r="H20" s="140">
        <f t="shared" ref="H20:K20" si="6">H18+H19</f>
        <v>30000</v>
      </c>
      <c r="I20" s="140">
        <f t="shared" si="6"/>
        <v>10000</v>
      </c>
      <c r="J20" s="140">
        <f t="shared" si="6"/>
        <v>10000</v>
      </c>
      <c r="K20" s="140">
        <f t="shared" si="6"/>
        <v>10000</v>
      </c>
    </row>
    <row r="21" spans="1:11" x14ac:dyDescent="0.35">
      <c r="A21" t="s">
        <v>26</v>
      </c>
      <c r="B21" s="119">
        <f>'INCOME STATEMENT'!B11</f>
        <v>2500</v>
      </c>
      <c r="C21" s="119">
        <f>'INCOME STATEMENT'!C11</f>
        <v>2500</v>
      </c>
      <c r="D21" s="119">
        <f>'INCOME STATEMENT'!D11</f>
        <v>1500</v>
      </c>
      <c r="E21" s="119">
        <f>'INCOME STATEMENT'!E11</f>
        <v>1500</v>
      </c>
      <c r="F21" s="119">
        <f>'INCOME STATEMENT'!F11</f>
        <v>1500</v>
      </c>
      <c r="G21" s="140">
        <f>((G20+G18)/2)*'LIVE CASE OR ASSUM'!G8</f>
        <v>3000</v>
      </c>
      <c r="H21" s="140">
        <f>((H20+H18)/2)*'LIVE CASE OR ASSUM'!H8</f>
        <v>3000</v>
      </c>
      <c r="I21" s="140">
        <f>((I20+I18)/2)*'LIVE CASE OR ASSUM'!I8</f>
        <v>2000</v>
      </c>
      <c r="J21" s="140">
        <f>((J20+J18)/2)*'LIVE CASE OR ASSUM'!J8</f>
        <v>1000</v>
      </c>
      <c r="K21" s="140">
        <f>((K20+K18)/2)*'LIVE CASE OR ASSUM'!K8</f>
        <v>1000</v>
      </c>
    </row>
    <row r="22" spans="1:11" x14ac:dyDescent="0.35">
      <c r="B22" s="140"/>
      <c r="C22" s="140"/>
      <c r="D22" s="140"/>
      <c r="E22" s="140"/>
      <c r="F22" s="140"/>
      <c r="G22" s="140"/>
      <c r="H22" s="120"/>
      <c r="I22" s="120"/>
      <c r="J22" s="120"/>
      <c r="K22" s="120"/>
    </row>
  </sheetData>
  <pageMargins left="0.7" right="0.7" top="0.75" bottom="0.75" header="0.3" footer="0.3"/>
  <pageSetup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showGridLines="0" zoomScale="120" zoomScaleNormal="120" workbookViewId="0">
      <selection activeCell="C6" sqref="C6"/>
    </sheetView>
  </sheetViews>
  <sheetFormatPr defaultRowHeight="14.5" x14ac:dyDescent="0.35"/>
  <cols>
    <col min="1" max="1" width="18.81640625" style="117" customWidth="1"/>
    <col min="2" max="2" width="12.1796875" style="66" customWidth="1"/>
    <col min="3" max="3" width="15" style="66" customWidth="1"/>
    <col min="4" max="4" width="12.7265625" style="66" customWidth="1"/>
    <col min="5" max="5" width="12.1796875" style="66" customWidth="1"/>
    <col min="6" max="6" width="12.453125" style="66" customWidth="1"/>
    <col min="7" max="7" width="13.1796875" style="66" customWidth="1"/>
    <col min="8" max="8" width="12.1796875" style="66" customWidth="1"/>
    <col min="9" max="9" width="12.7265625" style="66" customWidth="1"/>
    <col min="10" max="10" width="13" style="66" customWidth="1"/>
    <col min="11" max="11" width="12.54296875" style="66" customWidth="1"/>
  </cols>
  <sheetData>
    <row r="1" spans="1:11" ht="18.5" x14ac:dyDescent="0.45">
      <c r="C1" s="162" t="s">
        <v>160</v>
      </c>
    </row>
    <row r="2" spans="1:11" x14ac:dyDescent="0.35">
      <c r="A2" s="148" t="s">
        <v>159</v>
      </c>
      <c r="B2" s="145"/>
      <c r="C2" s="145"/>
      <c r="D2" s="145"/>
      <c r="E2" s="145"/>
      <c r="F2" s="145"/>
      <c r="G2" s="145"/>
      <c r="H2" s="146"/>
      <c r="I2" s="146"/>
      <c r="J2" s="146"/>
      <c r="K2" s="146"/>
    </row>
    <row r="3" spans="1:11" x14ac:dyDescent="0.35">
      <c r="A3"/>
      <c r="B3" s="147">
        <v>2013</v>
      </c>
      <c r="C3" s="147">
        <f t="shared" ref="C3:K3" si="0">B3+1</f>
        <v>2014</v>
      </c>
      <c r="D3" s="147">
        <f t="shared" si="0"/>
        <v>2015</v>
      </c>
      <c r="E3" s="147">
        <f t="shared" si="0"/>
        <v>2016</v>
      </c>
      <c r="F3" s="147">
        <f t="shared" si="0"/>
        <v>2017</v>
      </c>
      <c r="G3" s="147">
        <f t="shared" si="0"/>
        <v>2018</v>
      </c>
      <c r="H3" s="147">
        <f t="shared" si="0"/>
        <v>2019</v>
      </c>
      <c r="I3" s="147">
        <f t="shared" si="0"/>
        <v>2020</v>
      </c>
      <c r="J3" s="147">
        <f t="shared" si="0"/>
        <v>2021</v>
      </c>
      <c r="K3" s="147">
        <f t="shared" si="0"/>
        <v>2022</v>
      </c>
    </row>
    <row r="4" spans="1:11" x14ac:dyDescent="0.35">
      <c r="A4" s="117" t="s">
        <v>77</v>
      </c>
      <c r="B4" s="66">
        <v>102007</v>
      </c>
      <c r="C4" s="66">
        <v>118086</v>
      </c>
      <c r="D4" s="66">
        <v>131345</v>
      </c>
      <c r="E4" s="66">
        <v>142341</v>
      </c>
      <c r="F4" s="66">
        <v>150772</v>
      </c>
      <c r="G4" s="66">
        <v>165849.20000000001</v>
      </c>
      <c r="H4" s="66">
        <v>182434.12000000002</v>
      </c>
      <c r="I4" s="66">
        <v>200677.53200000004</v>
      </c>
      <c r="J4" s="66">
        <v>220745.28520000007</v>
      </c>
      <c r="K4" s="66">
        <v>242819.81372000009</v>
      </c>
    </row>
    <row r="5" spans="1:11" x14ac:dyDescent="0.35">
      <c r="A5" s="117" t="s">
        <v>158</v>
      </c>
      <c r="B5" s="66">
        <f>('INCOME STATEMENT'!B6/'INCOME STATEMENT'!B4)*100</f>
        <v>61.744782220827986</v>
      </c>
      <c r="C5" s="66">
        <f>('INCOME STATEMENT'!C6/'INCOME STATEMENT'!C4)*100</f>
        <v>59.348271598665377</v>
      </c>
      <c r="D5" s="66">
        <f>('INCOME STATEMENT'!D6/'INCOME STATEMENT'!D4)*100</f>
        <v>62.600022840610606</v>
      </c>
      <c r="E5" s="66">
        <f>('INCOME STATEMENT'!E6/'INCOME STATEMENT'!E4)*100</f>
        <v>63.008549890755297</v>
      </c>
      <c r="F5" s="66">
        <f>('INCOME STATEMENT'!F6/'INCOME STATEMENT'!F4)*100</f>
        <v>62.38691534237126</v>
      </c>
      <c r="G5" s="66">
        <f>('INCOME STATEMENT'!G6/'INCOME STATEMENT'!G4)*100</f>
        <v>57.999999999999993</v>
      </c>
      <c r="H5" s="66">
        <f>('INCOME STATEMENT'!H6/'INCOME STATEMENT'!H4)*100</f>
        <v>53</v>
      </c>
      <c r="I5" s="66">
        <f>('INCOME STATEMENT'!I6/'INCOME STATEMENT'!I4)*100</f>
        <v>50</v>
      </c>
      <c r="J5" s="66">
        <f>('INCOME STATEMENT'!J6/'INCOME STATEMENT'!J4)*100</f>
        <v>64</v>
      </c>
      <c r="K5" s="66">
        <f>('INCOME STATEMENT'!K6/'INCOME STATEMENT'!K4)*100</f>
        <v>65</v>
      </c>
    </row>
  </sheetData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87E6-54A5-4079-8D79-CEA504C99BAC}">
  <dimension ref="A1:K16"/>
  <sheetViews>
    <sheetView workbookViewId="0">
      <pane ySplit="2" topLeftCell="A3" activePane="bottomLeft" state="frozen"/>
      <selection pane="bottomLeft" activeCell="M13" sqref="M13"/>
    </sheetView>
  </sheetViews>
  <sheetFormatPr defaultRowHeight="14.5" x14ac:dyDescent="0.35"/>
  <cols>
    <col min="1" max="1" width="32.81640625" bestFit="1" customWidth="1"/>
    <col min="2" max="6" width="11.54296875" style="66" bestFit="1" customWidth="1"/>
    <col min="7" max="7" width="11.08984375" bestFit="1" customWidth="1"/>
    <col min="8" max="8" width="10.90625" customWidth="1"/>
    <col min="9" max="9" width="13.26953125" customWidth="1"/>
    <col min="10" max="10" width="11.36328125" customWidth="1"/>
    <col min="11" max="11" width="11" customWidth="1"/>
  </cols>
  <sheetData>
    <row r="1" spans="1:11" ht="18.75" customHeight="1" x14ac:dyDescent="0.45">
      <c r="A1" s="129" t="s">
        <v>0</v>
      </c>
      <c r="B1"/>
      <c r="C1" s="163" t="str">
        <f>'SUPPORTING SCH'!D1</f>
        <v>HOUSE OF ACCOUNTANTS PROFESSIONAL SERVICES</v>
      </c>
      <c r="D1"/>
      <c r="E1"/>
      <c r="F1"/>
    </row>
    <row r="2" spans="1:11" s="117" customFormat="1" x14ac:dyDescent="0.35">
      <c r="A2" s="126"/>
      <c r="B2" s="127">
        <v>2013</v>
      </c>
      <c r="C2" s="127">
        <v>2014</v>
      </c>
      <c r="D2" s="127">
        <v>2015</v>
      </c>
      <c r="E2" s="127">
        <v>2016</v>
      </c>
      <c r="F2" s="127">
        <v>2017</v>
      </c>
      <c r="G2" s="128">
        <f>F2+1</f>
        <v>2018</v>
      </c>
      <c r="H2" s="128">
        <f t="shared" ref="H2:K2" si="0">G2+1</f>
        <v>2019</v>
      </c>
      <c r="I2" s="128">
        <f t="shared" si="0"/>
        <v>2020</v>
      </c>
      <c r="J2" s="128">
        <f t="shared" si="0"/>
        <v>2021</v>
      </c>
      <c r="K2" s="128">
        <f t="shared" si="0"/>
        <v>2022</v>
      </c>
    </row>
    <row r="3" spans="1:11" x14ac:dyDescent="0.35">
      <c r="A3" t="s">
        <v>77</v>
      </c>
      <c r="B3" s="170">
        <v>102007</v>
      </c>
      <c r="C3" s="170">
        <v>118086</v>
      </c>
      <c r="D3" s="170">
        <v>131345</v>
      </c>
      <c r="E3" s="170">
        <v>142341</v>
      </c>
      <c r="F3" s="170">
        <v>150772</v>
      </c>
      <c r="G3" s="174">
        <f>F3*(1+'LIVE CASE'!G3)</f>
        <v>165849.20000000001</v>
      </c>
      <c r="H3" s="174">
        <f>G3*(1+'LIVE CASE'!H3)</f>
        <v>182434.12000000002</v>
      </c>
      <c r="I3" s="174">
        <f>H3*(1+'LIVE CASE'!I3)</f>
        <v>200677.53200000004</v>
      </c>
      <c r="J3" s="174">
        <f>I3*(1+'LIVE CASE'!J3)</f>
        <v>220745.28520000007</v>
      </c>
      <c r="K3" s="174">
        <f>J3*(1+'LIVE CASE'!K3)</f>
        <v>242819.81372000009</v>
      </c>
    </row>
    <row r="4" spans="1:11" x14ac:dyDescent="0.35">
      <c r="A4" t="s">
        <v>54</v>
      </c>
      <c r="B4" s="171">
        <v>-39023</v>
      </c>
      <c r="C4" s="171">
        <v>-48004</v>
      </c>
      <c r="D4" s="171">
        <v>-49123</v>
      </c>
      <c r="E4" s="171">
        <v>-52654</v>
      </c>
      <c r="F4" s="171">
        <v>-56710</v>
      </c>
      <c r="G4" s="174">
        <f>-(G3*'LIVE CASE'!G4)</f>
        <v>-69656.664000000004</v>
      </c>
      <c r="H4" s="174">
        <f>-(H3*'LIVE CASE'!H4)</f>
        <v>-85744.036400000012</v>
      </c>
      <c r="I4" s="174">
        <f>-(I3*'LIVE CASE'!I4)</f>
        <v>-100338.76600000002</v>
      </c>
      <c r="J4" s="174">
        <f>-(J3*'LIVE CASE'!J4)</f>
        <v>-79468.30267200002</v>
      </c>
      <c r="K4" s="174">
        <f>-(K3*'LIVE CASE'!K4)</f>
        <v>-84986.934802000033</v>
      </c>
    </row>
    <row r="5" spans="1:11" s="117" customFormat="1" x14ac:dyDescent="0.35">
      <c r="A5" s="117" t="s">
        <v>1</v>
      </c>
      <c r="B5" s="165">
        <f>SUM(B3:B4)</f>
        <v>62984</v>
      </c>
      <c r="C5" s="165">
        <f t="shared" ref="C5:E5" si="1">SUM(C3:C4)</f>
        <v>70082</v>
      </c>
      <c r="D5" s="165">
        <f t="shared" si="1"/>
        <v>82222</v>
      </c>
      <c r="E5" s="165">
        <f t="shared" si="1"/>
        <v>89687</v>
      </c>
      <c r="F5" s="165">
        <f>SUM(F3:F4)</f>
        <v>94062</v>
      </c>
      <c r="G5" s="175">
        <f>SUM(G3:G4)</f>
        <v>96192.536000000007</v>
      </c>
      <c r="H5" s="175">
        <f t="shared" ref="H5:K5" si="2">SUM(H3:H4)</f>
        <v>96690.083600000013</v>
      </c>
      <c r="I5" s="175">
        <f t="shared" si="2"/>
        <v>100338.76600000002</v>
      </c>
      <c r="J5" s="175">
        <f t="shared" si="2"/>
        <v>141276.98252800005</v>
      </c>
      <c r="K5" s="175">
        <f t="shared" si="2"/>
        <v>157832.87891800006</v>
      </c>
    </row>
    <row r="6" spans="1:11" x14ac:dyDescent="0.35">
      <c r="A6" s="117" t="s">
        <v>73</v>
      </c>
      <c r="G6" s="184"/>
      <c r="H6" s="184"/>
      <c r="I6" s="184"/>
      <c r="J6" s="184"/>
      <c r="K6" s="184"/>
    </row>
    <row r="7" spans="1:11" x14ac:dyDescent="0.35">
      <c r="A7" t="s">
        <v>2</v>
      </c>
      <c r="B7" s="171">
        <v>-26427</v>
      </c>
      <c r="C7" s="171">
        <v>-22658</v>
      </c>
      <c r="D7" s="171">
        <v>-23872</v>
      </c>
      <c r="E7" s="171">
        <v>-23002</v>
      </c>
      <c r="F7" s="171">
        <v>-25245</v>
      </c>
      <c r="G7" s="184">
        <f>-(G3*'LIVE CASE'!G5)</f>
        <v>-28194.364000000005</v>
      </c>
      <c r="H7" s="184">
        <f>-(H3*'LIVE CASE'!H5)</f>
        <v>-31013.800400000007</v>
      </c>
      <c r="I7" s="184">
        <f>-(I3*'LIVE CASE'!I5)</f>
        <v>-34115.180440000011</v>
      </c>
      <c r="J7" s="184">
        <f>-(J3*'LIVE CASE'!J5)</f>
        <v>-37526.698484000015</v>
      </c>
      <c r="K7" s="184">
        <f>-(K3*'LIVE CASE'!K5)</f>
        <v>-41279.368332400016</v>
      </c>
    </row>
    <row r="8" spans="1:11" x14ac:dyDescent="0.35">
      <c r="A8" t="s">
        <v>3</v>
      </c>
      <c r="B8" s="171">
        <v>-10963</v>
      </c>
      <c r="C8" s="171">
        <v>-10125</v>
      </c>
      <c r="D8" s="171">
        <v>-10087</v>
      </c>
      <c r="E8" s="171">
        <v>-11020</v>
      </c>
      <c r="F8" s="171">
        <v>-11412</v>
      </c>
      <c r="G8" s="184">
        <f>-'LIVE CASE'!G6</f>
        <v>-15000</v>
      </c>
      <c r="H8" s="184">
        <f>-'LIVE CASE'!H6</f>
        <v>-15000</v>
      </c>
      <c r="I8" s="184">
        <f>-'LIVE CASE'!I6</f>
        <v>-15000</v>
      </c>
      <c r="J8" s="184">
        <f>-'LIVE CASE'!J6</f>
        <v>-15000</v>
      </c>
      <c r="K8" s="184">
        <f>-'LIVE CASE'!K6</f>
        <v>-15000</v>
      </c>
    </row>
    <row r="9" spans="1:11" x14ac:dyDescent="0.35">
      <c r="A9" t="s">
        <v>4</v>
      </c>
      <c r="B9" s="171">
        <v>-19500</v>
      </c>
      <c r="C9" s="171">
        <v>-18150</v>
      </c>
      <c r="D9" s="171">
        <v>-17205</v>
      </c>
      <c r="E9" s="171">
        <v>-16543.5</v>
      </c>
      <c r="F9" s="171">
        <v>-16080.45</v>
      </c>
      <c r="G9" s="184">
        <f>-SCHEDULE!G14</f>
        <v>-13132.3675</v>
      </c>
      <c r="H9" s="184">
        <f>-SCHEDULE!H14</f>
        <v>-13786.038875</v>
      </c>
      <c r="I9" s="184">
        <f>-SCHEDULE!I14</f>
        <v>-14210.925268750001</v>
      </c>
      <c r="J9" s="184">
        <f>-SCHEDULE!J14</f>
        <v>-14487.101424687498</v>
      </c>
      <c r="K9" s="184">
        <f>-SCHEDULE!K14</f>
        <v>-14666.615926046874</v>
      </c>
    </row>
    <row r="10" spans="1:11" x14ac:dyDescent="0.35">
      <c r="A10" t="s">
        <v>5</v>
      </c>
      <c r="B10" s="171">
        <v>-2500</v>
      </c>
      <c r="C10" s="171">
        <v>-2500</v>
      </c>
      <c r="D10" s="171">
        <v>-1500</v>
      </c>
      <c r="E10" s="171">
        <v>-1500</v>
      </c>
      <c r="F10" s="171">
        <v>-1500</v>
      </c>
      <c r="G10" s="174">
        <f>-((SCHEDULE!G18+SCHEDULE!G20)/2)*'LIVE CASE'!G8</f>
        <v>-3000</v>
      </c>
      <c r="H10" s="174">
        <f>-((SCHEDULE!H18+SCHEDULE!H20)/2)*'LIVE CASE'!H8</f>
        <v>-3000</v>
      </c>
      <c r="I10" s="174">
        <f>-((SCHEDULE!I18+SCHEDULE!I20)/2)*'LIVE CASE'!I8</f>
        <v>-2000</v>
      </c>
      <c r="J10" s="174">
        <f>-((SCHEDULE!J18+SCHEDULE!J20)/2)*'LIVE CASE'!J8</f>
        <v>-1000</v>
      </c>
      <c r="K10" s="174">
        <f>-((SCHEDULE!K18+SCHEDULE!K20)/2)*'LIVE CASE'!K8</f>
        <v>-1000</v>
      </c>
    </row>
    <row r="11" spans="1:11" x14ac:dyDescent="0.35">
      <c r="A11" s="117" t="s">
        <v>74</v>
      </c>
      <c r="B11" s="167">
        <f>SUM(B7:B10)</f>
        <v>-59390</v>
      </c>
      <c r="C11" s="167">
        <f>SUM(C7:C10)</f>
        <v>-53433</v>
      </c>
      <c r="D11" s="167">
        <f t="shared" ref="D11:F11" si="3">SUM(D7:D10)</f>
        <v>-52664</v>
      </c>
      <c r="E11" s="167">
        <f t="shared" si="3"/>
        <v>-52065.5</v>
      </c>
      <c r="F11" s="167">
        <f t="shared" si="3"/>
        <v>-54237.45</v>
      </c>
      <c r="G11" s="167">
        <f t="shared" ref="G11" si="4">SUM(G7:G10)</f>
        <v>-59326.731500000002</v>
      </c>
      <c r="H11" s="167">
        <f t="shared" ref="H11" si="5">SUM(H7:H10)</f>
        <v>-62799.839275000006</v>
      </c>
      <c r="I11" s="167">
        <f t="shared" ref="I11" si="6">SUM(I7:I10)</f>
        <v>-65326.105708750008</v>
      </c>
      <c r="J11" s="167">
        <f t="shared" ref="J11" si="7">SUM(J7:J10)</f>
        <v>-68013.799908687506</v>
      </c>
      <c r="K11" s="167">
        <f t="shared" ref="K11" si="8">SUM(K7:K10)</f>
        <v>-71945.984258446886</v>
      </c>
    </row>
    <row r="12" spans="1:11" x14ac:dyDescent="0.35">
      <c r="A12" s="117" t="s">
        <v>6</v>
      </c>
      <c r="B12" s="168">
        <f>B5+B11</f>
        <v>3594</v>
      </c>
      <c r="C12" s="168">
        <f t="shared" ref="C12:E12" si="9">C5+C11</f>
        <v>16649</v>
      </c>
      <c r="D12" s="168">
        <f t="shared" si="9"/>
        <v>29558</v>
      </c>
      <c r="E12" s="168">
        <f t="shared" si="9"/>
        <v>37621.5</v>
      </c>
      <c r="F12" s="168">
        <f>F5+F11</f>
        <v>39824.550000000003</v>
      </c>
      <c r="G12" s="168">
        <f>G5+G11</f>
        <v>36865.804500000006</v>
      </c>
      <c r="H12" s="168">
        <f t="shared" ref="H12:K12" si="10">H5+H11</f>
        <v>33890.244325000007</v>
      </c>
      <c r="I12" s="168">
        <f t="shared" si="10"/>
        <v>35012.660291250009</v>
      </c>
      <c r="J12" s="168">
        <f t="shared" si="10"/>
        <v>73263.182619312545</v>
      </c>
      <c r="K12" s="168">
        <f t="shared" si="10"/>
        <v>85886.894659553174</v>
      </c>
    </row>
    <row r="13" spans="1:11" x14ac:dyDescent="0.35">
      <c r="B13" s="166"/>
      <c r="C13" s="166"/>
      <c r="D13" s="166"/>
      <c r="E13" s="166"/>
      <c r="F13" s="166"/>
      <c r="G13" s="174"/>
      <c r="H13" s="174"/>
      <c r="I13" s="174"/>
      <c r="J13" s="174"/>
      <c r="K13" s="174"/>
    </row>
    <row r="14" spans="1:11" x14ac:dyDescent="0.35">
      <c r="A14" t="s">
        <v>7</v>
      </c>
      <c r="B14" s="171">
        <v>-1120.1708000000001</v>
      </c>
      <c r="C14" s="171">
        <v>-4858.2165021220299</v>
      </c>
      <c r="D14" s="171">
        <v>-8482.8061148686793</v>
      </c>
      <c r="E14" s="171">
        <v>-10908.020976404699</v>
      </c>
      <c r="F14" s="171">
        <v>-11597.6652414197</v>
      </c>
      <c r="G14" s="174">
        <f>-(G12*'LIVE CASE'!G9)</f>
        <v>-10322.425260000002</v>
      </c>
      <c r="H14" s="174">
        <f>-(H12*'LIVE CASE'!H9)</f>
        <v>-9489.2684110000027</v>
      </c>
      <c r="I14" s="174">
        <f>-(I12*'LIVE CASE'!I9)</f>
        <v>-9803.544881550004</v>
      </c>
      <c r="J14" s="174">
        <f>-(J12*'LIVE CASE'!J9)</f>
        <v>-20513.691133407516</v>
      </c>
      <c r="K14" s="174">
        <f>-(K12*'LIVE CASE'!K9)</f>
        <v>-24048.33050467489</v>
      </c>
    </row>
    <row r="15" spans="1:11" ht="15" thickBot="1" x14ac:dyDescent="0.4">
      <c r="A15" s="117" t="s">
        <v>8</v>
      </c>
      <c r="B15" s="169">
        <f>SUM(B12:B14)</f>
        <v>2473.8292000000001</v>
      </c>
      <c r="C15" s="169">
        <f>SUM(C12:C14)</f>
        <v>11790.78349787797</v>
      </c>
      <c r="D15" s="169">
        <f t="shared" ref="D15:E15" si="11">SUM(D12:D14)</f>
        <v>21075.193885131321</v>
      </c>
      <c r="E15" s="169">
        <f t="shared" si="11"/>
        <v>26713.479023595301</v>
      </c>
      <c r="F15" s="169">
        <f>SUM(F12:F14)</f>
        <v>28226.884758580301</v>
      </c>
      <c r="G15" s="169">
        <f t="shared" ref="G15:K15" si="12">SUM(G12:G14)</f>
        <v>26543.379240000002</v>
      </c>
      <c r="H15" s="169">
        <f t="shared" si="12"/>
        <v>24400.975914000002</v>
      </c>
      <c r="I15" s="169">
        <f t="shared" si="12"/>
        <v>25209.115409700004</v>
      </c>
      <c r="J15" s="169">
        <f t="shared" si="12"/>
        <v>52749.491485905033</v>
      </c>
      <c r="K15" s="169">
        <f t="shared" si="12"/>
        <v>61838.564154878288</v>
      </c>
    </row>
    <row r="16" spans="1:11" ht="15" thickTop="1" x14ac:dyDescent="0.35">
      <c r="B16" s="166"/>
      <c r="C16" s="166"/>
      <c r="D16" s="166"/>
      <c r="E16" s="166"/>
      <c r="F16" s="16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9F57-C863-4C6E-AB3A-A23F167206C4}">
  <dimension ref="A1:K21"/>
  <sheetViews>
    <sheetView workbookViewId="0">
      <pane ySplit="3" topLeftCell="A4" activePane="bottomLeft" state="frozen"/>
      <selection pane="bottomLeft" activeCell="H11" sqref="H11"/>
    </sheetView>
  </sheetViews>
  <sheetFormatPr defaultRowHeight="14.5" x14ac:dyDescent="0.35"/>
  <cols>
    <col min="1" max="1" width="32.81640625" bestFit="1" customWidth="1"/>
    <col min="2" max="6" width="11.54296875" style="66" bestFit="1" customWidth="1"/>
    <col min="7" max="7" width="16.08984375" bestFit="1" customWidth="1"/>
    <col min="8" max="8" width="14.36328125" customWidth="1"/>
    <col min="9" max="9" width="12.81640625" customWidth="1"/>
    <col min="10" max="10" width="11.81640625" customWidth="1"/>
    <col min="11" max="11" width="13" customWidth="1"/>
  </cols>
  <sheetData>
    <row r="1" spans="1:11" ht="21" x14ac:dyDescent="0.5">
      <c r="B1"/>
      <c r="C1" s="161" t="str">
        <f>'SUPPORTING SCH'!D1</f>
        <v>HOUSE OF ACCOUNTANTS PROFESSIONAL SERVICES</v>
      </c>
      <c r="D1"/>
      <c r="E1"/>
      <c r="F1"/>
    </row>
    <row r="2" spans="1:11" ht="21" x14ac:dyDescent="0.5">
      <c r="A2" s="132" t="s">
        <v>154</v>
      </c>
      <c r="B2"/>
      <c r="C2"/>
      <c r="D2"/>
      <c r="E2"/>
      <c r="F2"/>
    </row>
    <row r="3" spans="1:11" x14ac:dyDescent="0.35">
      <c r="A3" s="126"/>
      <c r="B3" s="127">
        <v>2013</v>
      </c>
      <c r="C3" s="127">
        <v>2014</v>
      </c>
      <c r="D3" s="127">
        <v>2015</v>
      </c>
      <c r="E3" s="127">
        <v>2016</v>
      </c>
      <c r="F3" s="127">
        <v>2017</v>
      </c>
      <c r="G3" s="160">
        <f>F3+1</f>
        <v>2018</v>
      </c>
      <c r="H3" s="160">
        <f t="shared" ref="H3:K3" si="0">G3+1</f>
        <v>2019</v>
      </c>
      <c r="I3" s="160">
        <f t="shared" si="0"/>
        <v>2020</v>
      </c>
      <c r="J3" s="160">
        <f t="shared" si="0"/>
        <v>2021</v>
      </c>
      <c r="K3" s="160">
        <f t="shared" si="0"/>
        <v>2022</v>
      </c>
    </row>
    <row r="4" spans="1:11" x14ac:dyDescent="0.35">
      <c r="A4" s="117" t="s">
        <v>10</v>
      </c>
    </row>
    <row r="5" spans="1:11" x14ac:dyDescent="0.35">
      <c r="A5" t="s">
        <v>11</v>
      </c>
      <c r="B5" s="170">
        <v>67971.179200000013</v>
      </c>
      <c r="C5" s="170">
        <v>81209.912697877968</v>
      </c>
      <c r="D5" s="170">
        <v>83715.256583009294</v>
      </c>
      <c r="E5" s="170">
        <v>111069.33560660461</v>
      </c>
      <c r="F5" s="170">
        <v>139549.5203651849</v>
      </c>
      <c r="G5" s="174">
        <f>'CASHFLOWS STS'!G20</f>
        <v>161049.87490792462</v>
      </c>
      <c r="H5" s="174">
        <f>'CASHFLOWS STS'!H20</f>
        <v>179174.62685528077</v>
      </c>
      <c r="I5" s="174">
        <f>'CASHFLOWS STS'!I20</f>
        <v>177826.75042468967</v>
      </c>
      <c r="J5" s="174">
        <f>'CASHFLOWS STS'!J20</f>
        <v>232675.99986148495</v>
      </c>
      <c r="K5" s="174">
        <f>'CASHFLOWS STS'!K20</f>
        <v>292140.04203131422</v>
      </c>
    </row>
    <row r="6" spans="1:11" x14ac:dyDescent="0.35">
      <c r="A6" t="s">
        <v>12</v>
      </c>
      <c r="B6" s="170">
        <v>5100.3500000000004</v>
      </c>
      <c r="C6" s="170">
        <v>5904.3</v>
      </c>
      <c r="D6" s="170">
        <v>6567.25</v>
      </c>
      <c r="E6" s="170">
        <v>7117.05</v>
      </c>
      <c r="F6" s="170">
        <v>7538.6</v>
      </c>
      <c r="G6" s="174">
        <f>('INCOME STS'!G3*'LIVE CASE'!G10)/365</f>
        <v>8178.8646575342473</v>
      </c>
      <c r="H6" s="174">
        <f>('INCOME STS'!H3*'LIVE CASE'!H10)/365</f>
        <v>8996.7511232876732</v>
      </c>
      <c r="I6" s="174">
        <f>('INCOME STS'!I3*'LIVE CASE'!I10)/365</f>
        <v>9896.42623561644</v>
      </c>
      <c r="J6" s="174">
        <f>('INCOME STS'!J3*'LIVE CASE'!J10)/365</f>
        <v>10886.068859178085</v>
      </c>
      <c r="K6" s="174">
        <f>('INCOME STS'!K3*'LIVE CASE'!K10)/365</f>
        <v>11974.675745095894</v>
      </c>
    </row>
    <row r="7" spans="1:11" x14ac:dyDescent="0.35">
      <c r="A7" t="s">
        <v>18</v>
      </c>
      <c r="B7" s="170">
        <v>7804.6</v>
      </c>
      <c r="C7" s="170">
        <v>9600.8000000000011</v>
      </c>
      <c r="D7" s="170">
        <v>9824.6</v>
      </c>
      <c r="E7" s="170">
        <v>10530.800000000001</v>
      </c>
      <c r="F7" s="170">
        <v>11342</v>
      </c>
      <c r="G7" s="174">
        <f>-('INCOME STS'!G4*'LIVE CASE'!G11)/365</f>
        <v>15267.21402739726</v>
      </c>
      <c r="H7" s="174">
        <f>-('INCOME STS'!H4*'LIVE CASE'!H11)/365</f>
        <v>21142.365139726033</v>
      </c>
      <c r="I7" s="174">
        <f>-('INCOME STS'!I4*'LIVE CASE'!I11)/365</f>
        <v>27490.072876712333</v>
      </c>
      <c r="J7" s="174">
        <f>-('INCOME STS'!J4*'LIVE CASE'!J11)/365</f>
        <v>21772.137718356171</v>
      </c>
      <c r="K7" s="174">
        <f>-('INCOME STS'!K4*'LIVE CASE'!K11)/365</f>
        <v>23284.091726575352</v>
      </c>
    </row>
    <row r="8" spans="1:11" x14ac:dyDescent="0.35">
      <c r="A8" t="s">
        <v>13</v>
      </c>
      <c r="B8" s="170">
        <v>45500</v>
      </c>
      <c r="C8" s="170">
        <v>42350</v>
      </c>
      <c r="D8" s="170">
        <v>40145</v>
      </c>
      <c r="E8" s="170">
        <v>38601.5</v>
      </c>
      <c r="F8" s="170">
        <v>37521.050000000003</v>
      </c>
      <c r="G8" s="120">
        <f>SCHEDULE!G15</f>
        <v>39388.682500000003</v>
      </c>
      <c r="H8" s="120">
        <f>SCHEDULE!H15</f>
        <v>40602.643625000004</v>
      </c>
      <c r="I8" s="120">
        <f>SCHEDULE!I15</f>
        <v>41391.718356249999</v>
      </c>
      <c r="J8" s="120">
        <f>SCHEDULE!J15</f>
        <v>41904.616931562501</v>
      </c>
      <c r="K8" s="120">
        <f>SCHEDULE!K15</f>
        <v>42238.001005515631</v>
      </c>
    </row>
    <row r="9" spans="1:11" s="117" customFormat="1" ht="15" thickBot="1" x14ac:dyDescent="0.4">
      <c r="A9" s="117" t="s">
        <v>19</v>
      </c>
      <c r="B9" s="172">
        <f>SUM(B5:B8)</f>
        <v>126376.12920000002</v>
      </c>
      <c r="C9" s="172">
        <f t="shared" ref="C9:F9" si="1">SUM(C5:C8)</f>
        <v>139065.01269787797</v>
      </c>
      <c r="D9" s="172">
        <f t="shared" si="1"/>
        <v>140252.1065830093</v>
      </c>
      <c r="E9" s="172">
        <f t="shared" si="1"/>
        <v>167318.68560660462</v>
      </c>
      <c r="F9" s="172">
        <f t="shared" si="1"/>
        <v>195951.17036518489</v>
      </c>
      <c r="G9" s="172">
        <f>SUM(G5:G8)</f>
        <v>223884.63609285612</v>
      </c>
      <c r="H9" s="172">
        <f t="shared" ref="H9" si="2">SUM(H5:H8)</f>
        <v>249916.38674329448</v>
      </c>
      <c r="I9" s="172">
        <f t="shared" ref="I9" si="3">SUM(I5:I8)</f>
        <v>256604.96789326845</v>
      </c>
      <c r="J9" s="172">
        <f t="shared" ref="J9" si="4">SUM(J5:J8)</f>
        <v>307238.82337058167</v>
      </c>
      <c r="K9" s="172">
        <f t="shared" ref="K9" si="5">SUM(K5:K8)</f>
        <v>369636.81050850108</v>
      </c>
    </row>
    <row r="10" spans="1:11" ht="15" thickTop="1" x14ac:dyDescent="0.35"/>
    <row r="11" spans="1:11" x14ac:dyDescent="0.35">
      <c r="A11" s="117" t="s">
        <v>20</v>
      </c>
    </row>
    <row r="12" spans="1:11" x14ac:dyDescent="0.35">
      <c r="A12" t="s">
        <v>21</v>
      </c>
      <c r="B12" s="170">
        <v>3902.3</v>
      </c>
      <c r="C12" s="170">
        <v>4800.4000000000005</v>
      </c>
      <c r="D12" s="170">
        <v>4912.3</v>
      </c>
      <c r="E12" s="170">
        <v>5265.4000000000005</v>
      </c>
      <c r="F12" s="170">
        <v>5671</v>
      </c>
      <c r="G12" s="66">
        <f>-('INCOME STS'!G4*'LIVE CASE'!G12)/365</f>
        <v>7061.086487671233</v>
      </c>
      <c r="H12" s="66">
        <f>-('INCOME STS'!H4*'LIVE CASE'!H12)/365</f>
        <v>8691.8612241095907</v>
      </c>
      <c r="I12" s="66">
        <f>-('INCOME STS'!I4*'LIVE CASE'!I12)/365</f>
        <v>10171.326964383563</v>
      </c>
      <c r="J12" s="66">
        <f>-('INCOME STS'!J4*'LIVE CASE'!J12)/365</f>
        <v>8055.6909557917834</v>
      </c>
      <c r="K12" s="66">
        <f>-('INCOME STS'!K4*'LIVE CASE'!K12)/365</f>
        <v>8615.1139388328793</v>
      </c>
    </row>
    <row r="13" spans="1:11" x14ac:dyDescent="0.35">
      <c r="A13" t="s">
        <v>22</v>
      </c>
      <c r="B13" s="170">
        <v>50000</v>
      </c>
      <c r="C13" s="170">
        <v>50000</v>
      </c>
      <c r="D13" s="170">
        <v>30000</v>
      </c>
      <c r="E13" s="170">
        <v>30000</v>
      </c>
      <c r="F13" s="170">
        <v>30000</v>
      </c>
      <c r="G13" s="120">
        <f>SCHEDULE!G20</f>
        <v>30000</v>
      </c>
      <c r="H13" s="120">
        <f>SCHEDULE!H20</f>
        <v>30000</v>
      </c>
      <c r="I13" s="120">
        <f>SCHEDULE!I20</f>
        <v>10000</v>
      </c>
      <c r="J13" s="120">
        <f>SCHEDULE!J20</f>
        <v>10000</v>
      </c>
      <c r="K13" s="120">
        <f>SCHEDULE!K20</f>
        <v>10000</v>
      </c>
    </row>
    <row r="14" spans="1:11" s="117" customFormat="1" x14ac:dyDescent="0.35">
      <c r="A14" s="117" t="s">
        <v>27</v>
      </c>
      <c r="B14" s="165">
        <f>SUM(B12:B13)</f>
        <v>53902.3</v>
      </c>
      <c r="C14" s="165">
        <f t="shared" ref="C14:F14" si="6">SUM(C12:C13)</f>
        <v>54800.4</v>
      </c>
      <c r="D14" s="165">
        <f t="shared" si="6"/>
        <v>34912.300000000003</v>
      </c>
      <c r="E14" s="165">
        <f t="shared" si="6"/>
        <v>35265.4</v>
      </c>
      <c r="F14" s="165">
        <f t="shared" si="6"/>
        <v>35671</v>
      </c>
      <c r="G14" s="165">
        <f t="shared" ref="G14" si="7">SUM(G12:G13)</f>
        <v>37061.086487671229</v>
      </c>
      <c r="H14" s="165">
        <f t="shared" ref="H14" si="8">SUM(H12:H13)</f>
        <v>38691.861224109591</v>
      </c>
      <c r="I14" s="165">
        <f t="shared" ref="I14" si="9">SUM(I12:I13)</f>
        <v>20171.326964383563</v>
      </c>
      <c r="J14" s="165">
        <f t="shared" ref="J14" si="10">SUM(J12:J13)</f>
        <v>18055.690955791782</v>
      </c>
      <c r="K14" s="165">
        <f t="shared" ref="K14" si="11">SUM(K12:K13)</f>
        <v>18615.113938832881</v>
      </c>
    </row>
    <row r="15" spans="1:11" x14ac:dyDescent="0.35">
      <c r="A15" t="s">
        <v>28</v>
      </c>
    </row>
    <row r="16" spans="1:11" x14ac:dyDescent="0.35">
      <c r="A16" t="s">
        <v>29</v>
      </c>
      <c r="B16" s="170">
        <v>70000</v>
      </c>
      <c r="C16" s="170">
        <v>70000</v>
      </c>
      <c r="D16" s="170">
        <v>70000</v>
      </c>
      <c r="E16" s="170">
        <v>70000</v>
      </c>
      <c r="F16" s="170">
        <v>70000</v>
      </c>
      <c r="G16" s="174">
        <f>F16+'LIVE CASE'!G15</f>
        <v>70000</v>
      </c>
      <c r="H16" s="174">
        <f>G16+'LIVE CASE'!H15</f>
        <v>70000</v>
      </c>
      <c r="I16" s="174">
        <f>H16+'LIVE CASE'!I15</f>
        <v>70000</v>
      </c>
      <c r="J16" s="174">
        <f>I16+'LIVE CASE'!J15</f>
        <v>70000</v>
      </c>
      <c r="K16" s="174">
        <f>J16+'LIVE CASE'!K15</f>
        <v>70000</v>
      </c>
    </row>
    <row r="17" spans="1:11" x14ac:dyDescent="0.35">
      <c r="A17" t="s">
        <v>30</v>
      </c>
      <c r="B17" s="170">
        <v>2473.8292000000001</v>
      </c>
      <c r="C17" s="170">
        <v>14264.612697877968</v>
      </c>
      <c r="D17" s="170">
        <v>35339.806583009296</v>
      </c>
      <c r="E17" s="170">
        <v>62053.285606604608</v>
      </c>
      <c r="F17" s="170">
        <v>90280.170365184895</v>
      </c>
      <c r="G17" s="174">
        <f>F17+'INCOME STS'!G15</f>
        <v>116823.5496051849</v>
      </c>
      <c r="H17" s="174">
        <f>G17+'INCOME STS'!H15</f>
        <v>141224.52551918491</v>
      </c>
      <c r="I17" s="174">
        <f>H17+'INCOME STS'!I15</f>
        <v>166433.64092888491</v>
      </c>
      <c r="J17" s="174">
        <f>I17+'INCOME STS'!J15</f>
        <v>219183.13241478993</v>
      </c>
      <c r="K17" s="174">
        <f>J17+'INCOME STS'!K15</f>
        <v>281021.69656966825</v>
      </c>
    </row>
    <row r="18" spans="1:11" s="117" customFormat="1" x14ac:dyDescent="0.35">
      <c r="A18" s="117" t="s">
        <v>28</v>
      </c>
      <c r="B18" s="165">
        <f>SUM(B16:B17)</f>
        <v>72473.829200000007</v>
      </c>
      <c r="C18" s="165">
        <f t="shared" ref="C18:F18" si="12">SUM(C16:C17)</f>
        <v>84264.612697877965</v>
      </c>
      <c r="D18" s="165">
        <f t="shared" si="12"/>
        <v>105339.8065830093</v>
      </c>
      <c r="E18" s="165">
        <f t="shared" si="12"/>
        <v>132053.28560660459</v>
      </c>
      <c r="F18" s="165">
        <f t="shared" si="12"/>
        <v>160280.17036518489</v>
      </c>
      <c r="G18" s="165">
        <f t="shared" ref="G18" si="13">SUM(G16:G17)</f>
        <v>186823.5496051849</v>
      </c>
      <c r="H18" s="165">
        <f t="shared" ref="H18" si="14">SUM(H16:H17)</f>
        <v>211224.52551918491</v>
      </c>
      <c r="I18" s="165">
        <f t="shared" ref="I18" si="15">SUM(I16:I17)</f>
        <v>236433.64092888491</v>
      </c>
      <c r="J18" s="165">
        <f t="shared" ref="J18" si="16">SUM(J16:J17)</f>
        <v>289183.13241478993</v>
      </c>
      <c r="K18" s="165">
        <f t="shared" ref="K18" si="17">SUM(K16:K17)</f>
        <v>351021.69656966825</v>
      </c>
    </row>
    <row r="19" spans="1:11" s="117" customFormat="1" ht="15" thickBot="1" x14ac:dyDescent="0.4">
      <c r="A19" s="117" t="s">
        <v>31</v>
      </c>
      <c r="B19" s="172">
        <f>B14+B18</f>
        <v>126376.12920000001</v>
      </c>
      <c r="C19" s="172">
        <f t="shared" ref="C19:F19" si="18">C14+C18</f>
        <v>139065.01269787797</v>
      </c>
      <c r="D19" s="172">
        <f t="shared" si="18"/>
        <v>140252.1065830093</v>
      </c>
      <c r="E19" s="172">
        <f t="shared" si="18"/>
        <v>167318.68560660459</v>
      </c>
      <c r="F19" s="172">
        <f t="shared" si="18"/>
        <v>195951.17036518489</v>
      </c>
      <c r="G19" s="172">
        <f t="shared" ref="G19" si="19">G14+G18</f>
        <v>223884.63609285612</v>
      </c>
      <c r="H19" s="172">
        <f t="shared" ref="H19" si="20">H14+H18</f>
        <v>249916.38674329451</v>
      </c>
      <c r="I19" s="172">
        <f t="shared" ref="I19" si="21">I14+I18</f>
        <v>256604.96789326848</v>
      </c>
      <c r="J19" s="172">
        <f t="shared" ref="J19" si="22">J14+J18</f>
        <v>307238.82337058173</v>
      </c>
      <c r="K19" s="172">
        <f t="shared" ref="K19" si="23">K14+K18</f>
        <v>369636.81050850113</v>
      </c>
    </row>
    <row r="20" spans="1:11" ht="15" thickTop="1" x14ac:dyDescent="0.35"/>
    <row r="21" spans="1:11" s="117" customFormat="1" x14ac:dyDescent="0.35">
      <c r="A21" s="117" t="s">
        <v>49</v>
      </c>
      <c r="B21" s="67">
        <f>B9-B19</f>
        <v>0</v>
      </c>
      <c r="C21" s="67">
        <f t="shared" ref="C21:K21" si="24">C9-C19</f>
        <v>0</v>
      </c>
      <c r="D21" s="67">
        <f t="shared" si="24"/>
        <v>0</v>
      </c>
      <c r="E21" s="67">
        <f t="shared" si="24"/>
        <v>0</v>
      </c>
      <c r="F21" s="67">
        <f t="shared" si="24"/>
        <v>0</v>
      </c>
      <c r="G21" s="167">
        <f t="shared" si="24"/>
        <v>0</v>
      </c>
      <c r="H21" s="167">
        <f t="shared" si="24"/>
        <v>0</v>
      </c>
      <c r="I21" s="167">
        <f t="shared" si="24"/>
        <v>0</v>
      </c>
      <c r="J21" s="167">
        <f t="shared" si="24"/>
        <v>0</v>
      </c>
      <c r="K21" s="167">
        <f t="shared" si="2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E49E-5AED-4F5E-8E7C-E6588AD68411}">
  <dimension ref="A1:K22"/>
  <sheetViews>
    <sheetView workbookViewId="0">
      <pane ySplit="2" topLeftCell="A3" activePane="bottomLeft" state="frozen"/>
      <selection pane="bottomLeft" activeCell="G20" sqref="G20"/>
    </sheetView>
  </sheetViews>
  <sheetFormatPr defaultRowHeight="14.5" x14ac:dyDescent="0.35"/>
  <cols>
    <col min="1" max="1" width="32.81640625" bestFit="1" customWidth="1"/>
    <col min="2" max="6" width="11.54296875" style="66" bestFit="1" customWidth="1"/>
    <col min="7" max="7" width="11.81640625" customWidth="1"/>
    <col min="8" max="9" width="11.7265625" customWidth="1"/>
    <col min="10" max="10" width="13.08984375" customWidth="1"/>
    <col min="11" max="11" width="11.6328125" customWidth="1"/>
  </cols>
  <sheetData>
    <row r="1" spans="1:11" ht="18.5" x14ac:dyDescent="0.45">
      <c r="A1" s="131" t="s">
        <v>48</v>
      </c>
      <c r="B1"/>
      <c r="C1" s="163" t="str">
        <f>'BALANCE SHEET'!C1</f>
        <v>HOUSE OF ACCOUNTANTS PROFESSIONAL SERVICES</v>
      </c>
      <c r="D1"/>
      <c r="E1"/>
      <c r="F1"/>
    </row>
    <row r="2" spans="1:11" s="135" customFormat="1" x14ac:dyDescent="0.35">
      <c r="A2" s="126"/>
      <c r="B2" s="127">
        <v>2013</v>
      </c>
      <c r="C2" s="127">
        <v>2014</v>
      </c>
      <c r="D2" s="127">
        <v>2015</v>
      </c>
      <c r="E2" s="127">
        <v>2016</v>
      </c>
      <c r="F2" s="127">
        <v>2017</v>
      </c>
      <c r="G2" s="128">
        <f>F2+1</f>
        <v>2018</v>
      </c>
      <c r="H2" s="128">
        <f t="shared" ref="H2:K2" si="0">G2+1</f>
        <v>2019</v>
      </c>
      <c r="I2" s="128">
        <f t="shared" si="0"/>
        <v>2020</v>
      </c>
      <c r="J2" s="128">
        <f t="shared" si="0"/>
        <v>2021</v>
      </c>
      <c r="K2" s="128">
        <f t="shared" si="0"/>
        <v>2022</v>
      </c>
    </row>
    <row r="3" spans="1:11" x14ac:dyDescent="0.35">
      <c r="A3" s="117" t="s">
        <v>32</v>
      </c>
    </row>
    <row r="4" spans="1:11" x14ac:dyDescent="0.35">
      <c r="A4" t="s">
        <v>8</v>
      </c>
      <c r="B4" s="170">
        <v>2473.8292000000001</v>
      </c>
      <c r="C4" s="170">
        <v>11790.783497877968</v>
      </c>
      <c r="D4" s="170">
        <v>21075.193885131324</v>
      </c>
      <c r="E4" s="170">
        <v>26713.479023595311</v>
      </c>
      <c r="F4" s="170">
        <v>28226.884758580287</v>
      </c>
      <c r="G4" s="174">
        <f>'INCOME STS'!G15</f>
        <v>26543.379240000002</v>
      </c>
      <c r="H4" s="174">
        <f>'INCOME STS'!H15</f>
        <v>24400.975914000002</v>
      </c>
      <c r="I4" s="174">
        <f>'INCOME STS'!I15</f>
        <v>25209.115409700004</v>
      </c>
      <c r="J4" s="174">
        <f>'INCOME STS'!J15</f>
        <v>52749.491485905033</v>
      </c>
      <c r="K4" s="174">
        <f>'INCOME STS'!K15</f>
        <v>61838.564154878288</v>
      </c>
    </row>
    <row r="5" spans="1:11" x14ac:dyDescent="0.35">
      <c r="A5" t="s">
        <v>33</v>
      </c>
      <c r="B5" s="170">
        <v>19500</v>
      </c>
      <c r="C5" s="170">
        <v>18150</v>
      </c>
      <c r="D5" s="170">
        <v>17205</v>
      </c>
      <c r="E5" s="170">
        <v>16543.5</v>
      </c>
      <c r="F5" s="170">
        <v>16080.449999999999</v>
      </c>
      <c r="G5" s="120">
        <f>SCHEDULE!G14</f>
        <v>13132.3675</v>
      </c>
      <c r="H5" s="120">
        <f>SCHEDULE!H14</f>
        <v>13786.038875</v>
      </c>
      <c r="I5" s="120">
        <f>SCHEDULE!I14</f>
        <v>14210.925268750001</v>
      </c>
      <c r="J5" s="120">
        <f>SCHEDULE!J14</f>
        <v>14487.101424687498</v>
      </c>
      <c r="K5" s="120">
        <f>SCHEDULE!K14</f>
        <v>14666.615926046874</v>
      </c>
    </row>
    <row r="6" spans="1:11" x14ac:dyDescent="0.35">
      <c r="A6" t="s">
        <v>37</v>
      </c>
      <c r="B6" s="170">
        <v>9002.6500000000015</v>
      </c>
      <c r="C6" s="170">
        <v>1702.0499999999993</v>
      </c>
      <c r="D6" s="170">
        <v>774.84999999999854</v>
      </c>
      <c r="E6" s="170">
        <v>902.90000000000146</v>
      </c>
      <c r="F6" s="170">
        <v>827.14999999999782</v>
      </c>
      <c r="G6" s="120">
        <f>SCHEDULE!G9</f>
        <v>3175.3921972602766</v>
      </c>
      <c r="H6" s="120">
        <f>SCHEDULE!H9</f>
        <v>5062.2628416438383</v>
      </c>
      <c r="I6" s="120">
        <f>SCHEDULE!I9</f>
        <v>5767.9171090411</v>
      </c>
      <c r="J6" s="120">
        <f>SCHEDULE!J9</f>
        <v>-2612.6565262027398</v>
      </c>
      <c r="K6" s="120">
        <f>SCHEDULE!K9</f>
        <v>2041.1379110958951</v>
      </c>
    </row>
    <row r="7" spans="1:11" s="117" customFormat="1" x14ac:dyDescent="0.35">
      <c r="A7" s="117" t="s">
        <v>34</v>
      </c>
      <c r="B7" s="165">
        <f>B4+B5-B6</f>
        <v>12971.179199999999</v>
      </c>
      <c r="C7" s="165">
        <f t="shared" ref="C7:E7" si="1">C4+C5-C6</f>
        <v>28238.733497877969</v>
      </c>
      <c r="D7" s="165">
        <f t="shared" si="1"/>
        <v>37505.343885131326</v>
      </c>
      <c r="E7" s="165">
        <f t="shared" si="1"/>
        <v>42354.07902359531</v>
      </c>
      <c r="F7" s="165">
        <f>F4+F5-F6</f>
        <v>43480.18475858029</v>
      </c>
      <c r="G7" s="165">
        <f t="shared" ref="G7:K7" si="2">G4+G5-G6</f>
        <v>36500.354542739726</v>
      </c>
      <c r="H7" s="165">
        <f t="shared" si="2"/>
        <v>33124.751947356162</v>
      </c>
      <c r="I7" s="165">
        <f t="shared" si="2"/>
        <v>33652.123569408912</v>
      </c>
      <c r="J7" s="165">
        <f t="shared" si="2"/>
        <v>69849.249436795275</v>
      </c>
      <c r="K7" s="165">
        <f t="shared" si="2"/>
        <v>74464.042169829263</v>
      </c>
    </row>
    <row r="9" spans="1:11" x14ac:dyDescent="0.35">
      <c r="A9" s="117" t="s">
        <v>38</v>
      </c>
    </row>
    <row r="10" spans="1:11" x14ac:dyDescent="0.35">
      <c r="A10" t="s">
        <v>39</v>
      </c>
      <c r="B10" s="171">
        <v>-15000</v>
      </c>
      <c r="C10" s="171">
        <v>-15000</v>
      </c>
      <c r="D10" s="171">
        <v>-15000</v>
      </c>
      <c r="E10" s="171">
        <v>-15000</v>
      </c>
      <c r="F10" s="171">
        <v>-15000</v>
      </c>
      <c r="G10" s="120">
        <f>-SCHEDULE!G13</f>
        <v>-15000</v>
      </c>
      <c r="H10" s="120">
        <f>-SCHEDULE!H13</f>
        <v>-15000</v>
      </c>
      <c r="I10" s="120">
        <f>-SCHEDULE!I13</f>
        <v>-15000</v>
      </c>
      <c r="J10" s="120">
        <f>-SCHEDULE!J13</f>
        <v>-15000</v>
      </c>
      <c r="K10" s="120">
        <f>-SCHEDULE!K13</f>
        <v>-15000</v>
      </c>
    </row>
    <row r="11" spans="1:11" s="117" customFormat="1" x14ac:dyDescent="0.35">
      <c r="A11" s="117" t="s">
        <v>40</v>
      </c>
      <c r="B11" s="168">
        <f>SUM(B10)</f>
        <v>-15000</v>
      </c>
      <c r="C11" s="168">
        <f t="shared" ref="C11:K11" si="3">SUM(C10)</f>
        <v>-15000</v>
      </c>
      <c r="D11" s="168">
        <f t="shared" si="3"/>
        <v>-15000</v>
      </c>
      <c r="E11" s="168">
        <f t="shared" si="3"/>
        <v>-15000</v>
      </c>
      <c r="F11" s="168">
        <f t="shared" si="3"/>
        <v>-15000</v>
      </c>
      <c r="G11" s="168">
        <f t="shared" si="3"/>
        <v>-15000</v>
      </c>
      <c r="H11" s="168">
        <f t="shared" si="3"/>
        <v>-15000</v>
      </c>
      <c r="I11" s="168">
        <f t="shared" si="3"/>
        <v>-15000</v>
      </c>
      <c r="J11" s="168">
        <f t="shared" si="3"/>
        <v>-15000</v>
      </c>
      <c r="K11" s="168">
        <f t="shared" si="3"/>
        <v>-15000</v>
      </c>
    </row>
    <row r="12" spans="1:11" x14ac:dyDescent="0.35">
      <c r="B12" s="166"/>
      <c r="C12" s="166"/>
      <c r="D12" s="166"/>
      <c r="E12" s="166"/>
      <c r="F12" s="166"/>
    </row>
    <row r="13" spans="1:11" x14ac:dyDescent="0.35">
      <c r="A13" s="117" t="s">
        <v>41</v>
      </c>
      <c r="B13" s="166"/>
      <c r="C13" s="166"/>
      <c r="D13" s="166"/>
      <c r="E13" s="166"/>
      <c r="F13" s="166"/>
    </row>
    <row r="14" spans="1:11" x14ac:dyDescent="0.35">
      <c r="A14" t="s">
        <v>42</v>
      </c>
      <c r="B14" s="171">
        <v>0</v>
      </c>
      <c r="C14" s="171">
        <v>0</v>
      </c>
      <c r="D14" s="171">
        <v>-20000</v>
      </c>
      <c r="E14" s="171">
        <v>0</v>
      </c>
      <c r="F14" s="171">
        <v>0</v>
      </c>
      <c r="G14" s="166">
        <f>'LIVE CASE'!G14</f>
        <v>0</v>
      </c>
      <c r="H14" s="166">
        <f>'LIVE CASE'!H14</f>
        <v>0</v>
      </c>
      <c r="I14" s="166">
        <f>'LIVE CASE'!I14</f>
        <v>-20000</v>
      </c>
      <c r="J14" s="166">
        <f>'LIVE CASE'!J14</f>
        <v>0</v>
      </c>
      <c r="K14" s="166">
        <f>'LIVE CASE'!K14</f>
        <v>0</v>
      </c>
    </row>
    <row r="15" spans="1:11" x14ac:dyDescent="0.35">
      <c r="A15" t="s">
        <v>43</v>
      </c>
      <c r="B15" s="171">
        <v>70000</v>
      </c>
      <c r="C15" s="171">
        <v>0</v>
      </c>
      <c r="D15" s="171">
        <v>0</v>
      </c>
      <c r="E15" s="171">
        <v>0</v>
      </c>
      <c r="F15" s="171">
        <v>0</v>
      </c>
      <c r="G15" s="166">
        <f>'LIVE CASE'!G15</f>
        <v>0</v>
      </c>
      <c r="H15" s="166">
        <f>'LIVE CASE'!H15</f>
        <v>0</v>
      </c>
      <c r="I15" s="166">
        <f>'LIVE CASE'!I15</f>
        <v>0</v>
      </c>
      <c r="J15" s="166">
        <f>'LIVE CASE'!J15</f>
        <v>0</v>
      </c>
      <c r="K15" s="166">
        <f>'LIVE CASE'!K15</f>
        <v>0</v>
      </c>
    </row>
    <row r="16" spans="1:11" s="117" customFormat="1" x14ac:dyDescent="0.35">
      <c r="A16" s="117" t="s">
        <v>44</v>
      </c>
      <c r="B16" s="168">
        <f>SUM(B14:B15)</f>
        <v>70000</v>
      </c>
      <c r="C16" s="168">
        <f t="shared" ref="C16:F16" si="4">SUM(C14:C15)</f>
        <v>0</v>
      </c>
      <c r="D16" s="168">
        <f t="shared" si="4"/>
        <v>-20000</v>
      </c>
      <c r="E16" s="168">
        <f t="shared" si="4"/>
        <v>0</v>
      </c>
      <c r="F16" s="168">
        <f>SUM(F14:F15)</f>
        <v>0</v>
      </c>
      <c r="G16" s="168">
        <f t="shared" ref="G16:K16" si="5">SUM(G14:G15)</f>
        <v>0</v>
      </c>
      <c r="H16" s="168">
        <f t="shared" si="5"/>
        <v>0</v>
      </c>
      <c r="I16" s="168">
        <f t="shared" si="5"/>
        <v>-20000</v>
      </c>
      <c r="J16" s="168">
        <f t="shared" si="5"/>
        <v>0</v>
      </c>
      <c r="K16" s="168">
        <f t="shared" si="5"/>
        <v>0</v>
      </c>
    </row>
    <row r="17" spans="1:11" x14ac:dyDescent="0.35">
      <c r="B17" s="166"/>
      <c r="C17" s="166"/>
      <c r="D17" s="166"/>
      <c r="E17" s="166"/>
      <c r="F17" s="166"/>
      <c r="G17" s="166"/>
      <c r="H17" s="166"/>
      <c r="I17" s="166"/>
      <c r="J17" s="166"/>
      <c r="K17" s="166"/>
    </row>
    <row r="18" spans="1:11" s="117" customFormat="1" x14ac:dyDescent="0.35">
      <c r="A18" s="117" t="s">
        <v>45</v>
      </c>
      <c r="B18" s="168">
        <f>B7+B11+B16</f>
        <v>67971.179199999999</v>
      </c>
      <c r="C18" s="168">
        <f>C7+C11+C16</f>
        <v>13238.733497877969</v>
      </c>
      <c r="D18" s="168">
        <f t="shared" ref="D18" si="6">D7+D11+D16</f>
        <v>2505.3438851313258</v>
      </c>
      <c r="E18" s="168">
        <f>E7+E11+E16</f>
        <v>27354.07902359531</v>
      </c>
      <c r="F18" s="168">
        <f>F7+F11+F16</f>
        <v>28480.18475858029</v>
      </c>
      <c r="G18" s="168">
        <f t="shared" ref="G18:K18" si="7">G7+G11+G16</f>
        <v>21500.354542739726</v>
      </c>
      <c r="H18" s="168">
        <f t="shared" si="7"/>
        <v>18124.751947356162</v>
      </c>
      <c r="I18" s="168">
        <f t="shared" si="7"/>
        <v>-1347.8764305910881</v>
      </c>
      <c r="J18" s="168">
        <f t="shared" si="7"/>
        <v>54849.249436795275</v>
      </c>
      <c r="K18" s="168">
        <f t="shared" si="7"/>
        <v>59464.042169829263</v>
      </c>
    </row>
    <row r="19" spans="1:11" x14ac:dyDescent="0.35">
      <c r="A19" t="s">
        <v>46</v>
      </c>
      <c r="B19" s="166">
        <v>0</v>
      </c>
      <c r="C19" s="166">
        <f>B20</f>
        <v>67971.179200000013</v>
      </c>
      <c r="D19" s="166">
        <f t="shared" ref="D19:E19" si="8">C20</f>
        <v>81209.912697877968</v>
      </c>
      <c r="E19" s="166">
        <f t="shared" si="8"/>
        <v>83715.256583009294</v>
      </c>
      <c r="F19" s="166">
        <f>E20</f>
        <v>111069.33560660461</v>
      </c>
      <c r="G19" s="166">
        <f t="shared" ref="G19:K19" si="9">F20</f>
        <v>139549.5203651849</v>
      </c>
      <c r="H19" s="166">
        <f t="shared" si="9"/>
        <v>161049.87490792462</v>
      </c>
      <c r="I19" s="166">
        <f t="shared" si="9"/>
        <v>179174.62685528077</v>
      </c>
      <c r="J19" s="166">
        <f t="shared" si="9"/>
        <v>177826.75042468967</v>
      </c>
      <c r="K19" s="166">
        <f t="shared" si="9"/>
        <v>232675.99986148495</v>
      </c>
    </row>
    <row r="20" spans="1:11" s="117" customFormat="1" x14ac:dyDescent="0.35">
      <c r="A20" s="117" t="s">
        <v>47</v>
      </c>
      <c r="B20" s="167">
        <f>SOFP!B5</f>
        <v>67971.179200000013</v>
      </c>
      <c r="C20" s="167">
        <f>SOFP!C5</f>
        <v>81209.912697877968</v>
      </c>
      <c r="D20" s="167">
        <f>SOFP!D5</f>
        <v>83715.256583009294</v>
      </c>
      <c r="E20" s="167">
        <f>SOFP!E5</f>
        <v>111069.33560660461</v>
      </c>
      <c r="F20" s="167">
        <f>SOFP!F5</f>
        <v>139549.5203651849</v>
      </c>
      <c r="G20" s="167">
        <f>SUM(G18:G19)</f>
        <v>161049.87490792462</v>
      </c>
      <c r="H20" s="167">
        <f>SUM(H18:H19)</f>
        <v>179174.62685528077</v>
      </c>
      <c r="I20" s="167">
        <f t="shared" ref="H20:K20" si="10">SUM(I18:I19)</f>
        <v>177826.75042468967</v>
      </c>
      <c r="J20" s="167">
        <f t="shared" si="10"/>
        <v>232675.99986148495</v>
      </c>
      <c r="K20" s="167">
        <f t="shared" si="10"/>
        <v>292140.04203131422</v>
      </c>
    </row>
    <row r="21" spans="1:11" x14ac:dyDescent="0.35">
      <c r="G21" s="166"/>
      <c r="H21" s="166"/>
      <c r="I21" s="166"/>
      <c r="J21" s="166"/>
      <c r="K21" s="166"/>
    </row>
    <row r="22" spans="1:11" x14ac:dyDescent="0.35">
      <c r="A22" s="117" t="s">
        <v>161</v>
      </c>
      <c r="B22" s="66">
        <f>B18+B19-B20</f>
        <v>0</v>
      </c>
      <c r="C22" s="66">
        <f t="shared" ref="C22:K22" si="11">C18+C19-C20</f>
        <v>0</v>
      </c>
      <c r="D22" s="66">
        <f t="shared" si="11"/>
        <v>0</v>
      </c>
      <c r="E22" s="66">
        <f t="shared" si="11"/>
        <v>0</v>
      </c>
      <c r="F22" s="66">
        <f t="shared" si="11"/>
        <v>0</v>
      </c>
      <c r="G22" s="66">
        <f t="shared" si="11"/>
        <v>0</v>
      </c>
      <c r="H22" s="66">
        <f t="shared" si="11"/>
        <v>0</v>
      </c>
      <c r="I22" s="66">
        <f t="shared" si="11"/>
        <v>0</v>
      </c>
      <c r="J22" s="66">
        <f t="shared" si="11"/>
        <v>0</v>
      </c>
      <c r="K22" s="66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FB5C-20B0-44BD-AEFA-926D6DB0FBB5}">
  <dimension ref="A1:M23"/>
  <sheetViews>
    <sheetView workbookViewId="0">
      <pane ySplit="3" topLeftCell="A4" activePane="bottomLeft" state="frozen"/>
      <selection pane="bottomLeft" activeCell="M9" sqref="M9"/>
    </sheetView>
  </sheetViews>
  <sheetFormatPr defaultRowHeight="14.5" x14ac:dyDescent="0.35"/>
  <cols>
    <col min="1" max="1" width="31.1796875" customWidth="1"/>
    <col min="2" max="2" width="10.54296875" style="66" bestFit="1" customWidth="1"/>
    <col min="3" max="3" width="13" style="66" customWidth="1"/>
    <col min="4" max="4" width="11.7265625" style="66" customWidth="1"/>
    <col min="5" max="5" width="12" style="66" customWidth="1"/>
    <col min="6" max="7" width="10.54296875" style="66" bestFit="1" customWidth="1"/>
    <col min="8" max="8" width="11.1796875" customWidth="1"/>
    <col min="9" max="9" width="10.54296875" customWidth="1"/>
    <col min="10" max="10" width="10.7265625" customWidth="1"/>
    <col min="11" max="11" width="10.54296875" customWidth="1"/>
    <col min="12" max="12" width="9.81640625" bestFit="1" customWidth="1"/>
  </cols>
  <sheetData>
    <row r="1" spans="1:13" ht="18.5" x14ac:dyDescent="0.45">
      <c r="D1" s="162" t="str">
        <f>'CHARTS &amp; GRAPH'!C1</f>
        <v>HOUSE OF ACCOUNTANTS PROFESSIONAL SERVICES</v>
      </c>
    </row>
    <row r="2" spans="1:13" x14ac:dyDescent="0.35">
      <c r="A2" s="148" t="s">
        <v>155</v>
      </c>
      <c r="B2" s="145"/>
      <c r="C2" s="145"/>
      <c r="D2" s="145"/>
      <c r="E2" s="145"/>
      <c r="F2" s="145"/>
      <c r="G2" s="145"/>
      <c r="H2" s="146"/>
      <c r="I2" s="146"/>
      <c r="J2" s="146"/>
      <c r="K2" s="146"/>
    </row>
    <row r="3" spans="1:13" x14ac:dyDescent="0.35">
      <c r="B3" s="147">
        <v>2013</v>
      </c>
      <c r="C3" s="147">
        <f t="shared" ref="C3:K3" si="0">B3+1</f>
        <v>2014</v>
      </c>
      <c r="D3" s="147">
        <f t="shared" si="0"/>
        <v>2015</v>
      </c>
      <c r="E3" s="147">
        <f t="shared" si="0"/>
        <v>2016</v>
      </c>
      <c r="F3" s="147">
        <f t="shared" si="0"/>
        <v>2017</v>
      </c>
      <c r="G3" s="147">
        <f t="shared" si="0"/>
        <v>2018</v>
      </c>
      <c r="H3" s="147">
        <f t="shared" si="0"/>
        <v>2019</v>
      </c>
      <c r="I3" s="147">
        <f t="shared" si="0"/>
        <v>2020</v>
      </c>
      <c r="J3" s="147">
        <f t="shared" si="0"/>
        <v>2021</v>
      </c>
      <c r="K3" s="147">
        <f t="shared" si="0"/>
        <v>2022</v>
      </c>
    </row>
    <row r="4" spans="1:13" x14ac:dyDescent="0.35">
      <c r="A4" s="117" t="s">
        <v>51</v>
      </c>
      <c r="B4" s="186"/>
      <c r="C4" s="186"/>
      <c r="D4" s="186"/>
      <c r="E4" s="186"/>
      <c r="F4" s="186"/>
      <c r="L4" s="47"/>
      <c r="M4" s="47"/>
    </row>
    <row r="5" spans="1:13" x14ac:dyDescent="0.35">
      <c r="A5" t="s">
        <v>12</v>
      </c>
      <c r="B5" s="188">
        <f>SOFP!B6</f>
        <v>5100.3500000000004</v>
      </c>
      <c r="C5" s="188">
        <f>SOFP!C6</f>
        <v>5904.3</v>
      </c>
      <c r="D5" s="188">
        <f>SOFP!D6</f>
        <v>6567.25</v>
      </c>
      <c r="E5" s="188">
        <f>SOFP!E6</f>
        <v>7117.05</v>
      </c>
      <c r="F5" s="188">
        <f>SOFP!F6</f>
        <v>7538.6</v>
      </c>
      <c r="G5" s="179">
        <f>SOFP!G6</f>
        <v>8178.8646575342473</v>
      </c>
      <c r="H5" s="179">
        <f>SOFP!H6</f>
        <v>8996.7511232876732</v>
      </c>
      <c r="I5" s="179">
        <f>SOFP!I6</f>
        <v>9896.42623561644</v>
      </c>
      <c r="J5" s="179">
        <f>SOFP!J6</f>
        <v>10886.068859178085</v>
      </c>
      <c r="K5" s="179">
        <f>SOFP!K6</f>
        <v>11974.675745095894</v>
      </c>
      <c r="L5" s="120"/>
    </row>
    <row r="6" spans="1:13" x14ac:dyDescent="0.35">
      <c r="A6" t="s">
        <v>18</v>
      </c>
      <c r="B6" s="188">
        <f>SOFP!B7</f>
        <v>7804.6</v>
      </c>
      <c r="C6" s="188">
        <f>SOFP!C7</f>
        <v>9600.8000000000011</v>
      </c>
      <c r="D6" s="188">
        <f>SOFP!D7</f>
        <v>9824.6</v>
      </c>
      <c r="E6" s="188">
        <f>SOFP!E7</f>
        <v>10530.800000000001</v>
      </c>
      <c r="F6" s="188">
        <f>SOFP!F7</f>
        <v>11342</v>
      </c>
      <c r="G6" s="179">
        <f>SOFP!G7</f>
        <v>15267.21402739726</v>
      </c>
      <c r="H6" s="179">
        <f>SOFP!H7</f>
        <v>21142.365139726033</v>
      </c>
      <c r="I6" s="179">
        <f>SOFP!I7</f>
        <v>27490.072876712333</v>
      </c>
      <c r="J6" s="179">
        <f>SOFP!J7</f>
        <v>21772.137718356171</v>
      </c>
      <c r="K6" s="179">
        <f>SOFP!K7</f>
        <v>23284.091726575352</v>
      </c>
      <c r="L6" s="120"/>
    </row>
    <row r="7" spans="1:13" x14ac:dyDescent="0.35">
      <c r="A7" t="s">
        <v>21</v>
      </c>
      <c r="B7" s="188">
        <f>SOFP!B12</f>
        <v>3902.3</v>
      </c>
      <c r="C7" s="188">
        <f>SOFP!C12</f>
        <v>4800.4000000000005</v>
      </c>
      <c r="D7" s="188">
        <f>SOFP!D12</f>
        <v>4912.3</v>
      </c>
      <c r="E7" s="188">
        <f>SOFP!E12</f>
        <v>5265.4000000000005</v>
      </c>
      <c r="F7" s="188">
        <f>SOFP!F12</f>
        <v>5671</v>
      </c>
      <c r="G7" s="179">
        <f>SOFP!G12</f>
        <v>7061.086487671233</v>
      </c>
      <c r="H7" s="179">
        <f>SOFP!H12</f>
        <v>8691.8612241095907</v>
      </c>
      <c r="I7" s="179">
        <f>SOFP!I12</f>
        <v>10171.326964383563</v>
      </c>
      <c r="J7" s="179">
        <f>SOFP!J12</f>
        <v>8055.6909557917834</v>
      </c>
      <c r="K7" s="179">
        <f>SOFP!K12</f>
        <v>8615.1139388328793</v>
      </c>
      <c r="L7" s="120"/>
    </row>
    <row r="8" spans="1:13" s="117" customFormat="1" x14ac:dyDescent="0.35">
      <c r="A8" s="117" t="s">
        <v>36</v>
      </c>
      <c r="B8" s="141">
        <f>B5+B6-B7</f>
        <v>9002.6500000000015</v>
      </c>
      <c r="C8" s="141">
        <f t="shared" ref="C8:K8" si="1">C5+C6-C7</f>
        <v>10704.7</v>
      </c>
      <c r="D8" s="141">
        <f t="shared" si="1"/>
        <v>11479.55</v>
      </c>
      <c r="E8" s="141">
        <f t="shared" si="1"/>
        <v>12382.45</v>
      </c>
      <c r="F8" s="141">
        <f t="shared" si="1"/>
        <v>13209.599999999999</v>
      </c>
      <c r="G8" s="141">
        <f t="shared" si="1"/>
        <v>16384.992197260275</v>
      </c>
      <c r="H8" s="141">
        <f t="shared" si="1"/>
        <v>21447.255038904113</v>
      </c>
      <c r="I8" s="141">
        <f t="shared" si="1"/>
        <v>27215.172147945214</v>
      </c>
      <c r="J8" s="141">
        <f t="shared" si="1"/>
        <v>24602.515621742474</v>
      </c>
      <c r="K8" s="141">
        <f t="shared" si="1"/>
        <v>26643.653532838369</v>
      </c>
      <c r="L8" s="139"/>
    </row>
    <row r="9" spans="1:13" s="117" customFormat="1" x14ac:dyDescent="0.35">
      <c r="A9" s="117" t="s">
        <v>35</v>
      </c>
      <c r="B9" s="138">
        <f>B8</f>
        <v>9002.6500000000015</v>
      </c>
      <c r="C9" s="138">
        <f>C8-B8</f>
        <v>1702.0499999999993</v>
      </c>
      <c r="D9" s="138">
        <f>D8-C8</f>
        <v>774.84999999999854</v>
      </c>
      <c r="E9" s="138">
        <f t="shared" ref="E9:I9" si="2">E8-D8</f>
        <v>902.90000000000146</v>
      </c>
      <c r="F9" s="138">
        <f t="shared" si="2"/>
        <v>827.14999999999782</v>
      </c>
      <c r="G9" s="138">
        <f t="shared" si="2"/>
        <v>3175.3921972602766</v>
      </c>
      <c r="H9" s="138">
        <f t="shared" si="2"/>
        <v>5062.2628416438383</v>
      </c>
      <c r="I9" s="138">
        <f t="shared" si="2"/>
        <v>5767.9171090411</v>
      </c>
      <c r="J9" s="138">
        <f>J8-I8</f>
        <v>-2612.6565262027398</v>
      </c>
      <c r="K9" s="138">
        <f>K8-J8</f>
        <v>2041.1379110958951</v>
      </c>
    </row>
    <row r="10" spans="1:13" x14ac:dyDescent="0.35">
      <c r="B10" s="140"/>
      <c r="C10" s="140"/>
      <c r="D10" s="140"/>
      <c r="E10" s="140"/>
      <c r="F10" s="140"/>
      <c r="G10" s="140"/>
      <c r="H10" s="120"/>
      <c r="I10" s="120"/>
      <c r="J10" s="120"/>
      <c r="K10" s="120"/>
    </row>
    <row r="11" spans="1:13" x14ac:dyDescent="0.35">
      <c r="A11" s="117" t="s">
        <v>52</v>
      </c>
      <c r="B11" s="140"/>
      <c r="C11" s="140"/>
      <c r="D11" s="140"/>
      <c r="E11" s="140"/>
      <c r="F11" s="140"/>
      <c r="G11" s="140"/>
      <c r="H11" s="120"/>
      <c r="I11" s="120"/>
      <c r="J11" s="120"/>
      <c r="K11" s="120"/>
    </row>
    <row r="12" spans="1:13" s="121" customFormat="1" x14ac:dyDescent="0.35">
      <c r="A12" s="121" t="s">
        <v>14</v>
      </c>
      <c r="B12" s="122">
        <f>B15+B14-B13</f>
        <v>50000</v>
      </c>
      <c r="C12" s="122">
        <f>B15</f>
        <v>45500</v>
      </c>
      <c r="D12" s="122">
        <f t="shared" ref="D12:K12" si="3">C15</f>
        <v>42350</v>
      </c>
      <c r="E12" s="122">
        <f t="shared" si="3"/>
        <v>40145</v>
      </c>
      <c r="F12" s="122">
        <f t="shared" si="3"/>
        <v>38601.5</v>
      </c>
      <c r="G12" s="122">
        <f t="shared" si="3"/>
        <v>37521.050000000003</v>
      </c>
      <c r="H12" s="122">
        <f t="shared" si="3"/>
        <v>39388.682500000003</v>
      </c>
      <c r="I12" s="122">
        <f t="shared" si="3"/>
        <v>40602.643625000004</v>
      </c>
      <c r="J12" s="122">
        <f t="shared" si="3"/>
        <v>41391.718356249999</v>
      </c>
      <c r="K12" s="122">
        <f t="shared" si="3"/>
        <v>41904.616931562501</v>
      </c>
    </row>
    <row r="13" spans="1:13" x14ac:dyDescent="0.35">
      <c r="A13" t="s">
        <v>15</v>
      </c>
      <c r="B13" s="180">
        <f>-'CASHFLOWS STS'!B10</f>
        <v>15000</v>
      </c>
      <c r="C13" s="180">
        <f>-'CASHFLOWS STS'!C10</f>
        <v>15000</v>
      </c>
      <c r="D13" s="180">
        <f>-'CASHFLOWS STS'!D10</f>
        <v>15000</v>
      </c>
      <c r="E13" s="180">
        <f>-'CASHFLOWS STS'!E10</f>
        <v>15000</v>
      </c>
      <c r="F13" s="180">
        <f>-'CASHFLOWS STS'!F10</f>
        <v>15000</v>
      </c>
      <c r="G13" s="180">
        <f>'LIVE CASE'!G13</f>
        <v>15000</v>
      </c>
      <c r="H13" s="180">
        <f>'LIVE CASE'!H13</f>
        <v>15000</v>
      </c>
      <c r="I13" s="180">
        <f>'LIVE CASE'!I13</f>
        <v>15000</v>
      </c>
      <c r="J13" s="180">
        <f>'LIVE CASE'!J13</f>
        <v>15000</v>
      </c>
      <c r="K13" s="180">
        <f>'LIVE CASE'!K13</f>
        <v>15000</v>
      </c>
    </row>
    <row r="14" spans="1:13" x14ac:dyDescent="0.35">
      <c r="A14" t="s">
        <v>16</v>
      </c>
      <c r="B14" s="180">
        <f>-'INCOME STS'!B9</f>
        <v>19500</v>
      </c>
      <c r="C14" s="180">
        <f>-'INCOME STS'!C9</f>
        <v>18150</v>
      </c>
      <c r="D14" s="180">
        <f>-'INCOME STS'!D9</f>
        <v>17205</v>
      </c>
      <c r="E14" s="180">
        <f>-'INCOME STS'!E9</f>
        <v>16543.5</v>
      </c>
      <c r="F14" s="180">
        <f>-'INCOME STS'!F9</f>
        <v>16080.45</v>
      </c>
      <c r="G14" s="180">
        <f>G12*'LIVE CASE'!G7</f>
        <v>13132.3675</v>
      </c>
      <c r="H14" s="180">
        <f>H12*'LIVE CASE'!H7</f>
        <v>13786.038875</v>
      </c>
      <c r="I14" s="180">
        <f>I12*'LIVE CASE'!I7</f>
        <v>14210.925268750001</v>
      </c>
      <c r="J14" s="180">
        <f>J12*'LIVE CASE'!J7</f>
        <v>14487.101424687498</v>
      </c>
      <c r="K14" s="180">
        <f>K12*'LIVE CASE'!K7</f>
        <v>14666.615926046874</v>
      </c>
    </row>
    <row r="15" spans="1:13" s="121" customFormat="1" x14ac:dyDescent="0.35">
      <c r="A15" s="121" t="s">
        <v>17</v>
      </c>
      <c r="B15" s="122">
        <f>SOFP!B8</f>
        <v>45500</v>
      </c>
      <c r="C15" s="122">
        <f>C12+C13-C14</f>
        <v>42350</v>
      </c>
      <c r="D15" s="122">
        <f t="shared" ref="D15:K15" si="4">D12+D13-D14</f>
        <v>40145</v>
      </c>
      <c r="E15" s="122">
        <f t="shared" si="4"/>
        <v>38601.5</v>
      </c>
      <c r="F15" s="122">
        <f t="shared" si="4"/>
        <v>37521.050000000003</v>
      </c>
      <c r="G15" s="122">
        <f t="shared" si="4"/>
        <v>39388.682500000003</v>
      </c>
      <c r="H15" s="122">
        <f t="shared" si="4"/>
        <v>40602.643625000004</v>
      </c>
      <c r="I15" s="122">
        <f t="shared" si="4"/>
        <v>41391.718356249999</v>
      </c>
      <c r="J15" s="122">
        <f t="shared" si="4"/>
        <v>41904.616931562501</v>
      </c>
      <c r="K15" s="122">
        <f t="shared" si="4"/>
        <v>42238.001005515631</v>
      </c>
    </row>
    <row r="16" spans="1:13" x14ac:dyDescent="0.35">
      <c r="B16" s="140"/>
      <c r="C16" s="140"/>
      <c r="D16" s="140"/>
      <c r="E16" s="140"/>
      <c r="F16" s="140"/>
      <c r="G16" s="140"/>
      <c r="H16" s="120"/>
      <c r="I16" s="120"/>
      <c r="J16" s="120"/>
      <c r="K16" s="120"/>
    </row>
    <row r="17" spans="1:12" x14ac:dyDescent="0.35">
      <c r="A17" s="117" t="s">
        <v>53</v>
      </c>
      <c r="B17" s="180"/>
      <c r="C17" s="180"/>
      <c r="D17" s="180"/>
      <c r="E17" s="180"/>
      <c r="F17" s="180"/>
      <c r="G17" s="180"/>
      <c r="H17" s="185"/>
      <c r="I17" s="185"/>
      <c r="J17" s="185"/>
      <c r="K17" s="185"/>
      <c r="L17" s="187"/>
    </row>
    <row r="18" spans="1:12" s="117" customFormat="1" x14ac:dyDescent="0.35">
      <c r="A18" s="117" t="s">
        <v>23</v>
      </c>
      <c r="B18" s="183">
        <f>SOFP!B13-'CASHFLOWS STS'!B14</f>
        <v>50000</v>
      </c>
      <c r="C18" s="183">
        <f>SOFP!C13-'CASHFLOWS STS'!C14</f>
        <v>50000</v>
      </c>
      <c r="D18" s="183">
        <f>SOFP!D13-'CASHFLOWS STS'!D14</f>
        <v>50000</v>
      </c>
      <c r="E18" s="183">
        <f>SOFP!E13-'CASHFLOWS STS'!E14</f>
        <v>30000</v>
      </c>
      <c r="F18" s="183">
        <f>SOFP!F13-'CASHFLOWS STS'!F14</f>
        <v>30000</v>
      </c>
      <c r="G18" s="138">
        <f>F20</f>
        <v>30000</v>
      </c>
      <c r="H18" s="138">
        <f>G20</f>
        <v>30000</v>
      </c>
      <c r="I18" s="138">
        <f t="shared" ref="H18:K18" si="5">H20</f>
        <v>30000</v>
      </c>
      <c r="J18" s="138">
        <f t="shared" si="5"/>
        <v>10000</v>
      </c>
      <c r="K18" s="138">
        <f t="shared" si="5"/>
        <v>10000</v>
      </c>
    </row>
    <row r="19" spans="1:12" x14ac:dyDescent="0.35">
      <c r="A19" t="s">
        <v>24</v>
      </c>
      <c r="B19" s="180">
        <f>'CASHFLOWS STS'!B14</f>
        <v>0</v>
      </c>
      <c r="C19" s="180">
        <f>'CASHFLOWS STS'!C14</f>
        <v>0</v>
      </c>
      <c r="D19" s="180">
        <f>'CASHFLOWS STS'!D14</f>
        <v>-20000</v>
      </c>
      <c r="E19" s="180">
        <f>'CASHFLOWS STS'!E14</f>
        <v>0</v>
      </c>
      <c r="F19" s="180">
        <f>'CASHFLOWS STS'!F14</f>
        <v>0</v>
      </c>
      <c r="G19" s="180">
        <f>'CASHFLOWS STS'!G14</f>
        <v>0</v>
      </c>
      <c r="H19" s="180">
        <f>'CASHFLOWS STS'!H14</f>
        <v>0</v>
      </c>
      <c r="I19" s="180">
        <f>'CASHFLOWS STS'!I14</f>
        <v>-20000</v>
      </c>
      <c r="J19" s="180">
        <f>'CASHFLOWS STS'!J14</f>
        <v>0</v>
      </c>
      <c r="K19" s="180">
        <f>'CASHFLOWS STS'!K14</f>
        <v>0</v>
      </c>
      <c r="L19" s="187"/>
    </row>
    <row r="20" spans="1:12" x14ac:dyDescent="0.35">
      <c r="A20" t="s">
        <v>25</v>
      </c>
      <c r="B20" s="138">
        <f>SOFP!B13</f>
        <v>50000</v>
      </c>
      <c r="C20" s="138">
        <f>SOFP!C13</f>
        <v>50000</v>
      </c>
      <c r="D20" s="138">
        <f>SOFP!D13</f>
        <v>30000</v>
      </c>
      <c r="E20" s="138">
        <f>SOFP!E13</f>
        <v>30000</v>
      </c>
      <c r="F20" s="138">
        <f>SOFP!F13</f>
        <v>30000</v>
      </c>
      <c r="G20" s="138">
        <f>G18+G19</f>
        <v>30000</v>
      </c>
      <c r="H20" s="138">
        <f t="shared" ref="H20:J20" si="6">H18+H19</f>
        <v>30000</v>
      </c>
      <c r="I20" s="138">
        <f t="shared" si="6"/>
        <v>10000</v>
      </c>
      <c r="J20" s="138">
        <f t="shared" si="6"/>
        <v>10000</v>
      </c>
      <c r="K20" s="138">
        <f t="shared" ref="H20:K20" si="7">K18+K19</f>
        <v>10000</v>
      </c>
      <c r="L20" s="138"/>
    </row>
    <row r="21" spans="1:12" x14ac:dyDescent="0.35">
      <c r="A21" t="s">
        <v>26</v>
      </c>
      <c r="B21" s="180">
        <f>-'INCOME STS'!B10</f>
        <v>2500</v>
      </c>
      <c r="C21" s="180">
        <f>-'INCOME STS'!C10</f>
        <v>2500</v>
      </c>
      <c r="D21" s="180">
        <f>-'INCOME STS'!D10</f>
        <v>1500</v>
      </c>
      <c r="E21" s="180">
        <f>-'INCOME STS'!E10</f>
        <v>1500</v>
      </c>
      <c r="F21" s="180">
        <f>-'INCOME STS'!F10</f>
        <v>1500</v>
      </c>
      <c r="G21" s="180">
        <f>-'INCOME STS'!G10</f>
        <v>3000</v>
      </c>
      <c r="H21" s="180">
        <f>-'INCOME STS'!H10</f>
        <v>3000</v>
      </c>
      <c r="I21" s="180">
        <f>-'INCOME STS'!I10</f>
        <v>2000</v>
      </c>
      <c r="J21" s="180">
        <f>-'INCOME STS'!J10</f>
        <v>1000</v>
      </c>
      <c r="K21" s="180">
        <f>-'INCOME STS'!K10</f>
        <v>1000</v>
      </c>
      <c r="L21" s="187"/>
    </row>
    <row r="22" spans="1:12" x14ac:dyDescent="0.35">
      <c r="B22" s="180"/>
      <c r="C22" s="180"/>
      <c r="D22" s="180"/>
      <c r="E22" s="180"/>
      <c r="F22" s="180"/>
      <c r="G22" s="180"/>
      <c r="H22" s="185"/>
      <c r="I22" s="185"/>
      <c r="J22" s="185"/>
      <c r="K22" s="185"/>
      <c r="L22" s="187"/>
    </row>
    <row r="23" spans="1:12" x14ac:dyDescent="0.35">
      <c r="B23" s="186"/>
      <c r="C23" s="186"/>
      <c r="D23" s="186"/>
      <c r="E23" s="186"/>
      <c r="F23" s="186"/>
      <c r="G23" s="186"/>
      <c r="H23" s="187"/>
      <c r="I23" s="187"/>
      <c r="J23" s="187"/>
      <c r="K23" s="187"/>
      <c r="L23" s="18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606D-2B97-4C07-B3EE-67A349E228DE}">
  <dimension ref="A3:L6"/>
  <sheetViews>
    <sheetView showGridLines="0" workbookViewId="0">
      <selection activeCell="K11" sqref="K11"/>
    </sheetView>
  </sheetViews>
  <sheetFormatPr defaultRowHeight="14.5" x14ac:dyDescent="0.35"/>
  <cols>
    <col min="1" max="1" width="20.36328125" customWidth="1"/>
    <col min="2" max="2" width="9.90625" customWidth="1"/>
    <col min="3" max="3" width="11.26953125" customWidth="1"/>
    <col min="4" max="4" width="10.81640625" customWidth="1"/>
    <col min="5" max="5" width="14" customWidth="1"/>
    <col min="6" max="6" width="10.90625" customWidth="1"/>
    <col min="7" max="7" width="12" customWidth="1"/>
    <col min="8" max="8" width="11.7265625" customWidth="1"/>
    <col min="9" max="9" width="13.453125" customWidth="1"/>
    <col min="10" max="10" width="12.81640625" customWidth="1"/>
    <col min="11" max="11" width="13.08984375" customWidth="1"/>
    <col min="12" max="12" width="11.81640625" customWidth="1"/>
  </cols>
  <sheetData>
    <row r="3" spans="1:12" x14ac:dyDescent="0.35">
      <c r="B3">
        <f>'CASHFLOWS STS'!A2</f>
        <v>0</v>
      </c>
      <c r="C3">
        <f>'CASHFLOWS STS'!B2</f>
        <v>2013</v>
      </c>
      <c r="D3">
        <f>'CASHFLOWS STS'!C2</f>
        <v>2014</v>
      </c>
      <c r="E3">
        <f>'CASHFLOWS STS'!D2</f>
        <v>2015</v>
      </c>
      <c r="F3">
        <f>'CASHFLOWS STS'!E2</f>
        <v>2016</v>
      </c>
      <c r="G3">
        <f>'CASHFLOWS STS'!F2</f>
        <v>2017</v>
      </c>
      <c r="H3">
        <f>'CASHFLOWS STS'!G2</f>
        <v>2018</v>
      </c>
      <c r="I3">
        <f>'CASHFLOWS STS'!H2</f>
        <v>2019</v>
      </c>
      <c r="J3">
        <f>'CASHFLOWS STS'!I2</f>
        <v>2020</v>
      </c>
      <c r="K3">
        <f>'CASHFLOWS STS'!J2</f>
        <v>2021</v>
      </c>
      <c r="L3">
        <f>'CASHFLOWS STS'!K2</f>
        <v>2022</v>
      </c>
    </row>
    <row r="4" spans="1:12" x14ac:dyDescent="0.35">
      <c r="A4" t="str">
        <f>'CASHFLOWS STS'!A3</f>
        <v>Operating Cash Flow</v>
      </c>
      <c r="C4" s="66">
        <f>'CASHFLOWS STS'!B7</f>
        <v>12971.179199999999</v>
      </c>
      <c r="D4" s="66">
        <f>'CASHFLOWS STS'!C7</f>
        <v>28238.733497877969</v>
      </c>
      <c r="E4" s="66">
        <f>'CASHFLOWS STS'!D7</f>
        <v>37505.343885131326</v>
      </c>
      <c r="F4" s="66">
        <f>'CASHFLOWS STS'!E7</f>
        <v>42354.07902359531</v>
      </c>
      <c r="G4" s="66">
        <f>'CASHFLOWS STS'!F7</f>
        <v>43480.18475858029</v>
      </c>
      <c r="H4" s="66">
        <f>'CASHFLOWS STS'!G7</f>
        <v>36500.354542739726</v>
      </c>
      <c r="I4" s="66">
        <f>'CASHFLOWS STS'!H7</f>
        <v>33124.751947356162</v>
      </c>
      <c r="J4" s="66">
        <f>'CASHFLOWS STS'!I7</f>
        <v>33652.123569408912</v>
      </c>
      <c r="K4" s="66">
        <f>'CASHFLOWS STS'!J7</f>
        <v>69849.249436795275</v>
      </c>
      <c r="L4" s="66">
        <f>'CASHFLOWS STS'!K7</f>
        <v>74464.042169829263</v>
      </c>
    </row>
    <row r="5" spans="1:12" x14ac:dyDescent="0.35">
      <c r="A5" t="str">
        <f>'CASHFLOWS STS'!A9</f>
        <v>Investing Cash Flow</v>
      </c>
      <c r="C5" s="66">
        <f>-'CASHFLOWS STS'!B11</f>
        <v>15000</v>
      </c>
      <c r="D5" s="66">
        <f>-'CASHFLOWS STS'!C11</f>
        <v>15000</v>
      </c>
      <c r="E5" s="66">
        <f>-'CASHFLOWS STS'!D11</f>
        <v>15000</v>
      </c>
      <c r="F5" s="66">
        <f>-'CASHFLOWS STS'!E11</f>
        <v>15000</v>
      </c>
      <c r="G5" s="66">
        <f>-'CASHFLOWS STS'!F11</f>
        <v>15000</v>
      </c>
      <c r="H5" s="66">
        <f>-'CASHFLOWS STS'!G11</f>
        <v>15000</v>
      </c>
      <c r="I5" s="66">
        <f>-'CASHFLOWS STS'!H11</f>
        <v>15000</v>
      </c>
      <c r="J5" s="66">
        <f>-'CASHFLOWS STS'!I11</f>
        <v>15000</v>
      </c>
      <c r="K5" s="66">
        <f>-'CASHFLOWS STS'!J11</f>
        <v>15000</v>
      </c>
      <c r="L5" s="66">
        <f>-'CASHFLOWS STS'!K11</f>
        <v>15000</v>
      </c>
    </row>
    <row r="6" spans="1:12" x14ac:dyDescent="0.35">
      <c r="A6" t="str">
        <f>'CASHFLOWS STS'!A13</f>
        <v>Financing Cash Flow</v>
      </c>
      <c r="C6" s="66">
        <f>'CASHFLOWS STS'!B16</f>
        <v>70000</v>
      </c>
      <c r="D6" s="66">
        <f>'CASHFLOWS STS'!C16</f>
        <v>0</v>
      </c>
      <c r="E6" s="66">
        <f>'CASHFLOWS STS'!D16</f>
        <v>-20000</v>
      </c>
      <c r="F6" s="66">
        <f>'CASHFLOWS STS'!E16</f>
        <v>0</v>
      </c>
      <c r="G6" s="66">
        <f>'CASHFLOWS STS'!F16</f>
        <v>0</v>
      </c>
      <c r="H6" s="66">
        <f>'CASHFLOWS STS'!G16</f>
        <v>0</v>
      </c>
      <c r="I6" s="66">
        <f>'CASHFLOWS STS'!H16</f>
        <v>0</v>
      </c>
      <c r="J6" s="66">
        <f>'CASHFLOWS STS'!I16</f>
        <v>-20000</v>
      </c>
      <c r="K6" s="66">
        <f>'CASHFLOWS STS'!J16</f>
        <v>0</v>
      </c>
      <c r="L6" s="66">
        <f>'CASHFLOWS STS'!K16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showGridLines="0" tabSelected="1" topLeftCell="A7" zoomScaleNormal="100" workbookViewId="0">
      <selection activeCell="C22" sqref="C22"/>
    </sheetView>
  </sheetViews>
  <sheetFormatPr defaultColWidth="9.1796875" defaultRowHeight="14" x14ac:dyDescent="0.3"/>
  <cols>
    <col min="1" max="2" width="11" style="48" customWidth="1"/>
    <col min="3" max="3" width="32.453125" style="48" customWidth="1"/>
    <col min="4" max="22" width="11" style="48" customWidth="1"/>
    <col min="23" max="25" width="9.1796875" style="48"/>
    <col min="26" max="26" width="9.1796875" style="48" customWidth="1"/>
    <col min="27" max="16384" width="9.1796875" style="48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ht="19.5" customHeight="1" x14ac:dyDescent="0.3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</row>
    <row r="5" spans="2:15" ht="25.5" customHeight="1" x14ac:dyDescent="0.5">
      <c r="B5" s="49"/>
      <c r="C5" s="115" t="str">
        <f>'Three Statement Model'!C1</f>
        <v>HOUSE OF ACCOUNTANTS TRANING ON FINANCIAL MODELING</v>
      </c>
      <c r="D5" s="116"/>
      <c r="E5" s="116"/>
      <c r="F5" s="116"/>
      <c r="G5" s="49"/>
      <c r="H5" s="49"/>
      <c r="I5" s="49"/>
      <c r="J5" s="49"/>
      <c r="K5" s="49"/>
      <c r="L5" s="49"/>
      <c r="M5" s="49"/>
      <c r="N5" s="49"/>
      <c r="O5" s="49"/>
    </row>
    <row r="6" spans="2:15" ht="19.5" customHeight="1" x14ac:dyDescent="0.3"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spans="2:15" ht="19.5" customHeight="1" x14ac:dyDescent="0.3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2:15" ht="19.5" customHeight="1" x14ac:dyDescent="0.3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2:15" ht="19.5" customHeight="1" x14ac:dyDescent="0.3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</row>
    <row r="10" spans="2:15" ht="19.5" customHeight="1" x14ac:dyDescent="0.3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2:15" ht="19.5" customHeight="1" x14ac:dyDescent="0.3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2:15" ht="27" x14ac:dyDescent="0.5">
      <c r="B12" s="49"/>
      <c r="C12" s="50" t="s">
        <v>80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51"/>
      <c r="O12" s="49"/>
    </row>
    <row r="13" spans="2:15" ht="19.5" customHeight="1" x14ac:dyDescent="0.3">
      <c r="B13" s="49"/>
      <c r="C13" s="52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</row>
    <row r="14" spans="2:15" ht="19.5" customHeight="1" x14ac:dyDescent="0.3">
      <c r="B14" s="49"/>
      <c r="C14" s="53" t="s">
        <v>78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</row>
    <row r="15" spans="2:15" ht="19.5" customHeight="1" x14ac:dyDescent="0.35">
      <c r="B15" s="49"/>
      <c r="C15" s="60" t="str">
        <f ca="1">RIGHT(CELL("filename",'Three Statement Model'!A2),LEN(CELL("filename",'Three Statement Model'!A2))-FIND("]",CELL("filename",'Three Statement Model'!A2)))</f>
        <v>Three Statement Model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</row>
    <row r="16" spans="2:15" ht="19.5" customHeight="1" x14ac:dyDescent="0.35">
      <c r="B16" s="49"/>
      <c r="C16" s="61" t="str">
        <f ca="1">RIGHT(CELL("filename",'Raw Data'!A1),LEN(CELL("filename",'Raw Data'!A1))-FIND("]",CELL("filename",'Raw Data'!A1)))</f>
        <v>Raw Data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  <row r="17" spans="2:15" ht="19.5" customHeight="1" x14ac:dyDescent="0.3">
      <c r="B17" s="49"/>
      <c r="C17" s="54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</row>
    <row r="18" spans="2:15" ht="19.5" customHeight="1" x14ac:dyDescent="0.3">
      <c r="B18" s="49"/>
      <c r="C18" s="54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2:15" ht="19.5" customHeight="1" x14ac:dyDescent="0.3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2:15" ht="19.5" customHeight="1" x14ac:dyDescent="0.3">
      <c r="B20" s="49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49"/>
    </row>
    <row r="21" spans="2:15" ht="19.5" customHeight="1" x14ac:dyDescent="0.3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</row>
    <row r="22" spans="2:15" ht="19.5" customHeight="1" x14ac:dyDescent="0.3">
      <c r="B22" s="49"/>
      <c r="C22" s="56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</row>
    <row r="23" spans="2:15" ht="19.5" customHeight="1" x14ac:dyDescent="0.3">
      <c r="B23" s="57"/>
      <c r="C23" s="58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</row>
    <row r="24" spans="2:15" ht="19.5" customHeight="1" x14ac:dyDescent="0.3">
      <c r="B24" s="57"/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57"/>
    </row>
    <row r="25" spans="2:15" ht="19.5" customHeight="1" x14ac:dyDescent="0.3">
      <c r="B25" s="59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59"/>
    </row>
    <row r="26" spans="2:15" ht="19.5" customHeight="1" x14ac:dyDescent="0.3">
      <c r="B26" s="59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59"/>
    </row>
    <row r="27" spans="2:15" ht="19.5" customHeight="1" x14ac:dyDescent="0.3">
      <c r="B27" s="59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59"/>
    </row>
    <row r="28" spans="2:15" ht="19.5" customHeight="1" x14ac:dyDescent="0.3">
      <c r="B28" s="59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59"/>
    </row>
    <row r="29" spans="2:15" ht="19.5" customHeight="1" x14ac:dyDescent="0.3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Three Statement Model'!A1" display="'Three Statement Model'!A1" xr:uid="{00000000-0004-0000-0000-000000000000}"/>
    <hyperlink ref="C16" location="'Raw Data'!A1" display="'Raw Data'!A1" xr:uid="{00000000-0004-0000-0000-000001000000}"/>
  </hyperlinks>
  <pageMargins left="0.7" right="0.7" top="0.75" bottom="0.75" header="0.3" footer="0.3"/>
  <pageSetup scale="9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3"/>
  <sheetViews>
    <sheetView showGridLines="0" zoomScale="110" zoomScaleNormal="110" workbookViewId="0">
      <pane ySplit="4" topLeftCell="A5" activePane="bottomLeft" state="frozen"/>
      <selection pane="bottomLeft" activeCell="E14" sqref="E14"/>
    </sheetView>
  </sheetViews>
  <sheetFormatPr defaultColWidth="9.1796875" defaultRowHeight="15.5" outlineLevelRow="1" x14ac:dyDescent="0.35"/>
  <cols>
    <col min="1" max="1" width="12.81640625" style="7" customWidth="1"/>
    <col min="2" max="2" width="12.453125" style="7" customWidth="1"/>
    <col min="3" max="3" width="11.1796875" style="9" customWidth="1"/>
    <col min="4" max="4" width="12.1796875" style="5" customWidth="1"/>
    <col min="5" max="5" width="12.26953125" style="5" customWidth="1"/>
    <col min="6" max="6" width="13.7265625" style="5" customWidth="1"/>
    <col min="7" max="8" width="12.54296875" style="5" customWidth="1"/>
    <col min="9" max="13" width="11.54296875" style="5" customWidth="1"/>
    <col min="14" max="16384" width="9.1796875" style="7"/>
  </cols>
  <sheetData>
    <row r="1" spans="1:16" ht="22.5" x14ac:dyDescent="0.45">
      <c r="A1" s="62"/>
      <c r="B1" s="62"/>
      <c r="C1" s="63" t="s">
        <v>79</v>
      </c>
      <c r="D1" s="89"/>
      <c r="E1" s="89"/>
      <c r="G1" s="89"/>
      <c r="H1" s="89"/>
      <c r="I1" s="89"/>
      <c r="J1" s="89"/>
      <c r="K1" s="89"/>
      <c r="L1" s="89"/>
      <c r="M1" s="89"/>
    </row>
    <row r="2" spans="1:16" x14ac:dyDescent="0.35">
      <c r="A2" s="38"/>
      <c r="B2" s="39"/>
      <c r="C2" s="40"/>
      <c r="D2" s="90" t="s">
        <v>55</v>
      </c>
      <c r="E2" s="91"/>
      <c r="F2" s="91"/>
      <c r="G2" s="91"/>
      <c r="H2" s="91"/>
      <c r="I2" s="90" t="s">
        <v>70</v>
      </c>
      <c r="J2" s="91"/>
      <c r="K2" s="91"/>
      <c r="L2" s="91"/>
      <c r="M2" s="91"/>
    </row>
    <row r="3" spans="1:16" ht="21" customHeight="1" x14ac:dyDescent="0.4">
      <c r="A3" s="41" t="s">
        <v>56</v>
      </c>
      <c r="B3" s="42"/>
      <c r="C3" s="43"/>
      <c r="D3" s="92">
        <v>2013</v>
      </c>
      <c r="E3" s="92">
        <f>+D3+1</f>
        <v>2014</v>
      </c>
      <c r="F3" s="92">
        <f t="shared" ref="F3:M3" si="0">+E3+1</f>
        <v>2015</v>
      </c>
      <c r="G3" s="92">
        <f t="shared" si="0"/>
        <v>2016</v>
      </c>
      <c r="H3" s="92">
        <f t="shared" si="0"/>
        <v>2017</v>
      </c>
      <c r="I3" s="92">
        <f t="shared" si="0"/>
        <v>2018</v>
      </c>
      <c r="J3" s="92">
        <f t="shared" si="0"/>
        <v>2019</v>
      </c>
      <c r="K3" s="92">
        <f t="shared" si="0"/>
        <v>2020</v>
      </c>
      <c r="L3" s="92">
        <f t="shared" si="0"/>
        <v>2021</v>
      </c>
      <c r="M3" s="92">
        <f t="shared" si="0"/>
        <v>2022</v>
      </c>
      <c r="N3" s="11"/>
      <c r="O3" s="11"/>
      <c r="P3" s="11"/>
    </row>
    <row r="4" spans="1:16" x14ac:dyDescent="0.35">
      <c r="A4" s="7" t="s">
        <v>71</v>
      </c>
      <c r="D4" s="93" t="str">
        <f t="shared" ref="D4:H4" si="1">IFERROR(IF(ABS(D60)&gt;1,"ERROR","OK"),"OK")</f>
        <v>OK</v>
      </c>
      <c r="E4" s="93" t="str">
        <f t="shared" si="1"/>
        <v>OK</v>
      </c>
      <c r="F4" s="93" t="str">
        <f t="shared" si="1"/>
        <v>OK</v>
      </c>
      <c r="G4" s="93" t="str">
        <f t="shared" si="1"/>
        <v>OK</v>
      </c>
      <c r="H4" s="93" t="str">
        <f t="shared" si="1"/>
        <v>OK</v>
      </c>
      <c r="I4" s="93" t="str">
        <f>IFERROR(IF(ABS(I60)&gt;1,"ERROR","OK"),"OK")</f>
        <v>OK</v>
      </c>
      <c r="J4" s="93" t="str">
        <f t="shared" ref="J4:M4" si="2">IFERROR(IF(ABS(J60)&gt;1,"ERROR","OK"),"OK")</f>
        <v>OK</v>
      </c>
      <c r="K4" s="93" t="str">
        <f t="shared" si="2"/>
        <v>OK</v>
      </c>
      <c r="L4" s="93" t="str">
        <f t="shared" si="2"/>
        <v>OK</v>
      </c>
      <c r="M4" s="93" t="str">
        <f t="shared" si="2"/>
        <v>OK</v>
      </c>
    </row>
    <row r="6" spans="1:16" ht="20" x14ac:dyDescent="0.4">
      <c r="A6" s="46" t="s">
        <v>72</v>
      </c>
      <c r="B6" s="44"/>
      <c r="C6" s="45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6" outlineLevel="1" x14ac:dyDescent="0.35">
      <c r="D7" s="12"/>
      <c r="E7" s="12"/>
      <c r="F7" s="12"/>
      <c r="G7" s="12"/>
      <c r="H7" s="12"/>
      <c r="I7" s="13"/>
      <c r="J7" s="13"/>
      <c r="K7" s="13"/>
      <c r="L7" s="13"/>
      <c r="M7" s="13"/>
    </row>
    <row r="8" spans="1:16" outlineLevel="1" x14ac:dyDescent="0.35">
      <c r="A8" s="8" t="s">
        <v>75</v>
      </c>
      <c r="D8" s="12"/>
      <c r="E8" s="12"/>
      <c r="F8" s="12"/>
      <c r="G8" s="12"/>
      <c r="H8" s="12"/>
      <c r="I8" s="13"/>
      <c r="J8" s="13"/>
      <c r="K8" s="13"/>
      <c r="L8" s="13"/>
      <c r="M8" s="13"/>
    </row>
    <row r="9" spans="1:16" outlineLevel="1" x14ac:dyDescent="0.35">
      <c r="A9" s="4" t="s">
        <v>61</v>
      </c>
      <c r="B9" s="14"/>
      <c r="C9" s="15"/>
      <c r="D9" s="3"/>
      <c r="E9" s="3"/>
      <c r="F9" s="3"/>
      <c r="G9" s="3"/>
      <c r="H9" s="3"/>
      <c r="I9" s="2"/>
      <c r="J9" s="2"/>
      <c r="K9" s="2"/>
      <c r="L9" s="2"/>
      <c r="M9" s="2"/>
    </row>
    <row r="10" spans="1:16" outlineLevel="1" x14ac:dyDescent="0.35">
      <c r="A10" s="6" t="s">
        <v>57</v>
      </c>
      <c r="B10" s="6"/>
      <c r="C10" s="16"/>
      <c r="D10" s="17"/>
      <c r="E10" s="17"/>
      <c r="F10" s="17"/>
      <c r="G10" s="17"/>
      <c r="H10" s="17"/>
      <c r="I10" s="18"/>
      <c r="J10" s="18"/>
      <c r="K10" s="18"/>
      <c r="L10" s="18"/>
      <c r="M10" s="18"/>
    </row>
    <row r="11" spans="1:16" outlineLevel="1" x14ac:dyDescent="0.35">
      <c r="A11" s="6" t="s">
        <v>58</v>
      </c>
      <c r="B11" s="6"/>
      <c r="C11" s="16"/>
      <c r="D11" s="17"/>
      <c r="E11" s="17"/>
      <c r="F11" s="17"/>
      <c r="G11" s="17"/>
      <c r="H11" s="17"/>
      <c r="I11" s="18"/>
      <c r="J11" s="18"/>
      <c r="K11" s="18"/>
      <c r="L11" s="18"/>
      <c r="M11" s="18"/>
    </row>
    <row r="12" spans="1:16" outlineLevel="1" x14ac:dyDescent="0.35">
      <c r="A12" s="6" t="s">
        <v>59</v>
      </c>
      <c r="B12" s="6"/>
      <c r="C12" s="16"/>
      <c r="D12" s="19"/>
      <c r="E12" s="19"/>
      <c r="F12" s="19"/>
      <c r="G12" s="19"/>
      <c r="H12" s="19"/>
      <c r="I12" s="20"/>
      <c r="J12" s="20"/>
      <c r="K12" s="20"/>
      <c r="L12" s="20"/>
      <c r="M12" s="20"/>
    </row>
    <row r="13" spans="1:16" outlineLevel="1" x14ac:dyDescent="0.35">
      <c r="A13" s="6" t="s">
        <v>60</v>
      </c>
      <c r="B13" s="6"/>
      <c r="C13" s="16"/>
      <c r="D13" s="17"/>
      <c r="E13" s="17"/>
      <c r="F13" s="17"/>
      <c r="G13" s="17"/>
      <c r="H13" s="17"/>
      <c r="I13" s="18"/>
      <c r="J13" s="18"/>
      <c r="K13" s="18"/>
      <c r="L13" s="18"/>
      <c r="M13" s="18"/>
    </row>
    <row r="14" spans="1:16" outlineLevel="1" x14ac:dyDescent="0.35">
      <c r="A14" s="6" t="s">
        <v>62</v>
      </c>
      <c r="B14" s="6"/>
      <c r="C14" s="16"/>
      <c r="D14" s="17"/>
      <c r="E14" s="17"/>
      <c r="F14" s="17"/>
      <c r="G14" s="17"/>
      <c r="H14" s="17"/>
      <c r="I14" s="18"/>
      <c r="J14" s="18"/>
      <c r="K14" s="18"/>
      <c r="L14" s="18"/>
      <c r="M14" s="18"/>
    </row>
    <row r="15" spans="1:16" outlineLevel="1" x14ac:dyDescent="0.35">
      <c r="A15" s="6" t="s">
        <v>63</v>
      </c>
      <c r="B15" s="21"/>
      <c r="C15" s="22"/>
      <c r="D15" s="17"/>
      <c r="E15" s="17"/>
      <c r="F15" s="17"/>
      <c r="G15" s="17"/>
      <c r="H15" s="17"/>
      <c r="I15" s="18"/>
      <c r="J15" s="18"/>
      <c r="K15" s="18"/>
      <c r="L15" s="18"/>
      <c r="M15" s="18"/>
    </row>
    <row r="16" spans="1:16" outlineLevel="1" x14ac:dyDescent="0.35">
      <c r="A16" s="7" t="s">
        <v>64</v>
      </c>
      <c r="C16" s="23"/>
      <c r="D16" s="12"/>
      <c r="E16" s="12"/>
      <c r="F16" s="12"/>
      <c r="G16" s="12"/>
      <c r="H16" s="12"/>
      <c r="I16" s="13"/>
      <c r="J16" s="13"/>
      <c r="K16" s="13"/>
      <c r="L16" s="13"/>
      <c r="M16" s="13"/>
    </row>
    <row r="17" spans="1:13" outlineLevel="1" x14ac:dyDescent="0.35">
      <c r="A17" s="7" t="s">
        <v>65</v>
      </c>
      <c r="C17" s="23"/>
      <c r="D17" s="12"/>
      <c r="E17" s="12"/>
      <c r="F17" s="12"/>
      <c r="G17" s="12"/>
      <c r="H17" s="12"/>
      <c r="I17" s="13"/>
      <c r="J17" s="13"/>
      <c r="K17" s="13"/>
      <c r="L17" s="13"/>
      <c r="M17" s="13"/>
    </row>
    <row r="18" spans="1:13" outlineLevel="1" x14ac:dyDescent="0.35">
      <c r="A18" s="7" t="s">
        <v>66</v>
      </c>
      <c r="C18" s="23"/>
      <c r="D18" s="12"/>
      <c r="E18" s="12"/>
      <c r="F18" s="12"/>
      <c r="G18" s="12"/>
      <c r="H18" s="12"/>
      <c r="I18" s="13"/>
      <c r="J18" s="13"/>
      <c r="K18" s="13"/>
      <c r="L18" s="13"/>
      <c r="M18" s="13"/>
    </row>
    <row r="19" spans="1:13" outlineLevel="1" x14ac:dyDescent="0.35">
      <c r="A19" s="7" t="s">
        <v>67</v>
      </c>
      <c r="D19" s="12"/>
      <c r="E19" s="12"/>
      <c r="F19" s="12"/>
      <c r="G19" s="12"/>
      <c r="H19" s="12"/>
      <c r="I19" s="13"/>
      <c r="J19" s="13"/>
      <c r="K19" s="13"/>
      <c r="L19" s="13"/>
      <c r="M19" s="13"/>
    </row>
    <row r="20" spans="1:13" outlineLevel="1" x14ac:dyDescent="0.35">
      <c r="A20" s="7" t="s">
        <v>69</v>
      </c>
      <c r="D20" s="12"/>
      <c r="E20" s="12"/>
      <c r="F20" s="12"/>
      <c r="G20" s="12"/>
      <c r="H20" s="12"/>
      <c r="I20" s="13"/>
      <c r="J20" s="13"/>
      <c r="K20" s="13"/>
      <c r="L20" s="13"/>
      <c r="M20" s="13"/>
    </row>
    <row r="21" spans="1:13" outlineLevel="1" x14ac:dyDescent="0.35">
      <c r="A21" s="7" t="s">
        <v>68</v>
      </c>
      <c r="D21" s="12"/>
      <c r="E21" s="12"/>
      <c r="F21" s="12"/>
      <c r="G21" s="12"/>
      <c r="H21" s="12"/>
      <c r="I21" s="13"/>
      <c r="J21" s="13"/>
      <c r="K21" s="13"/>
      <c r="L21" s="13"/>
      <c r="M21" s="13"/>
    </row>
    <row r="22" spans="1:13" outlineLevel="1" x14ac:dyDescent="0.35">
      <c r="D22" s="12"/>
      <c r="E22" s="12"/>
      <c r="F22" s="12"/>
      <c r="G22" s="12"/>
      <c r="H22" s="12"/>
      <c r="I22" s="13"/>
      <c r="J22" s="13"/>
      <c r="K22" s="13"/>
      <c r="L22" s="13"/>
      <c r="M22" s="13"/>
    </row>
    <row r="23" spans="1:13" x14ac:dyDescent="0.35">
      <c r="D23" s="12"/>
      <c r="E23" s="12"/>
      <c r="F23" s="12"/>
      <c r="G23" s="12"/>
      <c r="H23" s="12"/>
      <c r="I23" s="13"/>
      <c r="J23" s="13"/>
      <c r="K23" s="13"/>
      <c r="L23" s="13"/>
      <c r="M23" s="13"/>
    </row>
    <row r="24" spans="1:13" ht="20" x14ac:dyDescent="0.4">
      <c r="A24" s="46" t="s">
        <v>0</v>
      </c>
      <c r="B24" s="44"/>
      <c r="C24" s="45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outlineLevel="1" x14ac:dyDescent="0.35">
      <c r="A25" s="24"/>
      <c r="B25" s="24"/>
      <c r="C25" s="10"/>
      <c r="D25" s="94"/>
      <c r="E25" s="94"/>
      <c r="F25" s="94"/>
      <c r="G25" s="94"/>
      <c r="H25" s="94"/>
      <c r="I25" s="95"/>
      <c r="J25" s="95"/>
      <c r="K25" s="95"/>
      <c r="L25" s="95"/>
      <c r="M25" s="95"/>
    </row>
    <row r="26" spans="1:13" outlineLevel="1" x14ac:dyDescent="0.35">
      <c r="A26" s="8" t="s">
        <v>77</v>
      </c>
      <c r="B26" s="8"/>
      <c r="C26" s="25"/>
      <c r="D26" s="96"/>
      <c r="E26" s="96"/>
      <c r="F26" s="96"/>
      <c r="G26" s="96"/>
      <c r="H26" s="96"/>
      <c r="I26" s="1"/>
      <c r="J26" s="1"/>
      <c r="K26" s="1"/>
      <c r="L26" s="1"/>
      <c r="M26" s="1"/>
    </row>
    <row r="27" spans="1:13" outlineLevel="1" x14ac:dyDescent="0.35">
      <c r="A27" s="6" t="s">
        <v>54</v>
      </c>
      <c r="B27" s="6"/>
      <c r="C27" s="16"/>
      <c r="D27" s="86"/>
      <c r="E27" s="86"/>
      <c r="F27" s="86"/>
      <c r="G27" s="86"/>
      <c r="H27" s="86"/>
      <c r="I27" s="87"/>
      <c r="J27" s="87"/>
      <c r="K27" s="87"/>
      <c r="L27" s="87"/>
      <c r="M27" s="87"/>
    </row>
    <row r="28" spans="1:13" outlineLevel="1" x14ac:dyDescent="0.35">
      <c r="A28" s="14" t="s">
        <v>1</v>
      </c>
      <c r="B28" s="14"/>
      <c r="C28" s="15"/>
      <c r="D28" s="97">
        <f>D26-D27</f>
        <v>0</v>
      </c>
      <c r="E28" s="97">
        <f t="shared" ref="E28:M28" si="3">E26-E27</f>
        <v>0</v>
      </c>
      <c r="F28" s="97">
        <f t="shared" si="3"/>
        <v>0</v>
      </c>
      <c r="G28" s="97">
        <f t="shared" si="3"/>
        <v>0</v>
      </c>
      <c r="H28" s="97">
        <f t="shared" si="3"/>
        <v>0</v>
      </c>
      <c r="I28" s="97">
        <f t="shared" si="3"/>
        <v>0</v>
      </c>
      <c r="J28" s="97">
        <f t="shared" si="3"/>
        <v>0</v>
      </c>
      <c r="K28" s="97">
        <f t="shared" si="3"/>
        <v>0</v>
      </c>
      <c r="L28" s="97">
        <f t="shared" si="3"/>
        <v>0</v>
      </c>
      <c r="M28" s="97">
        <f t="shared" si="3"/>
        <v>0</v>
      </c>
    </row>
    <row r="29" spans="1:13" outlineLevel="1" x14ac:dyDescent="0.35">
      <c r="A29" s="24" t="s">
        <v>73</v>
      </c>
      <c r="B29" s="24"/>
      <c r="C29" s="10"/>
      <c r="D29" s="96"/>
      <c r="E29" s="96"/>
      <c r="F29" s="96"/>
      <c r="G29" s="96"/>
      <c r="H29" s="96"/>
      <c r="I29" s="98"/>
      <c r="J29" s="98"/>
      <c r="K29" s="98"/>
      <c r="L29" s="95"/>
      <c r="M29" s="95"/>
    </row>
    <row r="30" spans="1:13" outlineLevel="1" x14ac:dyDescent="0.35">
      <c r="A30" s="7" t="s">
        <v>2</v>
      </c>
      <c r="D30" s="96"/>
      <c r="E30" s="96"/>
      <c r="F30" s="96"/>
      <c r="G30" s="96"/>
      <c r="H30" s="96"/>
    </row>
    <row r="31" spans="1:13" outlineLevel="1" x14ac:dyDescent="0.35">
      <c r="A31" s="7" t="s">
        <v>3</v>
      </c>
      <c r="D31" s="96"/>
      <c r="E31" s="96"/>
      <c r="F31" s="96"/>
      <c r="G31" s="96"/>
      <c r="H31" s="96"/>
    </row>
    <row r="32" spans="1:13" outlineLevel="1" x14ac:dyDescent="0.35">
      <c r="A32" s="7" t="s">
        <v>4</v>
      </c>
      <c r="D32" s="96"/>
      <c r="E32" s="96"/>
      <c r="F32" s="96"/>
      <c r="G32" s="96"/>
      <c r="H32" s="96"/>
    </row>
    <row r="33" spans="1:13" outlineLevel="1" x14ac:dyDescent="0.35">
      <c r="A33" s="26" t="s">
        <v>5</v>
      </c>
      <c r="B33" s="26"/>
      <c r="C33" s="27"/>
      <c r="D33" s="86"/>
      <c r="E33" s="86"/>
      <c r="F33" s="86"/>
      <c r="G33" s="86"/>
      <c r="H33" s="86"/>
      <c r="I33" s="99"/>
      <c r="J33" s="99"/>
      <c r="K33" s="99"/>
      <c r="L33" s="99"/>
      <c r="M33" s="99"/>
    </row>
    <row r="34" spans="1:13" outlineLevel="1" x14ac:dyDescent="0.35">
      <c r="A34" s="24" t="s">
        <v>74</v>
      </c>
      <c r="B34" s="6"/>
      <c r="C34" s="16"/>
      <c r="D34" s="100">
        <f>SUM(D30:D33)</f>
        <v>0</v>
      </c>
      <c r="E34" s="100">
        <f t="shared" ref="E34:M34" si="4">SUM(E30:E33)</f>
        <v>0</v>
      </c>
      <c r="F34" s="100">
        <f t="shared" si="4"/>
        <v>0</v>
      </c>
      <c r="G34" s="100">
        <f t="shared" si="4"/>
        <v>0</v>
      </c>
      <c r="H34" s="100">
        <f t="shared" si="4"/>
        <v>0</v>
      </c>
      <c r="I34" s="100">
        <f t="shared" si="4"/>
        <v>0</v>
      </c>
      <c r="J34" s="100">
        <f t="shared" si="4"/>
        <v>0</v>
      </c>
      <c r="K34" s="100">
        <f t="shared" si="4"/>
        <v>0</v>
      </c>
      <c r="L34" s="100">
        <f t="shared" si="4"/>
        <v>0</v>
      </c>
      <c r="M34" s="100">
        <f t="shared" si="4"/>
        <v>0</v>
      </c>
    </row>
    <row r="35" spans="1:13" outlineLevel="1" x14ac:dyDescent="0.35">
      <c r="A35" s="14" t="s">
        <v>6</v>
      </c>
      <c r="B35" s="14"/>
      <c r="C35" s="15"/>
      <c r="D35" s="97">
        <f>D28-D34</f>
        <v>0</v>
      </c>
      <c r="E35" s="97">
        <f t="shared" ref="E35:M35" si="5">E28-E34</f>
        <v>0</v>
      </c>
      <c r="F35" s="97">
        <f t="shared" si="5"/>
        <v>0</v>
      </c>
      <c r="G35" s="97">
        <f t="shared" si="5"/>
        <v>0</v>
      </c>
      <c r="H35" s="97">
        <f t="shared" si="5"/>
        <v>0</v>
      </c>
      <c r="I35" s="97">
        <f t="shared" si="5"/>
        <v>0</v>
      </c>
      <c r="J35" s="97">
        <f t="shared" si="5"/>
        <v>0</v>
      </c>
      <c r="K35" s="97">
        <f t="shared" si="5"/>
        <v>0</v>
      </c>
      <c r="L35" s="97">
        <f t="shared" si="5"/>
        <v>0</v>
      </c>
      <c r="M35" s="97">
        <f t="shared" si="5"/>
        <v>0</v>
      </c>
    </row>
    <row r="36" spans="1:13" outlineLevel="1" x14ac:dyDescent="0.35">
      <c r="A36" s="24"/>
      <c r="B36" s="24"/>
      <c r="C36" s="10"/>
      <c r="D36" s="96"/>
      <c r="E36" s="96"/>
      <c r="F36" s="96"/>
      <c r="G36" s="96"/>
      <c r="H36" s="96"/>
      <c r="I36" s="95"/>
      <c r="J36" s="95"/>
      <c r="K36" s="95"/>
      <c r="L36" s="95"/>
      <c r="M36" s="95"/>
    </row>
    <row r="37" spans="1:13" outlineLevel="1" x14ac:dyDescent="0.35">
      <c r="A37" s="6" t="s">
        <v>7</v>
      </c>
      <c r="B37" s="6"/>
      <c r="C37" s="16"/>
      <c r="D37" s="86"/>
      <c r="E37" s="86"/>
      <c r="F37" s="86"/>
      <c r="G37" s="86"/>
      <c r="H37" s="86"/>
      <c r="I37" s="28"/>
      <c r="J37" s="28"/>
      <c r="K37" s="28"/>
      <c r="L37" s="28"/>
      <c r="M37" s="28"/>
    </row>
    <row r="38" spans="1:13" ht="16" outlineLevel="1" thickBot="1" x14ac:dyDescent="0.4">
      <c r="A38" s="29" t="s">
        <v>8</v>
      </c>
      <c r="B38" s="29"/>
      <c r="C38" s="30"/>
      <c r="D38" s="100">
        <f>D35-D37</f>
        <v>0</v>
      </c>
      <c r="E38" s="100">
        <f t="shared" ref="E38:M38" si="6">E35-E37</f>
        <v>0</v>
      </c>
      <c r="F38" s="100">
        <f t="shared" si="6"/>
        <v>0</v>
      </c>
      <c r="G38" s="100">
        <f t="shared" si="6"/>
        <v>0</v>
      </c>
      <c r="H38" s="100">
        <f t="shared" si="6"/>
        <v>0</v>
      </c>
      <c r="I38" s="100">
        <f t="shared" si="6"/>
        <v>0</v>
      </c>
      <c r="J38" s="100">
        <f t="shared" si="6"/>
        <v>0</v>
      </c>
      <c r="K38" s="100">
        <f t="shared" si="6"/>
        <v>0</v>
      </c>
      <c r="L38" s="100">
        <f t="shared" si="6"/>
        <v>0</v>
      </c>
      <c r="M38" s="100">
        <f t="shared" si="6"/>
        <v>0</v>
      </c>
    </row>
    <row r="39" spans="1:13" ht="16" outlineLevel="1" collapsed="1" thickTop="1" x14ac:dyDescent="0.35">
      <c r="D39" s="101"/>
      <c r="E39" s="101"/>
      <c r="F39" s="101"/>
      <c r="G39" s="101"/>
      <c r="H39" s="101"/>
    </row>
    <row r="40" spans="1:13" x14ac:dyDescent="0.35">
      <c r="D40" s="101"/>
      <c r="E40" s="101"/>
      <c r="F40" s="101"/>
      <c r="G40" s="101"/>
      <c r="H40" s="101"/>
    </row>
    <row r="41" spans="1:13" ht="20" x14ac:dyDescent="0.4">
      <c r="A41" s="46" t="s">
        <v>9</v>
      </c>
      <c r="B41" s="44"/>
      <c r="C41" s="45"/>
      <c r="D41" s="102"/>
      <c r="E41" s="102"/>
      <c r="F41" s="102"/>
      <c r="G41" s="102"/>
      <c r="H41" s="102"/>
      <c r="I41" s="19"/>
      <c r="J41" s="19"/>
      <c r="K41" s="19"/>
      <c r="L41" s="19"/>
      <c r="M41" s="19"/>
    </row>
    <row r="42" spans="1:13" outlineLevel="1" x14ac:dyDescent="0.35">
      <c r="D42" s="101"/>
      <c r="E42" s="101"/>
      <c r="F42" s="101"/>
      <c r="G42" s="101"/>
      <c r="H42" s="101"/>
    </row>
    <row r="43" spans="1:13" outlineLevel="1" x14ac:dyDescent="0.35">
      <c r="A43" s="8" t="s">
        <v>10</v>
      </c>
      <c r="D43" s="101"/>
      <c r="E43" s="101"/>
      <c r="F43" s="101"/>
      <c r="G43" s="101"/>
      <c r="H43" s="101"/>
    </row>
    <row r="44" spans="1:13" outlineLevel="1" x14ac:dyDescent="0.35">
      <c r="A44" s="7" t="s">
        <v>11</v>
      </c>
      <c r="C44" s="31"/>
      <c r="D44" s="96"/>
      <c r="E44" s="96"/>
      <c r="F44" s="96"/>
      <c r="G44" s="96"/>
      <c r="H44" s="96"/>
    </row>
    <row r="45" spans="1:13" outlineLevel="1" x14ac:dyDescent="0.35">
      <c r="A45" s="7" t="s">
        <v>12</v>
      </c>
      <c r="C45" s="31"/>
      <c r="D45" s="96"/>
      <c r="E45" s="96"/>
      <c r="F45" s="96"/>
      <c r="G45" s="96"/>
      <c r="H45" s="96"/>
      <c r="I45" s="103"/>
      <c r="J45" s="103"/>
      <c r="K45" s="103"/>
      <c r="L45" s="103"/>
      <c r="M45" s="103"/>
    </row>
    <row r="46" spans="1:13" outlineLevel="1" x14ac:dyDescent="0.35">
      <c r="A46" s="7" t="s">
        <v>18</v>
      </c>
      <c r="C46" s="31"/>
      <c r="D46" s="96"/>
      <c r="E46" s="96"/>
      <c r="F46" s="96"/>
      <c r="G46" s="96"/>
      <c r="H46" s="96"/>
    </row>
    <row r="47" spans="1:13" outlineLevel="1" x14ac:dyDescent="0.35">
      <c r="A47" s="7" t="s">
        <v>13</v>
      </c>
      <c r="D47" s="86"/>
      <c r="E47" s="86"/>
      <c r="F47" s="86"/>
      <c r="G47" s="86"/>
      <c r="H47" s="86"/>
    </row>
    <row r="48" spans="1:13" ht="16" outlineLevel="1" thickBot="1" x14ac:dyDescent="0.4">
      <c r="A48" s="29" t="s">
        <v>19</v>
      </c>
      <c r="B48" s="29"/>
      <c r="C48" s="30"/>
      <c r="D48" s="100">
        <f>SUM(D44:D47)</f>
        <v>0</v>
      </c>
      <c r="E48" s="100">
        <f>SUM(E44:E47)</f>
        <v>0</v>
      </c>
      <c r="F48" s="100">
        <f t="shared" ref="F48:M48" si="7">SUM(F44:F47)</f>
        <v>0</v>
      </c>
      <c r="G48" s="100">
        <f t="shared" si="7"/>
        <v>0</v>
      </c>
      <c r="H48" s="100">
        <f t="shared" si="7"/>
        <v>0</v>
      </c>
      <c r="I48" s="100">
        <f t="shared" si="7"/>
        <v>0</v>
      </c>
      <c r="J48" s="100">
        <f t="shared" si="7"/>
        <v>0</v>
      </c>
      <c r="K48" s="100">
        <f t="shared" si="7"/>
        <v>0</v>
      </c>
      <c r="L48" s="100">
        <f t="shared" si="7"/>
        <v>0</v>
      </c>
      <c r="M48" s="100">
        <f t="shared" si="7"/>
        <v>0</v>
      </c>
    </row>
    <row r="49" spans="1:13" ht="16" outlineLevel="1" thickTop="1" x14ac:dyDescent="0.35">
      <c r="A49" s="24"/>
      <c r="B49" s="24"/>
      <c r="C49" s="10"/>
      <c r="D49" s="96"/>
      <c r="E49" s="96"/>
      <c r="F49" s="96"/>
      <c r="G49" s="96"/>
      <c r="H49" s="96"/>
      <c r="I49" s="104"/>
      <c r="J49" s="104"/>
      <c r="K49" s="104"/>
      <c r="L49" s="104"/>
      <c r="M49" s="104"/>
    </row>
    <row r="50" spans="1:13" outlineLevel="1" x14ac:dyDescent="0.35">
      <c r="A50" s="8" t="s">
        <v>20</v>
      </c>
      <c r="C50" s="31"/>
      <c r="D50" s="96"/>
      <c r="E50" s="96"/>
      <c r="F50" s="96"/>
      <c r="G50" s="96"/>
      <c r="H50" s="96"/>
    </row>
    <row r="51" spans="1:13" outlineLevel="1" x14ac:dyDescent="0.35">
      <c r="A51" s="7" t="s">
        <v>21</v>
      </c>
      <c r="C51" s="31"/>
      <c r="D51" s="96"/>
      <c r="E51" s="96"/>
      <c r="F51" s="96"/>
      <c r="G51" s="96"/>
      <c r="H51" s="96"/>
    </row>
    <row r="52" spans="1:13" outlineLevel="1" x14ac:dyDescent="0.35">
      <c r="A52" s="7" t="s">
        <v>22</v>
      </c>
      <c r="D52" s="86"/>
      <c r="E52" s="86"/>
      <c r="F52" s="86"/>
      <c r="G52" s="86"/>
      <c r="H52" s="86"/>
      <c r="I52" s="105"/>
      <c r="J52" s="105"/>
      <c r="K52" s="105"/>
      <c r="L52" s="105"/>
      <c r="M52" s="105"/>
    </row>
    <row r="53" spans="1:13" outlineLevel="1" x14ac:dyDescent="0.35">
      <c r="A53" s="14" t="s">
        <v>27</v>
      </c>
      <c r="B53" s="14"/>
      <c r="C53" s="15"/>
      <c r="D53" s="97">
        <f>SUM(D51:D52)</f>
        <v>0</v>
      </c>
      <c r="E53" s="97">
        <f t="shared" ref="E53:M53" si="8">SUM(E51:E52)</f>
        <v>0</v>
      </c>
      <c r="F53" s="97">
        <f t="shared" si="8"/>
        <v>0</v>
      </c>
      <c r="G53" s="97">
        <f t="shared" si="8"/>
        <v>0</v>
      </c>
      <c r="H53" s="97">
        <f t="shared" si="8"/>
        <v>0</v>
      </c>
      <c r="I53" s="97">
        <f t="shared" si="8"/>
        <v>0</v>
      </c>
      <c r="J53" s="97">
        <f t="shared" si="8"/>
        <v>0</v>
      </c>
      <c r="K53" s="97">
        <f t="shared" si="8"/>
        <v>0</v>
      </c>
      <c r="L53" s="97">
        <f t="shared" si="8"/>
        <v>0</v>
      </c>
      <c r="M53" s="97">
        <f t="shared" si="8"/>
        <v>0</v>
      </c>
    </row>
    <row r="54" spans="1:13" outlineLevel="1" x14ac:dyDescent="0.35">
      <c r="A54" s="8" t="s">
        <v>28</v>
      </c>
      <c r="D54" s="96"/>
      <c r="E54" s="96"/>
      <c r="F54" s="96"/>
      <c r="G54" s="96"/>
      <c r="H54" s="96"/>
    </row>
    <row r="55" spans="1:13" outlineLevel="1" x14ac:dyDescent="0.35">
      <c r="A55" s="7" t="s">
        <v>29</v>
      </c>
      <c r="D55" s="96"/>
      <c r="E55" s="96"/>
      <c r="F55" s="96"/>
      <c r="G55" s="96"/>
      <c r="H55" s="96"/>
    </row>
    <row r="56" spans="1:13" outlineLevel="1" x14ac:dyDescent="0.35">
      <c r="A56" s="7" t="s">
        <v>30</v>
      </c>
      <c r="C56" s="27"/>
      <c r="D56" s="86"/>
      <c r="E56" s="86"/>
      <c r="F56" s="86"/>
      <c r="G56" s="86"/>
      <c r="H56" s="86"/>
    </row>
    <row r="57" spans="1:13" outlineLevel="1" x14ac:dyDescent="0.35">
      <c r="A57" s="32" t="s">
        <v>28</v>
      </c>
      <c r="B57" s="32"/>
      <c r="C57" s="33"/>
      <c r="D57" s="100">
        <f>SUM(D55:D56)</f>
        <v>0</v>
      </c>
      <c r="E57" s="100">
        <f t="shared" ref="E57:M57" si="9">SUM(E55:E56)</f>
        <v>0</v>
      </c>
      <c r="F57" s="100">
        <f t="shared" si="9"/>
        <v>0</v>
      </c>
      <c r="G57" s="100">
        <f t="shared" si="9"/>
        <v>0</v>
      </c>
      <c r="H57" s="100">
        <f t="shared" si="9"/>
        <v>0</v>
      </c>
      <c r="I57" s="100">
        <f t="shared" si="9"/>
        <v>0</v>
      </c>
      <c r="J57" s="100">
        <f t="shared" si="9"/>
        <v>0</v>
      </c>
      <c r="K57" s="100">
        <f t="shared" si="9"/>
        <v>0</v>
      </c>
      <c r="L57" s="100">
        <f t="shared" si="9"/>
        <v>0</v>
      </c>
      <c r="M57" s="100">
        <f t="shared" si="9"/>
        <v>0</v>
      </c>
    </row>
    <row r="58" spans="1:13" ht="16" outlineLevel="1" thickBot="1" x14ac:dyDescent="0.4">
      <c r="A58" s="29" t="s">
        <v>31</v>
      </c>
      <c r="B58" s="29"/>
      <c r="C58" s="85"/>
      <c r="D58" s="100">
        <f>D53+D57</f>
        <v>0</v>
      </c>
      <c r="E58" s="100">
        <f t="shared" ref="E58:M58" si="10">E53+E57</f>
        <v>0</v>
      </c>
      <c r="F58" s="100">
        <f t="shared" si="10"/>
        <v>0</v>
      </c>
      <c r="G58" s="100">
        <f t="shared" si="10"/>
        <v>0</v>
      </c>
      <c r="H58" s="100">
        <f t="shared" si="10"/>
        <v>0</v>
      </c>
      <c r="I58" s="100">
        <f t="shared" si="10"/>
        <v>0</v>
      </c>
      <c r="J58" s="100">
        <f t="shared" si="10"/>
        <v>0</v>
      </c>
      <c r="K58" s="100">
        <f t="shared" si="10"/>
        <v>0</v>
      </c>
      <c r="L58" s="100">
        <f t="shared" si="10"/>
        <v>0</v>
      </c>
      <c r="M58" s="100">
        <f t="shared" si="10"/>
        <v>0</v>
      </c>
    </row>
    <row r="59" spans="1:13" ht="16" outlineLevel="1" thickTop="1" x14ac:dyDescent="0.35">
      <c r="D59" s="101"/>
      <c r="E59" s="101"/>
      <c r="F59" s="101"/>
      <c r="G59" s="101"/>
      <c r="H59" s="101"/>
    </row>
    <row r="60" spans="1:13" outlineLevel="1" x14ac:dyDescent="0.35">
      <c r="A60" s="34" t="s">
        <v>49</v>
      </c>
      <c r="B60" s="35"/>
      <c r="C60" s="36"/>
      <c r="D60" s="106">
        <f>D48-D58</f>
        <v>0</v>
      </c>
      <c r="E60" s="106">
        <f t="shared" ref="E60:M60" si="11">E48-E58</f>
        <v>0</v>
      </c>
      <c r="F60" s="106">
        <f t="shared" si="11"/>
        <v>0</v>
      </c>
      <c r="G60" s="106">
        <f t="shared" si="11"/>
        <v>0</v>
      </c>
      <c r="H60" s="106">
        <f t="shared" si="11"/>
        <v>0</v>
      </c>
      <c r="I60" s="106">
        <f t="shared" si="11"/>
        <v>0</v>
      </c>
      <c r="J60" s="106">
        <f t="shared" si="11"/>
        <v>0</v>
      </c>
      <c r="K60" s="106">
        <f t="shared" si="11"/>
        <v>0</v>
      </c>
      <c r="L60" s="106">
        <f t="shared" si="11"/>
        <v>0</v>
      </c>
      <c r="M60" s="106">
        <f t="shared" si="11"/>
        <v>0</v>
      </c>
    </row>
    <row r="61" spans="1:13" outlineLevel="1" x14ac:dyDescent="0.35">
      <c r="A61" s="35"/>
      <c r="B61" s="35"/>
      <c r="C61" s="36"/>
      <c r="D61" s="106"/>
      <c r="E61" s="106"/>
      <c r="F61" s="106"/>
      <c r="G61" s="106"/>
      <c r="H61" s="106"/>
      <c r="I61" s="107"/>
      <c r="J61" s="107"/>
      <c r="K61" s="107"/>
      <c r="L61" s="107"/>
      <c r="M61" s="107"/>
    </row>
    <row r="62" spans="1:13" x14ac:dyDescent="0.35">
      <c r="D62" s="101"/>
      <c r="E62" s="101"/>
      <c r="F62" s="101"/>
      <c r="G62" s="101"/>
      <c r="H62" s="101"/>
    </row>
    <row r="63" spans="1:13" ht="20" x14ac:dyDescent="0.4">
      <c r="A63" s="46" t="s">
        <v>48</v>
      </c>
      <c r="B63" s="44"/>
      <c r="C63" s="45"/>
      <c r="D63" s="102"/>
      <c r="E63" s="102"/>
      <c r="F63" s="102"/>
      <c r="G63" s="102"/>
      <c r="H63" s="102"/>
      <c r="I63" s="19"/>
      <c r="J63" s="19"/>
      <c r="K63" s="19"/>
      <c r="L63" s="19"/>
      <c r="M63" s="19"/>
    </row>
    <row r="64" spans="1:13" outlineLevel="1" x14ac:dyDescent="0.35">
      <c r="A64" s="8"/>
      <c r="D64" s="108"/>
      <c r="E64" s="101"/>
      <c r="F64" s="101"/>
      <c r="G64" s="101"/>
      <c r="H64" s="101"/>
    </row>
    <row r="65" spans="1:13" outlineLevel="1" x14ac:dyDescent="0.35">
      <c r="A65" s="8" t="s">
        <v>32</v>
      </c>
      <c r="D65" s="101"/>
      <c r="E65" s="101"/>
      <c r="F65" s="101"/>
      <c r="G65" s="101"/>
      <c r="H65" s="101"/>
    </row>
    <row r="66" spans="1:13" outlineLevel="1" x14ac:dyDescent="0.35">
      <c r="A66" s="7" t="s">
        <v>8</v>
      </c>
      <c r="D66" s="96"/>
      <c r="E66" s="96"/>
      <c r="F66" s="96"/>
      <c r="G66" s="96"/>
      <c r="H66" s="96"/>
    </row>
    <row r="67" spans="1:13" outlineLevel="1" x14ac:dyDescent="0.35">
      <c r="A67" s="7" t="s">
        <v>33</v>
      </c>
      <c r="D67" s="96"/>
      <c r="E67" s="96"/>
      <c r="F67" s="96"/>
      <c r="G67" s="96"/>
      <c r="H67" s="96"/>
    </row>
    <row r="68" spans="1:13" outlineLevel="1" x14ac:dyDescent="0.35">
      <c r="A68" s="7" t="s">
        <v>37</v>
      </c>
      <c r="D68" s="86"/>
      <c r="E68" s="86"/>
      <c r="F68" s="86"/>
      <c r="G68" s="86"/>
      <c r="H68" s="86"/>
      <c r="I68" s="105"/>
      <c r="J68" s="105"/>
      <c r="K68" s="105"/>
      <c r="L68" s="105"/>
      <c r="M68" s="105"/>
    </row>
    <row r="69" spans="1:13" outlineLevel="1" x14ac:dyDescent="0.35">
      <c r="A69" s="14" t="s">
        <v>34</v>
      </c>
      <c r="B69" s="4"/>
      <c r="C69" s="37"/>
      <c r="D69" s="97">
        <f>D66+D67-D68</f>
        <v>0</v>
      </c>
      <c r="E69" s="97">
        <f t="shared" ref="E69:M69" si="12">E66+E67-E68</f>
        <v>0</v>
      </c>
      <c r="F69" s="97">
        <f t="shared" si="12"/>
        <v>0</v>
      </c>
      <c r="G69" s="97">
        <f t="shared" si="12"/>
        <v>0</v>
      </c>
      <c r="H69" s="97">
        <f t="shared" si="12"/>
        <v>0</v>
      </c>
      <c r="I69" s="97">
        <f t="shared" si="12"/>
        <v>0</v>
      </c>
      <c r="J69" s="97">
        <f t="shared" si="12"/>
        <v>0</v>
      </c>
      <c r="K69" s="97">
        <f t="shared" si="12"/>
        <v>0</v>
      </c>
      <c r="L69" s="97">
        <f t="shared" si="12"/>
        <v>0</v>
      </c>
      <c r="M69" s="97">
        <f t="shared" si="12"/>
        <v>0</v>
      </c>
    </row>
    <row r="70" spans="1:13" outlineLevel="1" x14ac:dyDescent="0.35">
      <c r="A70" s="24"/>
      <c r="B70" s="6"/>
      <c r="C70" s="16"/>
      <c r="D70" s="96"/>
      <c r="E70" s="96"/>
      <c r="F70" s="96"/>
      <c r="G70" s="96"/>
      <c r="H70" s="96"/>
      <c r="I70" s="104"/>
      <c r="J70" s="104"/>
      <c r="K70" s="104"/>
      <c r="L70" s="104"/>
      <c r="M70" s="104"/>
    </row>
    <row r="71" spans="1:13" outlineLevel="1" x14ac:dyDescent="0.35">
      <c r="A71" s="8" t="s">
        <v>38</v>
      </c>
      <c r="D71" s="96"/>
      <c r="E71" s="96"/>
      <c r="F71" s="96"/>
      <c r="G71" s="96"/>
      <c r="H71" s="96"/>
      <c r="I71" s="109"/>
      <c r="J71" s="109"/>
      <c r="K71" s="109"/>
      <c r="L71" s="109"/>
      <c r="M71" s="109"/>
    </row>
    <row r="72" spans="1:13" outlineLevel="1" x14ac:dyDescent="0.35">
      <c r="A72" s="7" t="s">
        <v>39</v>
      </c>
      <c r="D72" s="86"/>
      <c r="E72" s="86"/>
      <c r="F72" s="86"/>
      <c r="G72" s="86"/>
      <c r="H72" s="86"/>
      <c r="I72" s="105"/>
      <c r="J72" s="105"/>
      <c r="K72" s="105"/>
      <c r="L72" s="105"/>
      <c r="M72" s="105"/>
    </row>
    <row r="73" spans="1:13" outlineLevel="1" x14ac:dyDescent="0.35">
      <c r="A73" s="14" t="s">
        <v>40</v>
      </c>
      <c r="B73" s="4"/>
      <c r="C73" s="37"/>
      <c r="D73" s="97">
        <f>D72</f>
        <v>0</v>
      </c>
      <c r="E73" s="97">
        <f t="shared" ref="E73:M73" si="13">E72</f>
        <v>0</v>
      </c>
      <c r="F73" s="97">
        <f t="shared" si="13"/>
        <v>0</v>
      </c>
      <c r="G73" s="97">
        <f t="shared" si="13"/>
        <v>0</v>
      </c>
      <c r="H73" s="97">
        <f t="shared" si="13"/>
        <v>0</v>
      </c>
      <c r="I73" s="97">
        <f t="shared" si="13"/>
        <v>0</v>
      </c>
      <c r="J73" s="97">
        <f t="shared" si="13"/>
        <v>0</v>
      </c>
      <c r="K73" s="97">
        <f t="shared" si="13"/>
        <v>0</v>
      </c>
      <c r="L73" s="97">
        <f t="shared" si="13"/>
        <v>0</v>
      </c>
      <c r="M73" s="97">
        <f t="shared" si="13"/>
        <v>0</v>
      </c>
    </row>
    <row r="74" spans="1:13" outlineLevel="1" x14ac:dyDescent="0.35">
      <c r="A74" s="24"/>
      <c r="B74" s="6"/>
      <c r="C74" s="16"/>
      <c r="D74" s="96"/>
      <c r="E74" s="96"/>
      <c r="F74" s="96"/>
      <c r="G74" s="96"/>
      <c r="H74" s="96"/>
      <c r="I74" s="104"/>
      <c r="J74" s="104"/>
      <c r="K74" s="104"/>
      <c r="L74" s="104"/>
      <c r="M74" s="104"/>
    </row>
    <row r="75" spans="1:13" outlineLevel="1" x14ac:dyDescent="0.35">
      <c r="A75" s="8" t="s">
        <v>41</v>
      </c>
      <c r="D75" s="96"/>
      <c r="E75" s="96"/>
      <c r="F75" s="96"/>
      <c r="G75" s="96"/>
      <c r="H75" s="96"/>
      <c r="I75" s="109"/>
      <c r="J75" s="109"/>
      <c r="K75" s="109"/>
      <c r="L75" s="109"/>
      <c r="M75" s="109"/>
    </row>
    <row r="76" spans="1:13" outlineLevel="1" x14ac:dyDescent="0.35">
      <c r="A76" s="7" t="s">
        <v>42</v>
      </c>
      <c r="D76" s="96"/>
      <c r="E76" s="96"/>
      <c r="F76" s="96"/>
      <c r="G76" s="96"/>
      <c r="H76" s="96"/>
      <c r="I76" s="109"/>
      <c r="J76" s="109"/>
      <c r="K76" s="109"/>
      <c r="L76" s="109"/>
      <c r="M76" s="109"/>
    </row>
    <row r="77" spans="1:13" outlineLevel="1" x14ac:dyDescent="0.35">
      <c r="A77" s="7" t="s">
        <v>43</v>
      </c>
      <c r="D77" s="86"/>
      <c r="E77" s="86"/>
      <c r="F77" s="86"/>
      <c r="G77" s="86"/>
      <c r="H77" s="86"/>
      <c r="I77" s="105"/>
      <c r="J77" s="105"/>
      <c r="K77" s="105"/>
      <c r="L77" s="105"/>
      <c r="M77" s="105"/>
    </row>
    <row r="78" spans="1:13" outlineLevel="1" x14ac:dyDescent="0.35">
      <c r="A78" s="14" t="s">
        <v>44</v>
      </c>
      <c r="B78" s="4"/>
      <c r="C78" s="37"/>
      <c r="D78" s="97">
        <f>SUM(D76:D77)</f>
        <v>0</v>
      </c>
      <c r="E78" s="97">
        <f t="shared" ref="E78:M78" si="14">SUM(E76:E77)</f>
        <v>0</v>
      </c>
      <c r="F78" s="97">
        <f t="shared" si="14"/>
        <v>0</v>
      </c>
      <c r="G78" s="97">
        <f t="shared" si="14"/>
        <v>0</v>
      </c>
      <c r="H78" s="97">
        <f t="shared" si="14"/>
        <v>0</v>
      </c>
      <c r="I78" s="97">
        <f t="shared" si="14"/>
        <v>0</v>
      </c>
      <c r="J78" s="97">
        <f t="shared" si="14"/>
        <v>0</v>
      </c>
      <c r="K78" s="97">
        <f t="shared" si="14"/>
        <v>0</v>
      </c>
      <c r="L78" s="97">
        <f t="shared" si="14"/>
        <v>0</v>
      </c>
      <c r="M78" s="97">
        <f t="shared" si="14"/>
        <v>0</v>
      </c>
    </row>
    <row r="79" spans="1:13" outlineLevel="1" x14ac:dyDescent="0.35">
      <c r="A79" s="24"/>
      <c r="B79" s="6"/>
      <c r="C79" s="16"/>
      <c r="D79" s="96"/>
      <c r="E79" s="96"/>
      <c r="F79" s="96"/>
      <c r="G79" s="96"/>
      <c r="H79" s="96"/>
      <c r="I79" s="104"/>
      <c r="J79" s="104"/>
      <c r="K79" s="104"/>
      <c r="L79" s="104"/>
      <c r="M79" s="104"/>
    </row>
    <row r="80" spans="1:13" outlineLevel="1" x14ac:dyDescent="0.35">
      <c r="A80" s="7" t="s">
        <v>45</v>
      </c>
      <c r="D80" s="96"/>
      <c r="E80" s="96"/>
      <c r="F80" s="96"/>
      <c r="G80" s="96"/>
      <c r="H80" s="96"/>
      <c r="I80" s="19"/>
      <c r="J80" s="19"/>
      <c r="K80" s="19"/>
      <c r="L80" s="19"/>
      <c r="M80" s="19"/>
    </row>
    <row r="81" spans="1:14" outlineLevel="1" x14ac:dyDescent="0.35">
      <c r="A81" s="7" t="s">
        <v>46</v>
      </c>
      <c r="D81" s="86"/>
      <c r="E81" s="86"/>
      <c r="F81" s="86"/>
      <c r="G81" s="86"/>
      <c r="H81" s="86"/>
      <c r="I81" s="105"/>
      <c r="J81" s="105"/>
      <c r="K81" s="105"/>
      <c r="L81" s="105"/>
      <c r="M81" s="105"/>
    </row>
    <row r="82" spans="1:14" outlineLevel="1" x14ac:dyDescent="0.35">
      <c r="A82" s="14" t="s">
        <v>47</v>
      </c>
      <c r="B82" s="4"/>
      <c r="C82" s="37"/>
      <c r="D82" s="97">
        <f>SUM(D80:D81)</f>
        <v>0</v>
      </c>
      <c r="E82" s="97">
        <f t="shared" ref="E82:M82" si="15">SUM(E80:E81)</f>
        <v>0</v>
      </c>
      <c r="F82" s="97">
        <f t="shared" si="15"/>
        <v>0</v>
      </c>
      <c r="G82" s="97">
        <f t="shared" si="15"/>
        <v>0</v>
      </c>
      <c r="H82" s="97">
        <f t="shared" si="15"/>
        <v>0</v>
      </c>
      <c r="I82" s="97">
        <f t="shared" si="15"/>
        <v>0</v>
      </c>
      <c r="J82" s="97">
        <f t="shared" si="15"/>
        <v>0</v>
      </c>
      <c r="K82" s="97">
        <f t="shared" si="15"/>
        <v>0</v>
      </c>
      <c r="L82" s="97">
        <f t="shared" si="15"/>
        <v>0</v>
      </c>
      <c r="M82" s="97">
        <f t="shared" si="15"/>
        <v>0</v>
      </c>
    </row>
    <row r="83" spans="1:14" outlineLevel="1" x14ac:dyDescent="0.35">
      <c r="A83" s="8"/>
      <c r="D83" s="108"/>
      <c r="E83" s="108"/>
      <c r="F83" s="108"/>
      <c r="G83" s="108"/>
      <c r="H83" s="108"/>
    </row>
    <row r="84" spans="1:14" outlineLevel="1" x14ac:dyDescent="0.35">
      <c r="A84" s="34" t="s">
        <v>49</v>
      </c>
      <c r="D84" s="108">
        <f>D82-D44</f>
        <v>0</v>
      </c>
      <c r="E84" s="108">
        <f t="shared" ref="E84:M84" si="16">E82-E44</f>
        <v>0</v>
      </c>
      <c r="F84" s="108">
        <f t="shared" si="16"/>
        <v>0</v>
      </c>
      <c r="G84" s="108">
        <f t="shared" si="16"/>
        <v>0</v>
      </c>
      <c r="H84" s="108">
        <f t="shared" si="16"/>
        <v>0</v>
      </c>
      <c r="I84" s="108">
        <f t="shared" si="16"/>
        <v>0</v>
      </c>
      <c r="J84" s="108">
        <f t="shared" si="16"/>
        <v>0</v>
      </c>
      <c r="K84" s="108">
        <f t="shared" si="16"/>
        <v>0</v>
      </c>
      <c r="L84" s="108">
        <f t="shared" si="16"/>
        <v>0</v>
      </c>
      <c r="M84" s="108">
        <f t="shared" si="16"/>
        <v>0</v>
      </c>
      <c r="N84" s="83"/>
    </row>
    <row r="85" spans="1:14" x14ac:dyDescent="0.35">
      <c r="D85" s="101"/>
      <c r="E85" s="101"/>
      <c r="F85" s="101"/>
      <c r="G85" s="101"/>
      <c r="H85" s="101"/>
    </row>
    <row r="86" spans="1:14" ht="20" x14ac:dyDescent="0.4">
      <c r="A86" s="46" t="s">
        <v>50</v>
      </c>
      <c r="B86" s="44"/>
      <c r="C86" s="45"/>
      <c r="D86" s="110"/>
      <c r="E86" s="110"/>
      <c r="F86" s="110"/>
      <c r="G86" s="110"/>
      <c r="H86" s="110"/>
      <c r="I86" s="19"/>
      <c r="J86" s="19"/>
      <c r="K86" s="19"/>
      <c r="L86" s="19"/>
      <c r="M86" s="19"/>
    </row>
    <row r="87" spans="1:14" outlineLevel="1" x14ac:dyDescent="0.35">
      <c r="D87" s="101"/>
      <c r="E87" s="101"/>
      <c r="F87" s="101"/>
      <c r="G87" s="101"/>
      <c r="H87" s="101"/>
    </row>
    <row r="88" spans="1:14" outlineLevel="1" x14ac:dyDescent="0.35">
      <c r="A88" s="8" t="s">
        <v>51</v>
      </c>
      <c r="D88" s="101"/>
      <c r="E88" s="101"/>
      <c r="F88" s="101"/>
      <c r="G88" s="101"/>
      <c r="H88" s="101"/>
    </row>
    <row r="89" spans="1:14" outlineLevel="1" x14ac:dyDescent="0.35">
      <c r="A89" s="7" t="s">
        <v>12</v>
      </c>
      <c r="D89" s="101">
        <f>D45</f>
        <v>0</v>
      </c>
      <c r="E89" s="101">
        <f t="shared" ref="E89:M90" si="17">E45</f>
        <v>0</v>
      </c>
      <c r="F89" s="101">
        <f t="shared" si="17"/>
        <v>0</v>
      </c>
      <c r="G89" s="101">
        <f t="shared" si="17"/>
        <v>0</v>
      </c>
      <c r="H89" s="101">
        <f t="shared" si="17"/>
        <v>0</v>
      </c>
      <c r="I89" s="101">
        <f>I45</f>
        <v>0</v>
      </c>
      <c r="J89" s="101">
        <f t="shared" si="17"/>
        <v>0</v>
      </c>
      <c r="K89" s="101">
        <f t="shared" si="17"/>
        <v>0</v>
      </c>
      <c r="L89" s="101">
        <f t="shared" si="17"/>
        <v>0</v>
      </c>
      <c r="M89" s="101">
        <f t="shared" si="17"/>
        <v>0</v>
      </c>
    </row>
    <row r="90" spans="1:14" outlineLevel="1" x14ac:dyDescent="0.35">
      <c r="A90" s="7" t="s">
        <v>18</v>
      </c>
      <c r="D90" s="101">
        <f>D46</f>
        <v>0</v>
      </c>
      <c r="E90" s="101">
        <f t="shared" si="17"/>
        <v>0</v>
      </c>
      <c r="F90" s="101">
        <f t="shared" si="17"/>
        <v>0</v>
      </c>
      <c r="G90" s="101">
        <f t="shared" si="17"/>
        <v>0</v>
      </c>
      <c r="H90" s="101">
        <f t="shared" si="17"/>
        <v>0</v>
      </c>
      <c r="I90" s="101">
        <f t="shared" si="17"/>
        <v>0</v>
      </c>
      <c r="J90" s="101">
        <f t="shared" si="17"/>
        <v>0</v>
      </c>
      <c r="K90" s="101">
        <f t="shared" si="17"/>
        <v>0</v>
      </c>
      <c r="L90" s="101">
        <f t="shared" si="17"/>
        <v>0</v>
      </c>
      <c r="M90" s="101">
        <f t="shared" si="17"/>
        <v>0</v>
      </c>
    </row>
    <row r="91" spans="1:14" outlineLevel="1" x14ac:dyDescent="0.35">
      <c r="A91" s="7" t="s">
        <v>21</v>
      </c>
      <c r="D91" s="101">
        <f>D51</f>
        <v>0</v>
      </c>
      <c r="E91" s="101">
        <f t="shared" ref="E91:L91" si="18">E51</f>
        <v>0</v>
      </c>
      <c r="F91" s="101">
        <f t="shared" si="18"/>
        <v>0</v>
      </c>
      <c r="G91" s="101">
        <f t="shared" si="18"/>
        <v>0</v>
      </c>
      <c r="H91" s="101">
        <f t="shared" si="18"/>
        <v>0</v>
      </c>
      <c r="I91" s="101">
        <f t="shared" si="18"/>
        <v>0</v>
      </c>
      <c r="J91" s="101">
        <f t="shared" si="18"/>
        <v>0</v>
      </c>
      <c r="K91" s="101">
        <f t="shared" si="18"/>
        <v>0</v>
      </c>
      <c r="L91" s="101">
        <f t="shared" si="18"/>
        <v>0</v>
      </c>
      <c r="M91" s="101">
        <f>M51</f>
        <v>0</v>
      </c>
    </row>
    <row r="92" spans="1:14" outlineLevel="1" x14ac:dyDescent="0.35">
      <c r="A92" s="4" t="s">
        <v>36</v>
      </c>
      <c r="B92" s="4"/>
      <c r="C92" s="37"/>
      <c r="D92" s="111">
        <f>D89+D90-D91</f>
        <v>0</v>
      </c>
      <c r="E92" s="111">
        <f t="shared" ref="E92:M92" si="19">E89+E90-E91</f>
        <v>0</v>
      </c>
      <c r="F92" s="111">
        <f t="shared" si="19"/>
        <v>0</v>
      </c>
      <c r="G92" s="111">
        <f t="shared" si="19"/>
        <v>0</v>
      </c>
      <c r="H92" s="111">
        <f t="shared" si="19"/>
        <v>0</v>
      </c>
      <c r="I92" s="111">
        <f>I89+I90-I91</f>
        <v>0</v>
      </c>
      <c r="J92" s="111">
        <f t="shared" si="19"/>
        <v>0</v>
      </c>
      <c r="K92" s="111">
        <f t="shared" si="19"/>
        <v>0</v>
      </c>
      <c r="L92" s="111">
        <f t="shared" si="19"/>
        <v>0</v>
      </c>
      <c r="M92" s="111">
        <f t="shared" si="19"/>
        <v>0</v>
      </c>
    </row>
    <row r="93" spans="1:14" outlineLevel="1" x14ac:dyDescent="0.35">
      <c r="A93" s="7" t="s">
        <v>35</v>
      </c>
      <c r="D93" s="84">
        <f>D92</f>
        <v>0</v>
      </c>
      <c r="E93" s="84">
        <f>E92-D92</f>
        <v>0</v>
      </c>
      <c r="F93" s="84">
        <f>F92-E92</f>
        <v>0</v>
      </c>
      <c r="G93" s="84">
        <f>G92-F92</f>
        <v>0</v>
      </c>
      <c r="H93" s="84">
        <f>H92-G92</f>
        <v>0</v>
      </c>
      <c r="I93" s="84">
        <f t="shared" ref="I93:M93" si="20">I92-H92</f>
        <v>0</v>
      </c>
      <c r="J93" s="84">
        <f t="shared" si="20"/>
        <v>0</v>
      </c>
      <c r="K93" s="84">
        <f t="shared" si="20"/>
        <v>0</v>
      </c>
      <c r="L93" s="84">
        <f t="shared" si="20"/>
        <v>0</v>
      </c>
      <c r="M93" s="84">
        <f t="shared" si="20"/>
        <v>0</v>
      </c>
    </row>
    <row r="94" spans="1:14" outlineLevel="1" x14ac:dyDescent="0.35">
      <c r="D94" s="101"/>
      <c r="E94" s="101"/>
      <c r="F94" s="101"/>
      <c r="G94" s="101"/>
      <c r="H94" s="101"/>
      <c r="I94" s="13"/>
      <c r="J94" s="13"/>
      <c r="K94" s="13"/>
      <c r="L94" s="13"/>
      <c r="M94" s="13"/>
    </row>
    <row r="95" spans="1:14" outlineLevel="1" x14ac:dyDescent="0.35">
      <c r="A95" s="8" t="s">
        <v>52</v>
      </c>
      <c r="D95" s="101"/>
      <c r="E95" s="101"/>
      <c r="F95" s="101"/>
      <c r="G95" s="101"/>
      <c r="H95" s="101"/>
      <c r="I95" s="13"/>
      <c r="J95" s="13"/>
      <c r="K95" s="13"/>
      <c r="L95" s="13"/>
      <c r="M95" s="13"/>
    </row>
    <row r="96" spans="1:14" outlineLevel="1" x14ac:dyDescent="0.35">
      <c r="A96" s="7" t="s">
        <v>14</v>
      </c>
      <c r="D96" s="103">
        <f>D99+D98-D97</f>
        <v>0</v>
      </c>
      <c r="E96" s="103">
        <f>E99+E98-E97</f>
        <v>0</v>
      </c>
      <c r="F96" s="103">
        <f t="shared" ref="F96:H96" si="21">F99+F98-F97</f>
        <v>0</v>
      </c>
      <c r="G96" s="103">
        <f t="shared" si="21"/>
        <v>0</v>
      </c>
      <c r="H96" s="103">
        <f t="shared" si="21"/>
        <v>0</v>
      </c>
      <c r="I96" s="12">
        <f>H99</f>
        <v>0</v>
      </c>
      <c r="J96" s="12">
        <f t="shared" ref="J96:M96" si="22">I99</f>
        <v>0</v>
      </c>
      <c r="K96" s="12">
        <f t="shared" si="22"/>
        <v>0</v>
      </c>
      <c r="L96" s="12">
        <f t="shared" si="22"/>
        <v>0</v>
      </c>
      <c r="M96" s="12">
        <f t="shared" si="22"/>
        <v>0</v>
      </c>
    </row>
    <row r="97" spans="1:13" outlineLevel="1" x14ac:dyDescent="0.35">
      <c r="A97" s="7" t="s">
        <v>15</v>
      </c>
      <c r="D97" s="101">
        <f>D72</f>
        <v>0</v>
      </c>
      <c r="E97" s="101">
        <f t="shared" ref="E97:H97" si="23">E72</f>
        <v>0</v>
      </c>
      <c r="F97" s="101">
        <f t="shared" si="23"/>
        <v>0</v>
      </c>
      <c r="G97" s="101">
        <f t="shared" si="23"/>
        <v>0</v>
      </c>
      <c r="H97" s="101">
        <f t="shared" si="23"/>
        <v>0</v>
      </c>
      <c r="I97" s="12">
        <f>I19</f>
        <v>0</v>
      </c>
      <c r="J97" s="12">
        <f t="shared" ref="J97:M97" si="24">J19</f>
        <v>0</v>
      </c>
      <c r="K97" s="12">
        <f t="shared" si="24"/>
        <v>0</v>
      </c>
      <c r="L97" s="12">
        <f t="shared" si="24"/>
        <v>0</v>
      </c>
      <c r="M97" s="12">
        <f t="shared" si="24"/>
        <v>0</v>
      </c>
    </row>
    <row r="98" spans="1:13" outlineLevel="1" x14ac:dyDescent="0.35">
      <c r="A98" s="7" t="s">
        <v>16</v>
      </c>
      <c r="C98" s="31"/>
      <c r="D98" s="101">
        <f>D32</f>
        <v>0</v>
      </c>
      <c r="E98" s="101">
        <f t="shared" ref="E98:H98" si="25">E32</f>
        <v>0</v>
      </c>
      <c r="F98" s="101">
        <f t="shared" si="25"/>
        <v>0</v>
      </c>
      <c r="G98" s="101">
        <f t="shared" si="25"/>
        <v>0</v>
      </c>
      <c r="H98" s="101">
        <f t="shared" si="25"/>
        <v>0</v>
      </c>
      <c r="I98" s="12">
        <f>I96*I13</f>
        <v>0</v>
      </c>
      <c r="J98" s="12">
        <f t="shared" ref="J98:M98" si="26">J96*J13</f>
        <v>0</v>
      </c>
      <c r="K98" s="12">
        <f t="shared" si="26"/>
        <v>0</v>
      </c>
      <c r="L98" s="12">
        <f t="shared" si="26"/>
        <v>0</v>
      </c>
      <c r="M98" s="12">
        <f t="shared" si="26"/>
        <v>0</v>
      </c>
    </row>
    <row r="99" spans="1:13" outlineLevel="1" x14ac:dyDescent="0.35">
      <c r="A99" s="4" t="s">
        <v>17</v>
      </c>
      <c r="B99" s="4"/>
      <c r="C99" s="37"/>
      <c r="D99" s="111">
        <f>D47</f>
        <v>0</v>
      </c>
      <c r="E99" s="111">
        <f t="shared" ref="E99:G99" si="27">E47</f>
        <v>0</v>
      </c>
      <c r="F99" s="111">
        <f t="shared" si="27"/>
        <v>0</v>
      </c>
      <c r="G99" s="111">
        <f t="shared" si="27"/>
        <v>0</v>
      </c>
      <c r="H99" s="111">
        <f>H47</f>
        <v>0</v>
      </c>
      <c r="I99" s="111">
        <f>I96+I97-I98</f>
        <v>0</v>
      </c>
      <c r="J99" s="111">
        <f>J96+J97-J98</f>
        <v>0</v>
      </c>
      <c r="K99" s="111">
        <f>K96+K97-K98</f>
        <v>0</v>
      </c>
      <c r="L99" s="111">
        <f>L96+L97-L98</f>
        <v>0</v>
      </c>
      <c r="M99" s="111">
        <f>M96+M97-M98</f>
        <v>0</v>
      </c>
    </row>
    <row r="100" spans="1:13" outlineLevel="1" x14ac:dyDescent="0.35">
      <c r="D100" s="101"/>
      <c r="E100" s="101"/>
      <c r="F100" s="101"/>
      <c r="G100" s="101"/>
      <c r="H100" s="101"/>
      <c r="I100" s="13"/>
      <c r="J100" s="13"/>
      <c r="K100" s="13"/>
      <c r="L100" s="13"/>
      <c r="M100" s="13"/>
    </row>
    <row r="101" spans="1:13" outlineLevel="1" x14ac:dyDescent="0.35">
      <c r="A101" s="8" t="s">
        <v>53</v>
      </c>
      <c r="D101" s="101"/>
      <c r="E101" s="101"/>
      <c r="F101" s="101"/>
      <c r="G101" s="101"/>
      <c r="H101" s="101"/>
      <c r="I101" s="13"/>
      <c r="J101" s="13"/>
      <c r="K101" s="13"/>
      <c r="L101" s="13"/>
      <c r="M101" s="13"/>
    </row>
    <row r="102" spans="1:13" outlineLevel="1" x14ac:dyDescent="0.35">
      <c r="A102" s="7" t="s">
        <v>23</v>
      </c>
      <c r="D102" s="101">
        <f>D52</f>
        <v>0</v>
      </c>
      <c r="E102" s="101">
        <f t="shared" ref="E102:H102" si="28">E52</f>
        <v>0</v>
      </c>
      <c r="F102" s="101">
        <f t="shared" si="28"/>
        <v>0</v>
      </c>
      <c r="G102" s="101">
        <f t="shared" si="28"/>
        <v>0</v>
      </c>
      <c r="H102" s="101">
        <f t="shared" si="28"/>
        <v>0</v>
      </c>
      <c r="I102" s="12">
        <f>H104</f>
        <v>0</v>
      </c>
      <c r="J102" s="12">
        <f t="shared" ref="J102:M102" si="29">I104</f>
        <v>0</v>
      </c>
      <c r="K102" s="12">
        <f t="shared" si="29"/>
        <v>0</v>
      </c>
      <c r="L102" s="12">
        <f t="shared" si="29"/>
        <v>0</v>
      </c>
      <c r="M102" s="12">
        <f t="shared" si="29"/>
        <v>0</v>
      </c>
    </row>
    <row r="103" spans="1:13" outlineLevel="1" x14ac:dyDescent="0.35">
      <c r="A103" s="7" t="s">
        <v>24</v>
      </c>
      <c r="D103" s="84">
        <f>-D76</f>
        <v>0</v>
      </c>
      <c r="E103" s="84">
        <f t="shared" ref="E103:J103" si="30">-E76</f>
        <v>0</v>
      </c>
      <c r="F103" s="112"/>
      <c r="G103" s="84">
        <f t="shared" si="30"/>
        <v>0</v>
      </c>
      <c r="H103" s="84">
        <f t="shared" si="30"/>
        <v>0</v>
      </c>
      <c r="I103" s="84">
        <f t="shared" si="30"/>
        <v>0</v>
      </c>
      <c r="J103" s="84">
        <f t="shared" si="30"/>
        <v>0</v>
      </c>
      <c r="K103" s="12">
        <f>K20</f>
        <v>0</v>
      </c>
      <c r="L103" s="12">
        <f t="shared" ref="L103:M103" si="31">L20</f>
        <v>0</v>
      </c>
      <c r="M103" s="12">
        <f t="shared" si="31"/>
        <v>0</v>
      </c>
    </row>
    <row r="104" spans="1:13" outlineLevel="1" x14ac:dyDescent="0.35">
      <c r="A104" s="4" t="s">
        <v>25</v>
      </c>
      <c r="B104" s="4"/>
      <c r="C104" s="37"/>
      <c r="D104" s="111">
        <f>SUM(D102:D103)</f>
        <v>0</v>
      </c>
      <c r="E104" s="111">
        <f t="shared" ref="E104:M104" si="32">SUM(E102:E103)</f>
        <v>0</v>
      </c>
      <c r="F104" s="111">
        <f t="shared" si="32"/>
        <v>0</v>
      </c>
      <c r="G104" s="111">
        <f t="shared" si="32"/>
        <v>0</v>
      </c>
      <c r="H104" s="111">
        <f t="shared" si="32"/>
        <v>0</v>
      </c>
      <c r="I104" s="111">
        <f t="shared" si="32"/>
        <v>0</v>
      </c>
      <c r="J104" s="111">
        <f t="shared" si="32"/>
        <v>0</v>
      </c>
      <c r="K104" s="111">
        <f t="shared" si="32"/>
        <v>0</v>
      </c>
      <c r="L104" s="111">
        <f t="shared" si="32"/>
        <v>0</v>
      </c>
      <c r="M104" s="111">
        <f t="shared" si="32"/>
        <v>0</v>
      </c>
    </row>
    <row r="105" spans="1:13" outlineLevel="1" x14ac:dyDescent="0.35">
      <c r="A105" s="7" t="s">
        <v>26</v>
      </c>
      <c r="C105" s="31"/>
      <c r="D105" s="84">
        <f>D33</f>
        <v>0</v>
      </c>
      <c r="E105" s="84">
        <f t="shared" ref="E105:H105" si="33">E33</f>
        <v>0</v>
      </c>
      <c r="F105" s="84">
        <f t="shared" si="33"/>
        <v>0</v>
      </c>
      <c r="G105" s="84">
        <f t="shared" si="33"/>
        <v>0</v>
      </c>
      <c r="H105" s="84">
        <f t="shared" si="33"/>
        <v>0</v>
      </c>
      <c r="I105" s="12">
        <f>((I102+I104)/2)*I14</f>
        <v>0</v>
      </c>
      <c r="J105" s="12">
        <f t="shared" ref="J105:M105" si="34">((J102+J104)/2)*J14</f>
        <v>0</v>
      </c>
      <c r="K105" s="12">
        <f t="shared" si="34"/>
        <v>0</v>
      </c>
      <c r="L105" s="12">
        <f t="shared" si="34"/>
        <v>0</v>
      </c>
      <c r="M105" s="12">
        <f t="shared" si="34"/>
        <v>0</v>
      </c>
    </row>
    <row r="106" spans="1:13" outlineLevel="1" x14ac:dyDescent="0.35">
      <c r="D106" s="101"/>
      <c r="E106" s="101"/>
      <c r="F106" s="101"/>
      <c r="G106" s="101"/>
      <c r="H106" s="101"/>
    </row>
    <row r="107" spans="1:13" outlineLevel="1" x14ac:dyDescent="0.35">
      <c r="D107" s="101"/>
      <c r="E107" s="101"/>
      <c r="F107" s="101"/>
      <c r="G107" s="101"/>
      <c r="H107" s="101"/>
    </row>
    <row r="108" spans="1:13" x14ac:dyDescent="0.35">
      <c r="D108" s="101"/>
      <c r="E108" s="101"/>
      <c r="F108" s="101"/>
      <c r="G108" s="101"/>
      <c r="H108" s="101"/>
    </row>
    <row r="109" spans="1:13" ht="20" x14ac:dyDescent="0.4">
      <c r="A109" s="46" t="s">
        <v>76</v>
      </c>
      <c r="B109" s="44"/>
      <c r="C109" s="45"/>
      <c r="D109" s="110"/>
      <c r="E109" s="110"/>
      <c r="F109" s="110"/>
      <c r="G109" s="110"/>
      <c r="H109" s="110"/>
      <c r="I109" s="19"/>
      <c r="J109" s="19"/>
      <c r="K109" s="19"/>
      <c r="L109" s="19"/>
      <c r="M109" s="19"/>
    </row>
    <row r="110" spans="1:13" outlineLevel="1" x14ac:dyDescent="0.35">
      <c r="A110" s="7" t="s">
        <v>77</v>
      </c>
      <c r="D110" s="103">
        <f>D26</f>
        <v>0</v>
      </c>
      <c r="E110" s="103">
        <f t="shared" ref="E110:M110" si="35">E26</f>
        <v>0</v>
      </c>
      <c r="F110" s="103">
        <f t="shared" si="35"/>
        <v>0</v>
      </c>
      <c r="G110" s="103">
        <f t="shared" si="35"/>
        <v>0</v>
      </c>
      <c r="H110" s="103">
        <f t="shared" si="35"/>
        <v>0</v>
      </c>
      <c r="I110" s="103">
        <f t="shared" si="35"/>
        <v>0</v>
      </c>
      <c r="J110" s="103">
        <f t="shared" si="35"/>
        <v>0</v>
      </c>
      <c r="K110" s="103">
        <f t="shared" si="35"/>
        <v>0</v>
      </c>
      <c r="L110" s="103">
        <f t="shared" si="35"/>
        <v>0</v>
      </c>
      <c r="M110" s="103">
        <f t="shared" si="35"/>
        <v>0</v>
      </c>
    </row>
    <row r="111" spans="1:13" outlineLevel="1" x14ac:dyDescent="0.35">
      <c r="A111" s="7" t="s">
        <v>152</v>
      </c>
      <c r="D111" s="113" t="e">
        <f>D26/D28</f>
        <v>#DIV/0!</v>
      </c>
      <c r="E111" s="113" t="e">
        <f t="shared" ref="E111:M111" si="36">E26/E28</f>
        <v>#DIV/0!</v>
      </c>
      <c r="F111" s="113" t="e">
        <f t="shared" si="36"/>
        <v>#DIV/0!</v>
      </c>
      <c r="G111" s="113" t="e">
        <f t="shared" si="36"/>
        <v>#DIV/0!</v>
      </c>
      <c r="H111" s="113" t="e">
        <f t="shared" si="36"/>
        <v>#DIV/0!</v>
      </c>
      <c r="I111" s="113" t="e">
        <f t="shared" si="36"/>
        <v>#DIV/0!</v>
      </c>
      <c r="J111" s="113" t="e">
        <f t="shared" si="36"/>
        <v>#DIV/0!</v>
      </c>
      <c r="K111" s="113" t="e">
        <f t="shared" si="36"/>
        <v>#DIV/0!</v>
      </c>
      <c r="L111" s="113" t="e">
        <f t="shared" si="36"/>
        <v>#DIV/0!</v>
      </c>
      <c r="M111" s="113" t="e">
        <f t="shared" si="36"/>
        <v>#DIV/0!</v>
      </c>
    </row>
    <row r="112" spans="1:13" outlineLevel="1" x14ac:dyDescent="0.35">
      <c r="D112" s="103"/>
      <c r="E112" s="114"/>
      <c r="F112" s="103"/>
      <c r="G112" s="103"/>
      <c r="H112" s="103"/>
      <c r="I112" s="113"/>
      <c r="J112" s="113"/>
      <c r="K112" s="113"/>
      <c r="L112" s="113"/>
      <c r="M112" s="113"/>
    </row>
    <row r="113" spans="1:13" outlineLevel="1" x14ac:dyDescent="0.35">
      <c r="D113" s="103"/>
      <c r="E113" s="103"/>
      <c r="F113" s="103"/>
      <c r="G113" s="103"/>
      <c r="H113" s="103"/>
    </row>
    <row r="114" spans="1:13" outlineLevel="1" x14ac:dyDescent="0.35">
      <c r="D114" s="103"/>
      <c r="E114" s="103"/>
      <c r="F114" s="103"/>
      <c r="G114" s="103"/>
      <c r="H114" s="103"/>
    </row>
    <row r="115" spans="1:13" outlineLevel="1" x14ac:dyDescent="0.35">
      <c r="D115" s="103"/>
      <c r="E115" s="103"/>
      <c r="F115" s="103"/>
      <c r="G115" s="103"/>
      <c r="H115" s="103"/>
    </row>
    <row r="116" spans="1:13" outlineLevel="1" x14ac:dyDescent="0.35">
      <c r="D116" s="103"/>
      <c r="E116" s="103"/>
      <c r="F116" s="103"/>
      <c r="G116" s="103"/>
      <c r="H116" s="103"/>
    </row>
    <row r="117" spans="1:13" outlineLevel="1" x14ac:dyDescent="0.35">
      <c r="D117" s="103"/>
      <c r="E117" s="103"/>
      <c r="F117" s="103"/>
      <c r="G117" s="103"/>
      <c r="H117" s="103"/>
    </row>
    <row r="118" spans="1:13" outlineLevel="1" x14ac:dyDescent="0.35">
      <c r="D118" s="103"/>
      <c r="E118" s="103"/>
      <c r="F118" s="103"/>
      <c r="G118" s="103"/>
      <c r="H118" s="103"/>
    </row>
    <row r="119" spans="1:13" outlineLevel="1" x14ac:dyDescent="0.35">
      <c r="D119" s="103"/>
      <c r="E119" s="103"/>
      <c r="F119" s="103"/>
      <c r="G119" s="103"/>
      <c r="H119" s="103"/>
    </row>
    <row r="120" spans="1:13" outlineLevel="1" x14ac:dyDescent="0.35">
      <c r="D120" s="103"/>
      <c r="E120" s="103"/>
      <c r="F120" s="103"/>
      <c r="G120" s="103"/>
      <c r="H120" s="103"/>
    </row>
    <row r="121" spans="1:13" outlineLevel="1" x14ac:dyDescent="0.35">
      <c r="D121" s="103"/>
      <c r="E121" s="103"/>
      <c r="F121" s="103"/>
      <c r="G121" s="103"/>
      <c r="H121" s="103"/>
    </row>
    <row r="122" spans="1:13" outlineLevel="1" x14ac:dyDescent="0.35">
      <c r="D122" s="103"/>
      <c r="E122" s="103"/>
      <c r="F122" s="103"/>
      <c r="G122" s="103"/>
      <c r="H122" s="103"/>
    </row>
    <row r="123" spans="1:13" outlineLevel="1" x14ac:dyDescent="0.35">
      <c r="D123" s="103"/>
      <c r="E123" s="103"/>
      <c r="F123" s="103"/>
      <c r="G123" s="103"/>
      <c r="H123" s="103"/>
    </row>
    <row r="124" spans="1:13" outlineLevel="1" x14ac:dyDescent="0.35">
      <c r="D124" s="103"/>
      <c r="E124" s="103"/>
      <c r="F124" s="103"/>
      <c r="G124" s="103"/>
      <c r="H124" s="103"/>
    </row>
    <row r="125" spans="1:13" outlineLevel="1" x14ac:dyDescent="0.35">
      <c r="D125" s="103"/>
      <c r="E125" s="103"/>
      <c r="F125" s="103"/>
      <c r="G125" s="103"/>
      <c r="H125" s="103"/>
    </row>
    <row r="126" spans="1:13" outlineLevel="1" x14ac:dyDescent="0.35">
      <c r="D126" s="103"/>
      <c r="E126" s="103"/>
      <c r="F126" s="103"/>
      <c r="G126" s="103"/>
      <c r="H126" s="103"/>
    </row>
    <row r="127" spans="1:13" outlineLevel="1" x14ac:dyDescent="0.35">
      <c r="D127" s="103"/>
      <c r="E127" s="103"/>
      <c r="F127" s="103"/>
      <c r="G127" s="103"/>
      <c r="H127" s="103"/>
    </row>
    <row r="128" spans="1:13" outlineLevel="1" x14ac:dyDescent="0.35">
      <c r="A128" s="88" t="s">
        <v>32</v>
      </c>
      <c r="B128" s="82"/>
      <c r="D128" s="103">
        <f>D69</f>
        <v>0</v>
      </c>
      <c r="E128" s="103">
        <f t="shared" ref="E128:M128" si="37">E69</f>
        <v>0</v>
      </c>
      <c r="F128" s="103">
        <f t="shared" si="37"/>
        <v>0</v>
      </c>
      <c r="G128" s="103">
        <f t="shared" si="37"/>
        <v>0</v>
      </c>
      <c r="H128" s="103">
        <f t="shared" si="37"/>
        <v>0</v>
      </c>
      <c r="I128" s="103">
        <f t="shared" si="37"/>
        <v>0</v>
      </c>
      <c r="J128" s="103">
        <f t="shared" si="37"/>
        <v>0</v>
      </c>
      <c r="K128" s="103">
        <f t="shared" si="37"/>
        <v>0</v>
      </c>
      <c r="L128" s="103">
        <f t="shared" si="37"/>
        <v>0</v>
      </c>
      <c r="M128" s="103">
        <f t="shared" si="37"/>
        <v>0</v>
      </c>
    </row>
    <row r="129" spans="1:13" outlineLevel="1" x14ac:dyDescent="0.35">
      <c r="A129" s="88" t="s">
        <v>38</v>
      </c>
      <c r="B129" s="82"/>
      <c r="D129" s="103">
        <f>D73</f>
        <v>0</v>
      </c>
      <c r="E129" s="103">
        <f t="shared" ref="E129:M129" si="38">E73</f>
        <v>0</v>
      </c>
      <c r="F129" s="103">
        <f t="shared" si="38"/>
        <v>0</v>
      </c>
      <c r="G129" s="103">
        <f t="shared" si="38"/>
        <v>0</v>
      </c>
      <c r="H129" s="103">
        <f t="shared" si="38"/>
        <v>0</v>
      </c>
      <c r="I129" s="103">
        <f t="shared" si="38"/>
        <v>0</v>
      </c>
      <c r="J129" s="103">
        <f t="shared" si="38"/>
        <v>0</v>
      </c>
      <c r="K129" s="103">
        <f t="shared" si="38"/>
        <v>0</v>
      </c>
      <c r="L129" s="103">
        <f t="shared" si="38"/>
        <v>0</v>
      </c>
      <c r="M129" s="103">
        <f t="shared" si="38"/>
        <v>0</v>
      </c>
    </row>
    <row r="130" spans="1:13" outlineLevel="1" x14ac:dyDescent="0.35">
      <c r="A130" s="88" t="s">
        <v>41</v>
      </c>
      <c r="B130" s="82"/>
      <c r="D130" s="103">
        <f>D78</f>
        <v>0</v>
      </c>
      <c r="E130" s="103">
        <f t="shared" ref="E130:M130" si="39">E78</f>
        <v>0</v>
      </c>
      <c r="F130" s="103">
        <f t="shared" si="39"/>
        <v>0</v>
      </c>
      <c r="G130" s="103">
        <f t="shared" si="39"/>
        <v>0</v>
      </c>
      <c r="H130" s="103">
        <f t="shared" si="39"/>
        <v>0</v>
      </c>
      <c r="I130" s="103">
        <f t="shared" si="39"/>
        <v>0</v>
      </c>
      <c r="J130" s="103">
        <f t="shared" si="39"/>
        <v>0</v>
      </c>
      <c r="K130" s="103">
        <f t="shared" si="39"/>
        <v>0</v>
      </c>
      <c r="L130" s="103">
        <f t="shared" si="39"/>
        <v>0</v>
      </c>
      <c r="M130" s="103">
        <f t="shared" si="39"/>
        <v>0</v>
      </c>
    </row>
    <row r="131" spans="1:13" outlineLevel="1" x14ac:dyDescent="0.35">
      <c r="D131" s="103"/>
      <c r="E131" s="103"/>
      <c r="F131" s="103"/>
      <c r="G131" s="103"/>
      <c r="H131" s="103"/>
    </row>
    <row r="132" spans="1:13" outlineLevel="1" x14ac:dyDescent="0.35">
      <c r="D132" s="103"/>
      <c r="E132" s="103"/>
      <c r="F132" s="103"/>
      <c r="G132" s="103"/>
      <c r="H132" s="103"/>
    </row>
    <row r="133" spans="1:13" outlineLevel="1" x14ac:dyDescent="0.35"/>
  </sheetData>
  <sheetProtection formatCells="0" formatColumns="0" formatRows="0" insertColumns="0" insertRows="0" insertHyperlinks="0" deleteColumns="0" deleteRows="0" sort="0" autoFilter="0" pivotTables="0"/>
  <conditionalFormatting sqref="D4:M4">
    <cfRule type="containsText" dxfId="3" priority="1" operator="containsText" text="OK">
      <formula>NOT(ISERROR(SEARCH("OK",D4)))</formula>
    </cfRule>
    <cfRule type="containsText" dxfId="2" priority="2" operator="containsText" text="ERROR">
      <formula>NOT(ISERROR(SEARCH("ERROR",D4)))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4"/>
  <sheetViews>
    <sheetView showGridLines="0" zoomScale="110" zoomScaleNormal="110" workbookViewId="0">
      <pane ySplit="4" topLeftCell="A5" activePane="bottomLeft" state="frozen"/>
      <selection pane="bottomLeft" activeCell="A24" sqref="A24"/>
    </sheetView>
  </sheetViews>
  <sheetFormatPr defaultColWidth="9.1796875" defaultRowHeight="15.5" outlineLevelRow="1" x14ac:dyDescent="0.35"/>
  <cols>
    <col min="1" max="1" width="12.81640625" style="7" customWidth="1"/>
    <col min="2" max="2" width="12.453125" style="7" customWidth="1"/>
    <col min="3" max="3" width="11.1796875" style="9" customWidth="1"/>
    <col min="4" max="4" width="12.1796875" style="5" customWidth="1"/>
    <col min="5" max="5" width="12.26953125" style="5" customWidth="1"/>
    <col min="6" max="6" width="13.7265625" style="5" customWidth="1"/>
    <col min="7" max="8" width="12.54296875" style="5" customWidth="1"/>
    <col min="9" max="13" width="11.54296875" style="5" customWidth="1"/>
    <col min="14" max="16384" width="9.1796875" style="7"/>
  </cols>
  <sheetData>
    <row r="1" spans="1:16" ht="22.5" x14ac:dyDescent="0.45">
      <c r="A1" s="62"/>
      <c r="B1" s="62"/>
      <c r="C1" s="63" t="s">
        <v>79</v>
      </c>
      <c r="D1" s="89"/>
      <c r="E1" s="89"/>
      <c r="G1" s="89"/>
      <c r="H1" s="89"/>
      <c r="I1" s="89"/>
      <c r="J1" s="89"/>
      <c r="K1" s="89"/>
      <c r="L1" s="89"/>
      <c r="M1" s="89"/>
    </row>
    <row r="2" spans="1:16" x14ac:dyDescent="0.35">
      <c r="A2" s="38"/>
      <c r="B2" s="39"/>
      <c r="C2" s="40"/>
      <c r="D2" s="90" t="s">
        <v>55</v>
      </c>
      <c r="E2" s="91"/>
      <c r="F2" s="91"/>
      <c r="G2" s="91"/>
      <c r="H2" s="91"/>
      <c r="I2" s="90" t="s">
        <v>70</v>
      </c>
      <c r="J2" s="91"/>
      <c r="K2" s="91"/>
      <c r="L2" s="91"/>
      <c r="M2" s="91"/>
    </row>
    <row r="3" spans="1:16" ht="21" customHeight="1" x14ac:dyDescent="0.4">
      <c r="A3" s="41" t="s">
        <v>56</v>
      </c>
      <c r="B3" s="42"/>
      <c r="C3" s="43"/>
      <c r="D3" s="92">
        <v>2013</v>
      </c>
      <c r="E3" s="92">
        <f>+D3+1</f>
        <v>2014</v>
      </c>
      <c r="F3" s="92">
        <f t="shared" ref="F3:M3" si="0">+E3+1</f>
        <v>2015</v>
      </c>
      <c r="G3" s="92">
        <f t="shared" si="0"/>
        <v>2016</v>
      </c>
      <c r="H3" s="92">
        <f t="shared" si="0"/>
        <v>2017</v>
      </c>
      <c r="I3" s="92">
        <f t="shared" si="0"/>
        <v>2018</v>
      </c>
      <c r="J3" s="92">
        <f t="shared" si="0"/>
        <v>2019</v>
      </c>
      <c r="K3" s="92">
        <f t="shared" si="0"/>
        <v>2020</v>
      </c>
      <c r="L3" s="92">
        <f t="shared" si="0"/>
        <v>2021</v>
      </c>
      <c r="M3" s="92">
        <f t="shared" si="0"/>
        <v>2022</v>
      </c>
      <c r="N3" s="11"/>
      <c r="O3" s="11"/>
      <c r="P3" s="11"/>
    </row>
    <row r="4" spans="1:16" x14ac:dyDescent="0.35">
      <c r="A4" s="7" t="s">
        <v>71</v>
      </c>
      <c r="D4" s="93" t="str">
        <f t="shared" ref="D4:H4" si="1">IFERROR(IF(ABS(D60)&gt;1,"ERROR","OK"),"OK")</f>
        <v>OK</v>
      </c>
      <c r="E4" s="93" t="str">
        <f t="shared" si="1"/>
        <v>OK</v>
      </c>
      <c r="F4" s="93" t="str">
        <f t="shared" si="1"/>
        <v>OK</v>
      </c>
      <c r="G4" s="93" t="str">
        <f t="shared" si="1"/>
        <v>OK</v>
      </c>
      <c r="H4" s="93" t="str">
        <f t="shared" si="1"/>
        <v>OK</v>
      </c>
      <c r="I4" s="93" t="str">
        <f>IFERROR(IF(ABS(I60)&gt;1,"ERROR","OK"),"OK")</f>
        <v>OK</v>
      </c>
      <c r="J4" s="93" t="str">
        <f t="shared" ref="J4:M4" si="2">IFERROR(IF(ABS(J60)&gt;1,"ERROR","OK"),"OK")</f>
        <v>OK</v>
      </c>
      <c r="K4" s="93" t="str">
        <f t="shared" si="2"/>
        <v>OK</v>
      </c>
      <c r="L4" s="93" t="str">
        <f t="shared" si="2"/>
        <v>OK</v>
      </c>
      <c r="M4" s="93" t="str">
        <f t="shared" si="2"/>
        <v>OK</v>
      </c>
    </row>
    <row r="6" spans="1:16" ht="20" x14ac:dyDescent="0.4">
      <c r="A6" s="46" t="s">
        <v>72</v>
      </c>
      <c r="B6" s="44"/>
      <c r="C6" s="45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6" hidden="1" outlineLevel="1" x14ac:dyDescent="0.35">
      <c r="D7" s="12"/>
      <c r="E7" s="12"/>
      <c r="F7" s="12"/>
      <c r="G7" s="12"/>
      <c r="H7" s="12"/>
      <c r="I7" s="13"/>
      <c r="J7" s="13"/>
      <c r="K7" s="13"/>
      <c r="L7" s="13"/>
      <c r="M7" s="13"/>
    </row>
    <row r="8" spans="1:16" hidden="1" outlineLevel="1" x14ac:dyDescent="0.35">
      <c r="A8" s="8" t="s">
        <v>75</v>
      </c>
      <c r="D8" s="12"/>
      <c r="E8" s="12"/>
      <c r="F8" s="12"/>
      <c r="G8" s="12"/>
      <c r="H8" s="12"/>
      <c r="I8" s="13"/>
      <c r="J8" s="13"/>
      <c r="K8" s="13"/>
      <c r="L8" s="13"/>
      <c r="M8" s="13"/>
    </row>
    <row r="9" spans="1:16" hidden="1" outlineLevel="1" x14ac:dyDescent="0.35">
      <c r="A9" s="4" t="s">
        <v>61</v>
      </c>
      <c r="B9" s="14"/>
      <c r="C9" s="15"/>
      <c r="D9" s="3"/>
      <c r="E9" s="3">
        <f>(E26/D26)-1</f>
        <v>0.15762643740135474</v>
      </c>
      <c r="F9" s="3">
        <f t="shared" ref="F9:H9" si="3">(F26/E26)-1</f>
        <v>0.1122825737174602</v>
      </c>
      <c r="G9" s="3">
        <f t="shared" si="3"/>
        <v>8.3718451406600947E-2</v>
      </c>
      <c r="H9" s="3">
        <f t="shared" si="3"/>
        <v>5.9231001608812672E-2</v>
      </c>
      <c r="I9" s="2">
        <v>0.1</v>
      </c>
      <c r="J9" s="2">
        <v>0.1</v>
      </c>
      <c r="K9" s="2">
        <v>0.1</v>
      </c>
      <c r="L9" s="2">
        <v>0.1</v>
      </c>
      <c r="M9" s="2">
        <v>0.1</v>
      </c>
    </row>
    <row r="10" spans="1:16" hidden="1" outlineLevel="1" x14ac:dyDescent="0.35">
      <c r="A10" s="6" t="s">
        <v>57</v>
      </c>
      <c r="B10" s="6"/>
      <c r="C10" s="16"/>
      <c r="D10" s="17">
        <f>D27/D26</f>
        <v>0.38255217779172018</v>
      </c>
      <c r="E10" s="17">
        <f t="shared" ref="E10:H10" si="4">E27/E26</f>
        <v>0.40651728401334619</v>
      </c>
      <c r="F10" s="17">
        <f t="shared" si="4"/>
        <v>0.37399977159389397</v>
      </c>
      <c r="G10" s="17">
        <f t="shared" si="4"/>
        <v>0.369914501092447</v>
      </c>
      <c r="H10" s="17">
        <f t="shared" si="4"/>
        <v>0.37613084657628737</v>
      </c>
      <c r="I10" s="18">
        <v>0.42</v>
      </c>
      <c r="J10" s="18">
        <v>0.47</v>
      </c>
      <c r="K10" s="18">
        <v>0.5</v>
      </c>
      <c r="L10" s="18">
        <v>0.36</v>
      </c>
      <c r="M10" s="18">
        <v>0.35</v>
      </c>
    </row>
    <row r="11" spans="1:16" hidden="1" outlineLevel="1" x14ac:dyDescent="0.35">
      <c r="A11" s="6" t="s">
        <v>58</v>
      </c>
      <c r="B11" s="6"/>
      <c r="C11" s="16"/>
      <c r="D11" s="17">
        <f>D30/D26</f>
        <v>0.25907045594910155</v>
      </c>
      <c r="E11" s="17">
        <f t="shared" ref="E11:H11" si="5">E30/E26</f>
        <v>0.19187710651559034</v>
      </c>
      <c r="F11" s="17">
        <f t="shared" si="5"/>
        <v>0.18175035212608018</v>
      </c>
      <c r="G11" s="17">
        <f t="shared" si="5"/>
        <v>0.16159785304304453</v>
      </c>
      <c r="H11" s="17">
        <f t="shared" si="5"/>
        <v>0.16743825113416283</v>
      </c>
      <c r="I11" s="18">
        <v>0.17</v>
      </c>
      <c r="J11" s="18">
        <v>0.17</v>
      </c>
      <c r="K11" s="18">
        <v>0.17</v>
      </c>
      <c r="L11" s="18">
        <v>0.17</v>
      </c>
      <c r="M11" s="18">
        <v>0.17</v>
      </c>
    </row>
    <row r="12" spans="1:16" hidden="1" outlineLevel="1" x14ac:dyDescent="0.35">
      <c r="A12" s="6" t="s">
        <v>59</v>
      </c>
      <c r="B12" s="6"/>
      <c r="C12" s="16"/>
      <c r="D12" s="19">
        <f>D31</f>
        <v>10963</v>
      </c>
      <c r="E12" s="19">
        <f t="shared" ref="E12:H12" si="6">E31</f>
        <v>10125</v>
      </c>
      <c r="F12" s="19">
        <f t="shared" si="6"/>
        <v>10087</v>
      </c>
      <c r="G12" s="19">
        <f t="shared" si="6"/>
        <v>11020</v>
      </c>
      <c r="H12" s="19">
        <f t="shared" si="6"/>
        <v>11412</v>
      </c>
      <c r="I12" s="20">
        <v>15000</v>
      </c>
      <c r="J12" s="20">
        <v>15000</v>
      </c>
      <c r="K12" s="20">
        <v>15000</v>
      </c>
      <c r="L12" s="20">
        <v>15000</v>
      </c>
      <c r="M12" s="20">
        <v>15000</v>
      </c>
    </row>
    <row r="13" spans="1:16" hidden="1" outlineLevel="1" x14ac:dyDescent="0.35">
      <c r="A13" s="6" t="s">
        <v>60</v>
      </c>
      <c r="B13" s="6"/>
      <c r="C13" s="16"/>
      <c r="D13" s="17">
        <f>D32/D47</f>
        <v>0.42857142857142855</v>
      </c>
      <c r="E13" s="17">
        <f t="shared" ref="E13:H13" si="7">E32/E47</f>
        <v>0.42857142857142855</v>
      </c>
      <c r="F13" s="17">
        <f t="shared" si="7"/>
        <v>0.42857142857142855</v>
      </c>
      <c r="G13" s="17">
        <f t="shared" si="7"/>
        <v>0.42857142857142855</v>
      </c>
      <c r="H13" s="17">
        <f t="shared" si="7"/>
        <v>0.42857142857142849</v>
      </c>
      <c r="I13" s="18">
        <v>0.35</v>
      </c>
      <c r="J13" s="18">
        <v>0.35</v>
      </c>
      <c r="K13" s="18">
        <v>0.35</v>
      </c>
      <c r="L13" s="18">
        <v>0.35</v>
      </c>
      <c r="M13" s="18">
        <v>0.35</v>
      </c>
    </row>
    <row r="14" spans="1:16" hidden="1" outlineLevel="1" x14ac:dyDescent="0.35">
      <c r="A14" s="6" t="s">
        <v>62</v>
      </c>
      <c r="B14" s="6"/>
      <c r="C14" s="16"/>
      <c r="D14" s="17">
        <f>D33/D52</f>
        <v>0.05</v>
      </c>
      <c r="E14" s="17">
        <f t="shared" ref="E14:H14" si="8">E33/E52</f>
        <v>0.05</v>
      </c>
      <c r="F14" s="17">
        <f t="shared" si="8"/>
        <v>0.05</v>
      </c>
      <c r="G14" s="17">
        <f t="shared" si="8"/>
        <v>0.05</v>
      </c>
      <c r="H14" s="17">
        <f t="shared" si="8"/>
        <v>0.05</v>
      </c>
      <c r="I14" s="18">
        <v>0.1</v>
      </c>
      <c r="J14" s="18">
        <v>0.1</v>
      </c>
      <c r="K14" s="18">
        <v>0.1</v>
      </c>
      <c r="L14" s="18">
        <v>0.1</v>
      </c>
      <c r="M14" s="18">
        <v>0.1</v>
      </c>
    </row>
    <row r="15" spans="1:16" hidden="1" outlineLevel="1" x14ac:dyDescent="0.35">
      <c r="A15" s="6" t="s">
        <v>63</v>
      </c>
      <c r="B15" s="21"/>
      <c r="C15" s="22"/>
      <c r="D15" s="17">
        <f>D37/D35</f>
        <v>0.31167801892042296</v>
      </c>
      <c r="E15" s="17">
        <f t="shared" ref="E15:H15" si="9">E37/E35</f>
        <v>0.29180230056592171</v>
      </c>
      <c r="F15" s="17">
        <f t="shared" si="9"/>
        <v>0.28698850107817436</v>
      </c>
      <c r="G15" s="17">
        <f t="shared" si="9"/>
        <v>0.2899411500446471</v>
      </c>
      <c r="H15" s="17">
        <f t="shared" si="9"/>
        <v>0.29121899033183596</v>
      </c>
      <c r="I15" s="18">
        <v>0.28000000000000003</v>
      </c>
      <c r="J15" s="18">
        <v>0.28000000000000003</v>
      </c>
      <c r="K15" s="18">
        <v>0.28000000000000003</v>
      </c>
      <c r="L15" s="18">
        <v>0.28000000000000003</v>
      </c>
      <c r="M15" s="18">
        <v>0.28000000000000003</v>
      </c>
    </row>
    <row r="16" spans="1:16" hidden="1" outlineLevel="1" x14ac:dyDescent="0.35">
      <c r="A16" s="7" t="s">
        <v>64</v>
      </c>
      <c r="C16" s="23"/>
      <c r="D16" s="12">
        <f>(D45/D26)*365</f>
        <v>18.25</v>
      </c>
      <c r="E16" s="12">
        <f t="shared" ref="E16:H16" si="10">(E45/E26)*365</f>
        <v>18.25</v>
      </c>
      <c r="F16" s="12">
        <f t="shared" si="10"/>
        <v>18.25</v>
      </c>
      <c r="G16" s="12">
        <f t="shared" si="10"/>
        <v>18.25</v>
      </c>
      <c r="H16" s="12">
        <f t="shared" si="10"/>
        <v>18.25</v>
      </c>
      <c r="I16" s="13">
        <v>18</v>
      </c>
      <c r="J16" s="13">
        <v>18</v>
      </c>
      <c r="K16" s="13">
        <v>18</v>
      </c>
      <c r="L16" s="13">
        <v>18</v>
      </c>
      <c r="M16" s="13">
        <v>18</v>
      </c>
    </row>
    <row r="17" spans="1:13" hidden="1" outlineLevel="1" x14ac:dyDescent="0.35">
      <c r="A17" s="7" t="s">
        <v>65</v>
      </c>
      <c r="C17" s="23"/>
      <c r="D17" s="12">
        <f>(D46/D27)*365</f>
        <v>73</v>
      </c>
      <c r="E17" s="12">
        <f t="shared" ref="E17:H17" si="11">(E46/E27)*365</f>
        <v>73</v>
      </c>
      <c r="F17" s="12">
        <f t="shared" si="11"/>
        <v>73</v>
      </c>
      <c r="G17" s="12">
        <f t="shared" si="11"/>
        <v>73</v>
      </c>
      <c r="H17" s="12">
        <f t="shared" si="11"/>
        <v>73</v>
      </c>
      <c r="I17" s="13">
        <v>80</v>
      </c>
      <c r="J17" s="13">
        <v>90</v>
      </c>
      <c r="K17" s="13">
        <v>100</v>
      </c>
      <c r="L17" s="13">
        <v>100</v>
      </c>
      <c r="M17" s="13">
        <v>100</v>
      </c>
    </row>
    <row r="18" spans="1:13" hidden="1" outlineLevel="1" x14ac:dyDescent="0.35">
      <c r="A18" s="7" t="s">
        <v>66</v>
      </c>
      <c r="C18" s="23"/>
      <c r="D18" s="12">
        <f>(D51/D27)*365</f>
        <v>36.5</v>
      </c>
      <c r="E18" s="12">
        <f t="shared" ref="E18:H18" si="12">(E51/E27)*365</f>
        <v>36.5</v>
      </c>
      <c r="F18" s="12">
        <f t="shared" si="12"/>
        <v>36.5</v>
      </c>
      <c r="G18" s="12">
        <f t="shared" si="12"/>
        <v>36.5</v>
      </c>
      <c r="H18" s="12">
        <f t="shared" si="12"/>
        <v>36.5</v>
      </c>
      <c r="I18" s="13">
        <v>37</v>
      </c>
      <c r="J18" s="13">
        <v>37</v>
      </c>
      <c r="K18" s="13">
        <v>37</v>
      </c>
      <c r="L18" s="13">
        <v>37</v>
      </c>
      <c r="M18" s="13">
        <v>37</v>
      </c>
    </row>
    <row r="19" spans="1:13" hidden="1" outlineLevel="1" x14ac:dyDescent="0.35">
      <c r="A19" s="7" t="s">
        <v>67</v>
      </c>
      <c r="D19" s="12">
        <f>D72</f>
        <v>15000</v>
      </c>
      <c r="E19" s="12">
        <f t="shared" ref="E19:H19" si="13">E72</f>
        <v>15000</v>
      </c>
      <c r="F19" s="12">
        <f t="shared" si="13"/>
        <v>15000</v>
      </c>
      <c r="G19" s="12">
        <f t="shared" si="13"/>
        <v>15000</v>
      </c>
      <c r="H19" s="12">
        <f t="shared" si="13"/>
        <v>15000</v>
      </c>
      <c r="I19" s="13">
        <v>15000</v>
      </c>
      <c r="J19" s="13">
        <v>15000</v>
      </c>
      <c r="K19" s="13">
        <v>15000</v>
      </c>
      <c r="L19" s="13">
        <v>15000</v>
      </c>
      <c r="M19" s="13">
        <v>15000</v>
      </c>
    </row>
    <row r="20" spans="1:13" hidden="1" outlineLevel="1" x14ac:dyDescent="0.35">
      <c r="A20" s="7" t="s">
        <v>69</v>
      </c>
      <c r="D20" s="12">
        <f>D76</f>
        <v>0</v>
      </c>
      <c r="E20" s="12">
        <f t="shared" ref="E20:H20" si="14">E76</f>
        <v>0</v>
      </c>
      <c r="F20" s="12">
        <f t="shared" si="14"/>
        <v>-20000</v>
      </c>
      <c r="G20" s="12">
        <f t="shared" si="14"/>
        <v>0</v>
      </c>
      <c r="H20" s="12">
        <f t="shared" si="14"/>
        <v>0</v>
      </c>
      <c r="I20" s="13">
        <v>0</v>
      </c>
      <c r="J20" s="13">
        <v>0</v>
      </c>
      <c r="K20" s="13">
        <v>-20000</v>
      </c>
      <c r="L20" s="13">
        <v>0</v>
      </c>
      <c r="M20" s="13">
        <v>0</v>
      </c>
    </row>
    <row r="21" spans="1:13" hidden="1" outlineLevel="1" x14ac:dyDescent="0.35">
      <c r="A21" s="7" t="s">
        <v>68</v>
      </c>
      <c r="D21" s="12">
        <f>D77</f>
        <v>70000</v>
      </c>
      <c r="E21" s="12">
        <f t="shared" ref="E21:H21" si="15">E77</f>
        <v>0</v>
      </c>
      <c r="F21" s="12">
        <f t="shared" si="15"/>
        <v>0</v>
      </c>
      <c r="G21" s="12">
        <f t="shared" si="15"/>
        <v>0</v>
      </c>
      <c r="H21" s="12">
        <f t="shared" si="15"/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</row>
    <row r="22" spans="1:13" hidden="1" outlineLevel="1" x14ac:dyDescent="0.35">
      <c r="D22" s="12"/>
      <c r="E22" s="12"/>
      <c r="F22" s="12"/>
      <c r="G22" s="12"/>
      <c r="H22" s="12"/>
      <c r="I22" s="13"/>
      <c r="J22" s="13"/>
      <c r="K22" s="13"/>
      <c r="L22" s="13"/>
      <c r="M22" s="13"/>
    </row>
    <row r="23" spans="1:13" collapsed="1" x14ac:dyDescent="0.35">
      <c r="D23" s="12"/>
      <c r="E23" s="12"/>
      <c r="F23" s="12"/>
      <c r="G23" s="12"/>
      <c r="H23" s="12"/>
      <c r="I23" s="13"/>
      <c r="J23" s="13"/>
      <c r="K23" s="13"/>
      <c r="L23" s="13"/>
      <c r="M23" s="13"/>
    </row>
    <row r="24" spans="1:13" ht="20" x14ac:dyDescent="0.4">
      <c r="A24" s="46" t="s">
        <v>0</v>
      </c>
      <c r="B24" s="44"/>
      <c r="C24" s="45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hidden="1" outlineLevel="1" x14ac:dyDescent="0.35">
      <c r="A25" s="24"/>
      <c r="B25" s="24"/>
      <c r="C25" s="10"/>
      <c r="D25" s="94"/>
      <c r="E25" s="94"/>
      <c r="F25" s="94"/>
      <c r="G25" s="94"/>
      <c r="H25" s="94"/>
      <c r="I25" s="95"/>
      <c r="J25" s="95"/>
      <c r="K25" s="95"/>
      <c r="L25" s="95"/>
      <c r="M25" s="95"/>
    </row>
    <row r="26" spans="1:13" hidden="1" outlineLevel="1" x14ac:dyDescent="0.35">
      <c r="A26" s="8" t="s">
        <v>77</v>
      </c>
      <c r="B26" s="8"/>
      <c r="C26" s="25"/>
      <c r="D26" s="96">
        <v>102007</v>
      </c>
      <c r="E26" s="96">
        <v>118086</v>
      </c>
      <c r="F26" s="96">
        <v>131345</v>
      </c>
      <c r="G26" s="96">
        <v>142341</v>
      </c>
      <c r="H26" s="96">
        <v>150772</v>
      </c>
      <c r="I26" s="1">
        <f>H26*(1+I9)</f>
        <v>165849.20000000001</v>
      </c>
      <c r="J26" s="1">
        <f t="shared" ref="J26:M26" si="16">I26*(1+J9)</f>
        <v>182434.12000000002</v>
      </c>
      <c r="K26" s="1">
        <f t="shared" si="16"/>
        <v>200677.53200000004</v>
      </c>
      <c r="L26" s="1">
        <f t="shared" si="16"/>
        <v>220745.28520000007</v>
      </c>
      <c r="M26" s="1">
        <f t="shared" si="16"/>
        <v>242819.81372000009</v>
      </c>
    </row>
    <row r="27" spans="1:13" hidden="1" outlineLevel="1" x14ac:dyDescent="0.35">
      <c r="A27" s="6" t="s">
        <v>54</v>
      </c>
      <c r="B27" s="6"/>
      <c r="C27" s="16"/>
      <c r="D27" s="86">
        <v>39023</v>
      </c>
      <c r="E27" s="86">
        <v>48004</v>
      </c>
      <c r="F27" s="86">
        <v>49123</v>
      </c>
      <c r="G27" s="86">
        <v>52654</v>
      </c>
      <c r="H27" s="86">
        <v>56710</v>
      </c>
      <c r="I27" s="87">
        <f>I26*I10</f>
        <v>69656.664000000004</v>
      </c>
      <c r="J27" s="87">
        <f t="shared" ref="J27:M27" si="17">J26*J10</f>
        <v>85744.036400000012</v>
      </c>
      <c r="K27" s="87">
        <f t="shared" si="17"/>
        <v>100338.76600000002</v>
      </c>
      <c r="L27" s="87">
        <f t="shared" si="17"/>
        <v>79468.30267200002</v>
      </c>
      <c r="M27" s="87">
        <f t="shared" si="17"/>
        <v>84986.934802000033</v>
      </c>
    </row>
    <row r="28" spans="1:13" hidden="1" outlineLevel="1" x14ac:dyDescent="0.35">
      <c r="A28" s="14" t="s">
        <v>1</v>
      </c>
      <c r="B28" s="14"/>
      <c r="C28" s="15"/>
      <c r="D28" s="97">
        <f>D26-D27</f>
        <v>62984</v>
      </c>
      <c r="E28" s="97">
        <f t="shared" ref="E28:M28" si="18">E26-E27</f>
        <v>70082</v>
      </c>
      <c r="F28" s="97">
        <f t="shared" si="18"/>
        <v>82222</v>
      </c>
      <c r="G28" s="97">
        <f t="shared" si="18"/>
        <v>89687</v>
      </c>
      <c r="H28" s="97">
        <f t="shared" si="18"/>
        <v>94062</v>
      </c>
      <c r="I28" s="97">
        <f t="shared" si="18"/>
        <v>96192.536000000007</v>
      </c>
      <c r="J28" s="97">
        <f t="shared" si="18"/>
        <v>96690.083600000013</v>
      </c>
      <c r="K28" s="97">
        <f t="shared" si="18"/>
        <v>100338.76600000002</v>
      </c>
      <c r="L28" s="97">
        <f t="shared" si="18"/>
        <v>141276.98252800005</v>
      </c>
      <c r="M28" s="97">
        <f t="shared" si="18"/>
        <v>157832.87891800006</v>
      </c>
    </row>
    <row r="29" spans="1:13" hidden="1" outlineLevel="1" x14ac:dyDescent="0.35">
      <c r="A29" s="24" t="s">
        <v>73</v>
      </c>
      <c r="B29" s="24"/>
      <c r="C29" s="10"/>
      <c r="D29" s="96"/>
      <c r="E29" s="96"/>
      <c r="F29" s="96"/>
      <c r="G29" s="96"/>
      <c r="H29" s="96"/>
      <c r="I29" s="98"/>
      <c r="J29" s="98"/>
      <c r="K29" s="98"/>
      <c r="L29" s="95"/>
      <c r="M29" s="95"/>
    </row>
    <row r="30" spans="1:13" hidden="1" outlineLevel="1" x14ac:dyDescent="0.35">
      <c r="A30" s="7" t="s">
        <v>2</v>
      </c>
      <c r="D30" s="96">
        <v>26427</v>
      </c>
      <c r="E30" s="96">
        <v>22658</v>
      </c>
      <c r="F30" s="96">
        <v>23872</v>
      </c>
      <c r="G30" s="96">
        <v>23002</v>
      </c>
      <c r="H30" s="96">
        <v>25245</v>
      </c>
      <c r="I30" s="5">
        <f>I26*I11</f>
        <v>28194.364000000005</v>
      </c>
      <c r="J30" s="5">
        <f t="shared" ref="J30:M30" si="19">J26*J11</f>
        <v>31013.800400000007</v>
      </c>
      <c r="K30" s="5">
        <f t="shared" si="19"/>
        <v>34115.180440000011</v>
      </c>
      <c r="L30" s="5">
        <f t="shared" si="19"/>
        <v>37526.698484000015</v>
      </c>
      <c r="M30" s="5">
        <f t="shared" si="19"/>
        <v>41279.368332400016</v>
      </c>
    </row>
    <row r="31" spans="1:13" hidden="1" outlineLevel="1" x14ac:dyDescent="0.35">
      <c r="A31" s="7" t="s">
        <v>3</v>
      </c>
      <c r="D31" s="96">
        <v>10963</v>
      </c>
      <c r="E31" s="96">
        <v>10125</v>
      </c>
      <c r="F31" s="96">
        <v>10087</v>
      </c>
      <c r="G31" s="96">
        <v>11020</v>
      </c>
      <c r="H31" s="96">
        <v>11412</v>
      </c>
      <c r="I31" s="5">
        <f>I12</f>
        <v>15000</v>
      </c>
      <c r="J31" s="5">
        <f t="shared" ref="J31:M31" si="20">J12</f>
        <v>15000</v>
      </c>
      <c r="K31" s="5">
        <f t="shared" si="20"/>
        <v>15000</v>
      </c>
      <c r="L31" s="5">
        <f t="shared" si="20"/>
        <v>15000</v>
      </c>
      <c r="M31" s="5">
        <f t="shared" si="20"/>
        <v>15000</v>
      </c>
    </row>
    <row r="32" spans="1:13" hidden="1" outlineLevel="1" x14ac:dyDescent="0.35">
      <c r="A32" s="7" t="s">
        <v>4</v>
      </c>
      <c r="D32" s="96">
        <v>19500</v>
      </c>
      <c r="E32" s="96">
        <v>18150</v>
      </c>
      <c r="F32" s="96">
        <v>17205</v>
      </c>
      <c r="G32" s="96">
        <v>16543.5</v>
      </c>
      <c r="H32" s="96">
        <v>16080.449999999999</v>
      </c>
      <c r="I32" s="5">
        <f>I98</f>
        <v>13132.3675</v>
      </c>
      <c r="J32" s="5">
        <f t="shared" ref="J32:M32" si="21">J98</f>
        <v>13786.038875</v>
      </c>
      <c r="K32" s="5">
        <f t="shared" si="21"/>
        <v>14210.925268750001</v>
      </c>
      <c r="L32" s="5">
        <f t="shared" si="21"/>
        <v>14487.101424687498</v>
      </c>
      <c r="M32" s="5">
        <f t="shared" si="21"/>
        <v>14666.615926046874</v>
      </c>
    </row>
    <row r="33" spans="1:13" hidden="1" outlineLevel="1" x14ac:dyDescent="0.35">
      <c r="A33" s="26" t="s">
        <v>5</v>
      </c>
      <c r="B33" s="26"/>
      <c r="C33" s="27"/>
      <c r="D33" s="86">
        <v>2500</v>
      </c>
      <c r="E33" s="86">
        <v>2500</v>
      </c>
      <c r="F33" s="86">
        <v>1500</v>
      </c>
      <c r="G33" s="86">
        <v>1500</v>
      </c>
      <c r="H33" s="86">
        <v>1500</v>
      </c>
      <c r="I33" s="99">
        <f>I105</f>
        <v>3000</v>
      </c>
      <c r="J33" s="99">
        <f t="shared" ref="J33:M33" si="22">J105</f>
        <v>3000</v>
      </c>
      <c r="K33" s="99">
        <f t="shared" si="22"/>
        <v>2000</v>
      </c>
      <c r="L33" s="99">
        <f t="shared" si="22"/>
        <v>1000</v>
      </c>
      <c r="M33" s="99">
        <f t="shared" si="22"/>
        <v>1000</v>
      </c>
    </row>
    <row r="34" spans="1:13" hidden="1" outlineLevel="1" x14ac:dyDescent="0.35">
      <c r="A34" s="24" t="s">
        <v>74</v>
      </c>
      <c r="B34" s="6"/>
      <c r="C34" s="16"/>
      <c r="D34" s="100">
        <f>SUM(D30:D33)</f>
        <v>59390</v>
      </c>
      <c r="E34" s="100">
        <f t="shared" ref="E34:M34" si="23">SUM(E30:E33)</f>
        <v>53433</v>
      </c>
      <c r="F34" s="100">
        <f t="shared" si="23"/>
        <v>52664</v>
      </c>
      <c r="G34" s="100">
        <f t="shared" si="23"/>
        <v>52065.5</v>
      </c>
      <c r="H34" s="100">
        <f t="shared" si="23"/>
        <v>54237.45</v>
      </c>
      <c r="I34" s="100">
        <f t="shared" si="23"/>
        <v>59326.731500000002</v>
      </c>
      <c r="J34" s="100">
        <f t="shared" si="23"/>
        <v>62799.839275000006</v>
      </c>
      <c r="K34" s="100">
        <f t="shared" si="23"/>
        <v>65326.105708750008</v>
      </c>
      <c r="L34" s="100">
        <f t="shared" si="23"/>
        <v>68013.799908687506</v>
      </c>
      <c r="M34" s="100">
        <f t="shared" si="23"/>
        <v>71945.984258446886</v>
      </c>
    </row>
    <row r="35" spans="1:13" hidden="1" outlineLevel="1" x14ac:dyDescent="0.35">
      <c r="A35" s="14" t="s">
        <v>6</v>
      </c>
      <c r="B35" s="14"/>
      <c r="C35" s="15"/>
      <c r="D35" s="97">
        <f>D28-D34</f>
        <v>3594</v>
      </c>
      <c r="E35" s="97">
        <f t="shared" ref="E35:M35" si="24">E28-E34</f>
        <v>16649</v>
      </c>
      <c r="F35" s="97">
        <f t="shared" si="24"/>
        <v>29558</v>
      </c>
      <c r="G35" s="97">
        <f t="shared" si="24"/>
        <v>37621.5</v>
      </c>
      <c r="H35" s="97">
        <f t="shared" si="24"/>
        <v>39824.550000000003</v>
      </c>
      <c r="I35" s="97">
        <f t="shared" si="24"/>
        <v>36865.804500000006</v>
      </c>
      <c r="J35" s="97">
        <f t="shared" si="24"/>
        <v>33890.244325000007</v>
      </c>
      <c r="K35" s="97">
        <f t="shared" si="24"/>
        <v>35012.660291250009</v>
      </c>
      <c r="L35" s="97">
        <f t="shared" si="24"/>
        <v>73263.182619312545</v>
      </c>
      <c r="M35" s="97">
        <f t="shared" si="24"/>
        <v>85886.894659553174</v>
      </c>
    </row>
    <row r="36" spans="1:13" hidden="1" outlineLevel="1" x14ac:dyDescent="0.35">
      <c r="A36" s="24"/>
      <c r="B36" s="24"/>
      <c r="C36" s="10"/>
      <c r="D36" s="96"/>
      <c r="E36" s="96"/>
      <c r="F36" s="96"/>
      <c r="G36" s="96"/>
      <c r="H36" s="96"/>
      <c r="I36" s="95"/>
      <c r="J36" s="95"/>
      <c r="K36" s="95"/>
      <c r="L36" s="95"/>
      <c r="M36" s="95"/>
    </row>
    <row r="37" spans="1:13" hidden="1" outlineLevel="1" x14ac:dyDescent="0.35">
      <c r="A37" s="6" t="s">
        <v>7</v>
      </c>
      <c r="B37" s="6"/>
      <c r="C37" s="16"/>
      <c r="D37" s="86">
        <v>1120.1708000000001</v>
      </c>
      <c r="E37" s="86">
        <v>4858.2165021220308</v>
      </c>
      <c r="F37" s="86">
        <v>8482.8061148686775</v>
      </c>
      <c r="G37" s="86">
        <v>10908.02097640469</v>
      </c>
      <c r="H37" s="86">
        <v>11597.665241419718</v>
      </c>
      <c r="I37" s="28">
        <f>I15*I35</f>
        <v>10322.425260000002</v>
      </c>
      <c r="J37" s="28">
        <f t="shared" ref="J37:M37" si="25">J15*J35</f>
        <v>9489.2684110000027</v>
      </c>
      <c r="K37" s="28">
        <f t="shared" si="25"/>
        <v>9803.544881550004</v>
      </c>
      <c r="L37" s="28">
        <f t="shared" si="25"/>
        <v>20513.691133407516</v>
      </c>
      <c r="M37" s="28">
        <f t="shared" si="25"/>
        <v>24048.33050467489</v>
      </c>
    </row>
    <row r="38" spans="1:13" ht="16" hidden="1" outlineLevel="1" thickBot="1" x14ac:dyDescent="0.4">
      <c r="A38" s="29" t="s">
        <v>8</v>
      </c>
      <c r="B38" s="29"/>
      <c r="C38" s="30"/>
      <c r="D38" s="100">
        <f>D35-D37</f>
        <v>2473.8292000000001</v>
      </c>
      <c r="E38" s="100">
        <f t="shared" ref="E38:M38" si="26">E35-E37</f>
        <v>11790.783497877968</v>
      </c>
      <c r="F38" s="100">
        <f t="shared" si="26"/>
        <v>21075.193885131324</v>
      </c>
      <c r="G38" s="100">
        <f t="shared" si="26"/>
        <v>26713.479023595311</v>
      </c>
      <c r="H38" s="100">
        <f t="shared" si="26"/>
        <v>28226.884758580287</v>
      </c>
      <c r="I38" s="100">
        <f t="shared" si="26"/>
        <v>26543.379240000002</v>
      </c>
      <c r="J38" s="100">
        <f t="shared" si="26"/>
        <v>24400.975914000002</v>
      </c>
      <c r="K38" s="100">
        <f t="shared" si="26"/>
        <v>25209.115409700004</v>
      </c>
      <c r="L38" s="100">
        <f t="shared" si="26"/>
        <v>52749.491485905033</v>
      </c>
      <c r="M38" s="100">
        <f t="shared" si="26"/>
        <v>61838.564154878288</v>
      </c>
    </row>
    <row r="39" spans="1:13" ht="16" hidden="1" outlineLevel="1" collapsed="1" thickTop="1" x14ac:dyDescent="0.35">
      <c r="D39" s="101"/>
      <c r="E39" s="101"/>
      <c r="F39" s="101"/>
      <c r="G39" s="101"/>
      <c r="H39" s="101"/>
    </row>
    <row r="40" spans="1:13" collapsed="1" x14ac:dyDescent="0.35">
      <c r="D40" s="101"/>
      <c r="E40" s="101"/>
      <c r="F40" s="101"/>
      <c r="G40" s="101"/>
      <c r="H40" s="101"/>
    </row>
    <row r="41" spans="1:13" ht="20" x14ac:dyDescent="0.4">
      <c r="A41" s="46" t="s">
        <v>9</v>
      </c>
      <c r="B41" s="44"/>
      <c r="C41" s="45"/>
      <c r="D41" s="102"/>
      <c r="E41" s="102"/>
      <c r="F41" s="102"/>
      <c r="G41" s="102"/>
      <c r="H41" s="102"/>
      <c r="I41" s="19"/>
      <c r="J41" s="19"/>
      <c r="K41" s="19"/>
      <c r="L41" s="19"/>
      <c r="M41" s="19"/>
    </row>
    <row r="42" spans="1:13" hidden="1" outlineLevel="1" x14ac:dyDescent="0.35">
      <c r="D42" s="101"/>
      <c r="E42" s="101"/>
      <c r="F42" s="101"/>
      <c r="G42" s="101"/>
      <c r="H42" s="101"/>
    </row>
    <row r="43" spans="1:13" hidden="1" outlineLevel="1" x14ac:dyDescent="0.35">
      <c r="A43" s="8" t="s">
        <v>10</v>
      </c>
      <c r="D43" s="101"/>
      <c r="E43" s="101"/>
      <c r="F43" s="101"/>
      <c r="G43" s="101"/>
      <c r="H43" s="101"/>
    </row>
    <row r="44" spans="1:13" hidden="1" outlineLevel="1" x14ac:dyDescent="0.35">
      <c r="A44" s="7" t="s">
        <v>11</v>
      </c>
      <c r="C44" s="31"/>
      <c r="D44" s="96">
        <v>67971.179200000013</v>
      </c>
      <c r="E44" s="96">
        <v>81209.912697877968</v>
      </c>
      <c r="F44" s="96">
        <v>83715.256583009294</v>
      </c>
      <c r="G44" s="96">
        <v>111069.33560660461</v>
      </c>
      <c r="H44" s="96">
        <v>139549.5203651849</v>
      </c>
      <c r="I44" s="5">
        <f>I82</f>
        <v>161049.87490792453</v>
      </c>
      <c r="J44" s="5">
        <f>J82</f>
        <v>179174.62685528069</v>
      </c>
      <c r="K44" s="5">
        <f>K82</f>
        <v>177826.75042468961</v>
      </c>
      <c r="L44" s="5">
        <f>L82</f>
        <v>232675.99986148489</v>
      </c>
      <c r="M44" s="5">
        <f>M82</f>
        <v>292140.04203131417</v>
      </c>
    </row>
    <row r="45" spans="1:13" hidden="1" outlineLevel="1" x14ac:dyDescent="0.35">
      <c r="A45" s="7" t="s">
        <v>12</v>
      </c>
      <c r="C45" s="31"/>
      <c r="D45" s="96">
        <v>5100.3500000000004</v>
      </c>
      <c r="E45" s="96">
        <v>5904.3</v>
      </c>
      <c r="F45" s="96">
        <v>6567.25</v>
      </c>
      <c r="G45" s="96">
        <v>7117.05</v>
      </c>
      <c r="H45" s="96">
        <v>7538.6</v>
      </c>
      <c r="I45" s="103">
        <f>(I26*I16)/365</f>
        <v>8178.8646575342473</v>
      </c>
      <c r="J45" s="103">
        <f t="shared" ref="J45:M45" si="27">(J26*J16)/365</f>
        <v>8996.7511232876732</v>
      </c>
      <c r="K45" s="103">
        <f t="shared" si="27"/>
        <v>9896.42623561644</v>
      </c>
      <c r="L45" s="103">
        <f t="shared" si="27"/>
        <v>10886.068859178085</v>
      </c>
      <c r="M45" s="103">
        <f t="shared" si="27"/>
        <v>11974.675745095894</v>
      </c>
    </row>
    <row r="46" spans="1:13" hidden="1" outlineLevel="1" x14ac:dyDescent="0.35">
      <c r="A46" s="7" t="s">
        <v>18</v>
      </c>
      <c r="C46" s="31"/>
      <c r="D46" s="96">
        <v>7804.6</v>
      </c>
      <c r="E46" s="96">
        <v>9600.8000000000011</v>
      </c>
      <c r="F46" s="96">
        <v>9824.6</v>
      </c>
      <c r="G46" s="96">
        <v>10530.800000000001</v>
      </c>
      <c r="H46" s="96">
        <v>11342</v>
      </c>
      <c r="I46" s="5">
        <f>(I27*I17)/365</f>
        <v>15267.21402739726</v>
      </c>
      <c r="J46" s="5">
        <f t="shared" ref="J46:M46" si="28">(J27*J17)/365</f>
        <v>21142.365139726033</v>
      </c>
      <c r="K46" s="5">
        <f t="shared" si="28"/>
        <v>27490.072876712333</v>
      </c>
      <c r="L46" s="5">
        <f t="shared" si="28"/>
        <v>21772.137718356171</v>
      </c>
      <c r="M46" s="5">
        <f t="shared" si="28"/>
        <v>23284.091726575352</v>
      </c>
    </row>
    <row r="47" spans="1:13" hidden="1" outlineLevel="1" x14ac:dyDescent="0.35">
      <c r="A47" s="7" t="s">
        <v>13</v>
      </c>
      <c r="D47" s="86">
        <v>45500</v>
      </c>
      <c r="E47" s="86">
        <v>42350</v>
      </c>
      <c r="F47" s="86">
        <v>40145</v>
      </c>
      <c r="G47" s="86">
        <v>38601.5</v>
      </c>
      <c r="H47" s="86">
        <v>37521.050000000003</v>
      </c>
      <c r="I47" s="5">
        <f>I99</f>
        <v>39388.682500000003</v>
      </c>
      <c r="J47" s="5">
        <f t="shared" ref="J47:M47" si="29">J99</f>
        <v>40602.643625000004</v>
      </c>
      <c r="K47" s="5">
        <f t="shared" si="29"/>
        <v>41391.718356249999</v>
      </c>
      <c r="L47" s="5">
        <f t="shared" si="29"/>
        <v>41904.616931562501</v>
      </c>
      <c r="M47" s="5">
        <f t="shared" si="29"/>
        <v>42238.001005515631</v>
      </c>
    </row>
    <row r="48" spans="1:13" ht="16" hidden="1" outlineLevel="1" thickBot="1" x14ac:dyDescent="0.4">
      <c r="A48" s="29" t="s">
        <v>19</v>
      </c>
      <c r="B48" s="29"/>
      <c r="C48" s="30"/>
      <c r="D48" s="100">
        <f>SUM(D44:D47)</f>
        <v>126376.12920000002</v>
      </c>
      <c r="E48" s="100">
        <f>SUM(E44:E47)</f>
        <v>139065.01269787797</v>
      </c>
      <c r="F48" s="100">
        <f t="shared" ref="F48:M48" si="30">SUM(F44:F47)</f>
        <v>140252.1065830093</v>
      </c>
      <c r="G48" s="100">
        <f t="shared" si="30"/>
        <v>167318.68560660462</v>
      </c>
      <c r="H48" s="100">
        <f t="shared" si="30"/>
        <v>195951.17036518489</v>
      </c>
      <c r="I48" s="100">
        <f t="shared" si="30"/>
        <v>223884.63609285603</v>
      </c>
      <c r="J48" s="100">
        <f t="shared" si="30"/>
        <v>249916.3867432944</v>
      </c>
      <c r="K48" s="100">
        <f t="shared" si="30"/>
        <v>256604.96789326839</v>
      </c>
      <c r="L48" s="100">
        <f t="shared" si="30"/>
        <v>307238.82337058161</v>
      </c>
      <c r="M48" s="100">
        <f t="shared" si="30"/>
        <v>369636.81050850102</v>
      </c>
    </row>
    <row r="49" spans="1:13" ht="16" hidden="1" outlineLevel="1" thickTop="1" x14ac:dyDescent="0.35">
      <c r="A49" s="24"/>
      <c r="B49" s="24"/>
      <c r="C49" s="10"/>
      <c r="D49" s="96"/>
      <c r="E49" s="96"/>
      <c r="F49" s="96"/>
      <c r="G49" s="96"/>
      <c r="H49" s="96"/>
      <c r="I49" s="104"/>
      <c r="J49" s="104"/>
      <c r="K49" s="104"/>
      <c r="L49" s="104"/>
      <c r="M49" s="104"/>
    </row>
    <row r="50" spans="1:13" hidden="1" outlineLevel="1" x14ac:dyDescent="0.35">
      <c r="A50" s="8" t="s">
        <v>20</v>
      </c>
      <c r="C50" s="31"/>
      <c r="D50" s="96"/>
      <c r="E50" s="96"/>
      <c r="F50" s="96"/>
      <c r="G50" s="96"/>
      <c r="H50" s="96"/>
    </row>
    <row r="51" spans="1:13" hidden="1" outlineLevel="1" x14ac:dyDescent="0.35">
      <c r="A51" s="7" t="s">
        <v>21</v>
      </c>
      <c r="C51" s="31"/>
      <c r="D51" s="96">
        <v>3902.3</v>
      </c>
      <c r="E51" s="96">
        <v>4800.4000000000005</v>
      </c>
      <c r="F51" s="96">
        <v>4912.3</v>
      </c>
      <c r="G51" s="96">
        <v>5265.4000000000005</v>
      </c>
      <c r="H51" s="96">
        <v>5671</v>
      </c>
      <c r="I51" s="5">
        <f>(I27*I18)/365</f>
        <v>7061.086487671233</v>
      </c>
      <c r="J51" s="5">
        <f t="shared" ref="J51:M51" si="31">(J27*J18)/365</f>
        <v>8691.8612241095907</v>
      </c>
      <c r="K51" s="5">
        <f t="shared" si="31"/>
        <v>10171.326964383563</v>
      </c>
      <c r="L51" s="5">
        <f t="shared" si="31"/>
        <v>8055.6909557917834</v>
      </c>
      <c r="M51" s="5">
        <f t="shared" si="31"/>
        <v>8615.1139388328793</v>
      </c>
    </row>
    <row r="52" spans="1:13" hidden="1" outlineLevel="1" x14ac:dyDescent="0.35">
      <c r="A52" s="7" t="s">
        <v>22</v>
      </c>
      <c r="D52" s="86">
        <v>50000</v>
      </c>
      <c r="E52" s="86">
        <v>50000</v>
      </c>
      <c r="F52" s="86">
        <v>30000</v>
      </c>
      <c r="G52" s="86">
        <v>30000</v>
      </c>
      <c r="H52" s="86">
        <v>30000</v>
      </c>
      <c r="I52" s="105">
        <f>I104</f>
        <v>30000</v>
      </c>
      <c r="J52" s="105">
        <f t="shared" ref="J52:M52" si="32">J104</f>
        <v>30000</v>
      </c>
      <c r="K52" s="105">
        <f t="shared" si="32"/>
        <v>10000</v>
      </c>
      <c r="L52" s="105">
        <f t="shared" si="32"/>
        <v>10000</v>
      </c>
      <c r="M52" s="105">
        <f t="shared" si="32"/>
        <v>10000</v>
      </c>
    </row>
    <row r="53" spans="1:13" hidden="1" outlineLevel="1" x14ac:dyDescent="0.35">
      <c r="A53" s="14" t="s">
        <v>27</v>
      </c>
      <c r="B53" s="14"/>
      <c r="C53" s="15"/>
      <c r="D53" s="97">
        <f>SUM(D51:D52)</f>
        <v>53902.3</v>
      </c>
      <c r="E53" s="97">
        <f t="shared" ref="E53:M53" si="33">SUM(E51:E52)</f>
        <v>54800.4</v>
      </c>
      <c r="F53" s="97">
        <f t="shared" si="33"/>
        <v>34912.300000000003</v>
      </c>
      <c r="G53" s="97">
        <f t="shared" si="33"/>
        <v>35265.4</v>
      </c>
      <c r="H53" s="97">
        <f t="shared" si="33"/>
        <v>35671</v>
      </c>
      <c r="I53" s="97">
        <f t="shared" si="33"/>
        <v>37061.086487671229</v>
      </c>
      <c r="J53" s="97">
        <f t="shared" si="33"/>
        <v>38691.861224109591</v>
      </c>
      <c r="K53" s="97">
        <f t="shared" si="33"/>
        <v>20171.326964383563</v>
      </c>
      <c r="L53" s="97">
        <f t="shared" si="33"/>
        <v>18055.690955791782</v>
      </c>
      <c r="M53" s="97">
        <f t="shared" si="33"/>
        <v>18615.113938832881</v>
      </c>
    </row>
    <row r="54" spans="1:13" hidden="1" outlineLevel="1" x14ac:dyDescent="0.35">
      <c r="A54" s="8" t="s">
        <v>28</v>
      </c>
      <c r="D54" s="96"/>
      <c r="E54" s="96"/>
      <c r="F54" s="96"/>
      <c r="G54" s="96"/>
      <c r="H54" s="96"/>
    </row>
    <row r="55" spans="1:13" hidden="1" outlineLevel="1" x14ac:dyDescent="0.35">
      <c r="A55" s="7" t="s">
        <v>29</v>
      </c>
      <c r="D55" s="96">
        <v>70000</v>
      </c>
      <c r="E55" s="96">
        <v>70000</v>
      </c>
      <c r="F55" s="96">
        <v>70000</v>
      </c>
      <c r="G55" s="96">
        <v>70000</v>
      </c>
      <c r="H55" s="96">
        <v>70000</v>
      </c>
      <c r="I55" s="5">
        <f>H55+I77</f>
        <v>70000</v>
      </c>
      <c r="J55" s="5">
        <f t="shared" ref="J55:M55" si="34">I55+J77</f>
        <v>70000</v>
      </c>
      <c r="K55" s="5">
        <f t="shared" si="34"/>
        <v>70000</v>
      </c>
      <c r="L55" s="5">
        <f t="shared" si="34"/>
        <v>70000</v>
      </c>
      <c r="M55" s="5">
        <f t="shared" si="34"/>
        <v>70000</v>
      </c>
    </row>
    <row r="56" spans="1:13" hidden="1" outlineLevel="1" x14ac:dyDescent="0.35">
      <c r="A56" s="7" t="s">
        <v>30</v>
      </c>
      <c r="C56" s="27"/>
      <c r="D56" s="86">
        <v>2473.8292000000001</v>
      </c>
      <c r="E56" s="86">
        <v>14264.612697877968</v>
      </c>
      <c r="F56" s="86">
        <v>35339.806583009296</v>
      </c>
      <c r="G56" s="86">
        <v>62053.285606604608</v>
      </c>
      <c r="H56" s="86">
        <v>90280.170365184895</v>
      </c>
      <c r="I56" s="5">
        <f>H56+I38</f>
        <v>116823.5496051849</v>
      </c>
      <c r="J56" s="5">
        <f t="shared" ref="J56:M56" si="35">I56+J38</f>
        <v>141224.52551918491</v>
      </c>
      <c r="K56" s="5">
        <f t="shared" si="35"/>
        <v>166433.64092888491</v>
      </c>
      <c r="L56" s="5">
        <f t="shared" si="35"/>
        <v>219183.13241478993</v>
      </c>
      <c r="M56" s="5">
        <f t="shared" si="35"/>
        <v>281021.69656966825</v>
      </c>
    </row>
    <row r="57" spans="1:13" hidden="1" outlineLevel="1" x14ac:dyDescent="0.35">
      <c r="A57" s="32" t="s">
        <v>28</v>
      </c>
      <c r="B57" s="32"/>
      <c r="C57" s="33"/>
      <c r="D57" s="100">
        <f>SUM(D55:D56)</f>
        <v>72473.829200000007</v>
      </c>
      <c r="E57" s="100">
        <f t="shared" ref="E57:M57" si="36">SUM(E55:E56)</f>
        <v>84264.612697877965</v>
      </c>
      <c r="F57" s="100">
        <f t="shared" si="36"/>
        <v>105339.8065830093</v>
      </c>
      <c r="G57" s="100">
        <f t="shared" si="36"/>
        <v>132053.28560660459</v>
      </c>
      <c r="H57" s="100">
        <f t="shared" si="36"/>
        <v>160280.17036518489</v>
      </c>
      <c r="I57" s="100">
        <f t="shared" si="36"/>
        <v>186823.5496051849</v>
      </c>
      <c r="J57" s="100">
        <f t="shared" si="36"/>
        <v>211224.52551918491</v>
      </c>
      <c r="K57" s="100">
        <f t="shared" si="36"/>
        <v>236433.64092888491</v>
      </c>
      <c r="L57" s="100">
        <f t="shared" si="36"/>
        <v>289183.13241478993</v>
      </c>
      <c r="M57" s="100">
        <f t="shared" si="36"/>
        <v>351021.69656966825</v>
      </c>
    </row>
    <row r="58" spans="1:13" ht="16" hidden="1" outlineLevel="1" thickBot="1" x14ac:dyDescent="0.4">
      <c r="A58" s="29" t="s">
        <v>31</v>
      </c>
      <c r="B58" s="29"/>
      <c r="C58" s="85"/>
      <c r="D58" s="100">
        <f>D53+D57</f>
        <v>126376.12920000001</v>
      </c>
      <c r="E58" s="100">
        <f t="shared" ref="E58:M58" si="37">E53+E57</f>
        <v>139065.01269787797</v>
      </c>
      <c r="F58" s="100">
        <f t="shared" si="37"/>
        <v>140252.1065830093</v>
      </c>
      <c r="G58" s="100">
        <f t="shared" si="37"/>
        <v>167318.68560660459</v>
      </c>
      <c r="H58" s="100">
        <f t="shared" si="37"/>
        <v>195951.17036518489</v>
      </c>
      <c r="I58" s="100">
        <f t="shared" si="37"/>
        <v>223884.63609285612</v>
      </c>
      <c r="J58" s="100">
        <f t="shared" si="37"/>
        <v>249916.38674329451</v>
      </c>
      <c r="K58" s="100">
        <f t="shared" si="37"/>
        <v>256604.96789326848</v>
      </c>
      <c r="L58" s="100">
        <f t="shared" si="37"/>
        <v>307238.82337058173</v>
      </c>
      <c r="M58" s="100">
        <f t="shared" si="37"/>
        <v>369636.81050850113</v>
      </c>
    </row>
    <row r="59" spans="1:13" ht="16" hidden="1" outlineLevel="1" thickTop="1" x14ac:dyDescent="0.35">
      <c r="D59" s="101"/>
      <c r="E59" s="101"/>
      <c r="F59" s="101"/>
      <c r="G59" s="101"/>
      <c r="H59" s="101"/>
    </row>
    <row r="60" spans="1:13" hidden="1" outlineLevel="1" x14ac:dyDescent="0.35">
      <c r="A60" s="34" t="s">
        <v>49</v>
      </c>
      <c r="B60" s="35"/>
      <c r="C60" s="36"/>
      <c r="D60" s="106">
        <f>D48-D58</f>
        <v>0</v>
      </c>
      <c r="E60" s="106">
        <f t="shared" ref="E60:M60" si="38">E48-E58</f>
        <v>0</v>
      </c>
      <c r="F60" s="106">
        <f t="shared" si="38"/>
        <v>0</v>
      </c>
      <c r="G60" s="106">
        <f t="shared" si="38"/>
        <v>0</v>
      </c>
      <c r="H60" s="106">
        <f t="shared" si="38"/>
        <v>0</v>
      </c>
      <c r="I60" s="106">
        <f t="shared" si="38"/>
        <v>0</v>
      </c>
      <c r="J60" s="106">
        <f t="shared" si="38"/>
        <v>0</v>
      </c>
      <c r="K60" s="106">
        <f t="shared" si="38"/>
        <v>0</v>
      </c>
      <c r="L60" s="106">
        <f t="shared" si="38"/>
        <v>0</v>
      </c>
      <c r="M60" s="106">
        <f t="shared" si="38"/>
        <v>0</v>
      </c>
    </row>
    <row r="61" spans="1:13" hidden="1" outlineLevel="1" x14ac:dyDescent="0.35">
      <c r="A61" s="35"/>
      <c r="B61" s="35"/>
      <c r="C61" s="36"/>
      <c r="D61" s="106"/>
      <c r="E61" s="106"/>
      <c r="F61" s="106"/>
      <c r="G61" s="106"/>
      <c r="H61" s="106"/>
      <c r="I61" s="107"/>
      <c r="J61" s="107"/>
      <c r="K61" s="107"/>
      <c r="L61" s="107"/>
      <c r="M61" s="107"/>
    </row>
    <row r="62" spans="1:13" collapsed="1" x14ac:dyDescent="0.35">
      <c r="D62" s="101"/>
      <c r="E62" s="101"/>
      <c r="F62" s="101"/>
      <c r="G62" s="101"/>
      <c r="H62" s="101"/>
    </row>
    <row r="63" spans="1:13" ht="20" x14ac:dyDescent="0.4">
      <c r="A63" s="46" t="s">
        <v>48</v>
      </c>
      <c r="B63" s="44"/>
      <c r="C63" s="45"/>
      <c r="D63" s="102"/>
      <c r="E63" s="102"/>
      <c r="F63" s="102"/>
      <c r="G63" s="102"/>
      <c r="H63" s="102"/>
      <c r="I63" s="19"/>
      <c r="J63" s="19"/>
      <c r="K63" s="19"/>
      <c r="L63" s="19"/>
      <c r="M63" s="19"/>
    </row>
    <row r="64" spans="1:13" hidden="1" outlineLevel="1" x14ac:dyDescent="0.35">
      <c r="A64" s="8"/>
      <c r="D64" s="108"/>
      <c r="E64" s="101"/>
      <c r="F64" s="101"/>
      <c r="G64" s="101"/>
      <c r="H64" s="101"/>
    </row>
    <row r="65" spans="1:13" hidden="1" outlineLevel="1" x14ac:dyDescent="0.35">
      <c r="A65" s="8" t="s">
        <v>32</v>
      </c>
      <c r="D65" s="101"/>
      <c r="E65" s="101"/>
      <c r="F65" s="101"/>
      <c r="G65" s="101"/>
      <c r="H65" s="101"/>
    </row>
    <row r="66" spans="1:13" hidden="1" outlineLevel="1" x14ac:dyDescent="0.35">
      <c r="A66" s="7" t="s">
        <v>8</v>
      </c>
      <c r="D66" s="96">
        <v>2473.8292000000001</v>
      </c>
      <c r="E66" s="96">
        <v>11790.783497877968</v>
      </c>
      <c r="F66" s="96">
        <v>21075.193885131324</v>
      </c>
      <c r="G66" s="96">
        <v>26713.479023595311</v>
      </c>
      <c r="H66" s="96">
        <v>28226.884758580287</v>
      </c>
      <c r="I66" s="5">
        <f>I38</f>
        <v>26543.379240000002</v>
      </c>
      <c r="J66" s="5">
        <f t="shared" ref="J66:M66" si="39">J38</f>
        <v>24400.975914000002</v>
      </c>
      <c r="K66" s="5">
        <f t="shared" si="39"/>
        <v>25209.115409700004</v>
      </c>
      <c r="L66" s="5">
        <f t="shared" si="39"/>
        <v>52749.491485905033</v>
      </c>
      <c r="M66" s="5">
        <f t="shared" si="39"/>
        <v>61838.564154878288</v>
      </c>
    </row>
    <row r="67" spans="1:13" hidden="1" outlineLevel="1" x14ac:dyDescent="0.35">
      <c r="A67" s="7" t="s">
        <v>33</v>
      </c>
      <c r="D67" s="96">
        <v>19500</v>
      </c>
      <c r="E67" s="96">
        <v>18150</v>
      </c>
      <c r="F67" s="96">
        <v>17205</v>
      </c>
      <c r="G67" s="96">
        <v>16543.5</v>
      </c>
      <c r="H67" s="96">
        <v>16080.449999999999</v>
      </c>
      <c r="I67" s="5">
        <f>I98</f>
        <v>13132.3675</v>
      </c>
      <c r="J67" s="5">
        <f t="shared" ref="J67:M67" si="40">J98</f>
        <v>13786.038875</v>
      </c>
      <c r="K67" s="5">
        <f t="shared" si="40"/>
        <v>14210.925268750001</v>
      </c>
      <c r="L67" s="5">
        <f t="shared" si="40"/>
        <v>14487.101424687498</v>
      </c>
      <c r="M67" s="5">
        <f t="shared" si="40"/>
        <v>14666.615926046874</v>
      </c>
    </row>
    <row r="68" spans="1:13" hidden="1" outlineLevel="1" x14ac:dyDescent="0.35">
      <c r="A68" s="7" t="s">
        <v>37</v>
      </c>
      <c r="D68" s="86">
        <v>9002.6500000000015</v>
      </c>
      <c r="E68" s="86">
        <v>1702.0499999999993</v>
      </c>
      <c r="F68" s="86">
        <v>774.84999999999854</v>
      </c>
      <c r="G68" s="86">
        <v>902.90000000000146</v>
      </c>
      <c r="H68" s="86">
        <v>827.14999999999782</v>
      </c>
      <c r="I68" s="105">
        <f>I93</f>
        <v>3175.3921972602766</v>
      </c>
      <c r="J68" s="105">
        <f t="shared" ref="J68:M68" si="41">J93</f>
        <v>5062.2628416438383</v>
      </c>
      <c r="K68" s="105">
        <f t="shared" si="41"/>
        <v>5767.9171090411</v>
      </c>
      <c r="L68" s="105">
        <f t="shared" si="41"/>
        <v>-2612.6565262027398</v>
      </c>
      <c r="M68" s="105">
        <f t="shared" si="41"/>
        <v>2041.1379110958951</v>
      </c>
    </row>
    <row r="69" spans="1:13" hidden="1" outlineLevel="1" x14ac:dyDescent="0.35">
      <c r="A69" s="14" t="s">
        <v>34</v>
      </c>
      <c r="B69" s="4"/>
      <c r="C69" s="37"/>
      <c r="D69" s="97">
        <f>D66+D67-D68</f>
        <v>12971.179199999999</v>
      </c>
      <c r="E69" s="97">
        <f t="shared" ref="E69:M69" si="42">E66+E67-E68</f>
        <v>28238.733497877969</v>
      </c>
      <c r="F69" s="97">
        <f t="shared" si="42"/>
        <v>37505.343885131326</v>
      </c>
      <c r="G69" s="97">
        <f t="shared" si="42"/>
        <v>42354.07902359531</v>
      </c>
      <c r="H69" s="97">
        <f t="shared" si="42"/>
        <v>43480.18475858029</v>
      </c>
      <c r="I69" s="97">
        <f t="shared" si="42"/>
        <v>36500.354542739726</v>
      </c>
      <c r="J69" s="97">
        <f t="shared" si="42"/>
        <v>33124.751947356162</v>
      </c>
      <c r="K69" s="97">
        <f t="shared" si="42"/>
        <v>33652.123569408912</v>
      </c>
      <c r="L69" s="97">
        <f t="shared" si="42"/>
        <v>69849.249436795275</v>
      </c>
      <c r="M69" s="97">
        <f t="shared" si="42"/>
        <v>74464.042169829263</v>
      </c>
    </row>
    <row r="70" spans="1:13" hidden="1" outlineLevel="1" x14ac:dyDescent="0.35">
      <c r="A70" s="24"/>
      <c r="B70" s="6"/>
      <c r="C70" s="16"/>
      <c r="D70" s="96"/>
      <c r="E70" s="96"/>
      <c r="F70" s="96"/>
      <c r="G70" s="96"/>
      <c r="H70" s="96"/>
      <c r="I70" s="104"/>
      <c r="J70" s="104"/>
      <c r="K70" s="104"/>
      <c r="L70" s="104"/>
      <c r="M70" s="104"/>
    </row>
    <row r="71" spans="1:13" hidden="1" outlineLevel="1" x14ac:dyDescent="0.35">
      <c r="A71" s="8" t="s">
        <v>38</v>
      </c>
      <c r="D71" s="96"/>
      <c r="E71" s="96"/>
      <c r="F71" s="96"/>
      <c r="G71" s="96"/>
      <c r="H71" s="96"/>
      <c r="I71" s="109"/>
      <c r="J71" s="109"/>
      <c r="K71" s="109"/>
      <c r="L71" s="109"/>
      <c r="M71" s="109"/>
    </row>
    <row r="72" spans="1:13" hidden="1" outlineLevel="1" x14ac:dyDescent="0.35">
      <c r="A72" s="7" t="s">
        <v>39</v>
      </c>
      <c r="D72" s="86">
        <v>15000</v>
      </c>
      <c r="E72" s="86">
        <v>15000</v>
      </c>
      <c r="F72" s="86">
        <v>15000</v>
      </c>
      <c r="G72" s="86">
        <v>15000</v>
      </c>
      <c r="H72" s="86">
        <v>15000</v>
      </c>
      <c r="I72" s="105">
        <f>I97</f>
        <v>15000</v>
      </c>
      <c r="J72" s="105">
        <f t="shared" ref="J72:M72" si="43">J97</f>
        <v>15000</v>
      </c>
      <c r="K72" s="105">
        <f t="shared" si="43"/>
        <v>15000</v>
      </c>
      <c r="L72" s="105">
        <f t="shared" si="43"/>
        <v>15000</v>
      </c>
      <c r="M72" s="105">
        <f t="shared" si="43"/>
        <v>15000</v>
      </c>
    </row>
    <row r="73" spans="1:13" hidden="1" outlineLevel="1" x14ac:dyDescent="0.35">
      <c r="A73" s="14" t="s">
        <v>40</v>
      </c>
      <c r="B73" s="4"/>
      <c r="C73" s="37"/>
      <c r="D73" s="97">
        <f>D72</f>
        <v>15000</v>
      </c>
      <c r="E73" s="97">
        <f t="shared" ref="E73:M73" si="44">E72</f>
        <v>15000</v>
      </c>
      <c r="F73" s="97">
        <f t="shared" si="44"/>
        <v>15000</v>
      </c>
      <c r="G73" s="97">
        <f t="shared" si="44"/>
        <v>15000</v>
      </c>
      <c r="H73" s="97">
        <f t="shared" si="44"/>
        <v>15000</v>
      </c>
      <c r="I73" s="97">
        <f t="shared" si="44"/>
        <v>15000</v>
      </c>
      <c r="J73" s="97">
        <f t="shared" si="44"/>
        <v>15000</v>
      </c>
      <c r="K73" s="97">
        <f t="shared" si="44"/>
        <v>15000</v>
      </c>
      <c r="L73" s="97">
        <f t="shared" si="44"/>
        <v>15000</v>
      </c>
      <c r="M73" s="97">
        <f t="shared" si="44"/>
        <v>15000</v>
      </c>
    </row>
    <row r="74" spans="1:13" hidden="1" outlineLevel="1" x14ac:dyDescent="0.35">
      <c r="A74" s="24"/>
      <c r="B74" s="6"/>
      <c r="C74" s="16"/>
      <c r="D74" s="96"/>
      <c r="E74" s="96"/>
      <c r="F74" s="96"/>
      <c r="G74" s="96"/>
      <c r="H74" s="96"/>
      <c r="I74" s="104"/>
      <c r="J74" s="104"/>
      <c r="K74" s="104"/>
      <c r="L74" s="104"/>
      <c r="M74" s="104"/>
    </row>
    <row r="75" spans="1:13" hidden="1" outlineLevel="1" x14ac:dyDescent="0.35">
      <c r="A75" s="8" t="s">
        <v>41</v>
      </c>
      <c r="D75" s="96"/>
      <c r="E75" s="96"/>
      <c r="F75" s="96"/>
      <c r="G75" s="96"/>
      <c r="H75" s="96"/>
      <c r="I75" s="109"/>
      <c r="J75" s="109"/>
      <c r="K75" s="109"/>
      <c r="L75" s="109"/>
      <c r="M75" s="109"/>
    </row>
    <row r="76" spans="1:13" hidden="1" outlineLevel="1" x14ac:dyDescent="0.35">
      <c r="A76" s="7" t="s">
        <v>42</v>
      </c>
      <c r="D76" s="96">
        <v>0</v>
      </c>
      <c r="E76" s="96">
        <v>0</v>
      </c>
      <c r="F76" s="96">
        <v>-20000</v>
      </c>
      <c r="G76" s="96">
        <v>0</v>
      </c>
      <c r="H76" s="96">
        <v>0</v>
      </c>
      <c r="I76" s="109"/>
      <c r="J76" s="109"/>
      <c r="K76" s="109">
        <f>K103</f>
        <v>-20000</v>
      </c>
      <c r="L76" s="109">
        <f t="shared" ref="L76:M76" si="45">L103</f>
        <v>0</v>
      </c>
      <c r="M76" s="109">
        <f t="shared" si="45"/>
        <v>0</v>
      </c>
    </row>
    <row r="77" spans="1:13" hidden="1" outlineLevel="1" x14ac:dyDescent="0.35">
      <c r="A77" s="7" t="s">
        <v>43</v>
      </c>
      <c r="D77" s="86">
        <v>70000</v>
      </c>
      <c r="E77" s="86">
        <v>0</v>
      </c>
      <c r="F77" s="86">
        <v>0</v>
      </c>
      <c r="G77" s="86">
        <v>0</v>
      </c>
      <c r="H77" s="86">
        <v>0</v>
      </c>
      <c r="I77" s="105">
        <f>I103</f>
        <v>0</v>
      </c>
      <c r="J77" s="105">
        <f>J103</f>
        <v>0</v>
      </c>
      <c r="K77" s="105"/>
      <c r="L77" s="105">
        <f t="shared" ref="L77:M77" si="46">L103</f>
        <v>0</v>
      </c>
      <c r="M77" s="105">
        <f t="shared" si="46"/>
        <v>0</v>
      </c>
    </row>
    <row r="78" spans="1:13" hidden="1" outlineLevel="1" x14ac:dyDescent="0.35">
      <c r="A78" s="14" t="s">
        <v>44</v>
      </c>
      <c r="B78" s="4"/>
      <c r="C78" s="37"/>
      <c r="D78" s="97">
        <f>SUM(D76:D77)</f>
        <v>70000</v>
      </c>
      <c r="E78" s="97">
        <f t="shared" ref="E78:M78" si="47">SUM(E76:E77)</f>
        <v>0</v>
      </c>
      <c r="F78" s="97">
        <f t="shared" si="47"/>
        <v>-20000</v>
      </c>
      <c r="G78" s="97">
        <f t="shared" si="47"/>
        <v>0</v>
      </c>
      <c r="H78" s="97">
        <f t="shared" si="47"/>
        <v>0</v>
      </c>
      <c r="I78" s="97">
        <f t="shared" si="47"/>
        <v>0</v>
      </c>
      <c r="J78" s="97">
        <f t="shared" si="47"/>
        <v>0</v>
      </c>
      <c r="K78" s="97">
        <f t="shared" si="47"/>
        <v>-20000</v>
      </c>
      <c r="L78" s="97">
        <f t="shared" si="47"/>
        <v>0</v>
      </c>
      <c r="M78" s="97">
        <f t="shared" si="47"/>
        <v>0</v>
      </c>
    </row>
    <row r="79" spans="1:13" hidden="1" outlineLevel="1" x14ac:dyDescent="0.35">
      <c r="A79" s="24"/>
      <c r="B79" s="6"/>
      <c r="C79" s="16"/>
      <c r="D79" s="96"/>
      <c r="E79" s="96"/>
      <c r="F79" s="96"/>
      <c r="G79" s="96"/>
      <c r="H79" s="96"/>
      <c r="I79" s="104"/>
      <c r="J79" s="104"/>
      <c r="K79" s="104"/>
      <c r="L79" s="104"/>
      <c r="M79" s="104"/>
    </row>
    <row r="80" spans="1:13" hidden="1" outlineLevel="1" x14ac:dyDescent="0.35">
      <c r="A80" s="7" t="s">
        <v>45</v>
      </c>
      <c r="D80" s="96">
        <v>67971.179199999999</v>
      </c>
      <c r="E80" s="96">
        <v>13238.733497877969</v>
      </c>
      <c r="F80" s="96">
        <v>2505.3438851313258</v>
      </c>
      <c r="G80" s="96">
        <v>27354.07902359531</v>
      </c>
      <c r="H80" s="96">
        <v>28480.184758580199</v>
      </c>
      <c r="I80" s="19">
        <f>I69-I73+I78</f>
        <v>21500.354542739726</v>
      </c>
      <c r="J80" s="19">
        <f t="shared" ref="J80:M80" si="48">J69-J73+J78</f>
        <v>18124.751947356162</v>
      </c>
      <c r="K80" s="19">
        <f t="shared" si="48"/>
        <v>-1347.8764305910881</v>
      </c>
      <c r="L80" s="19">
        <f t="shared" si="48"/>
        <v>54849.249436795275</v>
      </c>
      <c r="M80" s="19">
        <f t="shared" si="48"/>
        <v>59464.042169829263</v>
      </c>
    </row>
    <row r="81" spans="1:14" hidden="1" outlineLevel="1" x14ac:dyDescent="0.35">
      <c r="A81" s="7" t="s">
        <v>46</v>
      </c>
      <c r="D81" s="86">
        <v>0</v>
      </c>
      <c r="E81" s="86">
        <v>67971.179200000013</v>
      </c>
      <c r="F81" s="86">
        <v>81209.912697877968</v>
      </c>
      <c r="G81" s="86">
        <v>83715.256583009294</v>
      </c>
      <c r="H81" s="86">
        <v>111069.33560660461</v>
      </c>
      <c r="I81" s="105">
        <f>H82</f>
        <v>139549.52036518481</v>
      </c>
      <c r="J81" s="105">
        <f>I82</f>
        <v>161049.87490792453</v>
      </c>
      <c r="K81" s="105">
        <f>J82</f>
        <v>179174.62685528069</v>
      </c>
      <c r="L81" s="105">
        <f>K82</f>
        <v>177826.75042468961</v>
      </c>
      <c r="M81" s="105">
        <f>L82</f>
        <v>232675.99986148489</v>
      </c>
    </row>
    <row r="82" spans="1:14" hidden="1" outlineLevel="1" x14ac:dyDescent="0.35">
      <c r="A82" s="14" t="s">
        <v>47</v>
      </c>
      <c r="B82" s="4"/>
      <c r="C82" s="37"/>
      <c r="D82" s="97">
        <f>SUM(D80:D81)</f>
        <v>67971.179199999999</v>
      </c>
      <c r="E82" s="97">
        <f>SUM(E80:E81)</f>
        <v>81209.912697877982</v>
      </c>
      <c r="F82" s="97">
        <f t="shared" ref="F82:M82" si="49">SUM(F80:F81)</f>
        <v>83715.256583009294</v>
      </c>
      <c r="G82" s="97">
        <f t="shared" si="49"/>
        <v>111069.33560660461</v>
      </c>
      <c r="H82" s="97">
        <f t="shared" si="49"/>
        <v>139549.52036518481</v>
      </c>
      <c r="I82" s="97">
        <f>SUM(I80:I81)</f>
        <v>161049.87490792453</v>
      </c>
      <c r="J82" s="97">
        <f t="shared" si="49"/>
        <v>179174.62685528069</v>
      </c>
      <c r="K82" s="97">
        <f t="shared" si="49"/>
        <v>177826.75042468961</v>
      </c>
      <c r="L82" s="97">
        <f t="shared" si="49"/>
        <v>232675.99986148489</v>
      </c>
      <c r="M82" s="97">
        <f t="shared" si="49"/>
        <v>292140.04203131417</v>
      </c>
    </row>
    <row r="83" spans="1:14" hidden="1" outlineLevel="1" x14ac:dyDescent="0.35">
      <c r="A83" s="8"/>
      <c r="D83" s="108"/>
      <c r="E83" s="108"/>
      <c r="F83" s="108"/>
      <c r="G83" s="108"/>
      <c r="H83" s="108"/>
    </row>
    <row r="84" spans="1:14" hidden="1" outlineLevel="1" x14ac:dyDescent="0.35">
      <c r="A84" s="34" t="s">
        <v>49</v>
      </c>
      <c r="D84" s="108">
        <f>D82-D44</f>
        <v>0</v>
      </c>
      <c r="E84" s="108">
        <f t="shared" ref="E84:M84" si="50">E82-E44</f>
        <v>0</v>
      </c>
      <c r="F84" s="108">
        <f t="shared" si="50"/>
        <v>0</v>
      </c>
      <c r="G84" s="108">
        <f t="shared" si="50"/>
        <v>0</v>
      </c>
      <c r="H84" s="108">
        <f t="shared" si="50"/>
        <v>0</v>
      </c>
      <c r="I84" s="108">
        <f t="shared" si="50"/>
        <v>0</v>
      </c>
      <c r="J84" s="108">
        <f t="shared" si="50"/>
        <v>0</v>
      </c>
      <c r="K84" s="108">
        <f t="shared" si="50"/>
        <v>0</v>
      </c>
      <c r="L84" s="108">
        <f t="shared" si="50"/>
        <v>0</v>
      </c>
      <c r="M84" s="108">
        <f t="shared" si="50"/>
        <v>0</v>
      </c>
      <c r="N84" s="83"/>
    </row>
    <row r="85" spans="1:14" collapsed="1" x14ac:dyDescent="0.35">
      <c r="D85" s="101"/>
      <c r="E85" s="101"/>
      <c r="F85" s="101"/>
      <c r="G85" s="101"/>
      <c r="H85" s="101"/>
    </row>
    <row r="86" spans="1:14" ht="20" x14ac:dyDescent="0.4">
      <c r="A86" s="46" t="s">
        <v>50</v>
      </c>
      <c r="B86" s="44"/>
      <c r="C86" s="45"/>
      <c r="D86" s="110"/>
      <c r="E86" s="110"/>
      <c r="F86" s="110"/>
      <c r="G86" s="110"/>
      <c r="H86" s="110"/>
      <c r="I86" s="19"/>
      <c r="J86" s="19"/>
      <c r="K86" s="19"/>
      <c r="L86" s="19"/>
      <c r="M86" s="19"/>
    </row>
    <row r="87" spans="1:14" hidden="1" outlineLevel="1" x14ac:dyDescent="0.35">
      <c r="D87" s="101"/>
      <c r="E87" s="101"/>
      <c r="F87" s="101"/>
      <c r="G87" s="101"/>
      <c r="H87" s="101"/>
    </row>
    <row r="88" spans="1:14" hidden="1" outlineLevel="1" x14ac:dyDescent="0.35">
      <c r="A88" s="8" t="s">
        <v>51</v>
      </c>
      <c r="D88" s="101"/>
      <c r="E88" s="101"/>
      <c r="F88" s="101"/>
      <c r="G88" s="101"/>
      <c r="H88" s="101"/>
    </row>
    <row r="89" spans="1:14" hidden="1" outlineLevel="1" x14ac:dyDescent="0.35">
      <c r="A89" s="7" t="s">
        <v>12</v>
      </c>
      <c r="D89" s="101">
        <f>D45</f>
        <v>5100.3500000000004</v>
      </c>
      <c r="E89" s="101">
        <f t="shared" ref="E89:M89" si="51">E45</f>
        <v>5904.3</v>
      </c>
      <c r="F89" s="101">
        <f t="shared" si="51"/>
        <v>6567.25</v>
      </c>
      <c r="G89" s="101">
        <f t="shared" si="51"/>
        <v>7117.05</v>
      </c>
      <c r="H89" s="101">
        <f t="shared" si="51"/>
        <v>7538.6</v>
      </c>
      <c r="I89" s="101">
        <f>I45</f>
        <v>8178.8646575342473</v>
      </c>
      <c r="J89" s="101">
        <f t="shared" si="51"/>
        <v>8996.7511232876732</v>
      </c>
      <c r="K89" s="101">
        <f t="shared" si="51"/>
        <v>9896.42623561644</v>
      </c>
      <c r="L89" s="101">
        <f t="shared" si="51"/>
        <v>10886.068859178085</v>
      </c>
      <c r="M89" s="101">
        <f t="shared" si="51"/>
        <v>11974.675745095894</v>
      </c>
    </row>
    <row r="90" spans="1:14" hidden="1" outlineLevel="1" x14ac:dyDescent="0.35">
      <c r="A90" s="7" t="s">
        <v>18</v>
      </c>
      <c r="D90" s="101">
        <f>D46</f>
        <v>7804.6</v>
      </c>
      <c r="E90" s="101">
        <f t="shared" ref="E90:M90" si="52">E46</f>
        <v>9600.8000000000011</v>
      </c>
      <c r="F90" s="101">
        <f t="shared" si="52"/>
        <v>9824.6</v>
      </c>
      <c r="G90" s="101">
        <f t="shared" si="52"/>
        <v>10530.800000000001</v>
      </c>
      <c r="H90" s="101">
        <f t="shared" si="52"/>
        <v>11342</v>
      </c>
      <c r="I90" s="101">
        <f t="shared" si="52"/>
        <v>15267.21402739726</v>
      </c>
      <c r="J90" s="101">
        <f t="shared" si="52"/>
        <v>21142.365139726033</v>
      </c>
      <c r="K90" s="101">
        <f t="shared" si="52"/>
        <v>27490.072876712333</v>
      </c>
      <c r="L90" s="101">
        <f t="shared" si="52"/>
        <v>21772.137718356171</v>
      </c>
      <c r="M90" s="101">
        <f t="shared" si="52"/>
        <v>23284.091726575352</v>
      </c>
    </row>
    <row r="91" spans="1:14" hidden="1" outlineLevel="1" x14ac:dyDescent="0.35">
      <c r="A91" s="7" t="s">
        <v>21</v>
      </c>
      <c r="D91" s="101">
        <f>D51</f>
        <v>3902.3</v>
      </c>
      <c r="E91" s="101">
        <f t="shared" ref="E91:L91" si="53">E51</f>
        <v>4800.4000000000005</v>
      </c>
      <c r="F91" s="101">
        <f t="shared" si="53"/>
        <v>4912.3</v>
      </c>
      <c r="G91" s="101">
        <f t="shared" si="53"/>
        <v>5265.4000000000005</v>
      </c>
      <c r="H91" s="101">
        <f t="shared" si="53"/>
        <v>5671</v>
      </c>
      <c r="I91" s="101">
        <f t="shared" si="53"/>
        <v>7061.086487671233</v>
      </c>
      <c r="J91" s="101">
        <f t="shared" si="53"/>
        <v>8691.8612241095907</v>
      </c>
      <c r="K91" s="101">
        <f t="shared" si="53"/>
        <v>10171.326964383563</v>
      </c>
      <c r="L91" s="101">
        <f t="shared" si="53"/>
        <v>8055.6909557917834</v>
      </c>
      <c r="M91" s="101">
        <f>M51</f>
        <v>8615.1139388328793</v>
      </c>
    </row>
    <row r="92" spans="1:14" hidden="1" outlineLevel="1" x14ac:dyDescent="0.35">
      <c r="A92" s="4" t="s">
        <v>36</v>
      </c>
      <c r="B92" s="4"/>
      <c r="C92" s="37"/>
      <c r="D92" s="111">
        <f>D89+D90-D91</f>
        <v>9002.6500000000015</v>
      </c>
      <c r="E92" s="111">
        <f>E89+E90-E91</f>
        <v>10704.7</v>
      </c>
      <c r="F92" s="111">
        <f>F89+F90-F91</f>
        <v>11479.55</v>
      </c>
      <c r="G92" s="111">
        <f t="shared" ref="G92:M92" si="54">G89+G90-G91</f>
        <v>12382.45</v>
      </c>
      <c r="H92" s="111">
        <f t="shared" si="54"/>
        <v>13209.599999999999</v>
      </c>
      <c r="I92" s="111">
        <f>I89+I90-I91</f>
        <v>16384.992197260275</v>
      </c>
      <c r="J92" s="111">
        <f t="shared" si="54"/>
        <v>21447.255038904113</v>
      </c>
      <c r="K92" s="111">
        <f t="shared" si="54"/>
        <v>27215.172147945214</v>
      </c>
      <c r="L92" s="111">
        <f t="shared" si="54"/>
        <v>24602.515621742474</v>
      </c>
      <c r="M92" s="111">
        <f t="shared" si="54"/>
        <v>26643.653532838369</v>
      </c>
    </row>
    <row r="93" spans="1:14" hidden="1" outlineLevel="1" x14ac:dyDescent="0.35">
      <c r="A93" s="7" t="s">
        <v>35</v>
      </c>
      <c r="D93" s="84">
        <f>D92</f>
        <v>9002.6500000000015</v>
      </c>
      <c r="E93" s="84">
        <f>E92-D92</f>
        <v>1702.0499999999993</v>
      </c>
      <c r="F93" s="84">
        <f>F92-E92</f>
        <v>774.84999999999854</v>
      </c>
      <c r="G93" s="84">
        <f>G92-F92</f>
        <v>902.90000000000146</v>
      </c>
      <c r="H93" s="84">
        <f>H92-G92</f>
        <v>827.14999999999782</v>
      </c>
      <c r="I93" s="84">
        <f t="shared" ref="I93:M93" si="55">I92-H92</f>
        <v>3175.3921972602766</v>
      </c>
      <c r="J93" s="84">
        <f t="shared" si="55"/>
        <v>5062.2628416438383</v>
      </c>
      <c r="K93" s="84">
        <f t="shared" si="55"/>
        <v>5767.9171090411</v>
      </c>
      <c r="L93" s="84">
        <f>L92-K92</f>
        <v>-2612.6565262027398</v>
      </c>
      <c r="M93" s="84">
        <f t="shared" si="55"/>
        <v>2041.1379110958951</v>
      </c>
    </row>
    <row r="94" spans="1:14" hidden="1" outlineLevel="1" x14ac:dyDescent="0.35">
      <c r="D94" s="101"/>
      <c r="E94" s="101"/>
      <c r="F94" s="101"/>
      <c r="G94" s="101"/>
      <c r="H94" s="101"/>
      <c r="I94" s="13"/>
      <c r="J94" s="13"/>
      <c r="K94" s="13"/>
      <c r="L94" s="13"/>
      <c r="M94" s="13"/>
    </row>
    <row r="95" spans="1:14" hidden="1" outlineLevel="1" x14ac:dyDescent="0.35">
      <c r="A95" s="8" t="s">
        <v>52</v>
      </c>
      <c r="D95" s="101"/>
      <c r="E95" s="101"/>
      <c r="F95" s="101"/>
      <c r="G95" s="101"/>
      <c r="H95" s="101"/>
      <c r="I95" s="13"/>
      <c r="J95" s="13"/>
      <c r="K95" s="13"/>
      <c r="L95" s="13"/>
      <c r="M95" s="13"/>
    </row>
    <row r="96" spans="1:14" hidden="1" outlineLevel="1" x14ac:dyDescent="0.35">
      <c r="A96" s="7" t="s">
        <v>14</v>
      </c>
      <c r="D96" s="103">
        <f>D99+D98-D97</f>
        <v>50000</v>
      </c>
      <c r="E96" s="103">
        <f>E99+E98-E97</f>
        <v>45500</v>
      </c>
      <c r="F96" s="103">
        <f t="shared" ref="F96:H96" si="56">F99+F98-F97</f>
        <v>42350</v>
      </c>
      <c r="G96" s="103">
        <f t="shared" si="56"/>
        <v>40145</v>
      </c>
      <c r="H96" s="103">
        <f t="shared" si="56"/>
        <v>38601.5</v>
      </c>
      <c r="I96" s="12">
        <f>H99</f>
        <v>37521.050000000003</v>
      </c>
      <c r="J96" s="12">
        <f t="shared" ref="J96:M96" si="57">I99</f>
        <v>39388.682500000003</v>
      </c>
      <c r="K96" s="12">
        <f t="shared" si="57"/>
        <v>40602.643625000004</v>
      </c>
      <c r="L96" s="12">
        <f t="shared" si="57"/>
        <v>41391.718356249999</v>
      </c>
      <c r="M96" s="12">
        <f t="shared" si="57"/>
        <v>41904.616931562501</v>
      </c>
    </row>
    <row r="97" spans="1:13" hidden="1" outlineLevel="1" x14ac:dyDescent="0.35">
      <c r="A97" s="7" t="s">
        <v>15</v>
      </c>
      <c r="D97" s="101">
        <f>D72</f>
        <v>15000</v>
      </c>
      <c r="E97" s="101">
        <f t="shared" ref="E97:H97" si="58">E72</f>
        <v>15000</v>
      </c>
      <c r="F97" s="101">
        <f t="shared" si="58"/>
        <v>15000</v>
      </c>
      <c r="G97" s="101">
        <f t="shared" si="58"/>
        <v>15000</v>
      </c>
      <c r="H97" s="101">
        <f t="shared" si="58"/>
        <v>15000</v>
      </c>
      <c r="I97" s="12">
        <f>I19</f>
        <v>15000</v>
      </c>
      <c r="J97" s="12">
        <f t="shared" ref="J97:M97" si="59">J19</f>
        <v>15000</v>
      </c>
      <c r="K97" s="12">
        <f t="shared" si="59"/>
        <v>15000</v>
      </c>
      <c r="L97" s="12">
        <f t="shared" si="59"/>
        <v>15000</v>
      </c>
      <c r="M97" s="12">
        <f t="shared" si="59"/>
        <v>15000</v>
      </c>
    </row>
    <row r="98" spans="1:13" hidden="1" outlineLevel="1" x14ac:dyDescent="0.35">
      <c r="A98" s="7" t="s">
        <v>16</v>
      </c>
      <c r="C98" s="31"/>
      <c r="D98" s="101">
        <f>D32</f>
        <v>19500</v>
      </c>
      <c r="E98" s="101">
        <f t="shared" ref="E98:H98" si="60">E32</f>
        <v>18150</v>
      </c>
      <c r="F98" s="101">
        <f t="shared" si="60"/>
        <v>17205</v>
      </c>
      <c r="G98" s="101">
        <f t="shared" si="60"/>
        <v>16543.5</v>
      </c>
      <c r="H98" s="101">
        <f t="shared" si="60"/>
        <v>16080.449999999999</v>
      </c>
      <c r="I98" s="12">
        <f>I96*I13</f>
        <v>13132.3675</v>
      </c>
      <c r="J98" s="12">
        <f t="shared" ref="J98:M98" si="61">J96*J13</f>
        <v>13786.038875</v>
      </c>
      <c r="K98" s="12">
        <f t="shared" si="61"/>
        <v>14210.925268750001</v>
      </c>
      <c r="L98" s="12">
        <f t="shared" si="61"/>
        <v>14487.101424687498</v>
      </c>
      <c r="M98" s="12">
        <f t="shared" si="61"/>
        <v>14666.615926046874</v>
      </c>
    </row>
    <row r="99" spans="1:13" hidden="1" outlineLevel="1" x14ac:dyDescent="0.35">
      <c r="A99" s="4" t="s">
        <v>17</v>
      </c>
      <c r="B99" s="4"/>
      <c r="C99" s="37"/>
      <c r="D99" s="111">
        <f>D47</f>
        <v>45500</v>
      </c>
      <c r="E99" s="111">
        <f>E47</f>
        <v>42350</v>
      </c>
      <c r="F99" s="111">
        <f t="shared" ref="F99:G99" si="62">F47</f>
        <v>40145</v>
      </c>
      <c r="G99" s="111">
        <f t="shared" si="62"/>
        <v>38601.5</v>
      </c>
      <c r="H99" s="111">
        <f>H47</f>
        <v>37521.050000000003</v>
      </c>
      <c r="I99" s="111">
        <f>I96+I97-I98</f>
        <v>39388.682500000003</v>
      </c>
      <c r="J99" s="111">
        <f>J96+J97-J98</f>
        <v>40602.643625000004</v>
      </c>
      <c r="K99" s="111">
        <f>K96+K97-K98</f>
        <v>41391.718356249999</v>
      </c>
      <c r="L99" s="111">
        <f>L96+L97-L98</f>
        <v>41904.616931562501</v>
      </c>
      <c r="M99" s="111">
        <f>M96+M97-M98</f>
        <v>42238.001005515631</v>
      </c>
    </row>
    <row r="100" spans="1:13" hidden="1" outlineLevel="1" x14ac:dyDescent="0.35">
      <c r="D100" s="101"/>
      <c r="E100" s="101"/>
      <c r="F100" s="101"/>
      <c r="G100" s="101"/>
      <c r="H100" s="101"/>
      <c r="I100" s="13"/>
      <c r="J100" s="13"/>
      <c r="K100" s="13"/>
      <c r="L100" s="13"/>
      <c r="M100" s="13"/>
    </row>
    <row r="101" spans="1:13" hidden="1" outlineLevel="1" x14ac:dyDescent="0.35">
      <c r="A101" s="8" t="s">
        <v>53</v>
      </c>
      <c r="D101" s="101"/>
      <c r="E101" s="101"/>
      <c r="F101" s="101"/>
      <c r="G101" s="101"/>
      <c r="H101" s="101"/>
      <c r="I101" s="13"/>
      <c r="J101" s="13"/>
      <c r="K101" s="13"/>
      <c r="L101" s="13"/>
      <c r="M101" s="13"/>
    </row>
    <row r="102" spans="1:13" hidden="1" outlineLevel="1" x14ac:dyDescent="0.35">
      <c r="A102" s="7" t="s">
        <v>23</v>
      </c>
      <c r="D102" s="101">
        <f>D52</f>
        <v>50000</v>
      </c>
      <c r="E102" s="101">
        <f>E52</f>
        <v>50000</v>
      </c>
      <c r="F102" s="101">
        <f t="shared" ref="F102:G102" si="63">F52</f>
        <v>30000</v>
      </c>
      <c r="G102" s="101">
        <f t="shared" si="63"/>
        <v>30000</v>
      </c>
      <c r="H102" s="101">
        <f>H52</f>
        <v>30000</v>
      </c>
      <c r="I102" s="12">
        <f>H104</f>
        <v>30000</v>
      </c>
      <c r="J102" s="12">
        <f t="shared" ref="J102:M102" si="64">I104</f>
        <v>30000</v>
      </c>
      <c r="K102" s="12">
        <f t="shared" si="64"/>
        <v>30000</v>
      </c>
      <c r="L102" s="12">
        <f t="shared" si="64"/>
        <v>10000</v>
      </c>
      <c r="M102" s="12">
        <f t="shared" si="64"/>
        <v>10000</v>
      </c>
    </row>
    <row r="103" spans="1:13" hidden="1" outlineLevel="1" x14ac:dyDescent="0.35">
      <c r="A103" s="7" t="s">
        <v>24</v>
      </c>
      <c r="D103" s="84">
        <f>-D76</f>
        <v>0</v>
      </c>
      <c r="E103" s="84">
        <f t="shared" ref="E103:J103" si="65">-E76</f>
        <v>0</v>
      </c>
      <c r="F103" s="112">
        <v>-20000</v>
      </c>
      <c r="G103" s="84">
        <f t="shared" si="65"/>
        <v>0</v>
      </c>
      <c r="H103" s="84">
        <f t="shared" si="65"/>
        <v>0</v>
      </c>
      <c r="I103" s="84">
        <f t="shared" si="65"/>
        <v>0</v>
      </c>
      <c r="J103" s="84">
        <f t="shared" si="65"/>
        <v>0</v>
      </c>
      <c r="K103" s="12">
        <f>K20</f>
        <v>-20000</v>
      </c>
      <c r="L103" s="12">
        <f t="shared" ref="L103:M103" si="66">L20</f>
        <v>0</v>
      </c>
      <c r="M103" s="12">
        <f t="shared" si="66"/>
        <v>0</v>
      </c>
    </row>
    <row r="104" spans="1:13" hidden="1" outlineLevel="1" x14ac:dyDescent="0.35">
      <c r="A104" s="4" t="s">
        <v>25</v>
      </c>
      <c r="B104" s="4"/>
      <c r="C104" s="37"/>
      <c r="D104" s="111">
        <f>SUM(D102:D103)</f>
        <v>50000</v>
      </c>
      <c r="E104" s="111">
        <f t="shared" ref="E104:M104" si="67">SUM(E102:E103)</f>
        <v>50000</v>
      </c>
      <c r="F104" s="111">
        <f t="shared" si="67"/>
        <v>10000</v>
      </c>
      <c r="G104" s="111">
        <f t="shared" si="67"/>
        <v>30000</v>
      </c>
      <c r="H104" s="111">
        <f t="shared" si="67"/>
        <v>30000</v>
      </c>
      <c r="I104" s="111">
        <f t="shared" si="67"/>
        <v>30000</v>
      </c>
      <c r="J104" s="111">
        <f t="shared" si="67"/>
        <v>30000</v>
      </c>
      <c r="K104" s="111">
        <f t="shared" si="67"/>
        <v>10000</v>
      </c>
      <c r="L104" s="111">
        <f t="shared" si="67"/>
        <v>10000</v>
      </c>
      <c r="M104" s="111">
        <f t="shared" si="67"/>
        <v>10000</v>
      </c>
    </row>
    <row r="105" spans="1:13" hidden="1" outlineLevel="1" x14ac:dyDescent="0.35">
      <c r="A105" s="7" t="s">
        <v>26</v>
      </c>
      <c r="C105" s="31"/>
      <c r="D105" s="84">
        <f>D33</f>
        <v>2500</v>
      </c>
      <c r="E105" s="84">
        <f t="shared" ref="E105:H105" si="68">E33</f>
        <v>2500</v>
      </c>
      <c r="F105" s="84">
        <f t="shared" si="68"/>
        <v>1500</v>
      </c>
      <c r="G105" s="84">
        <f t="shared" si="68"/>
        <v>1500</v>
      </c>
      <c r="H105" s="84">
        <f t="shared" si="68"/>
        <v>1500</v>
      </c>
      <c r="I105" s="12">
        <f>((I102+I104)/2)*I14</f>
        <v>3000</v>
      </c>
      <c r="J105" s="12">
        <f t="shared" ref="J105:M105" si="69">((J102+J104)/2)*J14</f>
        <v>3000</v>
      </c>
      <c r="K105" s="12">
        <f t="shared" si="69"/>
        <v>2000</v>
      </c>
      <c r="L105" s="12">
        <f t="shared" si="69"/>
        <v>1000</v>
      </c>
      <c r="M105" s="12">
        <f t="shared" si="69"/>
        <v>1000</v>
      </c>
    </row>
    <row r="106" spans="1:13" hidden="1" outlineLevel="1" x14ac:dyDescent="0.35">
      <c r="D106" s="101"/>
      <c r="E106" s="101"/>
      <c r="F106" s="101"/>
      <c r="G106" s="101"/>
      <c r="H106" s="101"/>
    </row>
    <row r="107" spans="1:13" hidden="1" outlineLevel="1" x14ac:dyDescent="0.35">
      <c r="D107" s="101"/>
      <c r="E107" s="101"/>
      <c r="F107" s="101"/>
      <c r="G107" s="101"/>
      <c r="H107" s="101"/>
    </row>
    <row r="108" spans="1:13" collapsed="1" x14ac:dyDescent="0.35">
      <c r="D108" s="101"/>
      <c r="E108" s="101"/>
      <c r="F108" s="101"/>
      <c r="G108" s="101"/>
      <c r="H108" s="101"/>
    </row>
    <row r="109" spans="1:13" ht="20" x14ac:dyDescent="0.4">
      <c r="A109" s="46" t="s">
        <v>76</v>
      </c>
      <c r="B109" s="44"/>
      <c r="C109" s="45"/>
      <c r="D109" s="110"/>
      <c r="E109" s="110"/>
      <c r="F109" s="110"/>
      <c r="G109" s="110"/>
      <c r="H109" s="110"/>
      <c r="I109" s="19"/>
      <c r="J109" s="19"/>
      <c r="K109" s="19"/>
      <c r="L109" s="19"/>
      <c r="M109" s="19"/>
    </row>
    <row r="110" spans="1:13" hidden="1" outlineLevel="1" x14ac:dyDescent="0.35">
      <c r="A110" s="7" t="s">
        <v>77</v>
      </c>
      <c r="D110" s="103">
        <f>D26</f>
        <v>102007</v>
      </c>
      <c r="E110" s="103">
        <f t="shared" ref="E110:M110" si="70">E26</f>
        <v>118086</v>
      </c>
      <c r="F110" s="103">
        <f t="shared" si="70"/>
        <v>131345</v>
      </c>
      <c r="G110" s="103">
        <f t="shared" si="70"/>
        <v>142341</v>
      </c>
      <c r="H110" s="103">
        <f t="shared" si="70"/>
        <v>150772</v>
      </c>
      <c r="I110" s="103">
        <f t="shared" si="70"/>
        <v>165849.20000000001</v>
      </c>
      <c r="J110" s="103">
        <f t="shared" si="70"/>
        <v>182434.12000000002</v>
      </c>
      <c r="K110" s="103">
        <f t="shared" si="70"/>
        <v>200677.53200000004</v>
      </c>
      <c r="L110" s="103">
        <f t="shared" si="70"/>
        <v>220745.28520000007</v>
      </c>
      <c r="M110" s="103">
        <f t="shared" si="70"/>
        <v>242819.81372000009</v>
      </c>
    </row>
    <row r="111" spans="1:13" hidden="1" outlineLevel="1" x14ac:dyDescent="0.35">
      <c r="A111" s="7" t="s">
        <v>152</v>
      </c>
      <c r="D111" s="113">
        <f>D26/D28</f>
        <v>1.6195700495363903</v>
      </c>
      <c r="E111" s="113">
        <f t="shared" ref="E111:M111" si="71">E26/E28</f>
        <v>1.684969036271796</v>
      </c>
      <c r="F111" s="113">
        <f t="shared" si="71"/>
        <v>1.597443506604072</v>
      </c>
      <c r="G111" s="113">
        <f t="shared" si="71"/>
        <v>1.5870861997836923</v>
      </c>
      <c r="H111" s="113">
        <f t="shared" si="71"/>
        <v>1.6029002147519722</v>
      </c>
      <c r="I111" s="113">
        <f t="shared" si="71"/>
        <v>1.7241379310344827</v>
      </c>
      <c r="J111" s="113">
        <f t="shared" si="71"/>
        <v>1.8867924528301887</v>
      </c>
      <c r="K111" s="113">
        <f t="shared" si="71"/>
        <v>2</v>
      </c>
      <c r="L111" s="113">
        <f t="shared" si="71"/>
        <v>1.5625</v>
      </c>
      <c r="M111" s="113">
        <f t="shared" si="71"/>
        <v>1.5384615384615385</v>
      </c>
    </row>
    <row r="112" spans="1:13" hidden="1" outlineLevel="1" x14ac:dyDescent="0.35">
      <c r="D112" s="103"/>
      <c r="E112" s="114"/>
      <c r="F112" s="103"/>
      <c r="G112" s="103"/>
      <c r="H112" s="103"/>
      <c r="I112" s="113"/>
      <c r="J112" s="113"/>
      <c r="K112" s="113"/>
      <c r="L112" s="113"/>
      <c r="M112" s="113"/>
    </row>
    <row r="113" spans="1:13" hidden="1" outlineLevel="1" x14ac:dyDescent="0.35">
      <c r="D113" s="103"/>
      <c r="E113" s="103"/>
      <c r="F113" s="103"/>
      <c r="G113" s="103"/>
      <c r="H113" s="103"/>
    </row>
    <row r="114" spans="1:13" hidden="1" outlineLevel="1" x14ac:dyDescent="0.35">
      <c r="D114" s="103"/>
      <c r="E114" s="103"/>
      <c r="F114" s="103"/>
      <c r="G114" s="103"/>
      <c r="H114" s="103"/>
    </row>
    <row r="115" spans="1:13" hidden="1" outlineLevel="1" x14ac:dyDescent="0.35">
      <c r="D115" s="103"/>
      <c r="E115" s="103"/>
      <c r="F115" s="103"/>
      <c r="G115" s="103"/>
      <c r="H115" s="103"/>
    </row>
    <row r="116" spans="1:13" hidden="1" outlineLevel="1" x14ac:dyDescent="0.35">
      <c r="D116" s="103"/>
      <c r="E116" s="103"/>
      <c r="F116" s="103"/>
      <c r="G116" s="103"/>
      <c r="H116" s="103"/>
    </row>
    <row r="117" spans="1:13" hidden="1" outlineLevel="1" x14ac:dyDescent="0.35">
      <c r="D117" s="103"/>
      <c r="E117" s="103"/>
      <c r="F117" s="103"/>
      <c r="G117" s="103"/>
      <c r="H117" s="103"/>
    </row>
    <row r="118" spans="1:13" hidden="1" outlineLevel="1" x14ac:dyDescent="0.35">
      <c r="D118" s="103"/>
      <c r="E118" s="103"/>
      <c r="F118" s="103"/>
      <c r="G118" s="103"/>
      <c r="H118" s="103"/>
    </row>
    <row r="119" spans="1:13" hidden="1" outlineLevel="1" x14ac:dyDescent="0.35">
      <c r="D119" s="103"/>
      <c r="E119" s="103"/>
      <c r="F119" s="103"/>
      <c r="G119" s="103"/>
      <c r="H119" s="103"/>
    </row>
    <row r="120" spans="1:13" hidden="1" outlineLevel="1" x14ac:dyDescent="0.35">
      <c r="D120" s="103"/>
      <c r="E120" s="103"/>
      <c r="F120" s="103"/>
      <c r="G120" s="103"/>
      <c r="H120" s="103"/>
    </row>
    <row r="121" spans="1:13" hidden="1" outlineLevel="1" x14ac:dyDescent="0.35">
      <c r="D121" s="103"/>
      <c r="E121" s="103"/>
      <c r="F121" s="103"/>
      <c r="G121" s="103"/>
      <c r="H121" s="103"/>
    </row>
    <row r="122" spans="1:13" hidden="1" outlineLevel="1" x14ac:dyDescent="0.35">
      <c r="D122" s="103"/>
      <c r="E122" s="103"/>
      <c r="F122" s="103"/>
      <c r="G122" s="103"/>
      <c r="H122" s="103"/>
    </row>
    <row r="123" spans="1:13" hidden="1" outlineLevel="1" x14ac:dyDescent="0.35">
      <c r="D123" s="103"/>
      <c r="E123" s="103"/>
      <c r="F123" s="103"/>
      <c r="G123" s="103"/>
      <c r="H123" s="103"/>
    </row>
    <row r="124" spans="1:13" hidden="1" outlineLevel="1" x14ac:dyDescent="0.35">
      <c r="D124" s="103"/>
      <c r="E124" s="103"/>
      <c r="F124" s="103"/>
      <c r="G124" s="103"/>
      <c r="H124" s="103"/>
    </row>
    <row r="125" spans="1:13" hidden="1" outlineLevel="1" x14ac:dyDescent="0.35">
      <c r="D125" s="103"/>
      <c r="E125" s="103"/>
      <c r="F125" s="103"/>
      <c r="G125" s="103"/>
      <c r="H125" s="103"/>
    </row>
    <row r="126" spans="1:13" hidden="1" outlineLevel="1" x14ac:dyDescent="0.35">
      <c r="D126" s="103"/>
      <c r="E126" s="103"/>
      <c r="F126" s="103"/>
      <c r="G126" s="103"/>
      <c r="H126" s="103"/>
    </row>
    <row r="127" spans="1:13" hidden="1" outlineLevel="1" x14ac:dyDescent="0.35">
      <c r="D127" s="103"/>
      <c r="E127" s="103"/>
      <c r="F127" s="103"/>
      <c r="G127" s="103"/>
      <c r="H127" s="103"/>
    </row>
    <row r="128" spans="1:13" hidden="1" outlineLevel="1" x14ac:dyDescent="0.35">
      <c r="A128" s="88" t="s">
        <v>32</v>
      </c>
      <c r="B128" s="82"/>
      <c r="D128" s="103">
        <f>D69</f>
        <v>12971.179199999999</v>
      </c>
      <c r="E128" s="103">
        <f t="shared" ref="E128:M128" si="72">E69</f>
        <v>28238.733497877969</v>
      </c>
      <c r="F128" s="103">
        <f t="shared" si="72"/>
        <v>37505.343885131326</v>
      </c>
      <c r="G128" s="103">
        <f t="shared" si="72"/>
        <v>42354.07902359531</v>
      </c>
      <c r="H128" s="103">
        <f t="shared" si="72"/>
        <v>43480.18475858029</v>
      </c>
      <c r="I128" s="103">
        <f t="shared" si="72"/>
        <v>36500.354542739726</v>
      </c>
      <c r="J128" s="103">
        <f t="shared" si="72"/>
        <v>33124.751947356162</v>
      </c>
      <c r="K128" s="103">
        <f t="shared" si="72"/>
        <v>33652.123569408912</v>
      </c>
      <c r="L128" s="103">
        <f t="shared" si="72"/>
        <v>69849.249436795275</v>
      </c>
      <c r="M128" s="103">
        <f t="shared" si="72"/>
        <v>74464.042169829263</v>
      </c>
    </row>
    <row r="129" spans="1:13" hidden="1" outlineLevel="1" x14ac:dyDescent="0.35">
      <c r="A129" s="88" t="s">
        <v>38</v>
      </c>
      <c r="B129" s="82"/>
      <c r="D129" s="103">
        <f>D73</f>
        <v>15000</v>
      </c>
      <c r="E129" s="103">
        <f t="shared" ref="E129:M129" si="73">E73</f>
        <v>15000</v>
      </c>
      <c r="F129" s="103">
        <f t="shared" si="73"/>
        <v>15000</v>
      </c>
      <c r="G129" s="103">
        <f t="shared" si="73"/>
        <v>15000</v>
      </c>
      <c r="H129" s="103">
        <f t="shared" si="73"/>
        <v>15000</v>
      </c>
      <c r="I129" s="103">
        <f t="shared" si="73"/>
        <v>15000</v>
      </c>
      <c r="J129" s="103">
        <f t="shared" si="73"/>
        <v>15000</v>
      </c>
      <c r="K129" s="103">
        <f t="shared" si="73"/>
        <v>15000</v>
      </c>
      <c r="L129" s="103">
        <f t="shared" si="73"/>
        <v>15000</v>
      </c>
      <c r="M129" s="103">
        <f t="shared" si="73"/>
        <v>15000</v>
      </c>
    </row>
    <row r="130" spans="1:13" hidden="1" outlineLevel="1" x14ac:dyDescent="0.35">
      <c r="A130" s="88" t="s">
        <v>41</v>
      </c>
      <c r="B130" s="82"/>
      <c r="D130" s="103">
        <f>D78</f>
        <v>70000</v>
      </c>
      <c r="E130" s="103">
        <f t="shared" ref="E130:M130" si="74">E78</f>
        <v>0</v>
      </c>
      <c r="F130" s="103">
        <f t="shared" si="74"/>
        <v>-20000</v>
      </c>
      <c r="G130" s="103">
        <f t="shared" si="74"/>
        <v>0</v>
      </c>
      <c r="H130" s="103">
        <f t="shared" si="74"/>
        <v>0</v>
      </c>
      <c r="I130" s="103">
        <f t="shared" si="74"/>
        <v>0</v>
      </c>
      <c r="J130" s="103">
        <f t="shared" si="74"/>
        <v>0</v>
      </c>
      <c r="K130" s="103">
        <f t="shared" si="74"/>
        <v>-20000</v>
      </c>
      <c r="L130" s="103">
        <f t="shared" si="74"/>
        <v>0</v>
      </c>
      <c r="M130" s="103">
        <f t="shared" si="74"/>
        <v>0</v>
      </c>
    </row>
    <row r="131" spans="1:13" hidden="1" outlineLevel="1" x14ac:dyDescent="0.35">
      <c r="D131" s="103"/>
      <c r="E131" s="103"/>
      <c r="F131" s="103"/>
      <c r="G131" s="103"/>
      <c r="H131" s="103"/>
    </row>
    <row r="132" spans="1:13" hidden="1" outlineLevel="1" x14ac:dyDescent="0.35">
      <c r="D132" s="103"/>
      <c r="E132" s="103"/>
      <c r="F132" s="103"/>
      <c r="G132" s="103"/>
      <c r="H132" s="103"/>
    </row>
    <row r="133" spans="1:13" hidden="1" outlineLevel="1" x14ac:dyDescent="0.35"/>
    <row r="134" spans="1:13" collapsed="1" x14ac:dyDescent="0.35"/>
  </sheetData>
  <sheetProtection formatCells="0" formatColumns="0" formatRows="0" insertColumns="0" insertRows="0" insertHyperlinks="0" deleteColumns="0" deleteRows="0" sort="0" autoFilter="0" pivotTables="0"/>
  <conditionalFormatting sqref="D4:M4">
    <cfRule type="containsText" dxfId="1" priority="1" operator="containsText" text="OK">
      <formula>NOT(ISERROR(SEARCH("OK",D4)))</formula>
    </cfRule>
    <cfRule type="containsText" dxfId="0" priority="2" operator="containsText" text="ERROR">
      <formula>NOT(ISERROR(SEARCH("ERROR",D4)))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D2:M4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LIVE CASE</vt:lpstr>
      <vt:lpstr>INCOME STS</vt:lpstr>
      <vt:lpstr>SOFP</vt:lpstr>
      <vt:lpstr>CASHFLOWS STS</vt:lpstr>
      <vt:lpstr>SCHEDULE</vt:lpstr>
      <vt:lpstr>VISUALS</vt:lpstr>
      <vt:lpstr>Cover Page</vt:lpstr>
      <vt:lpstr>PRACTICAL</vt:lpstr>
      <vt:lpstr>Three Statement Model</vt:lpstr>
      <vt:lpstr>HINTS</vt:lpstr>
      <vt:lpstr>Raw Data</vt:lpstr>
      <vt:lpstr>LIVE CASE OR ASSUM</vt:lpstr>
      <vt:lpstr>INCOME STATEMENT</vt:lpstr>
      <vt:lpstr>BALANCE SHEET</vt:lpstr>
      <vt:lpstr>CASHFLOWS</vt:lpstr>
      <vt:lpstr>SUPPORTING SCH</vt:lpstr>
      <vt:lpstr>CHARTS &amp; GRAPH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Sunday</cp:lastModifiedBy>
  <cp:lastPrinted>2023-12-18T06:45:55Z</cp:lastPrinted>
  <dcterms:created xsi:type="dcterms:W3CDTF">2014-11-08T22:00:02Z</dcterms:created>
  <dcterms:modified xsi:type="dcterms:W3CDTF">2024-06-22T12:31:17Z</dcterms:modified>
</cp:coreProperties>
</file>