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samuel_sim_mymail_sutd_edu_sg/Documents/SUTD Terms/Term 4/DBA/Changi Airport Project/"/>
    </mc:Choice>
  </mc:AlternateContent>
  <xr:revisionPtr revIDLastSave="12344" documentId="8_{BC32F58E-062D-472A-99A8-2F3C03637BDE}" xr6:coauthVersionLast="45" xr6:coauthVersionMax="45" xr10:uidLastSave="{F22A4A8F-18F6-42EF-9A68-9660789663A9}"/>
  <bookViews>
    <workbookView xWindow="-108" yWindow="-108" windowWidth="23256" windowHeight="13176" xr2:uid="{F5FF2FF3-8FAB-43C4-8870-232ADC1AF73A}"/>
  </bookViews>
  <sheets>
    <sheet name="Optimization Model" sheetId="1" r:id="rId1"/>
  </sheets>
  <definedNames>
    <definedName name="Constraint">'Optimization Model'!$B$19:$N$23</definedName>
    <definedName name="_xlnm.Print_Area" localSheetId="0">'Optimization Model'!$AA$1:$AR$30</definedName>
    <definedName name="Shift1">'Optimization Model'!$B$4:$N$9</definedName>
    <definedName name="Shift2">'Optimization Model'!$B$10:$N$13</definedName>
    <definedName name="Shift3">'Optimization Model'!$B$14:$N$15</definedName>
    <definedName name="Shiftallocation">'Optimization Model'!$B$4:$N$15</definedName>
    <definedName name="solver_adj" localSheetId="0" hidden="1">'Optimization Model'!$B$4:$N$15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'Optimization Model'!$B$19:$N$19</definedName>
    <definedName name="solver_lhs10" localSheetId="0" hidden="1">'Optimization Model'!$I$4:$I$9</definedName>
    <definedName name="solver_lhs11" localSheetId="0" hidden="1">'Optimization Model'!$J$4:$J$9</definedName>
    <definedName name="solver_lhs12" localSheetId="0" hidden="1">'Optimization Model'!$K$4:$K$9</definedName>
    <definedName name="solver_lhs13" localSheetId="0" hidden="1">'Optimization Model'!$L$4:$L$9</definedName>
    <definedName name="solver_lhs14" localSheetId="0" hidden="1">'Optimization Model'!$M$4:$M$9</definedName>
    <definedName name="solver_lhs15" localSheetId="0" hidden="1">'Optimization Model'!$N$4:$N$9</definedName>
    <definedName name="solver_lhs16" localSheetId="0" hidden="1">'Optimization Model'!$B$4:$N$9</definedName>
    <definedName name="solver_lhs2" localSheetId="0" hidden="1">'Optimization Model'!$B$21:$N$21</definedName>
    <definedName name="solver_lhs3" localSheetId="0" hidden="1">'Optimization Model'!$B$23:$N$23</definedName>
    <definedName name="solver_lhs4" localSheetId="0" hidden="1">'Optimization Model'!$G$29:$G$40</definedName>
    <definedName name="solver_lhs5" localSheetId="0" hidden="1">'Optimization Model'!$G$29:$G$40</definedName>
    <definedName name="solver_lhs6" localSheetId="0" hidden="1">'Optimization Model'!$B$4:$N$15</definedName>
    <definedName name="solver_lhs7" localSheetId="0" hidden="1">'Optimization Model'!$F$4:$F$9</definedName>
    <definedName name="solver_lhs8" localSheetId="0" hidden="1">'Optimization Model'!$G$4:$G$9</definedName>
    <definedName name="solver_lhs9" localSheetId="0" hidden="1">'Optimization Model'!$H$4:$H$9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'Optimization Model'!$O$16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2</definedName>
    <definedName name="solver_rel15" localSheetId="0" hidden="1">2</definedName>
    <definedName name="solver_rel16" localSheetId="0" hidden="1">5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l5" localSheetId="0" hidden="1">3</definedName>
    <definedName name="solver_rel6" localSheetId="0" hidden="1">5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'Optimization Model'!$B$20:$N$20</definedName>
    <definedName name="solver_rhs10" localSheetId="0" hidden="1">1</definedName>
    <definedName name="solver_rhs11" localSheetId="0" hidden="1">1</definedName>
    <definedName name="solver_rhs12" localSheetId="0" hidden="1">1</definedName>
    <definedName name="solver_rhs13" localSheetId="0" hidden="1">1</definedName>
    <definedName name="solver_rhs14" localSheetId="0" hidden="1">1</definedName>
    <definedName name="solver_rhs15" localSheetId="0" hidden="1">1</definedName>
    <definedName name="solver_rhs16" localSheetId="0" hidden="1">binary</definedName>
    <definedName name="solver_rhs2" localSheetId="0" hidden="1">'Optimization Model'!$B$22:$N$22</definedName>
    <definedName name="solver_rhs3" localSheetId="0" hidden="1">'Optimization Model'!$B$24:$N$24</definedName>
    <definedName name="solver_rhs4" localSheetId="0" hidden="1">'Optimization Model'!$H$29:$H$40</definedName>
    <definedName name="solver_rhs5" localSheetId="0" hidden="1">0</definedName>
    <definedName name="solver_rhs6" localSheetId="0" hidden="1">binary</definedName>
    <definedName name="solver_rhs7" localSheetId="0" hidden="1">1</definedName>
    <definedName name="solver_rhs8" localSheetId="0" hidden="1">1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4" i="1"/>
  <c r="O16" i="1" l="1"/>
  <c r="H38" i="1"/>
  <c r="AF23" i="1" l="1"/>
  <c r="U38" i="1"/>
  <c r="U39" i="1"/>
  <c r="U40" i="1"/>
  <c r="U41" i="1"/>
  <c r="U42" i="1"/>
  <c r="U43" i="1"/>
  <c r="U44" i="1"/>
  <c r="U45" i="1"/>
  <c r="U46" i="1"/>
  <c r="U47" i="1"/>
  <c r="U48" i="1"/>
  <c r="U49" i="1"/>
  <c r="U37" i="1"/>
  <c r="U22" i="1"/>
  <c r="U23" i="1"/>
  <c r="U24" i="1"/>
  <c r="U25" i="1"/>
  <c r="U26" i="1"/>
  <c r="U27" i="1"/>
  <c r="U28" i="1"/>
  <c r="U29" i="1"/>
  <c r="U30" i="1"/>
  <c r="U31" i="1"/>
  <c r="U32" i="1"/>
  <c r="U33" i="1"/>
  <c r="U21" i="1"/>
  <c r="C23" i="1"/>
  <c r="D23" i="1"/>
  <c r="E23" i="1"/>
  <c r="F23" i="1"/>
  <c r="G23" i="1"/>
  <c r="H23" i="1"/>
  <c r="I23" i="1"/>
  <c r="J23" i="1"/>
  <c r="K23" i="1"/>
  <c r="L23" i="1"/>
  <c r="M23" i="1"/>
  <c r="N23" i="1"/>
  <c r="B23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W5" i="1"/>
  <c r="V5" i="1" s="1"/>
  <c r="X5" i="1"/>
  <c r="W21" i="1"/>
  <c r="X21" i="1"/>
  <c r="W37" i="1"/>
  <c r="X37" i="1"/>
  <c r="W6" i="1"/>
  <c r="V6" i="1" s="1"/>
  <c r="X6" i="1"/>
  <c r="W7" i="1"/>
  <c r="V7" i="1" s="1"/>
  <c r="X7" i="1"/>
  <c r="W8" i="1"/>
  <c r="V8" i="1" s="1"/>
  <c r="X8" i="1"/>
  <c r="W9" i="1"/>
  <c r="V9" i="1" s="1"/>
  <c r="B32" i="1" s="1"/>
  <c r="X9" i="1"/>
  <c r="W10" i="1"/>
  <c r="V10" i="1" s="1"/>
  <c r="X10" i="1"/>
  <c r="W11" i="1"/>
  <c r="V11" i="1" s="1"/>
  <c r="X11" i="1"/>
  <c r="W12" i="1"/>
  <c r="V12" i="1" s="1"/>
  <c r="X12" i="1"/>
  <c r="W13" i="1"/>
  <c r="V13" i="1" s="1"/>
  <c r="X13" i="1"/>
  <c r="W14" i="1"/>
  <c r="V14" i="1" s="1"/>
  <c r="X14" i="1"/>
  <c r="W15" i="1"/>
  <c r="V15" i="1" s="1"/>
  <c r="X15" i="1"/>
  <c r="W16" i="1"/>
  <c r="V16" i="1" s="1"/>
  <c r="X16" i="1"/>
  <c r="W17" i="1"/>
  <c r="V17" i="1" s="1"/>
  <c r="B40" i="1" s="1"/>
  <c r="X17" i="1"/>
  <c r="H29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H35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H40" i="1"/>
  <c r="H39" i="1"/>
  <c r="H30" i="1"/>
  <c r="H31" i="1"/>
  <c r="H32" i="1"/>
  <c r="H33" i="1"/>
  <c r="B19" i="1"/>
  <c r="H34" i="1"/>
  <c r="H36" i="1"/>
  <c r="H37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C19" i="1"/>
  <c r="D19" i="1"/>
  <c r="E19" i="1"/>
  <c r="F19" i="1"/>
  <c r="G19" i="1"/>
  <c r="H19" i="1"/>
  <c r="I19" i="1"/>
  <c r="J19" i="1"/>
  <c r="K19" i="1"/>
  <c r="L19" i="1"/>
  <c r="M19" i="1"/>
  <c r="N19" i="1"/>
  <c r="V30" i="1" l="1"/>
  <c r="C37" i="1" s="1"/>
  <c r="B39" i="1"/>
  <c r="B35" i="1"/>
  <c r="B31" i="1"/>
  <c r="B28" i="1"/>
  <c r="B33" i="1"/>
  <c r="V29" i="1"/>
  <c r="C36" i="1" s="1"/>
  <c r="B37" i="1"/>
  <c r="B36" i="1"/>
  <c r="V28" i="1"/>
  <c r="C35" i="1" s="1"/>
  <c r="V37" i="1"/>
  <c r="D28" i="1" s="1"/>
  <c r="V49" i="1"/>
  <c r="D40" i="1" s="1"/>
  <c r="B38" i="1"/>
  <c r="B34" i="1"/>
  <c r="B30" i="1"/>
  <c r="V43" i="1"/>
  <c r="D34" i="1" s="1"/>
  <c r="V42" i="1"/>
  <c r="D33" i="1" s="1"/>
  <c r="V21" i="1"/>
  <c r="C28" i="1" s="1"/>
  <c r="V27" i="1"/>
  <c r="C34" i="1" s="1"/>
  <c r="V41" i="1"/>
  <c r="D32" i="1" s="1"/>
  <c r="V33" i="1"/>
  <c r="C40" i="1" s="1"/>
  <c r="V26" i="1"/>
  <c r="C33" i="1" s="1"/>
  <c r="V48" i="1"/>
  <c r="D39" i="1" s="1"/>
  <c r="V40" i="1"/>
  <c r="D31" i="1" s="1"/>
  <c r="V32" i="1"/>
  <c r="C39" i="1" s="1"/>
  <c r="V25" i="1"/>
  <c r="C32" i="1" s="1"/>
  <c r="V47" i="1"/>
  <c r="D38" i="1" s="1"/>
  <c r="V39" i="1"/>
  <c r="D30" i="1" s="1"/>
  <c r="V31" i="1"/>
  <c r="C38" i="1" s="1"/>
  <c r="V24" i="1"/>
  <c r="C31" i="1" s="1"/>
  <c r="V46" i="1"/>
  <c r="D37" i="1" s="1"/>
  <c r="V38" i="1"/>
  <c r="D29" i="1" s="1"/>
  <c r="V23" i="1"/>
  <c r="C30" i="1" s="1"/>
  <c r="V45" i="1"/>
  <c r="D36" i="1" s="1"/>
  <c r="V22" i="1"/>
  <c r="C29" i="1" s="1"/>
  <c r="V44" i="1"/>
  <c r="D35" i="1" s="1"/>
  <c r="B29" i="1"/>
  <c r="G29" i="1" a="1"/>
  <c r="I33" i="1" s="1"/>
  <c r="G39" i="1" l="1" a="1"/>
  <c r="G39" i="1" s="1"/>
  <c r="I39" i="1" s="1"/>
  <c r="G35" i="1" a="1"/>
  <c r="I38" i="1" s="1"/>
  <c r="I32" i="1"/>
  <c r="G29" i="1"/>
  <c r="I30" i="1"/>
  <c r="I31" i="1"/>
  <c r="I34" i="1"/>
  <c r="L30" i="1" l="1"/>
  <c r="I40" i="1"/>
  <c r="G35" i="1"/>
  <c r="I35" i="1" s="1"/>
  <c r="I36" i="1"/>
  <c r="I37" i="1"/>
  <c r="L28" i="1"/>
  <c r="I29" i="1"/>
  <c r="L2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<sst xmlns="http://schemas.openxmlformats.org/spreadsheetml/2006/main" count="217" uniqueCount="104">
  <si>
    <t>Calculations</t>
  </si>
  <si>
    <t>Assumptions</t>
  </si>
  <si>
    <t>Flight Volume Data</t>
  </si>
  <si>
    <t>** MUST copy paste</t>
  </si>
  <si>
    <t>A</t>
  </si>
  <si>
    <t>B</t>
  </si>
  <si>
    <t>C</t>
  </si>
  <si>
    <t>D</t>
  </si>
  <si>
    <t>E</t>
  </si>
  <si>
    <t>F</t>
  </si>
  <si>
    <t>200-209</t>
  </si>
  <si>
    <t>400-404</t>
  </si>
  <si>
    <t>461-484</t>
  </si>
  <si>
    <t>G</t>
  </si>
  <si>
    <t>SHIFT 1</t>
  </si>
  <si>
    <t>Ope</t>
  </si>
  <si>
    <t>Timings per round of clearing</t>
  </si>
  <si>
    <t>Number of Rounds per day</t>
  </si>
  <si>
    <t>Total Flights per area per month</t>
  </si>
  <si>
    <t>T4G</t>
  </si>
  <si>
    <t>x11</t>
  </si>
  <si>
    <t>areas</t>
  </si>
  <si>
    <t>Open=1/Closed=0</t>
  </si>
  <si>
    <t>no. of stands/bins</t>
  </si>
  <si>
    <t>Fraction of Bin per stand Filled per day</t>
  </si>
  <si>
    <t>Avg flights per stand per day</t>
  </si>
  <si>
    <t>Clear time (With Flight Volume) per area/min</t>
  </si>
  <si>
    <t>Clear time (All bins full) per area/min</t>
  </si>
  <si>
    <t>Check time per area/min</t>
  </si>
  <si>
    <t>Travel Time (within area) per area/min</t>
  </si>
  <si>
    <t>Shift 1</t>
  </si>
  <si>
    <t>Jan</t>
  </si>
  <si>
    <r>
      <t>x12</t>
    </r>
    <r>
      <rPr>
        <sz val="11"/>
        <color theme="1"/>
        <rFont val="Calibri"/>
        <family val="2"/>
        <scheme val="minor"/>
      </rPr>
      <t/>
    </r>
  </si>
  <si>
    <t>Shift 2</t>
  </si>
  <si>
    <t>Feb</t>
  </si>
  <si>
    <r>
      <t>x13</t>
    </r>
    <r>
      <rPr>
        <sz val="11"/>
        <color theme="1"/>
        <rFont val="Calibri"/>
        <family val="2"/>
        <scheme val="minor"/>
      </rPr>
      <t/>
    </r>
  </si>
  <si>
    <t>Shift 3</t>
  </si>
  <si>
    <t>Mar</t>
  </si>
  <si>
    <r>
      <t>x14</t>
    </r>
    <r>
      <rPr>
        <sz val="11"/>
        <color theme="1"/>
        <rFont val="Calibri"/>
        <family val="2"/>
        <scheme val="minor"/>
      </rPr>
      <t/>
    </r>
  </si>
  <si>
    <t>Apr</t>
  </si>
  <si>
    <r>
      <t>x15</t>
    </r>
    <r>
      <rPr>
        <sz val="11"/>
        <color theme="1"/>
        <rFont val="Calibri"/>
        <family val="2"/>
        <scheme val="minor"/>
      </rPr>
      <t/>
    </r>
  </si>
  <si>
    <t>Check and Clear Timings</t>
  </si>
  <si>
    <t>May</t>
  </si>
  <si>
    <r>
      <t>x16</t>
    </r>
    <r>
      <rPr>
        <sz val="11"/>
        <color theme="1"/>
        <rFont val="Calibri"/>
        <family val="2"/>
        <scheme val="minor"/>
      </rPr>
      <t/>
    </r>
  </si>
  <si>
    <t>check time (mins)</t>
  </si>
  <si>
    <t>Jun</t>
  </si>
  <si>
    <r>
      <t>x21</t>
    </r>
    <r>
      <rPr>
        <sz val="11"/>
        <color theme="1"/>
        <rFont val="Calibri"/>
        <family val="2"/>
        <scheme val="minor"/>
      </rPr>
      <t/>
    </r>
  </si>
  <si>
    <t>clear time (mins)</t>
  </si>
  <si>
    <t>Jul</t>
  </si>
  <si>
    <r>
      <t>x22</t>
    </r>
    <r>
      <rPr>
        <sz val="11"/>
        <color theme="1"/>
        <rFont val="Calibri"/>
        <family val="2"/>
        <scheme val="minor"/>
      </rPr>
      <t/>
    </r>
  </si>
  <si>
    <t>Aug</t>
  </si>
  <si>
    <r>
      <t>x23</t>
    </r>
    <r>
      <rPr>
        <sz val="11"/>
        <color theme="1"/>
        <rFont val="Calibri"/>
        <family val="2"/>
        <scheme val="minor"/>
      </rPr>
      <t/>
    </r>
  </si>
  <si>
    <t xml:space="preserve"> Hours per shift</t>
  </si>
  <si>
    <t>Sep</t>
  </si>
  <si>
    <r>
      <t>x24</t>
    </r>
    <r>
      <rPr>
        <sz val="11"/>
        <color theme="1"/>
        <rFont val="Calibri"/>
        <family val="2"/>
        <scheme val="minor"/>
      </rPr>
      <t/>
    </r>
  </si>
  <si>
    <t>Oct</t>
  </si>
  <si>
    <r>
      <t>x31</t>
    </r>
    <r>
      <rPr>
        <sz val="11"/>
        <color theme="1"/>
        <rFont val="Calibri"/>
        <family val="2"/>
        <scheme val="minor"/>
      </rPr>
      <t/>
    </r>
  </si>
  <si>
    <t>Nov</t>
  </si>
  <si>
    <r>
      <t>x32</t>
    </r>
    <r>
      <rPr>
        <sz val="11"/>
        <color theme="1"/>
        <rFont val="Calibri"/>
        <family val="2"/>
        <scheme val="minor"/>
      </rPr>
      <t/>
    </r>
  </si>
  <si>
    <t>Dec</t>
  </si>
  <si>
    <t>Constraint</t>
  </si>
  <si>
    <t>Sum should be 24 hours. Assumption that there are always workers 24 hours</t>
  </si>
  <si>
    <t>Number of Days</t>
  </si>
  <si>
    <t xml:space="preserve">Avg flights per stand per day </t>
  </si>
  <si>
    <t>Shift 1 Area</t>
  </si>
  <si>
    <t>SHIFT 2</t>
  </si>
  <si>
    <t>Feb, If Leap year: 29 days</t>
  </si>
  <si>
    <t>Open/Close</t>
  </si>
  <si>
    <t>Working Hours per shift</t>
  </si>
  <si>
    <t>Shift 2 Area</t>
  </si>
  <si>
    <t>Shift 3 Area</t>
  </si>
  <si>
    <t xml:space="preserve">Consolidated Timings (All Rounds) </t>
  </si>
  <si>
    <t>Excess Timings (For Cleaning Tasks + Travel between Areas)</t>
  </si>
  <si>
    <t xml:space="preserve">Optimal No. of Teams </t>
  </si>
  <si>
    <t>Solver</t>
  </si>
  <si>
    <t>Timings needed per shift</t>
  </si>
  <si>
    <t>Shift Working Hours (min)</t>
  </si>
  <si>
    <t>Excess(min)</t>
  </si>
  <si>
    <t>Colour Coding</t>
  </si>
  <si>
    <t>Parameters that can be changed</t>
  </si>
  <si>
    <t>Parameters that must be manually copied &amp; pasted for each month</t>
  </si>
  <si>
    <t>SHIFT 3</t>
  </si>
  <si>
    <t xml:space="preserve">Solver </t>
  </si>
  <si>
    <t>Results</t>
  </si>
  <si>
    <t>Shift 1 Pair 1</t>
  </si>
  <si>
    <t>Shift 1 Pair 2</t>
  </si>
  <si>
    <t>Shift 1 Pair 3</t>
  </si>
  <si>
    <t>Shift 1 Pair 4</t>
  </si>
  <si>
    <t>Shift 1 Pair 5</t>
  </si>
  <si>
    <t>Shift 1 Pair 6</t>
  </si>
  <si>
    <t>Shift 2 Pair 1</t>
  </si>
  <si>
    <t>Shift 2 Pair 2</t>
  </si>
  <si>
    <t>Shift 2 Pair 3</t>
  </si>
  <si>
    <t>Shift 2 Pair 4</t>
  </si>
  <si>
    <t>Shift 3 Pair 1</t>
  </si>
  <si>
    <t>Shift 3 Pair 2</t>
  </si>
  <si>
    <t>** To paste each row (month) as a col in the calulcations tables: Copy the row, then use paste special: pick values and transpose to enter as a column in Column T</t>
  </si>
  <si>
    <t xml:space="preserve"> </t>
  </si>
  <si>
    <t>Month = Nov</t>
  </si>
  <si>
    <t>Result</t>
  </si>
  <si>
    <t xml:space="preserve">Area Allocation &amp; Solver </t>
  </si>
  <si>
    <t>Orange Bars</t>
  </si>
  <si>
    <t>Blue Bars</t>
  </si>
  <si>
    <t>Equation of regression, none without smart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</si>
</sst>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3" fillId="5" borderId="0" applyNumberFormat="0" applyBorder="0" applyAlignment="0" applyProtection="0"/>
  </cellStyleXfs>
  <cellXfs count="76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2" borderId="1" xfId="0" applyFont="1" applyFill="1" applyBorder="1"/>
    <xf numFmtId="0" fontId="0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0" fillId="0" borderId="0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7" borderId="1" xfId="0" applyFont="1" applyFill="1" applyBorder="1"/>
    <xf numFmtId="0" fontId="0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0" fillId="8" borderId="1" xfId="0" applyFont="1" applyFill="1" applyBorder="1"/>
    <xf numFmtId="0" fontId="2" fillId="5" borderId="1" xfId="2" applyFont="1" applyBorder="1"/>
    <xf numFmtId="0" fontId="2" fillId="5" borderId="1" xfId="2" applyFont="1" applyBorder="1" applyAlignment="1">
      <alignment horizontal="center"/>
    </xf>
    <xf numFmtId="0" fontId="2" fillId="5" borderId="1" xfId="2" applyFont="1" applyBorder="1" applyAlignment="1">
      <alignment horizontal="center" vertical="center"/>
    </xf>
    <xf numFmtId="0" fontId="2" fillId="9" borderId="1" xfId="0" applyFont="1" applyFill="1" applyBorder="1"/>
    <xf numFmtId="0" fontId="2" fillId="5" borderId="1" xfId="2" applyFont="1" applyBorder="1" applyAlignment="1">
      <alignment horizontal="left" vertical="center"/>
    </xf>
    <xf numFmtId="0" fontId="7" fillId="4" borderId="1" xfId="1" applyFont="1" applyBorder="1"/>
    <xf numFmtId="0" fontId="2" fillId="3" borderId="7" xfId="0" applyFont="1" applyFill="1" applyBorder="1"/>
    <xf numFmtId="0" fontId="2" fillId="5" borderId="1" xfId="2" applyFont="1" applyBorder="1" applyAlignment="1"/>
    <xf numFmtId="0" fontId="2" fillId="0" borderId="0" xfId="2" applyFont="1" applyFill="1" applyBorder="1" applyAlignment="1">
      <alignment horizontal="left" vertical="center"/>
    </xf>
    <xf numFmtId="0" fontId="0" fillId="0" borderId="0" xfId="0" applyFont="1" applyAlignment="1"/>
    <xf numFmtId="0" fontId="6" fillId="0" borderId="0" xfId="0" applyFont="1" applyBorder="1" applyAlignment="1">
      <alignment vertical="center"/>
    </xf>
    <xf numFmtId="0" fontId="0" fillId="2" borderId="0" xfId="0" applyFont="1" applyFill="1"/>
    <xf numFmtId="0" fontId="10" fillId="0" borderId="0" xfId="0" applyFont="1"/>
    <xf numFmtId="0" fontId="0" fillId="10" borderId="0" xfId="0" applyFont="1" applyFill="1"/>
    <xf numFmtId="0" fontId="0" fillId="11" borderId="0" xfId="0" applyFont="1" applyFill="1"/>
    <xf numFmtId="0" fontId="0" fillId="8" borderId="0" xfId="0" applyFont="1" applyFill="1"/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6" borderId="1" xfId="0" applyFont="1" applyFill="1" applyBorder="1"/>
    <xf numFmtId="0" fontId="5" fillId="0" borderId="0" xfId="0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2" borderId="1" xfId="0" applyFont="1" applyFill="1" applyBorder="1" applyAlignment="1">
      <alignment horizontal="left" vertical="center"/>
    </xf>
    <xf numFmtId="0" fontId="2" fillId="5" borderId="9" xfId="2" applyFont="1" applyBorder="1" applyAlignment="1">
      <alignment horizontal="center"/>
    </xf>
    <xf numFmtId="0" fontId="9" fillId="0" borderId="8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6" borderId="10" xfId="0" applyFont="1" applyFill="1" applyBorder="1"/>
    <xf numFmtId="0" fontId="0" fillId="2" borderId="10" xfId="0" applyFont="1" applyFill="1" applyBorder="1"/>
    <xf numFmtId="0" fontId="7" fillId="0" borderId="0" xfId="1" applyFont="1" applyFill="1" applyBorder="1"/>
    <xf numFmtId="0" fontId="0" fillId="7" borderId="2" xfId="0" applyFill="1" applyBorder="1"/>
    <xf numFmtId="0" fontId="9" fillId="0" borderId="0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2" fillId="9" borderId="1" xfId="0" applyFont="1" applyFill="1" applyBorder="1" applyAlignment="1">
      <alignment horizontal="center"/>
    </xf>
    <xf numFmtId="0" fontId="9" fillId="0" borderId="6" xfId="0" applyFont="1" applyBorder="1" applyAlignment="1">
      <alignment horizontal="left" vertic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5" borderId="3" xfId="2" applyFont="1" applyBorder="1" applyAlignment="1">
      <alignment horizontal="center"/>
    </xf>
    <xf numFmtId="0" fontId="2" fillId="5" borderId="4" xfId="2" applyFont="1" applyBorder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0" borderId="0" xfId="0" applyFont="1"/>
  </cellXfs>
  <cellStyles count="3">
    <cellStyle name="Accent1" xfId="2" builtinId="29"/>
    <cellStyle name="Neutral" xfId="1" builtinId="28"/>
    <cellStyle name="Normal" xfId="0" builtinId="0"/>
  </cellStyles>
  <dxfs count="4">
    <dxf>
      <fill>
        <patternFill>
          <bgColor theme="7" tint="0.59996337778862885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CCFF"/>
      <color rgb="FFCC99FF"/>
      <color rgb="FFFFCC66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Timing Used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'Optimization Model'!$F$29:$F$40</c:f>
              <c:strCache>
                <c:ptCount val="12"/>
                <c:pt idx="0">
                  <c:v>x11</c:v>
                </c:pt>
                <c:pt idx="1">
                  <c:v>x12</c:v>
                </c:pt>
                <c:pt idx="2">
                  <c:v>x13</c:v>
                </c:pt>
                <c:pt idx="3">
                  <c:v>x14</c:v>
                </c:pt>
                <c:pt idx="4">
                  <c:v>x15</c:v>
                </c:pt>
                <c:pt idx="5">
                  <c:v>x16</c:v>
                </c:pt>
                <c:pt idx="6">
                  <c:v>x21</c:v>
                </c:pt>
                <c:pt idx="7">
                  <c:v>x22</c:v>
                </c:pt>
                <c:pt idx="8">
                  <c:v>x23</c:v>
                </c:pt>
                <c:pt idx="9">
                  <c:v>x24</c:v>
                </c:pt>
                <c:pt idx="10">
                  <c:v>x31</c:v>
                </c:pt>
                <c:pt idx="11">
                  <c:v>x32</c:v>
                </c:pt>
              </c:strCache>
            </c:strRef>
          </c:cat>
          <c:val>
            <c:numRef>
              <c:f>'Optimization Model'!$G$29:$G$40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437.0684497402458</c:v>
                </c:pt>
                <c:pt idx="3">
                  <c:v>349.51324400629585</c:v>
                </c:pt>
                <c:pt idx="4">
                  <c:v>461.82146545438104</c:v>
                </c:pt>
                <c:pt idx="5">
                  <c:v>473.83566501915271</c:v>
                </c:pt>
                <c:pt idx="6">
                  <c:v>264.53214051155106</c:v>
                </c:pt>
                <c:pt idx="7">
                  <c:v>288.08247476793457</c:v>
                </c:pt>
                <c:pt idx="8">
                  <c:v>295.98911812335791</c:v>
                </c:pt>
                <c:pt idx="9">
                  <c:v>299.55548274387343</c:v>
                </c:pt>
                <c:pt idx="10">
                  <c:v>212.70420551769763</c:v>
                </c:pt>
                <c:pt idx="11">
                  <c:v>476.37540255566086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19-4866-BEE2-43A061B6F14D}"/>
            </c:ext>
          </c:extLst>
        </c:ser>
        <c:ser>
          <c:idx val="0"/>
          <c:order val="1"/>
          <c:tx>
            <c:v>Working Hours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'Optimization Model'!$F$29:$F$40</c:f>
              <c:strCache>
                <c:ptCount val="12"/>
                <c:pt idx="0">
                  <c:v>x11</c:v>
                </c:pt>
                <c:pt idx="1">
                  <c:v>x12</c:v>
                </c:pt>
                <c:pt idx="2">
                  <c:v>x13</c:v>
                </c:pt>
                <c:pt idx="3">
                  <c:v>x14</c:v>
                </c:pt>
                <c:pt idx="4">
                  <c:v>x15</c:v>
                </c:pt>
                <c:pt idx="5">
                  <c:v>x16</c:v>
                </c:pt>
                <c:pt idx="6">
                  <c:v>x21</c:v>
                </c:pt>
                <c:pt idx="7">
                  <c:v>x22</c:v>
                </c:pt>
                <c:pt idx="8">
                  <c:v>x23</c:v>
                </c:pt>
                <c:pt idx="9">
                  <c:v>x24</c:v>
                </c:pt>
                <c:pt idx="10">
                  <c:v>x31</c:v>
                </c:pt>
                <c:pt idx="11">
                  <c:v>x32</c:v>
                </c:pt>
              </c:strCache>
            </c:strRef>
          </c:cat>
          <c:val>
            <c:numRef>
              <c:f>'Optimization Model'!$H$29:$H$40</c:f>
              <c:numCache>
                <c:formatCode>General</c:formatCode>
                <c:ptCount val="12"/>
                <c:pt idx="0">
                  <c:v>480</c:v>
                </c:pt>
                <c:pt idx="1">
                  <c:v>480</c:v>
                </c:pt>
                <c:pt idx="2">
                  <c:v>480</c:v>
                </c:pt>
                <c:pt idx="3">
                  <c:v>480</c:v>
                </c:pt>
                <c:pt idx="4">
                  <c:v>480</c:v>
                </c:pt>
                <c:pt idx="5">
                  <c:v>480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480</c:v>
                </c:pt>
                <c:pt idx="11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9-4866-BEE2-43A061B6F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9404175"/>
        <c:axId val="639402927"/>
      </c:barChart>
      <c:catAx>
        <c:axId val="639404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 used per shift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402927"/>
        <c:crosses val="autoZero"/>
        <c:auto val="1"/>
        <c:lblAlgn val="ctr"/>
        <c:lblOffset val="100"/>
        <c:noMultiLvlLbl val="0"/>
      </c:catAx>
      <c:valAx>
        <c:axId val="63940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Shift</a:t>
                </a:r>
                <a:r>
                  <a:rPr lang="en-SG" baseline="0"/>
                  <a:t> Working Hours/min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40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497539</xdr:colOff>
      <xdr:row>41</xdr:row>
      <xdr:rowOff>103095</xdr:rowOff>
    </xdr:from>
    <xdr:to>
      <xdr:col>10</xdr:col>
      <xdr:colOff>573741</xdr:colOff>
      <xdr:row>70</xdr:row>
      <xdr:rowOff>98612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5D1842-304B-4AB1-B68D-9CB7CD3D2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2944-4087-41D1-ACCF-8CF14C919476}">
  <sheetPr>
    <pageSetUpPr autoPageBreaks="0"/>
  </sheetPr>
  <dimension ref="A1:BB55"/>
  <sheetViews>
    <sheetView showGridLines="0" tabSelected="1" zoomScale="85" zoomScaleNormal="85" workbookViewId="0">
      <selection activeCell="AC29" sqref="AC29"/>
    </sheetView>
  </sheetViews>
  <sheetFormatPr defaultColWidth="8.88671875" defaultRowHeight="14.4" x14ac:dyDescent="0.3"/>
  <cols>
    <col min="1" max="1" width="12" style="4" customWidth="1"/>
    <col min="2" max="3" width="14.109375" style="4" bestFit="1" customWidth="1"/>
    <col min="4" max="4" width="14.5546875" style="4" bestFit="1" customWidth="1"/>
    <col min="5" max="5" width="13.88671875" style="4" bestFit="1" customWidth="1"/>
    <col min="6" max="6" width="14.109375" style="4" bestFit="1" customWidth="1"/>
    <col min="7" max="11" width="14.5546875" style="4" bestFit="1" customWidth="1"/>
    <col min="12" max="12" width="13.88671875" style="4" bestFit="1" customWidth="1"/>
    <col min="13" max="13" width="14.5546875" style="4" bestFit="1" customWidth="1"/>
    <col min="14" max="14" width="14.109375" style="4" bestFit="1" customWidth="1"/>
    <col min="15" max="16" width="8.88671875" style="4"/>
    <col min="17" max="17" width="8.33203125" style="4" bestFit="1" customWidth="1"/>
    <col min="18" max="18" width="16.109375" style="4" bestFit="1" customWidth="1"/>
    <col min="19" max="19" width="16.6640625" style="4" bestFit="1" customWidth="1"/>
    <col min="20" max="20" width="35" style="4" bestFit="1" customWidth="1"/>
    <col min="21" max="21" width="26.109375" style="4" bestFit="1" customWidth="1"/>
    <col min="22" max="22" width="41.6640625" style="4" customWidth="1"/>
    <col min="23" max="23" width="34.33203125" style="4" bestFit="1" customWidth="1"/>
    <col min="24" max="24" width="23.109375" style="4" bestFit="1" customWidth="1"/>
    <col min="25" max="25" width="35.5546875" style="4" bestFit="1" customWidth="1"/>
    <col min="26" max="26" width="8.88671875" style="4"/>
    <col min="27" max="27" width="16.109375" style="4" bestFit="1" customWidth="1"/>
    <col min="28" max="28" width="9.33203125" style="4" customWidth="1"/>
    <col min="29" max="29" width="13.5546875" style="4" customWidth="1"/>
    <col min="30" max="30" width="15.44140625" style="4" bestFit="1" customWidth="1"/>
    <col min="31" max="31" width="31.33203125" style="4" bestFit="1" customWidth="1"/>
    <col min="32" max="44" width="10.6640625" style="4" customWidth="1"/>
    <col min="45" max="16384" width="8.88671875" style="4"/>
  </cols>
  <sheetData>
    <row r="1" spans="1:49" ht="14.4" customHeight="1" x14ac:dyDescent="0.3">
      <c r="A1" s="73" t="s">
        <v>100</v>
      </c>
      <c r="B1" s="73"/>
      <c r="C1" s="73"/>
      <c r="Q1" s="57" t="s">
        <v>0</v>
      </c>
      <c r="R1" s="57"/>
      <c r="S1" s="57"/>
      <c r="AA1" s="62" t="s">
        <v>1</v>
      </c>
      <c r="AB1" s="62"/>
      <c r="AC1" s="11"/>
      <c r="AE1" s="62" t="s">
        <v>2</v>
      </c>
      <c r="AT1" s="62"/>
      <c r="AU1" s="62"/>
      <c r="AV1" s="62"/>
      <c r="AW1" s="62"/>
    </row>
    <row r="2" spans="1:49" ht="14.4" customHeight="1" x14ac:dyDescent="0.3">
      <c r="A2" s="74"/>
      <c r="B2" s="74"/>
      <c r="C2" s="74"/>
      <c r="Q2" s="57"/>
      <c r="R2" s="57"/>
      <c r="S2" s="57"/>
      <c r="U2" s="37" t="s">
        <v>3</v>
      </c>
      <c r="AA2" s="64"/>
      <c r="AB2" s="64"/>
      <c r="AC2" s="17"/>
      <c r="AE2" s="62"/>
      <c r="AT2" s="62"/>
      <c r="AU2" s="62"/>
      <c r="AV2" s="62"/>
      <c r="AW2" s="62"/>
    </row>
    <row r="3" spans="1:49" x14ac:dyDescent="0.3">
      <c r="A3" s="26"/>
      <c r="B3" s="27" t="s">
        <v>4</v>
      </c>
      <c r="C3" s="27" t="s">
        <v>5</v>
      </c>
      <c r="D3" s="27" t="s">
        <v>6</v>
      </c>
      <c r="E3" s="27" t="s">
        <v>7</v>
      </c>
      <c r="F3" s="27" t="s">
        <v>8</v>
      </c>
      <c r="G3" s="27" t="s">
        <v>9</v>
      </c>
      <c r="H3" s="27" t="s">
        <v>10</v>
      </c>
      <c r="I3" s="27">
        <v>300</v>
      </c>
      <c r="J3" s="27" t="s">
        <v>11</v>
      </c>
      <c r="K3" s="27">
        <v>500</v>
      </c>
      <c r="L3" s="27">
        <v>600</v>
      </c>
      <c r="M3" s="27" t="s">
        <v>12</v>
      </c>
      <c r="N3" s="27" t="s">
        <v>13</v>
      </c>
      <c r="Q3" s="31" t="s">
        <v>14</v>
      </c>
      <c r="R3" s="48" t="s">
        <v>15</v>
      </c>
      <c r="S3" s="5"/>
      <c r="T3" s="4" t="s">
        <v>103</v>
      </c>
      <c r="U3" s="4" t="s">
        <v>98</v>
      </c>
      <c r="V3" s="13" t="s">
        <v>16</v>
      </c>
      <c r="AA3" s="63" t="s">
        <v>17</v>
      </c>
      <c r="AB3" s="63"/>
      <c r="AC3" s="18"/>
      <c r="AE3" s="3" t="s">
        <v>18</v>
      </c>
      <c r="AF3" s="12" t="s">
        <v>4</v>
      </c>
      <c r="AG3" s="12" t="s">
        <v>5</v>
      </c>
      <c r="AH3" s="12" t="s">
        <v>6</v>
      </c>
      <c r="AI3" s="12" t="s">
        <v>7</v>
      </c>
      <c r="AJ3" s="12" t="s">
        <v>8</v>
      </c>
      <c r="AK3" s="12" t="s">
        <v>9</v>
      </c>
      <c r="AL3" s="12" t="s">
        <v>10</v>
      </c>
      <c r="AM3" s="12">
        <v>300</v>
      </c>
      <c r="AN3" s="12" t="s">
        <v>11</v>
      </c>
      <c r="AO3" s="12">
        <v>500</v>
      </c>
      <c r="AP3" s="12">
        <v>600</v>
      </c>
      <c r="AQ3" s="12" t="s">
        <v>12</v>
      </c>
      <c r="AR3" s="12" t="s">
        <v>19</v>
      </c>
    </row>
    <row r="4" spans="1:49" x14ac:dyDescent="0.3">
      <c r="A4" s="26" t="s">
        <v>84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6">
        <f t="shared" ref="O4:O15" si="0">IFERROR(SUM(B4:N4)/SUM(B4:N4),0)</f>
        <v>0</v>
      </c>
      <c r="P4" s="5"/>
      <c r="Q4" s="2" t="s">
        <v>21</v>
      </c>
      <c r="R4" s="2" t="s">
        <v>22</v>
      </c>
      <c r="S4" s="2" t="s">
        <v>23</v>
      </c>
      <c r="T4" s="2" t="s">
        <v>24</v>
      </c>
      <c r="U4" s="3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AA4" s="43" t="s">
        <v>30</v>
      </c>
      <c r="AB4" s="9">
        <v>3</v>
      </c>
      <c r="AC4" s="13"/>
      <c r="AE4" s="46" t="s">
        <v>31</v>
      </c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9" x14ac:dyDescent="0.3">
      <c r="A5" s="26" t="s">
        <v>85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6">
        <f t="shared" si="0"/>
        <v>0</v>
      </c>
      <c r="P5" s="5"/>
      <c r="Q5" s="45" t="s">
        <v>4</v>
      </c>
      <c r="R5" s="49">
        <v>1</v>
      </c>
      <c r="S5" s="9">
        <v>18</v>
      </c>
      <c r="T5" s="7">
        <v>1</v>
      </c>
      <c r="U5" s="56">
        <v>8</v>
      </c>
      <c r="V5" s="6">
        <f>W5*T5*(AB13/24)*(1/AB4)</f>
        <v>4.5</v>
      </c>
      <c r="W5" s="6">
        <f t="shared" ref="W5:W17" si="1">S5*$AB$10</f>
        <v>36</v>
      </c>
      <c r="X5" s="8">
        <f t="shared" ref="X5:X17" si="2">S5*$AB$9</f>
        <v>36</v>
      </c>
      <c r="Y5" s="6">
        <v>4.7934545860734863</v>
      </c>
      <c r="AA5" s="43" t="s">
        <v>33</v>
      </c>
      <c r="AB5" s="9">
        <v>2</v>
      </c>
      <c r="AC5" s="13"/>
      <c r="AE5" s="46" t="s">
        <v>34</v>
      </c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9" x14ac:dyDescent="0.3">
      <c r="A6" s="26" t="s">
        <v>86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1</v>
      </c>
      <c r="O6" s="6">
        <f t="shared" si="0"/>
        <v>1</v>
      </c>
      <c r="P6" s="5"/>
      <c r="Q6" s="45" t="s">
        <v>5</v>
      </c>
      <c r="R6" s="49">
        <v>1</v>
      </c>
      <c r="S6" s="9">
        <v>10</v>
      </c>
      <c r="T6" s="7">
        <v>1</v>
      </c>
      <c r="U6" s="56">
        <v>9</v>
      </c>
      <c r="V6" s="6">
        <f>W6*T6*(AB13/24)*(1/AB4)</f>
        <v>2.5</v>
      </c>
      <c r="W6" s="6">
        <f t="shared" si="1"/>
        <v>20</v>
      </c>
      <c r="X6" s="8">
        <f t="shared" si="2"/>
        <v>20</v>
      </c>
      <c r="Y6" s="6">
        <v>2.7269826585417403</v>
      </c>
      <c r="AA6" s="43" t="s">
        <v>36</v>
      </c>
      <c r="AB6" s="9">
        <v>1</v>
      </c>
      <c r="AC6" s="13"/>
      <c r="AE6" s="46" t="s">
        <v>37</v>
      </c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9" x14ac:dyDescent="0.3">
      <c r="A7" s="26" t="s">
        <v>87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0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O7" s="6">
        <f t="shared" si="0"/>
        <v>1</v>
      </c>
      <c r="P7" s="5"/>
      <c r="Q7" s="45" t="s">
        <v>6</v>
      </c>
      <c r="R7" s="49">
        <v>1</v>
      </c>
      <c r="S7" s="9">
        <v>16</v>
      </c>
      <c r="T7" s="7">
        <v>1</v>
      </c>
      <c r="U7" s="56">
        <v>9</v>
      </c>
      <c r="V7" s="6">
        <f>W7*T7*(AB13/24)*(1/AB4)</f>
        <v>4</v>
      </c>
      <c r="W7" s="6">
        <f t="shared" si="1"/>
        <v>32</v>
      </c>
      <c r="X7" s="8">
        <f t="shared" si="2"/>
        <v>32</v>
      </c>
      <c r="Y7" s="6">
        <v>4.1529243260477902</v>
      </c>
      <c r="AA7" s="44"/>
      <c r="AC7" s="13"/>
      <c r="AE7" s="46" t="s">
        <v>39</v>
      </c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49" x14ac:dyDescent="0.3">
      <c r="A8" s="26" t="s">
        <v>88</v>
      </c>
      <c r="B8" s="10">
        <v>0</v>
      </c>
      <c r="C8" s="10">
        <v>0</v>
      </c>
      <c r="D8" s="10">
        <v>0</v>
      </c>
      <c r="E8" s="10">
        <v>0</v>
      </c>
      <c r="F8" s="10">
        <v>1</v>
      </c>
      <c r="G8" s="10">
        <v>0</v>
      </c>
      <c r="H8" s="10">
        <v>1</v>
      </c>
      <c r="I8" s="10">
        <v>1</v>
      </c>
      <c r="J8" s="10">
        <v>1</v>
      </c>
      <c r="K8" s="10">
        <v>0</v>
      </c>
      <c r="L8" s="10">
        <v>1</v>
      </c>
      <c r="M8" s="10">
        <v>0</v>
      </c>
      <c r="N8" s="10">
        <v>0</v>
      </c>
      <c r="O8" s="6">
        <f t="shared" si="0"/>
        <v>1</v>
      </c>
      <c r="P8" s="5"/>
      <c r="Q8" s="45" t="s">
        <v>7</v>
      </c>
      <c r="R8" s="49">
        <v>1</v>
      </c>
      <c r="S8" s="9">
        <v>19</v>
      </c>
      <c r="T8" s="7">
        <v>1</v>
      </c>
      <c r="U8" s="56">
        <v>6</v>
      </c>
      <c r="V8" s="6">
        <f>W8*T8*(AB13/24)*(1/AB4)</f>
        <v>4.75</v>
      </c>
      <c r="W8" s="6">
        <f t="shared" si="1"/>
        <v>38</v>
      </c>
      <c r="X8" s="8">
        <f t="shared" si="2"/>
        <v>38</v>
      </c>
      <c r="Y8" s="6">
        <v>4.5218601023878886</v>
      </c>
      <c r="AA8" s="63" t="s">
        <v>41</v>
      </c>
      <c r="AB8" s="63"/>
      <c r="AC8" s="13"/>
      <c r="AE8" s="46" t="s">
        <v>42</v>
      </c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</row>
    <row r="9" spans="1:49" x14ac:dyDescent="0.3">
      <c r="A9" s="26" t="s">
        <v>89</v>
      </c>
      <c r="B9" s="10">
        <v>1</v>
      </c>
      <c r="C9" s="10">
        <v>1</v>
      </c>
      <c r="D9" s="10">
        <v>1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6">
        <f t="shared" si="0"/>
        <v>1</v>
      </c>
      <c r="P9" s="5"/>
      <c r="Q9" s="45" t="s">
        <v>8</v>
      </c>
      <c r="R9" s="49">
        <v>1</v>
      </c>
      <c r="S9" s="9">
        <v>21</v>
      </c>
      <c r="T9" s="7">
        <v>1</v>
      </c>
      <c r="U9" s="56">
        <v>7</v>
      </c>
      <c r="V9" s="6">
        <f>W9*T9*(AB13/24)*(1/AB4)</f>
        <v>5.25</v>
      </c>
      <c r="W9" s="6">
        <f t="shared" si="1"/>
        <v>42</v>
      </c>
      <c r="X9" s="8">
        <f t="shared" si="2"/>
        <v>42</v>
      </c>
      <c r="Y9" s="6">
        <v>5.4723290604568025</v>
      </c>
      <c r="AA9" s="43" t="s">
        <v>44</v>
      </c>
      <c r="AB9" s="9">
        <v>2</v>
      </c>
      <c r="AC9" s="13"/>
      <c r="AE9" s="47" t="s">
        <v>45</v>
      </c>
      <c r="AF9" s="14">
        <v>4345</v>
      </c>
      <c r="AG9" s="14">
        <v>2438</v>
      </c>
      <c r="AH9" s="14">
        <v>4117</v>
      </c>
      <c r="AI9" s="14">
        <v>3126</v>
      </c>
      <c r="AJ9" s="14">
        <v>4030</v>
      </c>
      <c r="AK9" s="14">
        <v>4422</v>
      </c>
      <c r="AL9" s="14">
        <v>493</v>
      </c>
      <c r="AM9" s="15">
        <v>331</v>
      </c>
      <c r="AN9" s="14">
        <v>11</v>
      </c>
      <c r="AO9" s="15">
        <v>593</v>
      </c>
      <c r="AP9" s="15">
        <v>522</v>
      </c>
      <c r="AQ9" s="14">
        <v>249</v>
      </c>
      <c r="AR9" s="14">
        <v>3213</v>
      </c>
    </row>
    <row r="10" spans="1:49" x14ac:dyDescent="0.3">
      <c r="A10" s="26" t="s">
        <v>90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>
        <v>0</v>
      </c>
      <c r="M10" s="10">
        <v>0</v>
      </c>
      <c r="N10" s="10">
        <v>1</v>
      </c>
      <c r="O10" s="6">
        <f t="shared" si="0"/>
        <v>1</v>
      </c>
      <c r="P10" s="5"/>
      <c r="Q10" s="45" t="s">
        <v>9</v>
      </c>
      <c r="R10" s="49">
        <v>1</v>
      </c>
      <c r="S10" s="9">
        <v>26</v>
      </c>
      <c r="T10" s="7">
        <v>1</v>
      </c>
      <c r="U10" s="56">
        <v>6</v>
      </c>
      <c r="V10" s="6">
        <f>W10*T10*(AB13/24)*(1/AB4)</f>
        <v>6.5</v>
      </c>
      <c r="W10" s="6">
        <f t="shared" si="1"/>
        <v>52</v>
      </c>
      <c r="X10" s="8">
        <f t="shared" si="2"/>
        <v>52</v>
      </c>
      <c r="Y10" s="6">
        <v>5.8313624598154208</v>
      </c>
      <c r="AA10" s="43" t="s">
        <v>47</v>
      </c>
      <c r="AB10" s="9">
        <v>2</v>
      </c>
      <c r="AC10" s="13"/>
      <c r="AE10" s="47" t="s">
        <v>48</v>
      </c>
      <c r="AF10" s="14">
        <v>4501</v>
      </c>
      <c r="AG10" s="14">
        <v>2522</v>
      </c>
      <c r="AH10" s="14">
        <v>4198</v>
      </c>
      <c r="AI10" s="14">
        <v>3242</v>
      </c>
      <c r="AJ10" s="14">
        <v>4184</v>
      </c>
      <c r="AK10" s="14">
        <v>4596</v>
      </c>
      <c r="AL10" s="14">
        <v>477</v>
      </c>
      <c r="AM10" s="15">
        <v>402</v>
      </c>
      <c r="AN10" s="14">
        <v>4</v>
      </c>
      <c r="AO10" s="15">
        <v>604</v>
      </c>
      <c r="AP10" s="15">
        <v>538</v>
      </c>
      <c r="AQ10" s="14">
        <v>242</v>
      </c>
      <c r="AR10" s="14">
        <v>3299</v>
      </c>
    </row>
    <row r="11" spans="1:49" x14ac:dyDescent="0.3">
      <c r="A11" s="26" t="s">
        <v>91</v>
      </c>
      <c r="B11" s="10">
        <v>0</v>
      </c>
      <c r="C11" s="10">
        <v>0</v>
      </c>
      <c r="D11" s="10">
        <v>0</v>
      </c>
      <c r="E11" s="10">
        <v>0</v>
      </c>
      <c r="F11" s="10">
        <v>1</v>
      </c>
      <c r="G11" s="10">
        <v>0</v>
      </c>
      <c r="H11" s="10">
        <v>1</v>
      </c>
      <c r="I11" s="10">
        <v>1</v>
      </c>
      <c r="J11" s="10">
        <v>0</v>
      </c>
      <c r="K11" s="10">
        <v>0</v>
      </c>
      <c r="L11" s="10">
        <v>1</v>
      </c>
      <c r="M11" s="10">
        <v>0</v>
      </c>
      <c r="N11" s="10">
        <v>0</v>
      </c>
      <c r="O11" s="6">
        <f t="shared" si="0"/>
        <v>1</v>
      </c>
      <c r="P11" s="5"/>
      <c r="Q11" s="45" t="s">
        <v>10</v>
      </c>
      <c r="R11" s="49">
        <v>1</v>
      </c>
      <c r="S11" s="9">
        <v>13</v>
      </c>
      <c r="T11" s="7">
        <v>1</v>
      </c>
      <c r="U11" s="56">
        <v>2</v>
      </c>
      <c r="V11" s="6">
        <f>W11*T11*(AB13/24)*(1/AB4)</f>
        <v>3.25</v>
      </c>
      <c r="W11" s="6">
        <f t="shared" si="1"/>
        <v>26</v>
      </c>
      <c r="X11" s="8">
        <f t="shared" si="2"/>
        <v>26</v>
      </c>
      <c r="Y11" s="6">
        <v>2.7970686742787567</v>
      </c>
      <c r="AC11" s="19"/>
      <c r="AE11" s="47" t="s">
        <v>50</v>
      </c>
      <c r="AF11" s="14">
        <v>4482</v>
      </c>
      <c r="AG11" s="14">
        <v>2533</v>
      </c>
      <c r="AH11" s="14">
        <v>4162</v>
      </c>
      <c r="AI11" s="14">
        <v>3268</v>
      </c>
      <c r="AJ11" s="14">
        <v>4131</v>
      </c>
      <c r="AK11" s="14">
        <v>4643</v>
      </c>
      <c r="AL11" s="14">
        <v>524</v>
      </c>
      <c r="AM11" s="15">
        <v>401</v>
      </c>
      <c r="AN11" s="14">
        <v>7</v>
      </c>
      <c r="AO11" s="15">
        <v>611</v>
      </c>
      <c r="AP11" s="15">
        <v>574</v>
      </c>
      <c r="AQ11" s="14">
        <v>245</v>
      </c>
      <c r="AR11" s="14">
        <v>3253</v>
      </c>
    </row>
    <row r="12" spans="1:49" x14ac:dyDescent="0.3">
      <c r="A12" s="26" t="s">
        <v>92</v>
      </c>
      <c r="B12" s="10">
        <v>0</v>
      </c>
      <c r="C12" s="10">
        <v>1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1</v>
      </c>
      <c r="N12" s="10">
        <v>0</v>
      </c>
      <c r="O12" s="6">
        <f t="shared" si="0"/>
        <v>1</v>
      </c>
      <c r="P12" s="5"/>
      <c r="Q12" s="45">
        <v>300</v>
      </c>
      <c r="R12" s="49">
        <v>1</v>
      </c>
      <c r="S12" s="9">
        <v>11</v>
      </c>
      <c r="T12" s="7">
        <v>1</v>
      </c>
      <c r="U12" s="56">
        <v>2</v>
      </c>
      <c r="V12" s="6">
        <f>W12*T12*(AB13/24)*(1/AB4)</f>
        <v>2.75</v>
      </c>
      <c r="W12" s="6">
        <f t="shared" si="1"/>
        <v>22</v>
      </c>
      <c r="X12" s="8">
        <f t="shared" si="2"/>
        <v>22</v>
      </c>
      <c r="Y12" s="6">
        <v>3.0071173782827012</v>
      </c>
      <c r="AA12" s="67" t="s">
        <v>52</v>
      </c>
      <c r="AB12" s="67"/>
      <c r="AC12" s="13"/>
      <c r="AE12" s="47" t="s">
        <v>53</v>
      </c>
      <c r="AF12" s="14">
        <v>4247</v>
      </c>
      <c r="AG12" s="14">
        <v>2523</v>
      </c>
      <c r="AH12" s="14">
        <v>4114</v>
      </c>
      <c r="AI12" s="14">
        <v>3015</v>
      </c>
      <c r="AJ12" s="14">
        <v>4047</v>
      </c>
      <c r="AK12" s="14">
        <v>4429</v>
      </c>
      <c r="AL12" s="14">
        <v>492</v>
      </c>
      <c r="AM12" s="15">
        <v>433</v>
      </c>
      <c r="AN12" s="14">
        <v>3</v>
      </c>
      <c r="AO12" s="15">
        <v>596</v>
      </c>
      <c r="AP12" s="15">
        <v>536</v>
      </c>
      <c r="AQ12" s="14">
        <v>238</v>
      </c>
      <c r="AR12" s="14">
        <v>3172</v>
      </c>
    </row>
    <row r="13" spans="1:49" x14ac:dyDescent="0.3">
      <c r="A13" s="26" t="s">
        <v>93</v>
      </c>
      <c r="B13" s="10">
        <v>1</v>
      </c>
      <c r="C13" s="10">
        <v>0</v>
      </c>
      <c r="D13" s="10">
        <v>1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6">
        <f t="shared" si="0"/>
        <v>1</v>
      </c>
      <c r="P13" s="5"/>
      <c r="Q13" s="45" t="s">
        <v>11</v>
      </c>
      <c r="R13" s="49">
        <v>1</v>
      </c>
      <c r="S13" s="9">
        <v>4</v>
      </c>
      <c r="T13" s="7">
        <v>1</v>
      </c>
      <c r="U13" s="56">
        <v>1</v>
      </c>
      <c r="V13" s="6">
        <f>W13*T13*(AB13/24)*(1/AB4)</f>
        <v>1</v>
      </c>
      <c r="W13" s="6">
        <f t="shared" si="1"/>
        <v>8</v>
      </c>
      <c r="X13" s="8">
        <f t="shared" si="2"/>
        <v>8</v>
      </c>
      <c r="Y13" s="6">
        <v>0.89925110082637749</v>
      </c>
      <c r="AA13" s="53" t="s">
        <v>30</v>
      </c>
      <c r="AB13" s="54">
        <v>9</v>
      </c>
      <c r="AC13" s="13"/>
      <c r="AE13" s="47" t="s">
        <v>55</v>
      </c>
      <c r="AF13" s="14">
        <v>4382</v>
      </c>
      <c r="AG13" s="14">
        <v>2571</v>
      </c>
      <c r="AH13" s="14">
        <v>4409</v>
      </c>
      <c r="AI13" s="14">
        <v>3371</v>
      </c>
      <c r="AJ13" s="14">
        <v>3952</v>
      </c>
      <c r="AK13" s="14">
        <v>4243</v>
      </c>
      <c r="AL13" s="14">
        <v>533</v>
      </c>
      <c r="AM13" s="15">
        <v>540</v>
      </c>
      <c r="AN13" s="14">
        <v>31</v>
      </c>
      <c r="AO13" s="15">
        <v>617</v>
      </c>
      <c r="AP13" s="15">
        <v>546</v>
      </c>
      <c r="AQ13" s="14">
        <v>266</v>
      </c>
      <c r="AR13" s="14">
        <v>3251</v>
      </c>
    </row>
    <row r="14" spans="1:49" x14ac:dyDescent="0.3">
      <c r="A14" s="26" t="s">
        <v>94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1</v>
      </c>
      <c r="N14" s="10">
        <v>1</v>
      </c>
      <c r="O14" s="6">
        <f t="shared" si="0"/>
        <v>1</v>
      </c>
      <c r="P14" s="5"/>
      <c r="Q14" s="45">
        <v>500</v>
      </c>
      <c r="R14" s="49">
        <v>1</v>
      </c>
      <c r="S14" s="9">
        <v>21</v>
      </c>
      <c r="T14" s="7">
        <v>1</v>
      </c>
      <c r="U14" s="56">
        <v>1</v>
      </c>
      <c r="V14" s="6">
        <f>W14*T14*(AB13/24)*(1/AB4)</f>
        <v>5.25</v>
      </c>
      <c r="W14" s="6">
        <f t="shared" si="1"/>
        <v>42</v>
      </c>
      <c r="X14" s="8">
        <f t="shared" si="2"/>
        <v>42</v>
      </c>
      <c r="Y14" s="6">
        <v>4.923052208949863</v>
      </c>
      <c r="AA14" s="53" t="s">
        <v>33</v>
      </c>
      <c r="AB14" s="54">
        <v>6</v>
      </c>
      <c r="AC14" s="13"/>
      <c r="AE14" s="47" t="s">
        <v>57</v>
      </c>
      <c r="AF14" s="14">
        <v>4078</v>
      </c>
      <c r="AG14" s="14">
        <v>2488</v>
      </c>
      <c r="AH14" s="14">
        <v>4738</v>
      </c>
      <c r="AI14" s="14">
        <v>3839</v>
      </c>
      <c r="AJ14" s="14">
        <v>3468</v>
      </c>
      <c r="AK14" s="14">
        <v>3722</v>
      </c>
      <c r="AL14" s="14">
        <v>524</v>
      </c>
      <c r="AM14" s="15">
        <v>627</v>
      </c>
      <c r="AN14" s="14">
        <v>34</v>
      </c>
      <c r="AO14" s="15">
        <v>630</v>
      </c>
      <c r="AP14" s="15">
        <v>565</v>
      </c>
      <c r="AQ14" s="14">
        <v>238</v>
      </c>
      <c r="AR14" s="14">
        <v>3219</v>
      </c>
    </row>
    <row r="15" spans="1:49" x14ac:dyDescent="0.3">
      <c r="A15" s="26" t="s">
        <v>95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0</v>
      </c>
      <c r="M15" s="10">
        <v>0</v>
      </c>
      <c r="N15" s="10">
        <v>0</v>
      </c>
      <c r="O15" s="6">
        <f t="shared" si="0"/>
        <v>1</v>
      </c>
      <c r="P15" s="5"/>
      <c r="Q15" s="45">
        <v>600</v>
      </c>
      <c r="R15" s="49">
        <v>1</v>
      </c>
      <c r="S15" s="9">
        <v>12</v>
      </c>
      <c r="T15" s="7">
        <v>1</v>
      </c>
      <c r="U15" s="56">
        <v>2</v>
      </c>
      <c r="V15" s="6">
        <f>W15*T15*(AB13/24)*(1/AB4)</f>
        <v>3</v>
      </c>
      <c r="W15" s="6">
        <f t="shared" si="1"/>
        <v>24</v>
      </c>
      <c r="X15" s="8">
        <f t="shared" si="2"/>
        <v>24</v>
      </c>
      <c r="Y15" s="6">
        <v>4.5147222709490311</v>
      </c>
      <c r="AA15" s="53" t="s">
        <v>36</v>
      </c>
      <c r="AB15" s="54">
        <v>9</v>
      </c>
      <c r="AC15" s="20"/>
      <c r="AE15" s="47" t="s">
        <v>59</v>
      </c>
      <c r="AF15" s="14">
        <v>4246</v>
      </c>
      <c r="AG15" s="14">
        <v>2613</v>
      </c>
      <c r="AH15" s="14">
        <v>5000</v>
      </c>
      <c r="AI15" s="14">
        <v>4072</v>
      </c>
      <c r="AJ15" s="14">
        <v>3640</v>
      </c>
      <c r="AK15" s="14">
        <v>3869</v>
      </c>
      <c r="AL15" s="14">
        <v>524</v>
      </c>
      <c r="AM15" s="15">
        <v>555</v>
      </c>
      <c r="AN15" s="14">
        <v>43</v>
      </c>
      <c r="AO15" s="15">
        <v>525</v>
      </c>
      <c r="AP15" s="15">
        <v>587</v>
      </c>
      <c r="AQ15" s="14">
        <v>273</v>
      </c>
      <c r="AR15" s="14">
        <v>3383</v>
      </c>
    </row>
    <row r="16" spans="1:49" x14ac:dyDescent="0.3">
      <c r="A16" s="62" t="s">
        <v>60</v>
      </c>
      <c r="B16" s="62"/>
      <c r="N16" s="25" t="s">
        <v>74</v>
      </c>
      <c r="O16" s="24">
        <f>SUM(O4:O15)</f>
        <v>10</v>
      </c>
      <c r="P16" s="13"/>
      <c r="Q16" s="45" t="s">
        <v>12</v>
      </c>
      <c r="R16" s="49">
        <v>1</v>
      </c>
      <c r="S16" s="9">
        <v>30</v>
      </c>
      <c r="T16" s="7">
        <v>1</v>
      </c>
      <c r="U16" s="56">
        <v>1</v>
      </c>
      <c r="V16" s="6">
        <f>W16*T16*(AB13/24)*(1/AB4)</f>
        <v>7.5</v>
      </c>
      <c r="W16" s="6">
        <f t="shared" si="1"/>
        <v>60</v>
      </c>
      <c r="X16" s="8">
        <f t="shared" si="2"/>
        <v>60</v>
      </c>
      <c r="Y16" s="6">
        <v>7.9957163007493159</v>
      </c>
      <c r="AA16" s="68" t="s">
        <v>61</v>
      </c>
      <c r="AB16" s="68"/>
      <c r="AC16" s="20"/>
    </row>
    <row r="17" spans="1:54" x14ac:dyDescent="0.3">
      <c r="A17" s="64"/>
      <c r="B17" s="64"/>
      <c r="Q17" s="45" t="s">
        <v>13</v>
      </c>
      <c r="R17" s="49">
        <v>1</v>
      </c>
      <c r="S17" s="9">
        <v>29</v>
      </c>
      <c r="T17" s="7">
        <v>1</v>
      </c>
      <c r="U17" s="56">
        <v>4</v>
      </c>
      <c r="V17" s="6">
        <f>W17*T17*(AB13/24)*(1/AB4)</f>
        <v>7.25</v>
      </c>
      <c r="W17" s="6">
        <f t="shared" si="1"/>
        <v>58</v>
      </c>
      <c r="X17" s="8">
        <f t="shared" si="2"/>
        <v>58</v>
      </c>
      <c r="Y17" s="6">
        <v>4.9437669459992835</v>
      </c>
      <c r="AA17" s="69"/>
      <c r="AB17" s="69"/>
      <c r="AC17" s="20"/>
      <c r="AD17" s="28" t="s">
        <v>62</v>
      </c>
      <c r="AE17" s="2" t="s">
        <v>63</v>
      </c>
      <c r="AF17" s="12" t="s">
        <v>4</v>
      </c>
      <c r="AG17" s="12" t="s">
        <v>5</v>
      </c>
      <c r="AH17" s="12" t="s">
        <v>6</v>
      </c>
      <c r="AI17" s="12" t="s">
        <v>7</v>
      </c>
      <c r="AJ17" s="12" t="s">
        <v>8</v>
      </c>
      <c r="AK17" s="12" t="s">
        <v>9</v>
      </c>
      <c r="AL17" s="12" t="s">
        <v>10</v>
      </c>
      <c r="AM17" s="12">
        <v>300</v>
      </c>
      <c r="AN17" s="12" t="s">
        <v>11</v>
      </c>
      <c r="AO17" s="12">
        <v>500</v>
      </c>
      <c r="AP17" s="12">
        <v>600</v>
      </c>
      <c r="AQ17" s="12" t="s">
        <v>12</v>
      </c>
      <c r="AR17" s="12" t="s">
        <v>19</v>
      </c>
    </row>
    <row r="18" spans="1:54" x14ac:dyDescent="0.3">
      <c r="A18" s="25"/>
      <c r="B18" s="26" t="s">
        <v>4</v>
      </c>
      <c r="C18" s="26" t="s">
        <v>5</v>
      </c>
      <c r="D18" s="26" t="s">
        <v>6</v>
      </c>
      <c r="E18" s="26" t="s">
        <v>7</v>
      </c>
      <c r="F18" s="26" t="s">
        <v>8</v>
      </c>
      <c r="G18" s="26" t="s">
        <v>9</v>
      </c>
      <c r="H18" s="26" t="s">
        <v>10</v>
      </c>
      <c r="I18" s="26">
        <v>300</v>
      </c>
      <c r="J18" s="26" t="s">
        <v>11</v>
      </c>
      <c r="K18" s="26">
        <v>500</v>
      </c>
      <c r="L18" s="26">
        <v>600</v>
      </c>
      <c r="M18" s="26" t="s">
        <v>12</v>
      </c>
      <c r="N18" s="26" t="s">
        <v>13</v>
      </c>
      <c r="AA18" s="69"/>
      <c r="AB18" s="69"/>
      <c r="AC18" s="13"/>
      <c r="AD18" s="14">
        <v>31</v>
      </c>
      <c r="AE18" s="46" t="s">
        <v>31</v>
      </c>
      <c r="AF18" s="21">
        <f t="shared" ref="AF18" si="3">ROUNDUP(AF4/18/AD18, 0)</f>
        <v>0</v>
      </c>
      <c r="AG18" s="21">
        <f t="shared" ref="AG18" si="4">ROUNDUP(AG4/10/AD18,0)</f>
        <v>0</v>
      </c>
      <c r="AH18" s="21">
        <f t="shared" ref="AH18" si="5">ROUNDUP(AH4/16/AD18,0)</f>
        <v>0</v>
      </c>
      <c r="AI18" s="21">
        <f t="shared" ref="AI18" si="6">ROUNDUP(AI4/19/AD18,0)</f>
        <v>0</v>
      </c>
      <c r="AJ18" s="21">
        <f t="shared" ref="AJ18" si="7">ROUNDUP(AJ4/21/AD18,0)</f>
        <v>0</v>
      </c>
      <c r="AK18" s="21">
        <f t="shared" ref="AK18" si="8">ROUNDUP(AK4/26/AD18,0)</f>
        <v>0</v>
      </c>
      <c r="AL18" s="21">
        <f t="shared" ref="AL18" si="9">ROUNDUP(AL4/13/AD18,0)</f>
        <v>0</v>
      </c>
      <c r="AM18" s="21">
        <f t="shared" ref="AM18" si="10">ROUNDUP(AM4/11/AD18,0)</f>
        <v>0</v>
      </c>
      <c r="AN18" s="21">
        <f t="shared" ref="AN18" si="11">ROUNDUP(AN4/4/AD18,0)</f>
        <v>0</v>
      </c>
      <c r="AO18" s="21">
        <f t="shared" ref="AO18" si="12">ROUNDUP(AO4/21/AD18,0)</f>
        <v>0</v>
      </c>
      <c r="AP18" s="21">
        <f t="shared" ref="AP18" si="13">ROUNDUP(AP4/12/AD18,0)</f>
        <v>0</v>
      </c>
      <c r="AQ18" s="21">
        <f t="shared" ref="AQ18" si="14">ROUNDUP(AQ4/30/AD18,0)</f>
        <v>0</v>
      </c>
      <c r="AR18" s="21">
        <f t="shared" ref="AR18" si="15">ROUNDUP(AR4/29/AD18,0)</f>
        <v>0</v>
      </c>
    </row>
    <row r="19" spans="1:54" x14ac:dyDescent="0.3">
      <c r="A19" s="26" t="s">
        <v>64</v>
      </c>
      <c r="B19" s="6">
        <f t="shared" ref="B19:N19" si="16">SUM(B4:B9)</f>
        <v>1</v>
      </c>
      <c r="C19" s="6">
        <f t="shared" si="16"/>
        <v>1</v>
      </c>
      <c r="D19" s="6">
        <f t="shared" si="16"/>
        <v>1</v>
      </c>
      <c r="E19" s="6">
        <f t="shared" si="16"/>
        <v>1</v>
      </c>
      <c r="F19" s="6">
        <f t="shared" si="16"/>
        <v>1</v>
      </c>
      <c r="G19" s="6">
        <f t="shared" si="16"/>
        <v>1</v>
      </c>
      <c r="H19" s="6">
        <f t="shared" si="16"/>
        <v>1</v>
      </c>
      <c r="I19" s="6">
        <f t="shared" si="16"/>
        <v>1</v>
      </c>
      <c r="J19" s="6">
        <f t="shared" si="16"/>
        <v>1</v>
      </c>
      <c r="K19" s="6">
        <f t="shared" si="16"/>
        <v>1</v>
      </c>
      <c r="L19" s="6">
        <f t="shared" si="16"/>
        <v>1</v>
      </c>
      <c r="M19" s="6">
        <f t="shared" si="16"/>
        <v>1</v>
      </c>
      <c r="N19" s="6">
        <f t="shared" si="16"/>
        <v>1</v>
      </c>
      <c r="Q19" s="1" t="s">
        <v>65</v>
      </c>
      <c r="R19" s="48"/>
      <c r="S19" s="5"/>
      <c r="AC19" s="19"/>
      <c r="AD19" s="14">
        <v>28</v>
      </c>
      <c r="AE19" s="46" t="s">
        <v>66</v>
      </c>
      <c r="AF19" s="21">
        <f t="shared" ref="AF19:AF29" si="17">ROUNDUP(AF5/18/AD19, 0)</f>
        <v>0</v>
      </c>
      <c r="AG19" s="21">
        <f t="shared" ref="AG19:AG29" si="18">ROUNDUP(AG5/10/AD19,0)</f>
        <v>0</v>
      </c>
      <c r="AH19" s="21">
        <f t="shared" ref="AH19:AH29" si="19">ROUNDUP(AH5/16/AD19,0)</f>
        <v>0</v>
      </c>
      <c r="AI19" s="21">
        <f t="shared" ref="AI19:AI29" si="20">ROUNDUP(AI5/19/AD19,0)</f>
        <v>0</v>
      </c>
      <c r="AJ19" s="21">
        <f t="shared" ref="AJ19:AJ29" si="21">ROUNDUP(AJ5/21/AD19,0)</f>
        <v>0</v>
      </c>
      <c r="AK19" s="21">
        <f t="shared" ref="AK19:AK29" si="22">ROUNDUP(AK5/26/AD19,0)</f>
        <v>0</v>
      </c>
      <c r="AL19" s="21">
        <f t="shared" ref="AL19:AL29" si="23">ROUNDUP(AL5/13/AD19,0)</f>
        <v>0</v>
      </c>
      <c r="AM19" s="21">
        <f t="shared" ref="AM19:AM29" si="24">ROUNDUP(AM5/11/AD19,0)</f>
        <v>0</v>
      </c>
      <c r="AN19" s="21">
        <f t="shared" ref="AN19:AN29" si="25">ROUNDUP(AN5/4/AD19,0)</f>
        <v>0</v>
      </c>
      <c r="AO19" s="21">
        <f t="shared" ref="AO19:AO29" si="26">ROUNDUP(AO5/21/AD19,0)</f>
        <v>0</v>
      </c>
      <c r="AP19" s="21">
        <f t="shared" ref="AP19:AP29" si="27">ROUNDUP(AP5/12/AD19,0)</f>
        <v>0</v>
      </c>
      <c r="AQ19" s="21">
        <f t="shared" ref="AQ19:AQ29" si="28">ROUNDUP(AQ5/30/AD19,0)</f>
        <v>0</v>
      </c>
      <c r="AR19" s="21">
        <f t="shared" ref="AR19:AR29" si="29">ROUNDUP(AR5/29/AD19,0)</f>
        <v>0</v>
      </c>
    </row>
    <row r="20" spans="1:54" x14ac:dyDescent="0.3">
      <c r="A20" s="50" t="s">
        <v>67</v>
      </c>
      <c r="B20" s="6">
        <f>R5</f>
        <v>1</v>
      </c>
      <c r="C20" s="6">
        <f>R6</f>
        <v>1</v>
      </c>
      <c r="D20" s="6">
        <f>R7</f>
        <v>1</v>
      </c>
      <c r="E20" s="6">
        <f>R8</f>
        <v>1</v>
      </c>
      <c r="F20" s="6">
        <f>R9</f>
        <v>1</v>
      </c>
      <c r="G20" s="6">
        <f>R10</f>
        <v>1</v>
      </c>
      <c r="H20" s="6">
        <f>R11</f>
        <v>1</v>
      </c>
      <c r="I20" s="6">
        <f>R12</f>
        <v>1</v>
      </c>
      <c r="J20" s="6">
        <f>R13</f>
        <v>1</v>
      </c>
      <c r="K20" s="6">
        <f>R14</f>
        <v>1</v>
      </c>
      <c r="L20" s="6">
        <f>R15</f>
        <v>1</v>
      </c>
      <c r="M20" s="6">
        <f>R16</f>
        <v>1</v>
      </c>
      <c r="N20" s="6">
        <f>R17</f>
        <v>1</v>
      </c>
      <c r="Q20" s="2" t="s">
        <v>21</v>
      </c>
      <c r="R20" s="2" t="s">
        <v>22</v>
      </c>
      <c r="S20" s="2" t="s">
        <v>23</v>
      </c>
      <c r="T20" s="2" t="s">
        <v>24</v>
      </c>
      <c r="U20" s="3" t="s">
        <v>25</v>
      </c>
      <c r="V20" s="2" t="s">
        <v>26</v>
      </c>
      <c r="W20" s="2" t="s">
        <v>27</v>
      </c>
      <c r="X20" s="2" t="s">
        <v>28</v>
      </c>
      <c r="Y20" s="2" t="s">
        <v>29</v>
      </c>
      <c r="AA20" s="65" t="s">
        <v>68</v>
      </c>
      <c r="AB20" s="66"/>
      <c r="AC20" s="13"/>
      <c r="AD20" s="14">
        <v>31</v>
      </c>
      <c r="AE20" s="46" t="s">
        <v>37</v>
      </c>
      <c r="AF20" s="21">
        <f t="shared" si="17"/>
        <v>0</v>
      </c>
      <c r="AG20" s="21">
        <f t="shared" si="18"/>
        <v>0</v>
      </c>
      <c r="AH20" s="21">
        <f t="shared" si="19"/>
        <v>0</v>
      </c>
      <c r="AI20" s="21">
        <f t="shared" si="20"/>
        <v>0</v>
      </c>
      <c r="AJ20" s="21">
        <f t="shared" si="21"/>
        <v>0</v>
      </c>
      <c r="AK20" s="21">
        <f t="shared" si="22"/>
        <v>0</v>
      </c>
      <c r="AL20" s="21">
        <f t="shared" si="23"/>
        <v>0</v>
      </c>
      <c r="AM20" s="21">
        <f t="shared" si="24"/>
        <v>0</v>
      </c>
      <c r="AN20" s="21">
        <f t="shared" si="25"/>
        <v>0</v>
      </c>
      <c r="AO20" s="21">
        <f t="shared" si="26"/>
        <v>0</v>
      </c>
      <c r="AP20" s="21">
        <f t="shared" si="27"/>
        <v>0</v>
      </c>
      <c r="AQ20" s="21">
        <f t="shared" si="28"/>
        <v>0</v>
      </c>
      <c r="AR20" s="21">
        <f t="shared" si="29"/>
        <v>0</v>
      </c>
    </row>
    <row r="21" spans="1:54" x14ac:dyDescent="0.3">
      <c r="A21" s="26" t="s">
        <v>69</v>
      </c>
      <c r="B21" s="6">
        <f t="shared" ref="B21:N21" si="30">SUM(B10:B13)</f>
        <v>1</v>
      </c>
      <c r="C21" s="6">
        <f t="shared" si="30"/>
        <v>1</v>
      </c>
      <c r="D21" s="6">
        <f t="shared" si="30"/>
        <v>1</v>
      </c>
      <c r="E21" s="6">
        <f t="shared" si="30"/>
        <v>1</v>
      </c>
      <c r="F21" s="6">
        <f t="shared" si="30"/>
        <v>1</v>
      </c>
      <c r="G21" s="6">
        <f t="shared" si="30"/>
        <v>1</v>
      </c>
      <c r="H21" s="6">
        <f t="shared" si="30"/>
        <v>1</v>
      </c>
      <c r="I21" s="6">
        <f t="shared" si="30"/>
        <v>1</v>
      </c>
      <c r="J21" s="6">
        <f t="shared" si="30"/>
        <v>1</v>
      </c>
      <c r="K21" s="6">
        <f t="shared" si="30"/>
        <v>1</v>
      </c>
      <c r="L21" s="6">
        <f t="shared" si="30"/>
        <v>1</v>
      </c>
      <c r="M21" s="6">
        <f t="shared" si="30"/>
        <v>1</v>
      </c>
      <c r="N21" s="6">
        <f t="shared" si="30"/>
        <v>1</v>
      </c>
      <c r="Q21" s="45" t="s">
        <v>4</v>
      </c>
      <c r="R21" s="49">
        <v>1</v>
      </c>
      <c r="S21" s="9">
        <v>18</v>
      </c>
      <c r="T21" s="7">
        <v>1</v>
      </c>
      <c r="U21" s="22">
        <f t="shared" ref="U21:U33" si="31">U5</f>
        <v>8</v>
      </c>
      <c r="V21" s="6">
        <f>W21*T21*(AB14/24)*(1/AB5)</f>
        <v>4.5</v>
      </c>
      <c r="W21" s="6">
        <f t="shared" ref="W21:W33" si="32">S21*$AB$10</f>
        <v>36</v>
      </c>
      <c r="X21" s="6">
        <f t="shared" ref="X21:X33" si="33">S21*$AB$9</f>
        <v>36</v>
      </c>
      <c r="Y21" s="6">
        <v>4.7934545860734863</v>
      </c>
      <c r="AA21" s="43" t="s">
        <v>30</v>
      </c>
      <c r="AB21" s="9">
        <v>8</v>
      </c>
      <c r="AC21" s="13"/>
      <c r="AD21" s="14">
        <v>30</v>
      </c>
      <c r="AE21" s="46" t="s">
        <v>39</v>
      </c>
      <c r="AF21" s="21">
        <f t="shared" si="17"/>
        <v>0</v>
      </c>
      <c r="AG21" s="21">
        <f t="shared" si="18"/>
        <v>0</v>
      </c>
      <c r="AH21" s="21">
        <f t="shared" si="19"/>
        <v>0</v>
      </c>
      <c r="AI21" s="21">
        <f t="shared" si="20"/>
        <v>0</v>
      </c>
      <c r="AJ21" s="21">
        <f t="shared" si="21"/>
        <v>0</v>
      </c>
      <c r="AK21" s="21">
        <f t="shared" si="22"/>
        <v>0</v>
      </c>
      <c r="AL21" s="21">
        <f t="shared" si="23"/>
        <v>0</v>
      </c>
      <c r="AM21" s="21">
        <f t="shared" si="24"/>
        <v>0</v>
      </c>
      <c r="AN21" s="21">
        <f t="shared" si="25"/>
        <v>0</v>
      </c>
      <c r="AO21" s="21">
        <f t="shared" si="26"/>
        <v>0</v>
      </c>
      <c r="AP21" s="21">
        <f t="shared" si="27"/>
        <v>0</v>
      </c>
      <c r="AQ21" s="21">
        <f t="shared" si="28"/>
        <v>0</v>
      </c>
      <c r="AR21" s="21">
        <f t="shared" si="29"/>
        <v>0</v>
      </c>
    </row>
    <row r="22" spans="1:54" ht="14.4" customHeight="1" x14ac:dyDescent="0.3">
      <c r="A22" s="50" t="s">
        <v>67</v>
      </c>
      <c r="B22" s="6">
        <f>R21</f>
        <v>1</v>
      </c>
      <c r="C22" s="6">
        <f>R22</f>
        <v>1</v>
      </c>
      <c r="D22" s="6">
        <f>R23</f>
        <v>1</v>
      </c>
      <c r="E22" s="6">
        <f>R24</f>
        <v>1</v>
      </c>
      <c r="F22" s="6">
        <f>R25</f>
        <v>1</v>
      </c>
      <c r="G22" s="6">
        <f>R26</f>
        <v>1</v>
      </c>
      <c r="H22" s="6">
        <f>R27</f>
        <v>1</v>
      </c>
      <c r="I22" s="6">
        <f>R28</f>
        <v>1</v>
      </c>
      <c r="J22" s="6">
        <f>R29</f>
        <v>1</v>
      </c>
      <c r="K22" s="6">
        <f>R30</f>
        <v>1</v>
      </c>
      <c r="L22" s="6">
        <f>R31</f>
        <v>1</v>
      </c>
      <c r="M22" s="6">
        <f>R32</f>
        <v>1</v>
      </c>
      <c r="N22" s="6">
        <f>R33</f>
        <v>1</v>
      </c>
      <c r="Q22" s="45" t="s">
        <v>5</v>
      </c>
      <c r="R22" s="49">
        <v>1</v>
      </c>
      <c r="S22" s="9">
        <v>10</v>
      </c>
      <c r="T22" s="7">
        <v>1</v>
      </c>
      <c r="U22" s="22">
        <f t="shared" si="31"/>
        <v>9</v>
      </c>
      <c r="V22" s="6">
        <f>W22*T22*(AB14/24)*(1/AB5)</f>
        <v>2.5</v>
      </c>
      <c r="W22" s="6">
        <f t="shared" si="32"/>
        <v>20</v>
      </c>
      <c r="X22" s="6">
        <f t="shared" si="33"/>
        <v>20</v>
      </c>
      <c r="Y22" s="6">
        <v>2.7269826585417403</v>
      </c>
      <c r="AA22" s="43" t="s">
        <v>33</v>
      </c>
      <c r="AB22" s="9">
        <v>5</v>
      </c>
      <c r="AC22" s="13"/>
      <c r="AD22" s="14">
        <v>31</v>
      </c>
      <c r="AE22" s="46" t="s">
        <v>42</v>
      </c>
      <c r="AF22" s="21">
        <f t="shared" si="17"/>
        <v>0</v>
      </c>
      <c r="AG22" s="21">
        <f t="shared" si="18"/>
        <v>0</v>
      </c>
      <c r="AH22" s="21">
        <f t="shared" si="19"/>
        <v>0</v>
      </c>
      <c r="AI22" s="21">
        <f t="shared" si="20"/>
        <v>0</v>
      </c>
      <c r="AJ22" s="21">
        <f t="shared" si="21"/>
        <v>0</v>
      </c>
      <c r="AK22" s="21">
        <f t="shared" si="22"/>
        <v>0</v>
      </c>
      <c r="AL22" s="21">
        <f t="shared" si="23"/>
        <v>0</v>
      </c>
      <c r="AM22" s="21">
        <f t="shared" si="24"/>
        <v>0</v>
      </c>
      <c r="AN22" s="21">
        <f t="shared" si="25"/>
        <v>0</v>
      </c>
      <c r="AO22" s="21">
        <f t="shared" si="26"/>
        <v>0</v>
      </c>
      <c r="AP22" s="21">
        <f t="shared" si="27"/>
        <v>0</v>
      </c>
      <c r="AQ22" s="21">
        <f t="shared" si="28"/>
        <v>0</v>
      </c>
      <c r="AR22" s="21">
        <f t="shared" si="29"/>
        <v>0</v>
      </c>
    </row>
    <row r="23" spans="1:54" ht="14.4" customHeight="1" x14ac:dyDescent="0.3">
      <c r="A23" s="26" t="s">
        <v>70</v>
      </c>
      <c r="B23" s="6">
        <f t="shared" ref="B23:N23" si="34">SUM(B14:B15)</f>
        <v>1</v>
      </c>
      <c r="C23" s="6">
        <f t="shared" si="34"/>
        <v>1</v>
      </c>
      <c r="D23" s="6">
        <f t="shared" si="34"/>
        <v>1</v>
      </c>
      <c r="E23" s="6">
        <f t="shared" si="34"/>
        <v>1</v>
      </c>
      <c r="F23" s="6">
        <f t="shared" si="34"/>
        <v>1</v>
      </c>
      <c r="G23" s="6">
        <f t="shared" si="34"/>
        <v>1</v>
      </c>
      <c r="H23" s="6">
        <f t="shared" si="34"/>
        <v>1</v>
      </c>
      <c r="I23" s="6">
        <f t="shared" si="34"/>
        <v>1</v>
      </c>
      <c r="J23" s="6">
        <f t="shared" si="34"/>
        <v>1</v>
      </c>
      <c r="K23" s="6">
        <f t="shared" si="34"/>
        <v>1</v>
      </c>
      <c r="L23" s="6">
        <f t="shared" si="34"/>
        <v>1</v>
      </c>
      <c r="M23" s="6">
        <f t="shared" si="34"/>
        <v>1</v>
      </c>
      <c r="N23" s="6">
        <f t="shared" si="34"/>
        <v>1</v>
      </c>
      <c r="Q23" s="45" t="s">
        <v>6</v>
      </c>
      <c r="R23" s="49">
        <v>1</v>
      </c>
      <c r="S23" s="9">
        <v>16</v>
      </c>
      <c r="T23" s="7">
        <v>1</v>
      </c>
      <c r="U23" s="22">
        <f t="shared" si="31"/>
        <v>9</v>
      </c>
      <c r="V23" s="6">
        <f>W23*T23*(AB14/24)*(1/AB5)</f>
        <v>4</v>
      </c>
      <c r="W23" s="6">
        <f t="shared" si="32"/>
        <v>32</v>
      </c>
      <c r="X23" s="6">
        <f t="shared" si="33"/>
        <v>32</v>
      </c>
      <c r="Y23" s="6">
        <v>4.1529243260477902</v>
      </c>
      <c r="AA23" s="43" t="s">
        <v>36</v>
      </c>
      <c r="AB23" s="9">
        <v>8</v>
      </c>
      <c r="AC23" s="5"/>
      <c r="AD23" s="14">
        <v>30</v>
      </c>
      <c r="AE23" s="47" t="s">
        <v>45</v>
      </c>
      <c r="AF23" s="21">
        <f>ROUNDUP(AF9/18/AD23, 0)</f>
        <v>9</v>
      </c>
      <c r="AG23" s="21">
        <f t="shared" si="18"/>
        <v>9</v>
      </c>
      <c r="AH23" s="21">
        <f t="shared" si="19"/>
        <v>9</v>
      </c>
      <c r="AI23" s="21">
        <f t="shared" si="20"/>
        <v>6</v>
      </c>
      <c r="AJ23" s="21">
        <f t="shared" si="21"/>
        <v>7</v>
      </c>
      <c r="AK23" s="21">
        <f t="shared" si="22"/>
        <v>6</v>
      </c>
      <c r="AL23" s="21">
        <f t="shared" si="23"/>
        <v>2</v>
      </c>
      <c r="AM23" s="21">
        <f t="shared" si="24"/>
        <v>2</v>
      </c>
      <c r="AN23" s="21">
        <f t="shared" si="25"/>
        <v>1</v>
      </c>
      <c r="AO23" s="21">
        <f t="shared" si="26"/>
        <v>1</v>
      </c>
      <c r="AP23" s="21">
        <f t="shared" si="27"/>
        <v>2</v>
      </c>
      <c r="AQ23" s="21">
        <f t="shared" si="28"/>
        <v>1</v>
      </c>
      <c r="AR23" s="21">
        <f t="shared" si="29"/>
        <v>4</v>
      </c>
    </row>
    <row r="24" spans="1:54" ht="14.4" customHeight="1" x14ac:dyDescent="0.3">
      <c r="A24" s="50" t="s">
        <v>67</v>
      </c>
      <c r="B24" s="6">
        <f>R37</f>
        <v>1</v>
      </c>
      <c r="C24" s="6">
        <f>R38</f>
        <v>1</v>
      </c>
      <c r="D24" s="6">
        <f>R39</f>
        <v>1</v>
      </c>
      <c r="E24" s="6">
        <f>R40</f>
        <v>1</v>
      </c>
      <c r="F24" s="6">
        <f>R41</f>
        <v>1</v>
      </c>
      <c r="G24" s="6">
        <f>R42</f>
        <v>1</v>
      </c>
      <c r="H24" s="6">
        <f>R43</f>
        <v>1</v>
      </c>
      <c r="I24" s="6">
        <f>R44</f>
        <v>1</v>
      </c>
      <c r="J24" s="6">
        <f>R45</f>
        <v>1</v>
      </c>
      <c r="K24" s="6">
        <f>R46</f>
        <v>1</v>
      </c>
      <c r="L24" s="6">
        <f>R47</f>
        <v>1</v>
      </c>
      <c r="M24" s="6">
        <f>R48</f>
        <v>1</v>
      </c>
      <c r="N24" s="6">
        <f>R49</f>
        <v>1</v>
      </c>
      <c r="Q24" s="45" t="s">
        <v>7</v>
      </c>
      <c r="R24" s="49">
        <v>1</v>
      </c>
      <c r="S24" s="9">
        <v>19</v>
      </c>
      <c r="T24" s="7">
        <v>1</v>
      </c>
      <c r="U24" s="22">
        <f t="shared" si="31"/>
        <v>6</v>
      </c>
      <c r="V24" s="6">
        <f>W24*T24*(AB14/24)*(1/AB5)</f>
        <v>4.75</v>
      </c>
      <c r="W24" s="6">
        <f t="shared" si="32"/>
        <v>38</v>
      </c>
      <c r="X24" s="6">
        <f t="shared" si="33"/>
        <v>38</v>
      </c>
      <c r="Y24" s="6">
        <v>4.5218601023878886</v>
      </c>
      <c r="AA24" s="5"/>
      <c r="AB24" s="5"/>
      <c r="AC24" s="5"/>
      <c r="AD24" s="14">
        <v>31</v>
      </c>
      <c r="AE24" s="47" t="s">
        <v>48</v>
      </c>
      <c r="AF24" s="21">
        <f t="shared" si="17"/>
        <v>9</v>
      </c>
      <c r="AG24" s="21">
        <f t="shared" si="18"/>
        <v>9</v>
      </c>
      <c r="AH24" s="21">
        <f t="shared" si="19"/>
        <v>9</v>
      </c>
      <c r="AI24" s="21">
        <f t="shared" si="20"/>
        <v>6</v>
      </c>
      <c r="AJ24" s="21">
        <f t="shared" si="21"/>
        <v>7</v>
      </c>
      <c r="AK24" s="21">
        <f t="shared" si="22"/>
        <v>6</v>
      </c>
      <c r="AL24" s="21">
        <f t="shared" si="23"/>
        <v>2</v>
      </c>
      <c r="AM24" s="21">
        <f t="shared" si="24"/>
        <v>2</v>
      </c>
      <c r="AN24" s="21">
        <f t="shared" si="25"/>
        <v>1</v>
      </c>
      <c r="AO24" s="21">
        <f t="shared" si="26"/>
        <v>1</v>
      </c>
      <c r="AP24" s="21">
        <f t="shared" si="27"/>
        <v>2</v>
      </c>
      <c r="AQ24" s="21">
        <f t="shared" si="28"/>
        <v>1</v>
      </c>
      <c r="AR24" s="21">
        <f t="shared" si="29"/>
        <v>4</v>
      </c>
    </row>
    <row r="25" spans="1:54" ht="13.95" customHeight="1" x14ac:dyDescent="0.3">
      <c r="A25" s="72" t="s">
        <v>71</v>
      </c>
      <c r="B25" s="57"/>
      <c r="C25" s="57"/>
      <c r="D25" s="57"/>
      <c r="F25" s="58" t="s">
        <v>72</v>
      </c>
      <c r="G25" s="58"/>
      <c r="H25" s="58"/>
      <c r="I25" s="58"/>
      <c r="J25" s="51"/>
      <c r="K25" s="57" t="s">
        <v>99</v>
      </c>
      <c r="L25" s="57"/>
      <c r="M25" s="35"/>
      <c r="N25" s="35"/>
      <c r="Q25" s="45" t="s">
        <v>8</v>
      </c>
      <c r="R25" s="49">
        <v>1</v>
      </c>
      <c r="S25" s="9">
        <v>21</v>
      </c>
      <c r="T25" s="7">
        <v>1</v>
      </c>
      <c r="U25" s="22">
        <f t="shared" si="31"/>
        <v>7</v>
      </c>
      <c r="V25" s="6">
        <f>W25*T25*(AB14/24)*(1/AB5)</f>
        <v>5.25</v>
      </c>
      <c r="W25" s="6">
        <f t="shared" si="32"/>
        <v>42</v>
      </c>
      <c r="X25" s="6">
        <f t="shared" si="33"/>
        <v>42</v>
      </c>
      <c r="Y25" s="6">
        <v>5.4723290604568025</v>
      </c>
      <c r="AA25" s="5"/>
      <c r="AB25" s="5"/>
      <c r="AC25" s="5"/>
      <c r="AD25" s="14">
        <v>31</v>
      </c>
      <c r="AE25" s="47" t="s">
        <v>50</v>
      </c>
      <c r="AF25" s="21">
        <f t="shared" si="17"/>
        <v>9</v>
      </c>
      <c r="AG25" s="21">
        <f t="shared" si="18"/>
        <v>9</v>
      </c>
      <c r="AH25" s="21">
        <f t="shared" si="19"/>
        <v>9</v>
      </c>
      <c r="AI25" s="21">
        <f t="shared" si="20"/>
        <v>6</v>
      </c>
      <c r="AJ25" s="21">
        <f t="shared" si="21"/>
        <v>7</v>
      </c>
      <c r="AK25" s="21">
        <f t="shared" si="22"/>
        <v>6</v>
      </c>
      <c r="AL25" s="21">
        <f t="shared" si="23"/>
        <v>2</v>
      </c>
      <c r="AM25" s="21">
        <f t="shared" si="24"/>
        <v>2</v>
      </c>
      <c r="AN25" s="21">
        <f t="shared" si="25"/>
        <v>1</v>
      </c>
      <c r="AO25" s="21">
        <f t="shared" si="26"/>
        <v>1</v>
      </c>
      <c r="AP25" s="21">
        <f t="shared" si="27"/>
        <v>2</v>
      </c>
      <c r="AQ25" s="21">
        <f t="shared" si="28"/>
        <v>1</v>
      </c>
      <c r="AR25" s="21">
        <f t="shared" si="29"/>
        <v>4</v>
      </c>
      <c r="BB25" s="4" t="s">
        <v>97</v>
      </c>
    </row>
    <row r="26" spans="1:54" ht="13.95" customHeight="1" x14ac:dyDescent="0.3">
      <c r="A26" s="57"/>
      <c r="B26" s="57"/>
      <c r="C26" s="57"/>
      <c r="D26" s="57"/>
      <c r="F26" s="59"/>
      <c r="G26" s="59"/>
      <c r="H26" s="59"/>
      <c r="I26" s="59"/>
      <c r="J26" s="52"/>
      <c r="K26" s="64"/>
      <c r="L26" s="64"/>
      <c r="M26" s="35"/>
      <c r="N26" s="35"/>
      <c r="Q26" s="45" t="s">
        <v>9</v>
      </c>
      <c r="R26" s="49">
        <v>1</v>
      </c>
      <c r="S26" s="9">
        <v>26</v>
      </c>
      <c r="T26" s="7">
        <v>1</v>
      </c>
      <c r="U26" s="22">
        <f t="shared" si="31"/>
        <v>6</v>
      </c>
      <c r="V26" s="6">
        <f>W26*T26*(AB14/24)*(1/AB5)</f>
        <v>6.5</v>
      </c>
      <c r="W26" s="6">
        <f t="shared" si="32"/>
        <v>52</v>
      </c>
      <c r="X26" s="6">
        <f t="shared" si="33"/>
        <v>52</v>
      </c>
      <c r="Y26" s="6">
        <v>5.8313624598154208</v>
      </c>
      <c r="AA26" s="5"/>
      <c r="AB26" s="5"/>
      <c r="AC26" s="5"/>
      <c r="AD26" s="14">
        <v>30</v>
      </c>
      <c r="AE26" s="47" t="s">
        <v>53</v>
      </c>
      <c r="AF26" s="21">
        <f t="shared" si="17"/>
        <v>8</v>
      </c>
      <c r="AG26" s="21">
        <f t="shared" si="18"/>
        <v>9</v>
      </c>
      <c r="AH26" s="21">
        <f t="shared" si="19"/>
        <v>9</v>
      </c>
      <c r="AI26" s="21">
        <f t="shared" si="20"/>
        <v>6</v>
      </c>
      <c r="AJ26" s="21">
        <f t="shared" si="21"/>
        <v>7</v>
      </c>
      <c r="AK26" s="21">
        <f t="shared" si="22"/>
        <v>6</v>
      </c>
      <c r="AL26" s="21">
        <f t="shared" si="23"/>
        <v>2</v>
      </c>
      <c r="AM26" s="21">
        <f t="shared" si="24"/>
        <v>2</v>
      </c>
      <c r="AN26" s="21">
        <f t="shared" si="25"/>
        <v>1</v>
      </c>
      <c r="AO26" s="21">
        <f t="shared" si="26"/>
        <v>1</v>
      </c>
      <c r="AP26" s="21">
        <f t="shared" si="27"/>
        <v>2</v>
      </c>
      <c r="AQ26" s="21">
        <f t="shared" si="28"/>
        <v>1</v>
      </c>
      <c r="AR26" s="21">
        <f t="shared" si="29"/>
        <v>4</v>
      </c>
    </row>
    <row r="27" spans="1:54" ht="13.95" customHeight="1" x14ac:dyDescent="0.3">
      <c r="B27" s="32" t="s">
        <v>30</v>
      </c>
      <c r="C27" s="32" t="s">
        <v>33</v>
      </c>
      <c r="D27" s="32" t="s">
        <v>36</v>
      </c>
      <c r="F27" s="60"/>
      <c r="G27" s="60"/>
      <c r="H27" s="60"/>
      <c r="I27" s="60"/>
      <c r="J27" s="52"/>
      <c r="K27" s="70" t="s">
        <v>73</v>
      </c>
      <c r="L27" s="71"/>
      <c r="Q27" s="45" t="s">
        <v>10</v>
      </c>
      <c r="R27" s="49">
        <v>1</v>
      </c>
      <c r="S27" s="9">
        <v>13</v>
      </c>
      <c r="T27" s="7">
        <v>1</v>
      </c>
      <c r="U27" s="22">
        <f t="shared" si="31"/>
        <v>2</v>
      </c>
      <c r="V27" s="6">
        <f>W27*T27*(AB14/24)*(1/AB5)</f>
        <v>3.25</v>
      </c>
      <c r="W27" s="6">
        <f t="shared" si="32"/>
        <v>26</v>
      </c>
      <c r="X27" s="6">
        <f t="shared" si="33"/>
        <v>26</v>
      </c>
      <c r="Y27" s="6">
        <v>2.7970686742787567</v>
      </c>
      <c r="AA27" s="5"/>
      <c r="AB27" s="5"/>
      <c r="AC27" s="5"/>
      <c r="AD27" s="14">
        <v>31</v>
      </c>
      <c r="AE27" s="47" t="s">
        <v>55</v>
      </c>
      <c r="AF27" s="21">
        <f t="shared" si="17"/>
        <v>8</v>
      </c>
      <c r="AG27" s="21">
        <f t="shared" si="18"/>
        <v>9</v>
      </c>
      <c r="AH27" s="21">
        <f t="shared" si="19"/>
        <v>9</v>
      </c>
      <c r="AI27" s="21">
        <f t="shared" si="20"/>
        <v>6</v>
      </c>
      <c r="AJ27" s="21">
        <f t="shared" si="21"/>
        <v>7</v>
      </c>
      <c r="AK27" s="21">
        <f t="shared" si="22"/>
        <v>6</v>
      </c>
      <c r="AL27" s="21">
        <f t="shared" si="23"/>
        <v>2</v>
      </c>
      <c r="AM27" s="21">
        <f t="shared" si="24"/>
        <v>2</v>
      </c>
      <c r="AN27" s="21">
        <f t="shared" si="25"/>
        <v>1</v>
      </c>
      <c r="AO27" s="21">
        <f t="shared" si="26"/>
        <v>1</v>
      </c>
      <c r="AP27" s="21">
        <f t="shared" si="27"/>
        <v>2</v>
      </c>
      <c r="AQ27" s="21">
        <f t="shared" si="28"/>
        <v>1</v>
      </c>
      <c r="AR27" s="21">
        <f t="shared" si="29"/>
        <v>4</v>
      </c>
    </row>
    <row r="28" spans="1:54" x14ac:dyDescent="0.3">
      <c r="A28" s="29" t="s">
        <v>4</v>
      </c>
      <c r="B28" s="6">
        <f>(V5+X5+Y5)*AB4*R5</f>
        <v>135.88036375822045</v>
      </c>
      <c r="C28" s="6">
        <f>(V21+X21+Y21)*AB5*R21</f>
        <v>90.586909172146974</v>
      </c>
      <c r="D28" s="6">
        <f>(V37+X37+Y37)*AB6*R37</f>
        <v>54.293454586073487</v>
      </c>
      <c r="F28" s="70" t="s">
        <v>75</v>
      </c>
      <c r="G28" s="71"/>
      <c r="H28" s="25" t="s">
        <v>76</v>
      </c>
      <c r="I28" s="25" t="s">
        <v>77</v>
      </c>
      <c r="J28" s="34"/>
      <c r="K28" s="25" t="s">
        <v>30</v>
      </c>
      <c r="L28" s="30">
        <f>COUNTIF(G29:G34, "&gt;0")</f>
        <v>4</v>
      </c>
      <c r="M28" s="55"/>
      <c r="Q28" s="45">
        <v>300</v>
      </c>
      <c r="R28" s="49">
        <v>1</v>
      </c>
      <c r="S28" s="9">
        <v>11</v>
      </c>
      <c r="T28" s="7">
        <v>1</v>
      </c>
      <c r="U28" s="22">
        <f>U12</f>
        <v>2</v>
      </c>
      <c r="V28" s="6">
        <f>W28*T28*(AB14/24)*(1/AB5)</f>
        <v>2.75</v>
      </c>
      <c r="W28" s="6">
        <f t="shared" si="32"/>
        <v>22</v>
      </c>
      <c r="X28" s="6">
        <f t="shared" si="33"/>
        <v>22</v>
      </c>
      <c r="Y28" s="6">
        <v>3.0071173782827012</v>
      </c>
      <c r="AA28" s="5"/>
      <c r="AD28" s="14">
        <v>30</v>
      </c>
      <c r="AE28" s="47" t="s">
        <v>57</v>
      </c>
      <c r="AF28" s="21">
        <f>ROUNDUP(AF14/18/AD28, 0)</f>
        <v>8</v>
      </c>
      <c r="AG28" s="21">
        <f>ROUNDUP(AG14/10/AD28,0)</f>
        <v>9</v>
      </c>
      <c r="AH28" s="21">
        <f>ROUNDUP(AH14/16/AD28,0)</f>
        <v>10</v>
      </c>
      <c r="AI28" s="21">
        <f>ROUNDUP(AI14/19/AD28,0)</f>
        <v>7</v>
      </c>
      <c r="AJ28" s="21">
        <f>ROUNDUP(AJ14/21/AD28,0)</f>
        <v>6</v>
      </c>
      <c r="AK28" s="21">
        <f>ROUNDUP(AK14/26/AD28,0)</f>
        <v>5</v>
      </c>
      <c r="AL28" s="21">
        <f>ROUNDUP(AL14/13/AD28,0)</f>
        <v>2</v>
      </c>
      <c r="AM28" s="21">
        <f>ROUNDUP(AM14/11/AD28,0)</f>
        <v>2</v>
      </c>
      <c r="AN28" s="21">
        <f>ROUNDUP(AN14/4/AD28,0)</f>
        <v>1</v>
      </c>
      <c r="AO28" s="21">
        <f>ROUNDUP(AO14/21/AD28,0)</f>
        <v>1</v>
      </c>
      <c r="AP28" s="21">
        <f>ROUNDUP(AP14/12/AD28,0)</f>
        <v>2</v>
      </c>
      <c r="AQ28" s="21">
        <f>ROUNDUP(AQ14/30/AD28,0)</f>
        <v>1</v>
      </c>
      <c r="AR28" s="21">
        <f>ROUNDUP(AR14/29/AD28,0)</f>
        <v>4</v>
      </c>
    </row>
    <row r="29" spans="1:54" x14ac:dyDescent="0.3">
      <c r="A29" s="29" t="s">
        <v>5</v>
      </c>
      <c r="B29" s="6">
        <f>(V6+X6+Y6)*AB4*R6</f>
        <v>75.680947975625216</v>
      </c>
      <c r="C29" s="6">
        <f>(V22+X22+Y22)*AB5*R22</f>
        <v>50.45396531708348</v>
      </c>
      <c r="D29" s="6">
        <f>(V38+X38+Y38)*AB6*R38</f>
        <v>30.22698265854174</v>
      </c>
      <c r="F29" s="25" t="s">
        <v>20</v>
      </c>
      <c r="G29" s="6" cm="1">
        <f t="array" ref="G29:G34">MMULT(Shift1,B28:B40)</f>
        <v>0</v>
      </c>
      <c r="H29" s="6">
        <f>AB21*60</f>
        <v>480</v>
      </c>
      <c r="I29" s="6">
        <f t="shared" ref="I29:I40" si="35">H29-G29</f>
        <v>480</v>
      </c>
      <c r="J29" s="34"/>
      <c r="K29" s="25" t="s">
        <v>33</v>
      </c>
      <c r="L29" s="30">
        <f>COUNTIF(_xlfn.ANCHORARRAY(G35), "&gt;0")</f>
        <v>4</v>
      </c>
      <c r="Q29" s="45" t="s">
        <v>11</v>
      </c>
      <c r="R29" s="49">
        <v>1</v>
      </c>
      <c r="S29" s="9">
        <v>4</v>
      </c>
      <c r="T29" s="7">
        <v>1</v>
      </c>
      <c r="U29" s="22">
        <f t="shared" si="31"/>
        <v>1</v>
      </c>
      <c r="V29" s="6">
        <f>W29*T29*(AB14/24)*(1/AB5)</f>
        <v>1</v>
      </c>
      <c r="W29" s="6">
        <f t="shared" si="32"/>
        <v>8</v>
      </c>
      <c r="X29" s="6">
        <f t="shared" si="33"/>
        <v>8</v>
      </c>
      <c r="Y29" s="6">
        <v>0.89925110082637749</v>
      </c>
      <c r="AD29" s="14">
        <v>31</v>
      </c>
      <c r="AE29" s="47" t="s">
        <v>59</v>
      </c>
      <c r="AF29" s="21">
        <f t="shared" si="17"/>
        <v>8</v>
      </c>
      <c r="AG29" s="21">
        <f t="shared" si="18"/>
        <v>9</v>
      </c>
      <c r="AH29" s="21">
        <f t="shared" si="19"/>
        <v>11</v>
      </c>
      <c r="AI29" s="21">
        <f t="shared" si="20"/>
        <v>7</v>
      </c>
      <c r="AJ29" s="21">
        <f t="shared" si="21"/>
        <v>6</v>
      </c>
      <c r="AK29" s="21">
        <f t="shared" si="22"/>
        <v>5</v>
      </c>
      <c r="AL29" s="21">
        <f t="shared" si="23"/>
        <v>2</v>
      </c>
      <c r="AM29" s="21">
        <f t="shared" si="24"/>
        <v>2</v>
      </c>
      <c r="AN29" s="21">
        <f t="shared" si="25"/>
        <v>1</v>
      </c>
      <c r="AO29" s="21">
        <f t="shared" si="26"/>
        <v>1</v>
      </c>
      <c r="AP29" s="21">
        <f t="shared" si="27"/>
        <v>2</v>
      </c>
      <c r="AQ29" s="21">
        <f t="shared" si="28"/>
        <v>1</v>
      </c>
      <c r="AR29" s="21">
        <f t="shared" si="29"/>
        <v>4</v>
      </c>
      <c r="AV29" s="4" t="s">
        <v>97</v>
      </c>
    </row>
    <row r="30" spans="1:54" ht="14.4" customHeight="1" x14ac:dyDescent="0.3">
      <c r="A30" s="29" t="s">
        <v>6</v>
      </c>
      <c r="B30" s="6">
        <f>(V7+X7+Y7)*AB4*R7</f>
        <v>120.45877297814337</v>
      </c>
      <c r="C30" s="6">
        <f>(V23+X23+Y23)*AB5*R23</f>
        <v>80.305848652095577</v>
      </c>
      <c r="D30" s="6">
        <f>(V39+X39+Y39)*AB6*R39</f>
        <v>48.152924326047788</v>
      </c>
      <c r="F30" s="25" t="s">
        <v>32</v>
      </c>
      <c r="G30" s="6">
        <v>0</v>
      </c>
      <c r="H30" s="6">
        <f>AB21*60</f>
        <v>480</v>
      </c>
      <c r="I30" s="6">
        <f t="shared" si="35"/>
        <v>480</v>
      </c>
      <c r="J30" s="34"/>
      <c r="K30" s="25" t="s">
        <v>36</v>
      </c>
      <c r="L30" s="30">
        <f>COUNTIF(G39:G40,"&gt;0")</f>
        <v>2</v>
      </c>
      <c r="Q30" s="45">
        <v>500</v>
      </c>
      <c r="R30" s="49">
        <v>1</v>
      </c>
      <c r="S30" s="9">
        <v>21</v>
      </c>
      <c r="T30" s="7">
        <v>1</v>
      </c>
      <c r="U30" s="22">
        <f t="shared" si="31"/>
        <v>1</v>
      </c>
      <c r="V30" s="6">
        <f>W30*T30*(AB14/24)*(1/AB5)</f>
        <v>5.25</v>
      </c>
      <c r="W30" s="6">
        <f t="shared" si="32"/>
        <v>42</v>
      </c>
      <c r="X30" s="6">
        <f t="shared" si="33"/>
        <v>42</v>
      </c>
      <c r="Y30" s="6">
        <v>4.923052208949863</v>
      </c>
      <c r="AF30" s="37" t="s">
        <v>96</v>
      </c>
    </row>
    <row r="31" spans="1:54" ht="14.4" customHeight="1" x14ac:dyDescent="0.3">
      <c r="A31" s="29" t="s">
        <v>7</v>
      </c>
      <c r="B31" s="6">
        <f>(V8+X8+Y8)*AB4*R8</f>
        <v>141.81558030716366</v>
      </c>
      <c r="C31" s="6">
        <f>(V24+X24+Y24)*AB5*R24</f>
        <v>94.543720204775781</v>
      </c>
      <c r="D31" s="6">
        <f>(V40+X40+Y40)*AB6*R40</f>
        <v>56.77186010238789</v>
      </c>
      <c r="F31" s="25" t="s">
        <v>35</v>
      </c>
      <c r="G31" s="6">
        <v>437.0684497402458</v>
      </c>
      <c r="H31" s="6">
        <f>AB23*60</f>
        <v>480</v>
      </c>
      <c r="I31" s="6">
        <f t="shared" si="35"/>
        <v>42.931550259754204</v>
      </c>
      <c r="Q31" s="45">
        <v>600</v>
      </c>
      <c r="R31" s="49">
        <v>1</v>
      </c>
      <c r="S31" s="9">
        <v>12</v>
      </c>
      <c r="T31" s="7">
        <v>1</v>
      </c>
      <c r="U31" s="22">
        <f t="shared" si="31"/>
        <v>2</v>
      </c>
      <c r="V31" s="6">
        <f>W31*T31*(AB14/24)*(1/AB5)</f>
        <v>3</v>
      </c>
      <c r="W31" s="6">
        <f t="shared" si="32"/>
        <v>24</v>
      </c>
      <c r="X31" s="6">
        <f t="shared" si="33"/>
        <v>24</v>
      </c>
      <c r="Y31" s="6">
        <v>4.5147222709490311</v>
      </c>
    </row>
    <row r="32" spans="1:54" ht="14.4" customHeight="1" x14ac:dyDescent="0.3">
      <c r="A32" s="29" t="s">
        <v>8</v>
      </c>
      <c r="B32" s="6">
        <f>(V9+X9+Y9)*AB4*R9</f>
        <v>158.16698718137042</v>
      </c>
      <c r="C32" s="6">
        <f>(V25+X25+Y25)*AB5*R25</f>
        <v>105.4446581209136</v>
      </c>
      <c r="D32" s="6">
        <f>(V41+X41+Y41)*AB6*R41</f>
        <v>63.222329060456801</v>
      </c>
      <c r="F32" s="25" t="s">
        <v>38</v>
      </c>
      <c r="G32" s="6">
        <v>349.51324400629585</v>
      </c>
      <c r="H32" s="6">
        <f>AB21*60</f>
        <v>480</v>
      </c>
      <c r="I32" s="6">
        <f t="shared" si="35"/>
        <v>130.48675599370415</v>
      </c>
      <c r="K32" s="57" t="s">
        <v>78</v>
      </c>
      <c r="L32" s="57"/>
      <c r="Q32" s="45" t="s">
        <v>12</v>
      </c>
      <c r="R32" s="49">
        <v>1</v>
      </c>
      <c r="S32" s="9">
        <v>30</v>
      </c>
      <c r="T32" s="7">
        <v>1</v>
      </c>
      <c r="U32" s="22">
        <f t="shared" si="31"/>
        <v>1</v>
      </c>
      <c r="V32" s="6">
        <f>W32*T32*(AB14/24)*(1/AB5)</f>
        <v>7.5</v>
      </c>
      <c r="W32" s="6">
        <f t="shared" si="32"/>
        <v>60</v>
      </c>
      <c r="X32" s="6">
        <f t="shared" si="33"/>
        <v>60</v>
      </c>
      <c r="Y32" s="6">
        <v>7.9957163007493159</v>
      </c>
      <c r="AP32" s="13"/>
      <c r="AQ32" s="13"/>
    </row>
    <row r="33" spans="1:46" x14ac:dyDescent="0.3">
      <c r="A33" s="29" t="s">
        <v>9</v>
      </c>
      <c r="B33" s="6">
        <f>(V10+X10+Y10)*AB4*R10</f>
        <v>192.99408737944628</v>
      </c>
      <c r="C33" s="6">
        <f>(V26+X26+Y26)*AB5*R26</f>
        <v>128.66272491963085</v>
      </c>
      <c r="D33" s="6">
        <f>(V42+X42+Y42)*AB6*R42</f>
        <v>77.331362459815423</v>
      </c>
      <c r="F33" s="25" t="s">
        <v>40</v>
      </c>
      <c r="G33" s="6">
        <v>461.82146545438104</v>
      </c>
      <c r="H33" s="6">
        <f>AB21*60</f>
        <v>480</v>
      </c>
      <c r="I33" s="6">
        <f t="shared" si="35"/>
        <v>18.178534545618959</v>
      </c>
      <c r="K33" s="57"/>
      <c r="L33" s="57"/>
      <c r="Q33" s="45" t="s">
        <v>13</v>
      </c>
      <c r="R33" s="49">
        <v>1</v>
      </c>
      <c r="S33" s="9">
        <v>29</v>
      </c>
      <c r="T33" s="7">
        <v>1</v>
      </c>
      <c r="U33" s="22">
        <f t="shared" si="31"/>
        <v>4</v>
      </c>
      <c r="V33" s="6">
        <f>W33*T33*(AB14/24)*(1/AB5)</f>
        <v>7.25</v>
      </c>
      <c r="W33" s="6">
        <f t="shared" si="32"/>
        <v>58</v>
      </c>
      <c r="X33" s="6">
        <f t="shared" si="33"/>
        <v>58</v>
      </c>
      <c r="Y33" s="6">
        <v>4.9437669459992835</v>
      </c>
      <c r="AP33" s="13"/>
      <c r="AQ33" s="13"/>
      <c r="AT33" s="23"/>
    </row>
    <row r="34" spans="1:46" ht="14.4" customHeight="1" x14ac:dyDescent="0.3">
      <c r="A34" s="29" t="s">
        <v>10</v>
      </c>
      <c r="B34" s="6">
        <f>(V11+X11+Y11)*AB4*R11</f>
        <v>96.141206022836258</v>
      </c>
      <c r="C34" s="6">
        <f>(V27+X27+Y27)*AB5*R27</f>
        <v>64.09413734855751</v>
      </c>
      <c r="D34" s="6">
        <f>(V43+X43+Y43)*AB6*R43</f>
        <v>38.547068674278755</v>
      </c>
      <c r="F34" s="25" t="s">
        <v>43</v>
      </c>
      <c r="G34" s="6">
        <v>473.83566501915271</v>
      </c>
      <c r="H34" s="6">
        <f>AB21*60</f>
        <v>480</v>
      </c>
      <c r="I34" s="6">
        <f t="shared" si="35"/>
        <v>6.1643349808472863</v>
      </c>
      <c r="K34" s="36"/>
      <c r="L34" s="41" t="s">
        <v>79</v>
      </c>
      <c r="M34" s="42"/>
      <c r="N34" s="42"/>
      <c r="AP34" s="13"/>
      <c r="AQ34" s="13"/>
    </row>
    <row r="35" spans="1:46" ht="14.4" customHeight="1" x14ac:dyDescent="0.3">
      <c r="A35" s="29">
        <v>300</v>
      </c>
      <c r="B35" s="6">
        <f>(V12+X12+Y12)*AB4*R12</f>
        <v>83.271352134848101</v>
      </c>
      <c r="C35" s="6">
        <f>(V28+X28+Y28)*AB5*R28</f>
        <v>55.514234756565401</v>
      </c>
      <c r="D35" s="6">
        <f>(V44+X44+Y44)*AB6*R44</f>
        <v>33.2571173782827</v>
      </c>
      <c r="F35" s="25" t="s">
        <v>46</v>
      </c>
      <c r="G35" s="6" cm="1">
        <f t="array" ref="G35:G38">MMULT(Shift2,C28:C40)</f>
        <v>264.53214051155106</v>
      </c>
      <c r="H35" s="6">
        <f>AB22*60</f>
        <v>300</v>
      </c>
      <c r="I35" s="6">
        <f t="shared" si="35"/>
        <v>35.467859488448937</v>
      </c>
      <c r="K35" s="38"/>
      <c r="L35" s="61" t="s">
        <v>80</v>
      </c>
      <c r="M35" s="61"/>
      <c r="N35" s="61"/>
      <c r="Q35" s="1" t="s">
        <v>81</v>
      </c>
      <c r="R35" s="48"/>
      <c r="S35" s="5"/>
      <c r="AP35" s="13"/>
      <c r="AQ35" s="13"/>
    </row>
    <row r="36" spans="1:46" x14ac:dyDescent="0.3">
      <c r="A36" s="29" t="s">
        <v>11</v>
      </c>
      <c r="B36" s="6">
        <f>(V13+X13+Y13)*AB4*R13</f>
        <v>29.697753302479136</v>
      </c>
      <c r="C36" s="6">
        <f>(V29+X29+Y29)*AB5*R29</f>
        <v>19.798502201652756</v>
      </c>
      <c r="D36" s="6">
        <f>(V45+X45+Y45)*AB6*R45</f>
        <v>11.899251100826378</v>
      </c>
      <c r="F36" s="25" t="s">
        <v>49</v>
      </c>
      <c r="G36" s="6">
        <v>288.08247476793457</v>
      </c>
      <c r="H36" s="6">
        <f>AB22*60</f>
        <v>300</v>
      </c>
      <c r="I36" s="6">
        <f t="shared" si="35"/>
        <v>11.917525232065429</v>
      </c>
      <c r="L36" s="61"/>
      <c r="M36" s="61"/>
      <c r="N36" s="61"/>
      <c r="Q36" s="2" t="s">
        <v>21</v>
      </c>
      <c r="R36" s="2" t="s">
        <v>22</v>
      </c>
      <c r="S36" s="2" t="s">
        <v>23</v>
      </c>
      <c r="T36" s="2" t="s">
        <v>24</v>
      </c>
      <c r="U36" s="3" t="s">
        <v>25</v>
      </c>
      <c r="V36" s="2" t="s">
        <v>26</v>
      </c>
      <c r="W36" s="2" t="s">
        <v>27</v>
      </c>
      <c r="X36" s="2" t="s">
        <v>28</v>
      </c>
      <c r="Y36" s="2" t="s">
        <v>29</v>
      </c>
      <c r="AP36" s="13"/>
      <c r="AQ36" s="13"/>
    </row>
    <row r="37" spans="1:46" x14ac:dyDescent="0.3">
      <c r="A37" s="29">
        <v>500</v>
      </c>
      <c r="B37" s="6">
        <f>(V14+X14+Y14)*AB4*R14</f>
        <v>156.51915662684959</v>
      </c>
      <c r="C37" s="6">
        <f>(V30+X30+Y30)*AB5*R30</f>
        <v>104.34610441789972</v>
      </c>
      <c r="D37" s="6">
        <f>(V46+X46+Y46)*AB6*R46</f>
        <v>62.673052208949862</v>
      </c>
      <c r="F37" s="25" t="s">
        <v>51</v>
      </c>
      <c r="G37" s="6">
        <v>295.98911812335791</v>
      </c>
      <c r="H37" s="6">
        <f>AB22*60</f>
        <v>300</v>
      </c>
      <c r="I37" s="6">
        <f t="shared" si="35"/>
        <v>4.0108818766420882</v>
      </c>
      <c r="K37" s="40"/>
      <c r="L37" s="41" t="s">
        <v>82</v>
      </c>
      <c r="M37" s="42"/>
      <c r="N37" s="42"/>
      <c r="Q37" s="45" t="s">
        <v>4</v>
      </c>
      <c r="R37" s="49">
        <v>1</v>
      </c>
      <c r="S37" s="9">
        <v>18</v>
      </c>
      <c r="T37" s="7">
        <v>1</v>
      </c>
      <c r="U37" s="22">
        <f>U5</f>
        <v>8</v>
      </c>
      <c r="V37" s="6">
        <f>W37*T37*(AB15/24)*(1/AB6)</f>
        <v>13.5</v>
      </c>
      <c r="W37" s="6">
        <f t="shared" ref="W37:W49" si="36">S37*$AB$10</f>
        <v>36</v>
      </c>
      <c r="X37" s="6">
        <f t="shared" ref="X37:X49" si="37">S37*$AB$9</f>
        <v>36</v>
      </c>
      <c r="Y37" s="6">
        <v>4.7934545860734863</v>
      </c>
    </row>
    <row r="38" spans="1:46" ht="14.4" customHeight="1" x14ac:dyDescent="0.3">
      <c r="A38" s="29">
        <v>600</v>
      </c>
      <c r="B38" s="6">
        <f>(V15+X15+Y15)*AB4*R15</f>
        <v>94.544166812847095</v>
      </c>
      <c r="C38" s="6">
        <f>(V31+X31+Y31)*AB5*R31</f>
        <v>63.029444541898059</v>
      </c>
      <c r="D38" s="6">
        <f>(V47+X47+Y47)*AB6*R47</f>
        <v>37.514722270949029</v>
      </c>
      <c r="F38" s="25" t="s">
        <v>54</v>
      </c>
      <c r="G38" s="6">
        <v>299.55548274387343</v>
      </c>
      <c r="H38" s="6">
        <f>AB22*60</f>
        <v>300</v>
      </c>
      <c r="I38" s="6">
        <f t="shared" si="35"/>
        <v>0.44451725612657356</v>
      </c>
      <c r="K38" s="39"/>
      <c r="L38" s="41" t="s">
        <v>83</v>
      </c>
      <c r="M38" s="42"/>
      <c r="N38" s="42"/>
      <c r="Q38" s="45" t="s">
        <v>5</v>
      </c>
      <c r="R38" s="49">
        <v>1</v>
      </c>
      <c r="S38" s="9">
        <v>10</v>
      </c>
      <c r="T38" s="7">
        <v>1</v>
      </c>
      <c r="U38" s="22">
        <f t="shared" ref="U38:U48" si="38">U6</f>
        <v>9</v>
      </c>
      <c r="V38" s="6">
        <f>W38*T38*(AB15/24)*(1/AB6)</f>
        <v>7.5</v>
      </c>
      <c r="W38" s="6">
        <f t="shared" si="36"/>
        <v>20</v>
      </c>
      <c r="X38" s="6">
        <f t="shared" si="37"/>
        <v>20</v>
      </c>
      <c r="Y38" s="6">
        <v>2.7269826585417403</v>
      </c>
    </row>
    <row r="39" spans="1:46" ht="14.4" customHeight="1" x14ac:dyDescent="0.3">
      <c r="A39" s="29" t="s">
        <v>12</v>
      </c>
      <c r="B39" s="6">
        <f>(V16+X16+Y16)*AB4*R16</f>
        <v>226.48714890224795</v>
      </c>
      <c r="C39" s="6">
        <f>(V32+X32+Y32)*AB5*R32</f>
        <v>150.99143260149864</v>
      </c>
      <c r="D39" s="6">
        <f>(V48+X48+Y48)*AB6*R48</f>
        <v>90.495716300749322</v>
      </c>
      <c r="F39" s="25" t="s">
        <v>56</v>
      </c>
      <c r="G39" s="6" cm="1">
        <f t="array" ref="G39:G40">MMULT(Shift3,D28:D40)</f>
        <v>212.70420551769763</v>
      </c>
      <c r="H39" s="6">
        <f>AB23*60</f>
        <v>480</v>
      </c>
      <c r="I39" s="6">
        <f t="shared" si="35"/>
        <v>267.29579448230237</v>
      </c>
      <c r="Q39" s="45" t="s">
        <v>6</v>
      </c>
      <c r="R39" s="49">
        <v>1</v>
      </c>
      <c r="S39" s="9">
        <v>16</v>
      </c>
      <c r="T39" s="7">
        <v>1</v>
      </c>
      <c r="U39" s="22">
        <f t="shared" si="38"/>
        <v>9</v>
      </c>
      <c r="V39" s="6">
        <f>W39*T39*(AB15/24)*(1/AB6)</f>
        <v>12</v>
      </c>
      <c r="W39" s="6">
        <f t="shared" si="36"/>
        <v>32</v>
      </c>
      <c r="X39" s="6">
        <f t="shared" si="37"/>
        <v>32</v>
      </c>
      <c r="Y39" s="6">
        <v>4.1529243260477902</v>
      </c>
    </row>
    <row r="40" spans="1:46" x14ac:dyDescent="0.3">
      <c r="A40" s="29" t="s">
        <v>13</v>
      </c>
      <c r="B40" s="6">
        <f>(V17+X17+Y17)*AB4*R17</f>
        <v>210.58130083799784</v>
      </c>
      <c r="C40" s="6">
        <f>(V33+X33+Y33)*AB5*R33</f>
        <v>140.38753389199857</v>
      </c>
      <c r="D40" s="6">
        <f>(V49+X49+Y49)*AB6*R49</f>
        <v>84.693766945999286</v>
      </c>
      <c r="F40" s="25" t="s">
        <v>58</v>
      </c>
      <c r="G40" s="6">
        <v>476.37540255566086</v>
      </c>
      <c r="H40" s="6">
        <f>AB23*60</f>
        <v>480</v>
      </c>
      <c r="I40" s="6">
        <f t="shared" si="35"/>
        <v>3.6245974443391447</v>
      </c>
      <c r="Q40" s="45" t="s">
        <v>7</v>
      </c>
      <c r="R40" s="49">
        <v>1</v>
      </c>
      <c r="S40" s="9">
        <v>19</v>
      </c>
      <c r="T40" s="7">
        <v>1</v>
      </c>
      <c r="U40" s="22">
        <f t="shared" si="38"/>
        <v>6</v>
      </c>
      <c r="V40" s="6">
        <f>W40*T40*(AB15/24)*(1/AB6)</f>
        <v>14.25</v>
      </c>
      <c r="W40" s="6">
        <f t="shared" si="36"/>
        <v>38</v>
      </c>
      <c r="X40" s="6">
        <f t="shared" si="37"/>
        <v>38</v>
      </c>
      <c r="Y40" s="6">
        <v>4.5218601023878886</v>
      </c>
    </row>
    <row r="41" spans="1:46" x14ac:dyDescent="0.3">
      <c r="G41" s="75" t="s">
        <v>101</v>
      </c>
      <c r="H41" s="75" t="s">
        <v>102</v>
      </c>
      <c r="Q41" s="45" t="s">
        <v>8</v>
      </c>
      <c r="R41" s="49">
        <v>1</v>
      </c>
      <c r="S41" s="9">
        <v>21</v>
      </c>
      <c r="T41" s="7">
        <v>1</v>
      </c>
      <c r="U41" s="22">
        <f t="shared" si="38"/>
        <v>7</v>
      </c>
      <c r="V41" s="6">
        <f>W41*T41*(AB15/24)*(1/AB6)</f>
        <v>15.75</v>
      </c>
      <c r="W41" s="6">
        <f t="shared" si="36"/>
        <v>42</v>
      </c>
      <c r="X41" s="6">
        <f t="shared" si="37"/>
        <v>42</v>
      </c>
      <c r="Y41" s="6">
        <v>5.4723290604568025</v>
      </c>
    </row>
    <row r="42" spans="1:46" x14ac:dyDescent="0.3">
      <c r="Q42" s="45" t="s">
        <v>9</v>
      </c>
      <c r="R42" s="49">
        <v>1</v>
      </c>
      <c r="S42" s="9">
        <v>26</v>
      </c>
      <c r="T42" s="7">
        <v>1</v>
      </c>
      <c r="U42" s="22">
        <f t="shared" si="38"/>
        <v>6</v>
      </c>
      <c r="V42" s="6">
        <f>W42*T42*(AB15/24)*(1/AB6)</f>
        <v>19.5</v>
      </c>
      <c r="W42" s="6">
        <f t="shared" si="36"/>
        <v>52</v>
      </c>
      <c r="X42" s="6">
        <f t="shared" si="37"/>
        <v>52</v>
      </c>
      <c r="Y42" s="6">
        <v>5.8313624598154208</v>
      </c>
    </row>
    <row r="43" spans="1:46" x14ac:dyDescent="0.3">
      <c r="I43" s="33"/>
      <c r="J43" s="13"/>
      <c r="K43" s="33"/>
      <c r="Q43" s="45" t="s">
        <v>10</v>
      </c>
      <c r="R43" s="49">
        <v>1</v>
      </c>
      <c r="S43" s="9">
        <v>13</v>
      </c>
      <c r="T43" s="7">
        <v>1</v>
      </c>
      <c r="U43" s="22">
        <f t="shared" si="38"/>
        <v>2</v>
      </c>
      <c r="V43" s="6">
        <f>W43*T43*(AB15/24)*(1/AB6)</f>
        <v>9.75</v>
      </c>
      <c r="W43" s="6">
        <f t="shared" si="36"/>
        <v>26</v>
      </c>
      <c r="X43" s="6">
        <f t="shared" si="37"/>
        <v>26</v>
      </c>
      <c r="Y43" s="6">
        <v>2.7970686742787567</v>
      </c>
    </row>
    <row r="44" spans="1:46" x14ac:dyDescent="0.3">
      <c r="I44" s="33"/>
      <c r="J44" s="13"/>
      <c r="K44" s="33"/>
      <c r="Q44" s="45">
        <v>300</v>
      </c>
      <c r="R44" s="49">
        <v>1</v>
      </c>
      <c r="S44" s="9">
        <v>11</v>
      </c>
      <c r="T44" s="7">
        <v>1</v>
      </c>
      <c r="U44" s="22">
        <f t="shared" si="38"/>
        <v>2</v>
      </c>
      <c r="V44" s="6">
        <f>W44*T44*(AB15/24)*(1/AB6)</f>
        <v>8.25</v>
      </c>
      <c r="W44" s="6">
        <f t="shared" si="36"/>
        <v>22</v>
      </c>
      <c r="X44" s="6">
        <f t="shared" si="37"/>
        <v>22</v>
      </c>
      <c r="Y44" s="6">
        <v>3.0071173782827012</v>
      </c>
    </row>
    <row r="45" spans="1:46" x14ac:dyDescent="0.3">
      <c r="I45" s="33"/>
      <c r="J45" s="13"/>
      <c r="K45" s="33"/>
      <c r="Q45" s="45" t="s">
        <v>11</v>
      </c>
      <c r="R45" s="49">
        <v>1</v>
      </c>
      <c r="S45" s="9">
        <v>4</v>
      </c>
      <c r="T45" s="7">
        <v>1</v>
      </c>
      <c r="U45" s="22">
        <f t="shared" si="38"/>
        <v>1</v>
      </c>
      <c r="V45" s="6">
        <f>W45*T45*(AB15/24)*(1/AB6)</f>
        <v>3</v>
      </c>
      <c r="W45" s="6">
        <f t="shared" si="36"/>
        <v>8</v>
      </c>
      <c r="X45" s="6">
        <f t="shared" si="37"/>
        <v>8</v>
      </c>
      <c r="Y45" s="6">
        <v>0.89925110082637749</v>
      </c>
    </row>
    <row r="46" spans="1:46" x14ac:dyDescent="0.3">
      <c r="I46" s="33"/>
      <c r="J46" s="13"/>
      <c r="K46" s="33"/>
      <c r="Q46" s="45">
        <v>500</v>
      </c>
      <c r="R46" s="49">
        <v>1</v>
      </c>
      <c r="S46" s="9">
        <v>21</v>
      </c>
      <c r="T46" s="7">
        <v>1</v>
      </c>
      <c r="U46" s="22">
        <f t="shared" si="38"/>
        <v>1</v>
      </c>
      <c r="V46" s="6">
        <f>W46*T46*(AB15/24)*(1/AB6)</f>
        <v>15.75</v>
      </c>
      <c r="W46" s="6">
        <f t="shared" si="36"/>
        <v>42</v>
      </c>
      <c r="X46" s="6">
        <f t="shared" si="37"/>
        <v>42</v>
      </c>
      <c r="Y46" s="6">
        <v>4.923052208949863</v>
      </c>
    </row>
    <row r="47" spans="1:46" x14ac:dyDescent="0.3">
      <c r="I47" s="33"/>
      <c r="J47" s="13"/>
      <c r="K47" s="33"/>
      <c r="Q47" s="45">
        <v>600</v>
      </c>
      <c r="R47" s="49">
        <v>1</v>
      </c>
      <c r="S47" s="9">
        <v>12</v>
      </c>
      <c r="T47" s="7">
        <v>1</v>
      </c>
      <c r="U47" s="22">
        <f t="shared" si="38"/>
        <v>2</v>
      </c>
      <c r="V47" s="6">
        <f>W47*T47*(AB15/24)*(1/AB6)</f>
        <v>9</v>
      </c>
      <c r="W47" s="6">
        <f t="shared" si="36"/>
        <v>24</v>
      </c>
      <c r="X47" s="6">
        <f t="shared" si="37"/>
        <v>24</v>
      </c>
      <c r="Y47" s="6">
        <v>4.5147222709490311</v>
      </c>
    </row>
    <row r="48" spans="1:46" x14ac:dyDescent="0.3">
      <c r="I48" s="33"/>
      <c r="J48" s="13"/>
      <c r="K48" s="33"/>
      <c r="Q48" s="45" t="s">
        <v>12</v>
      </c>
      <c r="R48" s="49">
        <v>1</v>
      </c>
      <c r="S48" s="9">
        <v>30</v>
      </c>
      <c r="T48" s="7">
        <v>1</v>
      </c>
      <c r="U48" s="22">
        <f t="shared" si="38"/>
        <v>1</v>
      </c>
      <c r="V48" s="6">
        <f>W48*T48*(AB15/24)*(1/AB6)</f>
        <v>22.5</v>
      </c>
      <c r="W48" s="6">
        <f t="shared" si="36"/>
        <v>60</v>
      </c>
      <c r="X48" s="6">
        <f t="shared" si="37"/>
        <v>60</v>
      </c>
      <c r="Y48" s="6">
        <v>7.9957163007493159</v>
      </c>
    </row>
    <row r="49" spans="9:25" x14ac:dyDescent="0.3">
      <c r="I49" s="33"/>
      <c r="J49" s="13"/>
      <c r="K49" s="33"/>
      <c r="Q49" s="45" t="s">
        <v>13</v>
      </c>
      <c r="R49" s="49">
        <v>1</v>
      </c>
      <c r="S49" s="9">
        <v>29</v>
      </c>
      <c r="T49" s="7">
        <v>1</v>
      </c>
      <c r="U49" s="22">
        <f>U17</f>
        <v>4</v>
      </c>
      <c r="V49" s="6">
        <f>W49*T49*(AB15/24)*(1/AB6)</f>
        <v>21.75</v>
      </c>
      <c r="W49" s="6">
        <f t="shared" si="36"/>
        <v>58</v>
      </c>
      <c r="X49" s="6">
        <f t="shared" si="37"/>
        <v>58</v>
      </c>
      <c r="Y49" s="6">
        <v>4.9437669459992835</v>
      </c>
    </row>
    <row r="50" spans="9:25" x14ac:dyDescent="0.3">
      <c r="I50" s="33"/>
      <c r="J50" s="13"/>
      <c r="K50" s="33"/>
    </row>
    <row r="51" spans="9:25" x14ac:dyDescent="0.3">
      <c r="I51" s="33"/>
      <c r="J51" s="13"/>
      <c r="K51" s="33"/>
    </row>
    <row r="52" spans="9:25" x14ac:dyDescent="0.3">
      <c r="I52" s="33"/>
      <c r="J52" s="13"/>
      <c r="K52" s="33"/>
    </row>
    <row r="53" spans="9:25" x14ac:dyDescent="0.3">
      <c r="I53" s="33"/>
      <c r="J53" s="13"/>
      <c r="K53" s="33"/>
    </row>
    <row r="54" spans="9:25" x14ac:dyDescent="0.3">
      <c r="I54" s="33"/>
      <c r="J54" s="13"/>
      <c r="K54" s="33"/>
    </row>
    <row r="55" spans="9:25" x14ac:dyDescent="0.3">
      <c r="I55" s="33"/>
      <c r="J55" s="13"/>
      <c r="K55" s="33"/>
    </row>
  </sheetData>
  <mergeCells count="18">
    <mergeCell ref="A16:B17"/>
    <mergeCell ref="A25:D26"/>
    <mergeCell ref="K27:L27"/>
    <mergeCell ref="K25:L26"/>
    <mergeCell ref="A1:C2"/>
    <mergeCell ref="K32:L33"/>
    <mergeCell ref="F25:I27"/>
    <mergeCell ref="L35:N36"/>
    <mergeCell ref="AT1:AW2"/>
    <mergeCell ref="AA3:AB3"/>
    <mergeCell ref="AA1:AB2"/>
    <mergeCell ref="AE1:AE2"/>
    <mergeCell ref="AA20:AB20"/>
    <mergeCell ref="AA12:AB12"/>
    <mergeCell ref="AA8:AB8"/>
    <mergeCell ref="AA16:AB18"/>
    <mergeCell ref="Q1:S2"/>
    <mergeCell ref="F28:G28"/>
  </mergeCells>
  <phoneticPr fontId="1" type="noConversion"/>
  <conditionalFormatting sqref="B4:N15">
    <cfRule type="cellIs" dxfId="3" priority="5" operator="equal">
      <formula>1</formula>
    </cfRule>
  </conditionalFormatting>
  <conditionalFormatting sqref="I29:I40">
    <cfRule type="cellIs" dxfId="2" priority="3" operator="lessThan">
      <formula>480</formula>
    </cfRule>
  </conditionalFormatting>
  <conditionalFormatting sqref="O4:P15">
    <cfRule type="cellIs" dxfId="1" priority="1" operator="greaterThan">
      <formula>0.5</formula>
    </cfRule>
    <cfRule type="cellIs" dxfId="0" priority="2" operator="greaterThan">
      <formula>0.5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1A1FBA292F714AA1A6BF5E65C85EC3" ma:contentTypeVersion="7" ma:contentTypeDescription="Create a new document." ma:contentTypeScope="" ma:versionID="05f3344a3b006fa3541b64a8a8f06d70">
  <xsd:schema xmlns:xsd="http://www.w3.org/2001/XMLSchema" xmlns:xs="http://www.w3.org/2001/XMLSchema" xmlns:p="http://schemas.microsoft.com/office/2006/metadata/properties" xmlns:ns3="a8549dcd-1cf2-477f-962f-d9b263bb6b67" xmlns:ns4="6cceefd4-2b66-44e6-a988-b296dc9a873e" targetNamespace="http://schemas.microsoft.com/office/2006/metadata/properties" ma:root="true" ma:fieldsID="00fa09551a529db873c3b18f1d00c55f" ns3:_="" ns4:_="">
    <xsd:import namespace="a8549dcd-1cf2-477f-962f-d9b263bb6b67"/>
    <xsd:import namespace="6cceefd4-2b66-44e6-a988-b296dc9a87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49dcd-1cf2-477f-962f-d9b263bb6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eefd4-2b66-44e6-a988-b296dc9a87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AA6248-EC1C-4D10-9622-0D8AA88BC9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49dcd-1cf2-477f-962f-d9b263bb6b67"/>
    <ds:schemaRef ds:uri="6cceefd4-2b66-44e6-a988-b296dc9a87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E717C-77F4-4D60-81E9-F53023571A01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6cceefd4-2b66-44e6-a988-b296dc9a873e"/>
    <ds:schemaRef ds:uri="a8549dcd-1cf2-477f-962f-d9b263bb6b6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FE1D052-31F7-44ED-BAA8-6F8FDC2401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Optimization Model</vt:lpstr>
      <vt:lpstr>Constraint</vt:lpstr>
      <vt:lpstr>'Optimization Model'!Print_Area</vt:lpstr>
      <vt:lpstr>Shift1</vt:lpstr>
      <vt:lpstr>Shift2</vt:lpstr>
      <vt:lpstr>Shift3</vt:lpstr>
      <vt:lpstr>Shiftallocation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Samuel Sim</cp:lastModifiedBy>
  <cp:revision/>
  <cp:lastPrinted>2020-12-08T08:51:12Z</cp:lastPrinted>
  <dcterms:created xsi:type="dcterms:W3CDTF">2020-10-26T02:18:36Z</dcterms:created>
  <dcterms:modified xsi:type="dcterms:W3CDTF">2020-12-08T11:54:45Z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0x010100AE1A1FBA292F714AA1A6BF5E65C85EC3</vt:lpwstr>
  </property>
</Properties>
</file>