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e21ca1f43d440d/Documentos/"/>
    </mc:Choice>
  </mc:AlternateContent>
  <xr:revisionPtr revIDLastSave="1463" documentId="8_{23FBD6A5-B483-460E-8793-31DA5D6DF5B0}" xr6:coauthVersionLast="47" xr6:coauthVersionMax="47" xr10:uidLastSave="{7FB3F3E0-43D5-4CE0-9F2A-BEC3A668D9E7}"/>
  <bookViews>
    <workbookView xWindow="-108" yWindow="-108" windowWidth="23256" windowHeight="12456" xr2:uid="{B9A4A808-1158-4686-94BB-3FEB97E2636F}"/>
  </bookViews>
  <sheets>
    <sheet name="Dashboard" sheetId="8" r:id="rId1"/>
    <sheet name="Dashboard auxiliar" sheetId="9" state="hidden" r:id="rId2"/>
    <sheet name="RelatórioCarteira" sheetId="7" r:id="rId3"/>
    <sheet name="RelatórioCarteiraAções" sheetId="10" r:id="rId4"/>
    <sheet name="RelatórioCarteiraFII" sheetId="11" r:id="rId5"/>
    <sheet name="RelatórioCarteiraCriptomoedas" sheetId="12" r:id="rId6"/>
    <sheet name="RelatórioAportes" sheetId="5" r:id="rId7"/>
    <sheet name="RelatórioProventos" sheetId="6" r:id="rId8"/>
    <sheet name="Ativos" sheetId="1" r:id="rId9"/>
    <sheet name="Aportes" sheetId="3" r:id="rId10"/>
    <sheet name="Proventos" sheetId="4" r:id="rId11"/>
  </sheets>
  <calcPr calcId="191029"/>
  <pivotCaches>
    <pivotCache cacheId="43" r:id="rId12"/>
    <pivotCache cacheId="4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2" l="1"/>
  <c r="B2" i="12"/>
  <c r="E5" i="11"/>
  <c r="B5" i="11"/>
  <c r="E4" i="11"/>
  <c r="B4" i="11"/>
  <c r="E3" i="11"/>
  <c r="B3" i="11"/>
  <c r="E2" i="11"/>
  <c r="B2" i="11"/>
  <c r="E5" i="10"/>
  <c r="B5" i="10"/>
  <c r="E4" i="10"/>
  <c r="B4" i="10"/>
  <c r="E3" i="10"/>
  <c r="B3" i="10"/>
  <c r="E2" i="10"/>
  <c r="B2" i="10"/>
  <c r="H1" i="8"/>
  <c r="B9" i="9"/>
  <c r="B21" i="9" s="1"/>
  <c r="E2" i="7"/>
  <c r="E3" i="7"/>
  <c r="E4" i="7"/>
  <c r="E5" i="7"/>
  <c r="E6" i="7"/>
  <c r="E7" i="7"/>
  <c r="E8" i="7"/>
  <c r="E9" i="7"/>
  <c r="E10" i="7"/>
  <c r="B2" i="7"/>
  <c r="B3" i="7"/>
  <c r="B4" i="7"/>
  <c r="B5" i="7"/>
  <c r="B6" i="7"/>
  <c r="B7" i="7"/>
  <c r="B8" i="7"/>
  <c r="B9" i="7"/>
  <c r="B10" i="7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H2" i="3"/>
  <c r="J2" i="3" s="1"/>
  <c r="H3" i="3"/>
  <c r="J3" i="3" s="1"/>
  <c r="H4" i="3"/>
  <c r="H5" i="3"/>
  <c r="H6" i="3"/>
  <c r="H7" i="3"/>
  <c r="H8" i="3"/>
  <c r="J8" i="3" s="1"/>
  <c r="H9" i="3"/>
  <c r="J9" i="3" s="1"/>
  <c r="H10" i="3"/>
  <c r="J10" i="3" s="1"/>
  <c r="H11" i="3"/>
  <c r="J11" i="3" s="1"/>
  <c r="H12" i="3"/>
  <c r="J12" i="3" s="1"/>
  <c r="H13" i="3"/>
  <c r="J13" i="3" s="1"/>
  <c r="H14" i="3"/>
  <c r="J14" i="3" s="1"/>
  <c r="H15" i="3"/>
  <c r="J15" i="3" s="1"/>
  <c r="H16" i="3"/>
  <c r="H17" i="3"/>
  <c r="H18" i="3"/>
  <c r="H19" i="3"/>
  <c r="H20" i="3"/>
  <c r="J20" i="3" s="1"/>
  <c r="H21" i="3"/>
  <c r="J21" i="3" s="1"/>
  <c r="H22" i="3"/>
  <c r="J22" i="3" s="1"/>
  <c r="H23" i="3"/>
  <c r="J23" i="3" s="1"/>
  <c r="H24" i="3"/>
  <c r="J24" i="3" s="1"/>
  <c r="H25" i="3"/>
  <c r="J25" i="3" s="1"/>
  <c r="H26" i="3"/>
  <c r="J26" i="3" s="1"/>
  <c r="H27" i="3"/>
  <c r="J27" i="3" s="1"/>
  <c r="H28" i="3"/>
  <c r="H29" i="3"/>
  <c r="D10" i="1" a="1"/>
  <c r="D10" i="1" s="1"/>
  <c r="D14" i="3" s="1"/>
  <c r="F14" i="3" s="1"/>
  <c r="D2" i="1" a="1"/>
  <c r="D2" i="1" s="1"/>
  <c r="D12" i="3" s="1"/>
  <c r="F12" i="3" s="1"/>
  <c r="D3" i="1" a="1"/>
  <c r="D3" i="1" s="1"/>
  <c r="D8" i="3" s="1"/>
  <c r="F8" i="3" s="1"/>
  <c r="D4" i="1" a="1"/>
  <c r="D4" i="1" s="1"/>
  <c r="D5" i="3" s="1"/>
  <c r="F5" i="3" s="1"/>
  <c r="D6" i="1" a="1"/>
  <c r="D6" i="1" s="1"/>
  <c r="D2" i="3" s="1"/>
  <c r="F2" i="3" s="1"/>
  <c r="D5" i="1" a="1"/>
  <c r="D5" i="1" s="1"/>
  <c r="D26" i="3" s="1"/>
  <c r="F26" i="3" s="1"/>
  <c r="D7" i="1" a="1"/>
  <c r="D7" i="1" s="1"/>
  <c r="D15" i="3" s="1"/>
  <c r="F15" i="3" s="1"/>
  <c r="D8" i="1" a="1"/>
  <c r="D8" i="1" s="1"/>
  <c r="D27" i="3" s="1"/>
  <c r="F27" i="3" s="1"/>
  <c r="D9" i="1" a="1"/>
  <c r="D9" i="1" s="1"/>
  <c r="D23" i="3" s="1"/>
  <c r="F23" i="3" s="1"/>
  <c r="C3" i="11" l="1"/>
  <c r="G3" i="11" s="1"/>
  <c r="C2" i="12"/>
  <c r="G2" i="12" s="1"/>
  <c r="C2" i="10"/>
  <c r="G2" i="10" s="1"/>
  <c r="C4" i="10"/>
  <c r="G4" i="10" s="1"/>
  <c r="C5" i="11"/>
  <c r="G5" i="11" s="1"/>
  <c r="C5" i="10"/>
  <c r="G5" i="10" s="1"/>
  <c r="C4" i="11"/>
  <c r="G4" i="11" s="1"/>
  <c r="C3" i="10"/>
  <c r="G3" i="10" s="1"/>
  <c r="C2" i="11"/>
  <c r="G2" i="11" s="1"/>
  <c r="J19" i="3"/>
  <c r="J7" i="3"/>
  <c r="J18" i="3"/>
  <c r="J6" i="3"/>
  <c r="J29" i="3"/>
  <c r="J17" i="3"/>
  <c r="J5" i="3"/>
  <c r="J28" i="3"/>
  <c r="J16" i="3"/>
  <c r="J4" i="3"/>
  <c r="C10" i="7"/>
  <c r="G10" i="7" s="1"/>
  <c r="C8" i="7"/>
  <c r="G8" i="7" s="1"/>
  <c r="C9" i="7"/>
  <c r="G9" i="7" s="1"/>
  <c r="C7" i="7"/>
  <c r="G7" i="7" s="1"/>
  <c r="C6" i="7"/>
  <c r="G6" i="7" s="1"/>
  <c r="C5" i="7"/>
  <c r="G5" i="7" s="1"/>
  <c r="C4" i="7"/>
  <c r="G4" i="7" s="1"/>
  <c r="C3" i="7"/>
  <c r="G3" i="7" s="1"/>
  <c r="I5" i="9" s="1"/>
  <c r="B20" i="9" s="1"/>
  <c r="C2" i="7"/>
  <c r="G2" i="7" s="1"/>
  <c r="D21" i="3"/>
  <c r="F21" i="3" s="1"/>
  <c r="D7" i="3"/>
  <c r="F7" i="3" s="1"/>
  <c r="D29" i="3"/>
  <c r="F29" i="3" s="1"/>
  <c r="D3" i="3"/>
  <c r="F3" i="3" s="1"/>
  <c r="D24" i="3"/>
  <c r="F24" i="3" s="1"/>
  <c r="D20" i="3"/>
  <c r="F20" i="3" s="1"/>
  <c r="D17" i="3"/>
  <c r="F17" i="3" s="1"/>
  <c r="D16" i="3"/>
  <c r="F16" i="3" s="1"/>
  <c r="D13" i="3"/>
  <c r="F13" i="3" s="1"/>
  <c r="D28" i="3"/>
  <c r="F28" i="3" s="1"/>
  <c r="D11" i="3"/>
  <c r="F11" i="3" s="1"/>
  <c r="D9" i="3"/>
  <c r="F9" i="3" s="1"/>
  <c r="D25" i="3"/>
  <c r="F25" i="3" s="1"/>
  <c r="D10" i="3"/>
  <c r="F10" i="3" s="1"/>
  <c r="D22" i="3"/>
  <c r="F22" i="3" s="1"/>
  <c r="D19" i="3"/>
  <c r="F19" i="3" s="1"/>
  <c r="D18" i="3"/>
  <c r="F18" i="3" s="1"/>
  <c r="D6" i="3"/>
  <c r="F6" i="3" s="1"/>
  <c r="D4" i="3"/>
  <c r="F4" i="3" s="1"/>
  <c r="Q16" i="9" l="1"/>
  <c r="R16" i="9" s="1"/>
  <c r="P16" i="9" s="1" a="1"/>
  <c r="P16" i="9" s="1"/>
  <c r="Q17" i="9"/>
  <c r="Q18" i="9"/>
  <c r="R18" i="9" s="1"/>
  <c r="P18" i="9" s="1" a="1"/>
  <c r="P18" i="9" s="1"/>
  <c r="Q19" i="9"/>
  <c r="R19" i="9" s="1"/>
  <c r="P19" i="9" s="1" a="1"/>
  <c r="P19" i="9" s="1"/>
  <c r="Q21" i="9"/>
  <c r="R21" i="9" s="1"/>
  <c r="P21" i="9" s="1" a="1"/>
  <c r="P21" i="9" s="1"/>
  <c r="Q22" i="9"/>
  <c r="Q23" i="9"/>
  <c r="Q24" i="9"/>
  <c r="Q25" i="9"/>
  <c r="Q20" i="9"/>
  <c r="R20" i="9" s="1"/>
  <c r="P20" i="9" s="1" a="1"/>
  <c r="P20" i="9" s="1"/>
  <c r="D3" i="10"/>
  <c r="F3" i="10" s="1"/>
  <c r="D3" i="7"/>
  <c r="I4" i="9" s="1"/>
  <c r="I7" i="9" s="1"/>
  <c r="D2" i="12"/>
  <c r="D3" i="11"/>
  <c r="F3" i="11" s="1"/>
  <c r="G3" i="12"/>
  <c r="D5" i="11"/>
  <c r="F5" i="11" s="1"/>
  <c r="D2" i="11"/>
  <c r="I2" i="11" s="1"/>
  <c r="AA3" i="9"/>
  <c r="AB3" i="9" s="1"/>
  <c r="Z3" i="9" s="1" a="1"/>
  <c r="Z3" i="9" s="1"/>
  <c r="AA4" i="9"/>
  <c r="AA11" i="9"/>
  <c r="AA5" i="9"/>
  <c r="AA12" i="9"/>
  <c r="AB12" i="9" s="1"/>
  <c r="Z12" i="9" s="1" a="1"/>
  <c r="Z12" i="9" s="1"/>
  <c r="AA6" i="9"/>
  <c r="AA7" i="9"/>
  <c r="AB7" i="9" s="1"/>
  <c r="Z7" i="9" s="1" a="1"/>
  <c r="Z7" i="9" s="1"/>
  <c r="AA8" i="9"/>
  <c r="AA9" i="9"/>
  <c r="AA10" i="9"/>
  <c r="V3" i="9"/>
  <c r="V4" i="9"/>
  <c r="V7" i="9"/>
  <c r="V5" i="9"/>
  <c r="V6" i="9"/>
  <c r="V8" i="9"/>
  <c r="V9" i="9"/>
  <c r="V10" i="9"/>
  <c r="V11" i="9"/>
  <c r="V12" i="9"/>
  <c r="D4" i="10"/>
  <c r="F4" i="10" s="1"/>
  <c r="D2" i="10"/>
  <c r="I2" i="10" s="1"/>
  <c r="D4" i="11"/>
  <c r="F4" i="11" s="1"/>
  <c r="D8" i="7"/>
  <c r="F8" i="7" s="1"/>
  <c r="D5" i="10"/>
  <c r="F5" i="10" s="1"/>
  <c r="G6" i="11"/>
  <c r="G6" i="10"/>
  <c r="Q4" i="9"/>
  <c r="Q7" i="9"/>
  <c r="Q10" i="9"/>
  <c r="Q11" i="9"/>
  <c r="Q5" i="9"/>
  <c r="Q6" i="9"/>
  <c r="Q8" i="9"/>
  <c r="Q9" i="9"/>
  <c r="Q12" i="9"/>
  <c r="Q3" i="9"/>
  <c r="H5" i="9"/>
  <c r="B19" i="9" s="1"/>
  <c r="G5" i="9"/>
  <c r="B18" i="9" s="1"/>
  <c r="F5" i="9"/>
  <c r="G11" i="7"/>
  <c r="D9" i="7"/>
  <c r="F9" i="7" s="1"/>
  <c r="D5" i="7"/>
  <c r="F5" i="7" s="1"/>
  <c r="D4" i="7"/>
  <c r="D6" i="7"/>
  <c r="F6" i="7" s="1"/>
  <c r="D7" i="7"/>
  <c r="F7" i="7" s="1"/>
  <c r="D2" i="7"/>
  <c r="D10" i="7"/>
  <c r="F10" i="7" s="1"/>
  <c r="M11" i="9" l="1"/>
  <c r="M10" i="9"/>
  <c r="M5" i="9"/>
  <c r="M12" i="9"/>
  <c r="M9" i="9"/>
  <c r="M8" i="9"/>
  <c r="M7" i="9"/>
  <c r="M4" i="9"/>
  <c r="M6" i="9"/>
  <c r="M3" i="9"/>
  <c r="R5" i="9"/>
  <c r="P5" i="9" s="1" a="1"/>
  <c r="P5" i="9" s="1"/>
  <c r="R11" i="9"/>
  <c r="P11" i="9" s="1" a="1"/>
  <c r="P11" i="9" s="1"/>
  <c r="R10" i="9"/>
  <c r="P10" i="9" s="1" a="1"/>
  <c r="P10" i="9" s="1"/>
  <c r="R7" i="9"/>
  <c r="P7" i="9" s="1" a="1"/>
  <c r="P7" i="9" s="1"/>
  <c r="R4" i="9"/>
  <c r="P4" i="9" s="1" a="1"/>
  <c r="P4" i="9" s="1"/>
  <c r="R8" i="9"/>
  <c r="P8" i="9" s="1" a="1"/>
  <c r="P8" i="9" s="1"/>
  <c r="R6" i="9"/>
  <c r="P6" i="9" s="1" a="1"/>
  <c r="P6" i="9" s="1"/>
  <c r="R9" i="9"/>
  <c r="P9" i="9" s="1" a="1"/>
  <c r="P9" i="9" s="1"/>
  <c r="R3" i="9"/>
  <c r="P3" i="9" s="1" a="1"/>
  <c r="P3" i="9" s="1"/>
  <c r="R25" i="9"/>
  <c r="P25" i="9" s="1" a="1"/>
  <c r="P25" i="9" s="1"/>
  <c r="R22" i="9"/>
  <c r="P22" i="9" s="1" a="1"/>
  <c r="P22" i="9" s="1"/>
  <c r="R23" i="9"/>
  <c r="P23" i="9" s="1" a="1"/>
  <c r="P23" i="9" s="1"/>
  <c r="R24" i="9"/>
  <c r="P24" i="9" s="1" a="1"/>
  <c r="P24" i="9" s="1"/>
  <c r="R17" i="9"/>
  <c r="P17" i="9" s="1" a="1"/>
  <c r="P17" i="9" s="1"/>
  <c r="I3" i="11"/>
  <c r="F3" i="7"/>
  <c r="H3" i="7"/>
  <c r="I3" i="7"/>
  <c r="D3" i="12"/>
  <c r="I3" i="10"/>
  <c r="H3" i="11"/>
  <c r="H3" i="10"/>
  <c r="F2" i="12"/>
  <c r="H2" i="12"/>
  <c r="I2" i="12"/>
  <c r="F2" i="11"/>
  <c r="I5" i="11"/>
  <c r="H5" i="11"/>
  <c r="H2" i="11"/>
  <c r="AB6" i="9"/>
  <c r="Z6" i="9" s="1" a="1"/>
  <c r="Z6" i="9" s="1"/>
  <c r="AB8" i="9"/>
  <c r="Z8" i="9" s="1" a="1"/>
  <c r="Z8" i="9" s="1"/>
  <c r="AB10" i="9"/>
  <c r="Z10" i="9" s="1" a="1"/>
  <c r="Z10" i="9" s="1"/>
  <c r="AB9" i="9"/>
  <c r="Z9" i="9" s="1" a="1"/>
  <c r="Z9" i="9" s="1"/>
  <c r="AB5" i="9"/>
  <c r="Z5" i="9" s="1" a="1"/>
  <c r="Z5" i="9" s="1"/>
  <c r="AB11" i="9"/>
  <c r="Z11" i="9" s="1" a="1"/>
  <c r="Z11" i="9" s="1"/>
  <c r="AB4" i="9"/>
  <c r="Z4" i="9" s="1" a="1"/>
  <c r="Z4" i="9" s="1"/>
  <c r="H2" i="10"/>
  <c r="W4" i="9"/>
  <c r="U4" i="9" s="1" a="1"/>
  <c r="U4" i="9" s="1"/>
  <c r="W5" i="9"/>
  <c r="U5" i="9" s="1" a="1"/>
  <c r="U5" i="9" s="1"/>
  <c r="W8" i="9"/>
  <c r="U8" i="9" s="1" a="1"/>
  <c r="U8" i="9" s="1"/>
  <c r="W9" i="9"/>
  <c r="U9" i="9" s="1" a="1"/>
  <c r="U9" i="9" s="1"/>
  <c r="W12" i="9"/>
  <c r="U12" i="9" s="1" a="1"/>
  <c r="U12" i="9" s="1"/>
  <c r="H4" i="10"/>
  <c r="I4" i="10"/>
  <c r="W11" i="9"/>
  <c r="U11" i="9" s="1" a="1"/>
  <c r="U11" i="9" s="1"/>
  <c r="W6" i="9"/>
  <c r="U6" i="9" s="1" a="1"/>
  <c r="U6" i="9" s="1"/>
  <c r="W7" i="9"/>
  <c r="U7" i="9" s="1" a="1"/>
  <c r="U7" i="9" s="1"/>
  <c r="W10" i="9"/>
  <c r="U10" i="9" s="1" a="1"/>
  <c r="U10" i="9" s="1"/>
  <c r="W3" i="9"/>
  <c r="U3" i="9" s="1" a="1"/>
  <c r="U3" i="9" s="1"/>
  <c r="H8" i="7"/>
  <c r="I4" i="11"/>
  <c r="V36" i="9" s="1" a="1"/>
  <c r="V36" i="9" s="1"/>
  <c r="W36" i="9" s="1" a="1"/>
  <c r="W36" i="9" s="1"/>
  <c r="H5" i="10"/>
  <c r="I5" i="10"/>
  <c r="H4" i="11"/>
  <c r="D6" i="10"/>
  <c r="F2" i="10"/>
  <c r="I8" i="7"/>
  <c r="D6" i="11"/>
  <c r="R12" i="9"/>
  <c r="P12" i="9" s="1" a="1"/>
  <c r="P12" i="9" s="1"/>
  <c r="B13" i="9" a="1"/>
  <c r="B13" i="9" s="1"/>
  <c r="B5" i="8" s="1"/>
  <c r="I6" i="9"/>
  <c r="F4" i="7"/>
  <c r="H4" i="9"/>
  <c r="H7" i="9" s="1"/>
  <c r="G4" i="9"/>
  <c r="G7" i="9" s="1"/>
  <c r="F4" i="9"/>
  <c r="F2" i="7"/>
  <c r="D11" i="7"/>
  <c r="I9" i="7"/>
  <c r="H5" i="7"/>
  <c r="H9" i="7"/>
  <c r="I5" i="7"/>
  <c r="I10" i="7"/>
  <c r="I2" i="7"/>
  <c r="I7" i="7"/>
  <c r="I6" i="7"/>
  <c r="I4" i="7"/>
  <c r="H4" i="7"/>
  <c r="H2" i="7"/>
  <c r="H7" i="7"/>
  <c r="H6" i="7"/>
  <c r="H10" i="7"/>
  <c r="L10" i="9" l="1"/>
  <c r="L12" i="9"/>
  <c r="L9" i="9"/>
  <c r="L5" i="9"/>
  <c r="L4" i="9"/>
  <c r="L3" i="9"/>
  <c r="L7" i="9"/>
  <c r="L8" i="9"/>
  <c r="L6" i="9"/>
  <c r="L11" i="9"/>
  <c r="V30" i="9" a="1"/>
  <c r="V30" i="9" s="1"/>
  <c r="W30" i="9" s="1" a="1"/>
  <c r="W30" i="9" s="1"/>
  <c r="V33" i="9" a="1"/>
  <c r="V33" i="9" s="1"/>
  <c r="W33" i="9" s="1" a="1"/>
  <c r="W33" i="9" s="1"/>
  <c r="V34" i="9" a="1"/>
  <c r="V34" i="9" s="1"/>
  <c r="W34" i="9" s="1" a="1"/>
  <c r="W34" i="9" s="1"/>
  <c r="V29" i="9" a="1"/>
  <c r="V29" i="9" s="1"/>
  <c r="W29" i="9" s="1" a="1"/>
  <c r="W29" i="9" s="1"/>
  <c r="V38" i="9" a="1"/>
  <c r="V38" i="9" s="1"/>
  <c r="W38" i="9" s="1" a="1"/>
  <c r="W38" i="9" s="1"/>
  <c r="V32" i="9" a="1"/>
  <c r="V32" i="9" s="1"/>
  <c r="W32" i="9" s="1" a="1"/>
  <c r="W32" i="9" s="1"/>
  <c r="V37" i="9" a="1"/>
  <c r="V37" i="9" s="1"/>
  <c r="W37" i="9" s="1" a="1"/>
  <c r="W37" i="9" s="1"/>
  <c r="V31" i="9" a="1"/>
  <c r="V31" i="9" s="1"/>
  <c r="W31" i="9" s="1" a="1"/>
  <c r="W31" i="9" s="1"/>
  <c r="V35" i="9" a="1"/>
  <c r="V35" i="9" s="1"/>
  <c r="W35" i="9" s="1" a="1"/>
  <c r="W35" i="9" s="1"/>
  <c r="Q42" i="9"/>
  <c r="Q43" i="9"/>
  <c r="Q44" i="9"/>
  <c r="Q45" i="9"/>
  <c r="Q46" i="9"/>
  <c r="Q47" i="9"/>
  <c r="Q48" i="9"/>
  <c r="Q49" i="9"/>
  <c r="Q50" i="9"/>
  <c r="Q51" i="9"/>
  <c r="AA30" i="9"/>
  <c r="AA34" i="9"/>
  <c r="AA31" i="9"/>
  <c r="AA33" i="9"/>
  <c r="AA38" i="9"/>
  <c r="AA37" i="9"/>
  <c r="AA32" i="9"/>
  <c r="AA36" i="9"/>
  <c r="AA35" i="9"/>
  <c r="AA29" i="9"/>
  <c r="Q30" i="9"/>
  <c r="R30" i="9" s="1"/>
  <c r="Q31" i="9"/>
  <c r="R31" i="9" s="1"/>
  <c r="Q32" i="9"/>
  <c r="R32" i="9" s="1"/>
  <c r="Q33" i="9"/>
  <c r="R33" i="9" s="1"/>
  <c r="Q38" i="9"/>
  <c r="R38" i="9" s="1"/>
  <c r="Q34" i="9"/>
  <c r="R34" i="9" s="1"/>
  <c r="Q36" i="9"/>
  <c r="R36" i="9" s="1"/>
  <c r="Q37" i="9"/>
  <c r="R37" i="9" s="1"/>
  <c r="Q35" i="9"/>
  <c r="R35" i="9" s="1"/>
  <c r="Q29" i="9"/>
  <c r="R29" i="9" s="1"/>
  <c r="H6" i="11"/>
  <c r="H3" i="12"/>
  <c r="H6" i="10"/>
  <c r="F7" i="9"/>
  <c r="B15" i="9" s="1" a="1"/>
  <c r="B15" i="9" s="1"/>
  <c r="B14" i="8" s="1"/>
  <c r="B12" i="9" a="1"/>
  <c r="B12" i="9" s="1"/>
  <c r="B8" i="8" s="1"/>
  <c r="H6" i="9"/>
  <c r="G6" i="9"/>
  <c r="F6" i="9"/>
  <c r="H11" i="7"/>
  <c r="M36" i="9" l="1"/>
  <c r="M35" i="9"/>
  <c r="M30" i="9"/>
  <c r="M29" i="9"/>
  <c r="M32" i="9"/>
  <c r="M37" i="9"/>
  <c r="M38" i="9"/>
  <c r="M33" i="9"/>
  <c r="M31" i="9"/>
  <c r="M34" i="9"/>
  <c r="R50" i="9"/>
  <c r="P50" i="9" s="1" a="1"/>
  <c r="P50" i="9" s="1"/>
  <c r="R47" i="9"/>
  <c r="P47" i="9" s="1" a="1"/>
  <c r="P47" i="9" s="1"/>
  <c r="R45" i="9"/>
  <c r="P45" i="9" s="1" a="1"/>
  <c r="P45" i="9" s="1"/>
  <c r="R44" i="9"/>
  <c r="P44" i="9" s="1" a="1"/>
  <c r="P44" i="9" s="1"/>
  <c r="R43" i="9"/>
  <c r="P43" i="9" s="1" a="1"/>
  <c r="P43" i="9" s="1"/>
  <c r="R51" i="9"/>
  <c r="P51" i="9" s="1" a="1"/>
  <c r="P51" i="9" s="1"/>
  <c r="R49" i="9"/>
  <c r="P49" i="9" s="1" a="1"/>
  <c r="P49" i="9" s="1"/>
  <c r="R48" i="9"/>
  <c r="P48" i="9" s="1" a="1"/>
  <c r="P48" i="9" s="1"/>
  <c r="R46" i="9"/>
  <c r="P46" i="9" s="1" a="1"/>
  <c r="P46" i="9" s="1"/>
  <c r="R42" i="9"/>
  <c r="P42" i="9" s="1" a="1"/>
  <c r="P42" i="9" s="1"/>
  <c r="AB32" i="9"/>
  <c r="Z32" i="9" s="1" a="1"/>
  <c r="Z32" i="9" s="1"/>
  <c r="AB37" i="9"/>
  <c r="Z37" i="9" s="1" a="1"/>
  <c r="Z37" i="9" s="1"/>
  <c r="AB38" i="9"/>
  <c r="Z38" i="9" s="1" a="1"/>
  <c r="Z38" i="9" s="1"/>
  <c r="L38" i="9" s="1"/>
  <c r="AB35" i="9"/>
  <c r="Z35" i="9" s="1" a="1"/>
  <c r="Z35" i="9" s="1"/>
  <c r="L35" i="9" s="1"/>
  <c r="AB36" i="9"/>
  <c r="Z36" i="9" s="1" a="1"/>
  <c r="Z36" i="9" s="1"/>
  <c r="AB33" i="9"/>
  <c r="Z33" i="9" s="1" a="1"/>
  <c r="Z33" i="9" s="1"/>
  <c r="AB31" i="9"/>
  <c r="Z31" i="9" s="1" a="1"/>
  <c r="Z31" i="9" s="1"/>
  <c r="AB34" i="9"/>
  <c r="Z34" i="9" s="1" a="1"/>
  <c r="Z34" i="9" s="1"/>
  <c r="AB30" i="9"/>
  <c r="Z30" i="9" s="1" a="1"/>
  <c r="Z30" i="9" s="1"/>
  <c r="AB29" i="9"/>
  <c r="Z29" i="9" s="1" a="1"/>
  <c r="Z29" i="9" s="1"/>
  <c r="U32" i="9" a="1"/>
  <c r="U32" i="9" s="1"/>
  <c r="U34" i="9" a="1"/>
  <c r="U34" i="9" s="1"/>
  <c r="U35" i="9" a="1"/>
  <c r="U35" i="9" s="1"/>
  <c r="U36" i="9" a="1"/>
  <c r="U36" i="9" s="1"/>
  <c r="U38" i="9" a="1"/>
  <c r="U38" i="9" s="1"/>
  <c r="U30" i="9" a="1"/>
  <c r="U30" i="9" s="1"/>
  <c r="U37" i="9" a="1"/>
  <c r="U37" i="9" s="1"/>
  <c r="U33" i="9" a="1"/>
  <c r="U33" i="9" s="1"/>
  <c r="U31" i="9" a="1"/>
  <c r="U31" i="9" s="1"/>
  <c r="U29" i="9" a="1"/>
  <c r="U29" i="9" s="1"/>
  <c r="P30" i="9" a="1"/>
  <c r="P30" i="9" s="1"/>
  <c r="P34" i="9" a="1"/>
  <c r="P34" i="9" s="1"/>
  <c r="P36" i="9" a="1"/>
  <c r="P36" i="9" s="1"/>
  <c r="P38" i="9" a="1"/>
  <c r="P38" i="9" s="1"/>
  <c r="P31" i="9" a="1"/>
  <c r="P31" i="9" s="1"/>
  <c r="P35" i="9" a="1"/>
  <c r="P35" i="9" s="1"/>
  <c r="P37" i="9" a="1"/>
  <c r="P37" i="9" s="1"/>
  <c r="P33" i="9" a="1"/>
  <c r="P33" i="9" s="1"/>
  <c r="P32" i="9" a="1"/>
  <c r="P32" i="9" s="1"/>
  <c r="P29" i="9" a="1"/>
  <c r="P29" i="9" s="1"/>
  <c r="B14" i="9" a="1"/>
  <c r="B14" i="9" s="1"/>
  <c r="B11" i="8" s="1"/>
  <c r="L36" i="9" l="1"/>
  <c r="L33" i="9"/>
  <c r="L30" i="9"/>
  <c r="L34" i="9"/>
  <c r="L31" i="9"/>
  <c r="L32" i="9"/>
  <c r="L37" i="9"/>
  <c r="L2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tc={E551C24F-59BA-4632-BB70-4181480C19FB}</author>
  </authors>
  <commentList>
    <comment ref="L1" authorId="0" shapeId="0" xr:uid="{E551C24F-59BA-4632-BB70-4181480C19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tc={64536C23-0B60-45A0-B960-8E10F0D25E24}</author>
  </authors>
  <commentList>
    <comment ref="L1" authorId="0" shapeId="0" xr:uid="{64536C23-0B60-45A0-B960-8E10F0D25E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tc={B837BCE0-F548-478B-955B-DF13DE82F31C}</author>
  </authors>
  <commentList>
    <comment ref="L1" authorId="0" shapeId="0" xr:uid="{B837BCE0-F548-478B-955B-DF13DE82F3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tc={40AB866B-3888-4540-9845-728BF4735123}</author>
  </authors>
  <commentList>
    <comment ref="L1" authorId="0" shapeId="0" xr:uid="{40AB866B-3888-4540-9845-728BF473512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Deixe em branco para a data de hoje.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<sst xmlns="http://schemas.openxmlformats.org/spreadsheetml/2006/main" count="481" uniqueCount="146">
  <si>
    <t>Ativo</t>
  </si>
  <si>
    <t>Tipo</t>
  </si>
  <si>
    <t>FII</t>
  </si>
  <si>
    <t>PETR4</t>
  </si>
  <si>
    <t>Empresa</t>
  </si>
  <si>
    <t>HGLG11</t>
  </si>
  <si>
    <t>Preço</t>
  </si>
  <si>
    <t>Criptomoeda</t>
  </si>
  <si>
    <t>Data</t>
  </si>
  <si>
    <t>Quantidade</t>
  </si>
  <si>
    <t>Custo</t>
  </si>
  <si>
    <t>Total</t>
  </si>
  <si>
    <t>Ano</t>
  </si>
  <si>
    <t>Mês</t>
  </si>
  <si>
    <t>ITSA4</t>
  </si>
  <si>
    <t>Valor unitário</t>
  </si>
  <si>
    <t>HGRE11</t>
  </si>
  <si>
    <t>Ano/Mês</t>
  </si>
  <si>
    <t xml:space="preserve"> R$                    -  </t>
  </si>
  <si>
    <t>Sigla</t>
  </si>
  <si>
    <t>BPAC11</t>
  </si>
  <si>
    <t>BTCBRL</t>
  </si>
  <si>
    <t>KNCR11</t>
  </si>
  <si>
    <t>WEGE3</t>
  </si>
  <si>
    <t>XPML11</t>
  </si>
  <si>
    <t>Cod</t>
  </si>
  <si>
    <t>Qte</t>
  </si>
  <si>
    <t xml:space="preserve"> Valor Bruto </t>
  </si>
  <si>
    <t xml:space="preserve"> IR </t>
  </si>
  <si>
    <t xml:space="preserve"> Valor Líquido </t>
  </si>
  <si>
    <t xml:space="preserve"> R$                        -  </t>
  </si>
  <si>
    <t xml:space="preserve"> R$                         -  </t>
  </si>
  <si>
    <t>Total Geral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</si>
  <si>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</si>
  <si>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</si>
  <si>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</si>
  <si>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</si>
  <si>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</si>
  <si>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</si>
  <si>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</si>
  <si>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</si>
  <si>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</si>
  <si>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</si>
  <si>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</si>
  <si>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</si>
  <si>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</si>
  <si>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</si>
  <si>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</si>
  <si>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</si>
  <si>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</si>
  <si>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</si>
  <si>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</si>
  <si>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</si>
  <si>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</si>
  <si>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</si>
  <si>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</si>
  <si>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</si>
  <si>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</si>
  <si>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</si>
  <si>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</si>
  <si>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</si>
  <si>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Mês a mês</t>
  </si>
  <si>
    <t>Tipo e ativo</t>
  </si>
  <si>
    <t>Total investido</t>
  </si>
  <si>
    <t>Valor Líquido  Recebido</t>
  </si>
  <si>
    <t>Mês a Mês</t>
  </si>
  <si>
    <t>Cotação</t>
  </si>
  <si>
    <t>Total Aportado</t>
  </si>
  <si>
    <t>Quantidade total</t>
  </si>
  <si>
    <t>Preço médio</t>
  </si>
  <si>
    <t>Valorização</t>
  </si>
  <si>
    <t>Valorização %</t>
  </si>
  <si>
    <t>Até qual data?</t>
  </si>
  <si>
    <t>Total atual</t>
  </si>
  <si>
    <t>Total aportado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</si>
  <si>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</si>
  <si>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</si>
  <si>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</si>
  <si>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</si>
  <si>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</si>
  <si>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</si>
  <si>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</si>
  <si>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</si>
  <si>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</si>
  <si>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</si>
  <si>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</si>
  <si>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</si>
  <si>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</si>
  <si>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</si>
  <si>
    <t>2025/06</t>
  </si>
  <si>
    <t>2025/07</t>
  </si>
  <si>
    <t>2025/08</t>
  </si>
  <si>
    <t>2025/09</t>
  </si>
  <si>
    <t>2025/10</t>
  </si>
  <si>
    <t>2025/11</t>
  </si>
  <si>
    <t>2025/12</t>
  </si>
  <si>
    <t>2026/01</t>
  </si>
  <si>
    <t>2026/02</t>
  </si>
  <si>
    <t>2026/03</t>
  </si>
  <si>
    <t>2026/04</t>
  </si>
  <si>
    <t>2026/05</t>
  </si>
  <si>
    <t>2026/06</t>
  </si>
  <si>
    <t>2026/07</t>
  </si>
  <si>
    <t>2026/08</t>
  </si>
  <si>
    <t>2026/09</t>
  </si>
  <si>
    <t>2026/10</t>
  </si>
  <si>
    <t>2026/11</t>
  </si>
  <si>
    <t>2026/12</t>
  </si>
  <si>
    <t>2027/01</t>
  </si>
  <si>
    <t>2027/02</t>
  </si>
  <si>
    <t>2027/03</t>
  </si>
  <si>
    <t>2027/04</t>
  </si>
  <si>
    <t>2027/05</t>
  </si>
  <si>
    <t>2027/06</t>
  </si>
  <si>
    <t>2027/07</t>
  </si>
  <si>
    <t>2027/08</t>
  </si>
  <si>
    <t>2027/09</t>
  </si>
  <si>
    <t>2027/10</t>
  </si>
  <si>
    <t>Carteira Atual</t>
  </si>
  <si>
    <t>Caixa:</t>
  </si>
  <si>
    <t>Até:</t>
  </si>
  <si>
    <t>Valores da caixa de combinação</t>
  </si>
  <si>
    <t>Tudo</t>
  </si>
  <si>
    <t>Ações</t>
  </si>
  <si>
    <t>Criptomoedas</t>
  </si>
  <si>
    <t>Entradas do usuário</t>
  </si>
  <si>
    <t>Caixa de combinação</t>
  </si>
  <si>
    <t>Valor em caixa</t>
  </si>
  <si>
    <t>Matriz auxiliar por tipo de ativo</t>
  </si>
  <si>
    <t>Carteira atual</t>
  </si>
  <si>
    <t>Inidicadores chave de desempenho (KPI)</t>
  </si>
  <si>
    <t>Gráfico: composição do patrimônio</t>
  </si>
  <si>
    <t>Caixa</t>
  </si>
  <si>
    <t>Gráfico: Maiores valores</t>
  </si>
  <si>
    <t>Ordem</t>
  </si>
  <si>
    <t>Valor</t>
  </si>
  <si>
    <t>Corresp</t>
  </si>
  <si>
    <t>Maiores valores (tudo)</t>
  </si>
  <si>
    <t>Maiores valores (FII)</t>
  </si>
  <si>
    <t>Maiores valores Ações</t>
  </si>
  <si>
    <t>Maiores valores Criptomoedas</t>
  </si>
  <si>
    <t>Gráfico: Maiores valorização %</t>
  </si>
  <si>
    <t>Maiores valorização% (tudo)</t>
  </si>
  <si>
    <t>Maiores valorização% Criptomoedas</t>
  </si>
  <si>
    <t>Maiores valorização% (FII)</t>
  </si>
  <si>
    <t>Maiores valorização%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</si>
</sst>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0.0000"/>
    <numFmt numFmtId="167" formatCode="0.000%"/>
    <numFmt numFmtId="168" formatCode="0.000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 tint="4.9989318521683403E-2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26"/>
      <color theme="1" tint="4.9989318521683403E-2"/>
      <name val="Aptos Narrow"/>
      <family val="2"/>
      <scheme val="minor"/>
    </font>
    <font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44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4" fontId="0" fillId="3" borderId="2" xfId="0" applyNumberFormat="1" applyFill="1" applyBorder="1"/>
    <xf numFmtId="167" fontId="0" fillId="0" borderId="0" xfId="1" applyNumberFormat="1" applyFont="1"/>
    <xf numFmtId="167" fontId="0" fillId="0" borderId="0" xfId="0" applyNumberFormat="1"/>
    <xf numFmtId="44" fontId="4" fillId="4" borderId="3" xfId="0" applyNumberFormat="1" applyFont="1" applyFill="1" applyBorder="1" applyAlignment="1">
      <alignment horizontal="center" vertical="center"/>
    </xf>
    <xf numFmtId="0" fontId="0" fillId="5" borderId="0" xfId="0" applyFill="1"/>
    <xf numFmtId="0" fontId="0" fillId="5" borderId="4" xfId="0" applyFill="1" applyBorder="1"/>
    <xf numFmtId="0" fontId="5" fillId="5" borderId="0" xfId="0" applyFont="1" applyFill="1" applyAlignment="1">
      <alignment horizontal="right" vertical="center"/>
    </xf>
    <xf numFmtId="0" fontId="0" fillId="6" borderId="0" xfId="0" applyFill="1"/>
    <xf numFmtId="2" fontId="0" fillId="5" borderId="0" xfId="0" applyNumberFormat="1" applyFill="1"/>
    <xf numFmtId="44" fontId="0" fillId="5" borderId="0" xfId="0" applyNumberFormat="1" applyFill="1"/>
    <xf numFmtId="167" fontId="0" fillId="5" borderId="0" xfId="1" applyNumberFormat="1" applyFont="1" applyFill="1"/>
    <xf numFmtId="168" fontId="0" fillId="5" borderId="0" xfId="1" applyNumberFormat="1" applyFont="1" applyFill="1"/>
    <xf numFmtId="0" fontId="3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0" fontId="4" fillId="4" borderId="3" xfId="0" quotePrefix="1" applyNumberFormat="1" applyFont="1" applyFill="1" applyBorder="1" applyAlignment="1">
      <alignment horizontal="center" vertical="center"/>
    </xf>
    <xf numFmtId="44" fontId="4" fillId="4" borderId="3" xfId="0" quotePrefix="1" applyNumberFormat="1" applyFont="1" applyFill="1" applyBorder="1" applyAlignment="1">
      <alignment vertical="center"/>
    </xf>
    <xf numFmtId="0" fontId="3" fillId="7" borderId="0" xfId="0" applyFont="1" applyFill="1"/>
    <xf numFmtId="0" fontId="0" fillId="6" borderId="0" xfId="0" applyFill="1" applyAlignment="1">
      <alignment horizontal="center"/>
    </xf>
    <xf numFmtId="14" fontId="5" fillId="5" borderId="0" xfId="0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 applyFill="1"/>
    <xf numFmtId="44" fontId="0" fillId="6" borderId="0" xfId="0" applyNumberFormat="1" applyFill="1" applyAlignment="1">
      <alignment horizontal="center"/>
    </xf>
    <xf numFmtId="44" fontId="0" fillId="6" borderId="0" xfId="0" applyNumberFormat="1" applyFill="1"/>
    <xf numFmtId="167" fontId="0" fillId="6" borderId="0" xfId="0" applyNumberFormat="1" applyFill="1"/>
    <xf numFmtId="168" fontId="0" fillId="6" borderId="0" xfId="0" applyNumberFormat="1" applyFill="1"/>
    <xf numFmtId="168" fontId="0" fillId="6" borderId="0" xfId="1" applyNumberFormat="1" applyFont="1" applyFill="1"/>
    <xf numFmtId="44" fontId="5" fillId="0" borderId="5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3" tint="0.749961851863155"/>
        </patternFill>
      </fill>
    </dxf>
    <dxf>
      <numFmt numFmtId="167" formatCode="0.000%"/>
    </dxf>
    <dxf>
      <numFmt numFmtId="167" formatCode="0.000%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167" formatCode="0.000%"/>
    </dxf>
    <dxf>
      <numFmt numFmtId="167" formatCode="0.000%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167" formatCode="0.000%"/>
    </dxf>
    <dxf>
      <numFmt numFmtId="167" formatCode="0.000%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9" formatCode="dd/mm/yyyy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0" formatCode="General"/>
    </dxf>
    <dxf>
      <numFmt numFmtId="19" formatCode="dd/mm/yyyy"/>
    </dxf>
    <dxf>
      <numFmt numFmtId="164" formatCode="_-[$R$-416]\ * #,##0.00_-;\-[$R$-416]\ * #,##0.00_-;_-[$R$-416]\ * &quot;-&quot;??_-;_-@_-"/>
    </dxf>
    <dxf>
      <numFmt numFmtId="30" formatCode="@"/>
    </dxf>
    <dxf>
      <numFmt numFmtId="30" formatCode="@"/>
    </dxf>
    <dxf>
      <numFmt numFmtId="30" formatCode="@"/>
    </dxf>
    <dxf>
      <numFmt numFmtId="34" formatCode="_-&quot;R$&quot;\ * #,##0.00_-;\-&quot;R$&quot;\ * #,##0.00_-;_-&quot;R$&quot;\ * &quot;-&quot;??_-;_-@_-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numFmt numFmtId="167" formatCode="0.000%"/>
    </dxf>
    <dxf>
      <numFmt numFmtId="167" formatCode="0.000%"/>
    </dxf>
    <dxf>
      <numFmt numFmtId="165" formatCode="&quot;R$&quot;\ #,##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2" formatCode="0.0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>
                <a:solidFill>
                  <a:sysClr val="windowText" lastClr="000000"/>
                </a:solidFill>
              </a:rPr>
              <a:t>Composição do patrimõnio</a:t>
            </a:r>
          </a:p>
        </c:rich>
      </c:tx>
      <c:layout>
        <c:manualLayout>
          <c:xMode val="edge"/>
          <c:yMode val="edge"/>
          <c:x val="0.10402930402930403"/>
          <c:y val="2.3240371845949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326391893321028E-2"/>
          <c:y val="0.20204980602524286"/>
          <c:w val="0.67734325827542352"/>
          <c:h val="0.85918806344859067"/>
        </c:manualLayout>
      </c:layout>
      <c:doughnutChart>
        <c:varyColors val="1"/>
        <c:ser>
          <c:idx val="0"/>
          <c:order val="0"/>
          <c:spPr>
            <a:ln>
              <a:solidFill>
                <a:sysClr val="windowText" lastClr="000000">
                  <a:lumMod val="25000"/>
                  <a:lumOff val="75000"/>
                  <a:alpha val="97000"/>
                </a:sysClr>
              </a:solidFill>
            </a:ln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ysClr val="windowText" lastClr="000000">
                    <a:lumMod val="25000"/>
                    <a:lumOff val="75000"/>
                    <a:alpha val="97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7F-4B40-B93F-1F7EA743FB4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ysClr val="windowText" lastClr="000000">
                    <a:lumMod val="25000"/>
                    <a:lumOff val="75000"/>
                    <a:alpha val="97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7F-4B40-B93F-1F7EA743FB4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ysClr val="windowText" lastClr="000000">
                    <a:lumMod val="25000"/>
                    <a:lumOff val="75000"/>
                    <a:alpha val="97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7F-4B40-B93F-1F7EA743FB4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ysClr val="windowText" lastClr="000000">
                    <a:lumMod val="25000"/>
                    <a:lumOff val="75000"/>
                    <a:alpha val="97000"/>
                  </a:sys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07F-4B40-B93F-1F7EA743FB4D}"/>
              </c:ext>
            </c:extLst>
          </c:dPt>
          <c:dLbls>
            <c:dLbl>
              <c:idx val="0"/>
              <c:layout>
                <c:manualLayout>
                  <c:x val="0"/>
                  <c:y val="-0.159362549800796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07F-4B40-B93F-1F7EA743FB4D}"/>
                </c:ext>
              </c:extLst>
            </c:dLbl>
            <c:dLbl>
              <c:idx val="1"/>
              <c:layout>
                <c:manualLayout>
                  <c:x val="0.17399267399267399"/>
                  <c:y val="-0.119521912350597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7F-4B40-B93F-1F7EA743FB4D}"/>
                </c:ext>
              </c:extLst>
            </c:dLbl>
            <c:dLbl>
              <c:idx val="2"/>
              <c:layout>
                <c:manualLayout>
                  <c:x val="8.5470085470085416E-2"/>
                  <c:y val="-6.640106241699867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7F-4B40-B93F-1F7EA743FB4D}"/>
                </c:ext>
              </c:extLst>
            </c:dLbl>
            <c:dLbl>
              <c:idx val="3"/>
              <c:layout>
                <c:manualLayout>
                  <c:x val="-0.21062271062271062"/>
                  <c:y val="-0.116201859229747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07F-4B40-B93F-1F7EA743FB4D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'Dashboard auxiliar'!$A$18:$A$21</c:f>
              <c:strCache>
                <c:ptCount val="4"/>
                <c:pt idx="0">
                  <c:v>Ações</c:v>
                </c:pt>
                <c:pt idx="1">
                  <c:v>FII</c:v>
                </c:pt>
                <c:pt idx="2">
                  <c:v>Criptomoedas</c:v>
                </c:pt>
                <c:pt idx="3">
                  <c:v>Caixa</c:v>
                </c:pt>
              </c:strCache>
            </c:strRef>
          </c:cat>
          <c:val>
            <c:numRef>
              <c:f>'Dashboard auxiliar'!$B$18:$B$21</c:f>
              <c:numCache>
                <c:formatCode>_("R$"* #,##0.00_);_("R$"* \(#,##0.00\);_("R$"* "-"??_);_(@_)</c:formatCode>
                <c:ptCount val="4"/>
                <c:pt idx="0">
                  <c:v>37971</c:v>
                </c:pt>
                <c:pt idx="1">
                  <c:v>7068.78</c:v>
                </c:pt>
                <c:pt idx="2">
                  <c:v>1303760</c:v>
                </c:pt>
                <c:pt idx="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7F-4B40-B93F-1F7EA743F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Maiores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 auxiliar'!$M$2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6"/>
              <c:layout>
                <c:manualLayout>
                  <c:x val="1.2232415902140617E-2"/>
                  <c:y val="-5.979491698482971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C0-406E-9718-9D98FC28AE3A}"/>
                </c:ext>
              </c:extLst>
            </c:dLbl>
            <c:dLbl>
              <c:idx val="9"/>
              <c:layout>
                <c:manualLayout>
                  <c:x val="-9.1743119266055051E-3"/>
                  <c:y val="-8.806262230919766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871559633027523"/>
                      <c:h val="8.14416177429876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5C0-406E-9718-9D98FC28AE3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'Dashboard auxiliar'!$L$3:$L$12</c:f>
              <c:strCache>
                <c:ptCount val="10"/>
                <c:pt idx="0">
                  <c:v>-</c:v>
                </c:pt>
                <c:pt idx="1">
                  <c:v>XPML11</c:v>
                </c:pt>
                <c:pt idx="2">
                  <c:v>KNCR11</c:v>
                </c:pt>
                <c:pt idx="3">
                  <c:v>HGRE11</c:v>
                </c:pt>
                <c:pt idx="4">
                  <c:v>HGLG11</c:v>
                </c:pt>
                <c:pt idx="5">
                  <c:v>ITSA4</c:v>
                </c:pt>
                <c:pt idx="6">
                  <c:v>BPAC11</c:v>
                </c:pt>
                <c:pt idx="7">
                  <c:v>WEGE3</c:v>
                </c:pt>
                <c:pt idx="8">
                  <c:v>PETR4</c:v>
                </c:pt>
                <c:pt idx="9">
                  <c:v>BTCBRL</c:v>
                </c:pt>
              </c:strCache>
            </c:strRef>
          </c:cat>
          <c:val>
            <c:numRef>
              <c:f>'Dashboard auxiliar'!$M$3:$M$12</c:f>
              <c:numCache>
                <c:formatCode>_("R$"* #,##0.00_);_("R$"* \(#,##0.00\);_("R$"* "-"??_);_(@_)</c:formatCode>
                <c:ptCount val="10"/>
                <c:pt idx="0">
                  <c:v>0</c:v>
                </c:pt>
                <c:pt idx="1">
                  <c:v>876.42</c:v>
                </c:pt>
                <c:pt idx="2">
                  <c:v>1758.96</c:v>
                </c:pt>
                <c:pt idx="3">
                  <c:v>1871.5</c:v>
                </c:pt>
                <c:pt idx="4">
                  <c:v>2561.8999999999996</c:v>
                </c:pt>
                <c:pt idx="5">
                  <c:v>2709</c:v>
                </c:pt>
                <c:pt idx="6">
                  <c:v>8664</c:v>
                </c:pt>
                <c:pt idx="7">
                  <c:v>11422</c:v>
                </c:pt>
                <c:pt idx="8">
                  <c:v>15176</c:v>
                </c:pt>
                <c:pt idx="9">
                  <c:v>1303760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0-406E-9718-9D98FC28A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65907536"/>
        <c:axId val="1058618895"/>
      </c:barChart>
      <c:catAx>
        <c:axId val="1565907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8618895"/>
        <c:crosses val="autoZero"/>
        <c:auto val="1"/>
        <c:lblAlgn val="ctr"/>
        <c:lblOffset val="100"/>
        <c:noMultiLvlLbl val="0"/>
      </c:catAx>
      <c:valAx>
        <c:axId val="1058618895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6590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Valorização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auxiliar'!$L$29:$L$38</c:f>
              <c:strCache>
                <c:ptCount val="10"/>
                <c:pt idx="0">
                  <c:v>HGLG11</c:v>
                </c:pt>
                <c:pt idx="1">
                  <c:v>ITSA4</c:v>
                </c:pt>
                <c:pt idx="2">
                  <c:v>BPAC11</c:v>
                </c:pt>
                <c:pt idx="3">
                  <c:v>PETR4</c:v>
                </c:pt>
                <c:pt idx="4">
                  <c:v>WEGE3</c:v>
                </c:pt>
                <c:pt idx="5">
                  <c:v>BTCBRL</c:v>
                </c:pt>
                <c:pt idx="6">
                  <c:v>HGLG11</c:v>
                </c:pt>
                <c:pt idx="7">
                  <c:v>HGLG11</c:v>
                </c:pt>
                <c:pt idx="8">
                  <c:v>HGLG11</c:v>
                </c:pt>
                <c:pt idx="9">
                  <c:v>HGLG11</c:v>
                </c:pt>
              </c:strCache>
            </c:strRef>
          </c:cat>
          <c:val>
            <c:numRef>
              <c:f>'Dashboard auxiliar'!$M$29:$M$38</c:f>
              <c:numCache>
                <c:formatCode>0.0000%</c:formatCode>
                <c:ptCount val="10"/>
                <c:pt idx="0">
                  <c:v>0</c:v>
                </c:pt>
                <c:pt idx="1">
                  <c:v>-1.0952902519167362E-2</c:v>
                </c:pt>
                <c:pt idx="2">
                  <c:v>-3.4506556245686992E-3</c:v>
                </c:pt>
                <c:pt idx="3">
                  <c:v>-2.628811777076745E-3</c:v>
                </c:pt>
                <c:pt idx="4">
                  <c:v>-1.7479461632581295E-3</c:v>
                </c:pt>
                <c:pt idx="5">
                  <c:v>-8.0536230151473376E-7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C-4088-8C22-563E022E03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50636144"/>
        <c:axId val="1450636624"/>
      </c:barChart>
      <c:catAx>
        <c:axId val="1450636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636624"/>
        <c:crosses val="autoZero"/>
        <c:auto val="1"/>
        <c:lblAlgn val="ctr"/>
        <c:lblOffset val="100"/>
        <c:noMultiLvlLbl val="0"/>
      </c:catAx>
      <c:valAx>
        <c:axId val="1450636624"/>
        <c:scaling>
          <c:orientation val="minMax"/>
        </c:scaling>
        <c:delete val="0"/>
        <c:axPos val="b"/>
        <c:numFmt formatCode="0.0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06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'Dashboard auxiliar'!$B$8" fmlaRange="'Dashboard auxiliar'!$B$2:$B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30480</xdr:rowOff>
        </xdr:from>
        <xdr:to>
          <xdr:col>1</xdr:col>
          <xdr:colOff>2103120</xdr:colOff>
          <xdr:row>0</xdr:row>
          <xdr:rowOff>464820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83820</xdr:colOff>
      <xdr:row>3</xdr:row>
      <xdr:rowOff>45720</xdr:rowOff>
    </xdr:from>
    <xdr:to>
      <xdr:col>4</xdr:col>
      <xdr:colOff>1447800</xdr:colOff>
      <xdr:row>18</xdr:row>
      <xdr:rowOff>99060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D36355-6654-4F16-8A16-23FB399D5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716280</xdr:colOff>
      <xdr:row>3</xdr:row>
      <xdr:rowOff>45720</xdr:rowOff>
    </xdr:from>
    <xdr:to>
      <xdr:col>6</xdr:col>
      <xdr:colOff>647700</xdr:colOff>
      <xdr:row>17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8FC201-0E8D-495D-BE0E-5476485DB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640080</xdr:colOff>
      <xdr:row>3</xdr:row>
      <xdr:rowOff>45720</xdr:rowOff>
    </xdr:from>
    <xdr:to>
      <xdr:col>9</xdr:col>
      <xdr:colOff>381000</xdr:colOff>
      <xdr:row>18</xdr:row>
      <xdr:rowOff>53340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B4C5FEE-6CB6-4798-A606-C9E26C275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muel Leander Vieira" id="{8E5F83C4-BA24-4AF9-BD1D-11E95B41D045}" userId="90e21ca1f43d440d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Leander Vieira" refreshedDate="45642.914966898148" createdVersion="8" refreshedVersion="8" minRefreshableVersion="3" recordCount="70" xr:uid="{ED10EB0F-10F9-486D-988E-90B95C289BED}">
  <cacheSource type="worksheet">
    <worksheetSource name="TabelaProventos"/>
  </cacheSource>
  <cacheFields count="9">
    <cacheField name="Cod" numFmtId="0">
      <sharedItems containsSemiMixedTypes="0" containsString="0" containsNumber="1" containsInteger="1" minValue="13" maxValue="50"/>
    </cacheField>
    <cacheField name="Ativo" numFmtId="49">
      <sharedItems count="8">
        <s v="ITSA4"/>
        <s v="HGLG11"/>
        <s v="HGRE11"/>
        <s v="KNCR11"/>
        <s v="PETR4"/>
        <s v="BPAC11"/>
        <s v="XPML11"/>
        <s v="WEGE3"/>
      </sharedItems>
    </cacheField>
    <cacheField name="Qte" numFmtId="0">
      <sharedItems containsSemiMixedTypes="0" containsString="0" containsNumber="1" containsInteger="1" minValue="100" maxValue="100"/>
    </cacheField>
    <cacheField name=" Valor Bruto " numFmtId="44">
      <sharedItems containsMixedTypes="1" containsNumber="1" minValue="34.770000000000003" maxValue="180.6"/>
    </cacheField>
    <cacheField name=" IR " numFmtId="44">
      <sharedItems containsMixedTypes="1" containsNumber="1" minValue="1.03" maxValue="6"/>
    </cacheField>
    <cacheField name=" Valor Líquido " numFmtId="44">
      <sharedItems containsMixedTypes="1" containsNumber="1" minValue="34.770000000000003" maxValue="180.6"/>
    </cacheField>
    <cacheField name="Data" numFmtId="14">
      <sharedItems containsSemiMixedTypes="0" containsNonDate="0" containsDate="1" containsString="0" minDate="2022-01-10T00:00:00" maxDate="2027-10-11T00:00:00"/>
    </cacheField>
    <cacheField name="Ano/Mês" numFmtId="44">
      <sharedItems count="82">
        <s v="2022/01"/>
        <s v="2022/02"/>
        <s v="2022/03"/>
        <s v="2022/04"/>
        <s v="2022/05"/>
        <s v="2022/06"/>
        <s v="2022/07"/>
        <s v="2022/08"/>
        <s v="2022/09"/>
        <s v="2022/10"/>
        <s v="2022/11"/>
        <s v="2022/12"/>
        <s v="2023/01"/>
        <s v="2023/02"/>
        <s v="2023/03"/>
        <s v="2023/04"/>
        <s v="2023/05"/>
        <s v="2023/06"/>
        <s v="2023/07"/>
        <s v="2023/08"/>
        <s v="2023/09"/>
        <s v="2023/10"/>
        <s v="2023/11"/>
        <s v="2023/12"/>
        <s v="2024/01"/>
        <s v="2024/02"/>
        <s v="2024/03"/>
        <s v="2024/04"/>
        <s v="2024/05"/>
        <s v="2024/06"/>
        <s v="2024/07"/>
        <s v="2024/08"/>
        <s v="2024/09"/>
        <s v="2024/10"/>
        <s v="2024/11"/>
        <s v="2024/12"/>
        <s v="2025/01"/>
        <s v="2025/02"/>
        <s v="2025/03"/>
        <s v="2025/04"/>
        <s v="2025/05"/>
        <s v="2025/06"/>
        <s v="2025/07"/>
        <s v="2025/08"/>
        <s v="2025/09"/>
        <s v="2025/10"/>
        <s v="2025/11"/>
        <s v="2025/12"/>
        <s v="2026/01"/>
        <s v="2026/02"/>
        <s v="2026/03"/>
        <s v="2026/04"/>
        <s v="2026/05"/>
        <s v="2026/06"/>
        <s v="2026/07"/>
        <s v="2026/08"/>
        <s v="2026/09"/>
        <s v="2026/10"/>
        <s v="2026/11"/>
        <s v="2026/12"/>
        <s v="2027/01"/>
        <s v="2027/02"/>
        <s v="2027/03"/>
        <s v="2027/04"/>
        <s v="2027/05"/>
        <s v="2027/06"/>
        <s v="2027/07"/>
        <s v="2027/08"/>
        <s v="2027/09"/>
        <s v="2027/10"/>
        <s v="2018/12" u="1"/>
        <s v="2019/01" u="1"/>
        <s v="2019/02" u="1"/>
        <s v="2019/03" u="1"/>
        <s v="2019/04" u="1"/>
        <s v="2019/05" u="1"/>
        <s v="2019/06" u="1"/>
        <s v="2019/07" u="1"/>
        <s v="2019/08" u="1"/>
        <s v="2019/09" u="1"/>
        <s v="2019/10" u="1"/>
        <s v="2020/01" u="1"/>
      </sharedItems>
    </cacheField>
    <cacheField name="Tipo" numFmtId="44">
      <sharedItems count="2">
        <s v="Empresa"/>
        <s v="F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 Leander Vieira" refreshedDate="45642.914967129633" createdVersion="8" refreshedVersion="8" minRefreshableVersion="3" recordCount="28" xr:uid="{F60FBF42-3B28-4877-B8FE-507086B555C2}">
  <cacheSource type="worksheet">
    <worksheetSource name="TabelaAportes"/>
  </cacheSource>
  <cacheFields count="10">
    <cacheField name="Data" numFmtId="14">
      <sharedItems containsSemiMixedTypes="0" containsNonDate="0" containsDate="1" containsString="0" minDate="2021-12-10T00:00:00" maxDate="2024-03-11T00:00:00"/>
    </cacheField>
    <cacheField name="Ativo" numFmtId="0">
      <sharedItems count="9">
        <s v="ITSA4"/>
        <s v="BPAC11"/>
        <s v="PETR4"/>
        <s v="HGLG11"/>
        <s v="HGRE11"/>
        <s v="BTCBRL"/>
        <s v="XPML11"/>
        <s v="KNCR11"/>
        <s v="WEGE3"/>
      </sharedItems>
    </cacheField>
    <cacheField name="Quantidad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9.0299999999999994" maxValue="651880"/>
    </cacheField>
    <cacheField name="Custo" numFmtId="165">
      <sharedItems containsSemiMixedTypes="0" containsString="0" containsNumber="1" minValue="0" maxValue="10"/>
    </cacheField>
    <cacheField name="Total" numFmtId="44">
      <sharedItems containsSemiMixedTypes="0" containsString="0" containsNumber="1" minValue="97.38" maxValue="651880.6"/>
    </cacheField>
    <cacheField name="Tipo" numFmtId="0">
      <sharedItems count="3">
        <s v="Empresa"/>
        <s v="FII"/>
        <s v="Criptomoeda"/>
      </sharedItems>
    </cacheField>
    <cacheField name="Ano" numFmtId="0">
      <sharedItems containsSemiMixedTypes="0" containsString="0" containsNumber="1" containsInteger="1" minValue="2021" maxValue="2024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28">
        <s v="2021/12"/>
        <s v="2022/01"/>
        <s v="2022/02"/>
        <s v="2022/03"/>
        <s v="2022/04"/>
        <s v="2022/05"/>
        <s v="2022/06"/>
        <s v="2022/07"/>
        <s v="2022/08"/>
        <s v="2022/09"/>
        <s v="2022/10"/>
        <s v="2022/11"/>
        <s v="2022/12"/>
        <s v="2023/01"/>
        <s v="2023/02"/>
        <s v="2023/03"/>
        <s v="2023/04"/>
        <s v="2023/05"/>
        <s v="2023/06"/>
        <s v="2023/07"/>
        <s v="2023/08"/>
        <s v="2023/09"/>
        <s v="2023/10"/>
        <s v="2023/11"/>
        <s v="2023/12"/>
        <s v="2024/01"/>
        <s v="2024/02"/>
        <s v="2024/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3"/>
    <x v="0"/>
    <n v="100"/>
    <n v="39.479999999999997"/>
    <s v=" R$                    -  "/>
    <n v="39.479999999999997"/>
    <d v="2022-01-10T00:00:00"/>
    <x v="0"/>
    <x v="0"/>
  </r>
  <r>
    <n v="14"/>
    <x v="1"/>
    <n v="100"/>
    <n v="63"/>
    <s v=" R$                    -  "/>
    <n v="63"/>
    <d v="2022-02-10T00:00:00"/>
    <x v="1"/>
    <x v="1"/>
  </r>
  <r>
    <n v="14"/>
    <x v="1"/>
    <n v="100"/>
    <n v="81"/>
    <s v=" R$                    -  "/>
    <n v="81"/>
    <d v="2022-03-10T00:00:00"/>
    <x v="2"/>
    <x v="1"/>
  </r>
  <r>
    <n v="14"/>
    <x v="2"/>
    <n v="100"/>
    <n v="38.89"/>
    <s v=" R$                    -  "/>
    <n v="38.89"/>
    <d v="2022-04-10T00:00:00"/>
    <x v="3"/>
    <x v="1"/>
  </r>
  <r>
    <n v="14"/>
    <x v="3"/>
    <n v="100"/>
    <n v="34.770000000000003"/>
    <s v=" R$                    -  "/>
    <n v="34.770000000000003"/>
    <d v="2022-05-10T00:00:00"/>
    <x v="4"/>
    <x v="1"/>
  </r>
  <r>
    <n v="13"/>
    <x v="4"/>
    <n v="100"/>
    <n v="67"/>
    <n v="6"/>
    <n v="61"/>
    <d v="2022-06-10T00:00:00"/>
    <x v="5"/>
    <x v="0"/>
  </r>
  <r>
    <n v="14"/>
    <x v="1"/>
    <n v="100"/>
    <n v="75.709999999999994"/>
    <s v=" R$                    -  "/>
    <n v="75.709999999999994"/>
    <d v="2022-07-10T00:00:00"/>
    <x v="6"/>
    <x v="1"/>
  </r>
  <r>
    <n v="14"/>
    <x v="1"/>
    <n v="100"/>
    <n v="39.36"/>
    <s v=" R$                    -  "/>
    <n v="39.36"/>
    <d v="2022-08-10T00:00:00"/>
    <x v="7"/>
    <x v="1"/>
  </r>
  <r>
    <n v="14"/>
    <x v="2"/>
    <n v="100"/>
    <n v="51.8"/>
    <s v=" R$                    -  "/>
    <n v="51.8"/>
    <d v="2022-09-10T00:00:00"/>
    <x v="8"/>
    <x v="1"/>
  </r>
  <r>
    <n v="14"/>
    <x v="3"/>
    <n v="100"/>
    <n v="61.75"/>
    <s v=" R$                    -  "/>
    <n v="61.75"/>
    <d v="2022-10-10T00:00:00"/>
    <x v="9"/>
    <x v="1"/>
  </r>
  <r>
    <n v="13"/>
    <x v="0"/>
    <n v="100"/>
    <n v="65.430000000000007"/>
    <s v=" R$                    -  "/>
    <n v="65.430000000000007"/>
    <d v="2022-11-10T00:00:00"/>
    <x v="10"/>
    <x v="0"/>
  </r>
  <r>
    <n v="50"/>
    <x v="5"/>
    <n v="100"/>
    <s v=" R$                        -  "/>
    <s v=" R$                    -  "/>
    <s v=" R$                         -  "/>
    <d v="2022-12-10T00:00:00"/>
    <x v="11"/>
    <x v="0"/>
  </r>
  <r>
    <n v="14"/>
    <x v="1"/>
    <n v="100"/>
    <n v="61"/>
    <s v=" R$                    -  "/>
    <n v="61"/>
    <d v="2023-01-10T00:00:00"/>
    <x v="12"/>
    <x v="1"/>
  </r>
  <r>
    <n v="14"/>
    <x v="1"/>
    <n v="100"/>
    <n v="99"/>
    <s v=" R$                    -  "/>
    <n v="99"/>
    <d v="2023-02-10T00:00:00"/>
    <x v="13"/>
    <x v="1"/>
  </r>
  <r>
    <n v="14"/>
    <x v="2"/>
    <n v="100"/>
    <n v="99.9"/>
    <s v=" R$                    -  "/>
    <n v="99.9"/>
    <d v="2023-03-10T00:00:00"/>
    <x v="14"/>
    <x v="1"/>
  </r>
  <r>
    <n v="14"/>
    <x v="3"/>
    <n v="100"/>
    <n v="98.42"/>
    <s v=" R$                    -  "/>
    <n v="98.42"/>
    <d v="2023-04-10T00:00:00"/>
    <x v="15"/>
    <x v="1"/>
  </r>
  <r>
    <n v="13"/>
    <x v="6"/>
    <n v="100"/>
    <n v="166"/>
    <n v="2.34"/>
    <n v="163.66"/>
    <d v="2023-05-10T00:00:00"/>
    <x v="16"/>
    <x v="1"/>
  </r>
  <r>
    <n v="14"/>
    <x v="1"/>
    <n v="100"/>
    <n v="37.44"/>
    <s v=" R$                    -  "/>
    <n v="37.44"/>
    <d v="2023-06-10T00:00:00"/>
    <x v="17"/>
    <x v="1"/>
  </r>
  <r>
    <n v="14"/>
    <x v="1"/>
    <n v="100"/>
    <n v="52.02"/>
    <s v=" R$                    -  "/>
    <n v="52.02"/>
    <d v="2023-07-10T00:00:00"/>
    <x v="18"/>
    <x v="1"/>
  </r>
  <r>
    <n v="14"/>
    <x v="2"/>
    <n v="100"/>
    <n v="42.14"/>
    <s v=" R$                    -  "/>
    <n v="42.14"/>
    <d v="2023-08-10T00:00:00"/>
    <x v="19"/>
    <x v="1"/>
  </r>
  <r>
    <n v="14"/>
    <x v="3"/>
    <n v="100"/>
    <n v="177.12"/>
    <s v=" R$                    -  "/>
    <n v="177.12"/>
    <d v="2023-09-10T00:00:00"/>
    <x v="20"/>
    <x v="1"/>
  </r>
  <r>
    <n v="13"/>
    <x v="0"/>
    <n v="100"/>
    <n v="162.75"/>
    <s v=" R$                    -  "/>
    <n v="162.75"/>
    <d v="2023-10-10T00:00:00"/>
    <x v="21"/>
    <x v="0"/>
  </r>
  <r>
    <n v="14"/>
    <x v="1"/>
    <n v="100"/>
    <n v="61"/>
    <s v=" R$                    -  "/>
    <n v="61"/>
    <d v="2023-11-10T00:00:00"/>
    <x v="22"/>
    <x v="1"/>
  </r>
  <r>
    <n v="14"/>
    <x v="1"/>
    <n v="100"/>
    <n v="180.6"/>
    <s v=" R$                    -  "/>
    <n v="180.6"/>
    <d v="2023-12-10T00:00:00"/>
    <x v="23"/>
    <x v="1"/>
  </r>
  <r>
    <n v="14"/>
    <x v="2"/>
    <n v="100"/>
    <n v="38.4"/>
    <s v=" R$                    -  "/>
    <n v="38.4"/>
    <d v="2024-01-10T00:00:00"/>
    <x v="24"/>
    <x v="1"/>
  </r>
  <r>
    <n v="14"/>
    <x v="3"/>
    <n v="100"/>
    <n v="153.18"/>
    <s v=" R$                    -  "/>
    <n v="153.18"/>
    <d v="2024-02-10T00:00:00"/>
    <x v="25"/>
    <x v="1"/>
  </r>
  <r>
    <n v="13"/>
    <x v="7"/>
    <n v="100"/>
    <n v="156.13999999999999"/>
    <s v=" R$                    -  "/>
    <n v="156.13999999999999"/>
    <d v="2024-03-10T00:00:00"/>
    <x v="26"/>
    <x v="0"/>
  </r>
  <r>
    <n v="14"/>
    <x v="1"/>
    <n v="100"/>
    <n v="61"/>
    <s v=" R$                    -  "/>
    <n v="61"/>
    <d v="2024-04-10T00:00:00"/>
    <x v="27"/>
    <x v="1"/>
  </r>
  <r>
    <n v="14"/>
    <x v="1"/>
    <n v="100"/>
    <n v="99"/>
    <s v=" R$                    -  "/>
    <n v="99"/>
    <d v="2024-05-10T00:00:00"/>
    <x v="28"/>
    <x v="1"/>
  </r>
  <r>
    <n v="14"/>
    <x v="2"/>
    <n v="100"/>
    <n v="99.9"/>
    <s v=" R$                    -  "/>
    <n v="99.9"/>
    <d v="2024-06-10T00:00:00"/>
    <x v="29"/>
    <x v="1"/>
  </r>
  <r>
    <n v="14"/>
    <x v="3"/>
    <n v="100"/>
    <n v="98.42"/>
    <s v=" R$                    -  "/>
    <n v="98.42"/>
    <d v="2024-07-10T00:00:00"/>
    <x v="30"/>
    <x v="1"/>
  </r>
  <r>
    <n v="13"/>
    <x v="0"/>
    <n v="100"/>
    <n v="166"/>
    <s v=" R$                    -  "/>
    <n v="166"/>
    <d v="2024-08-10T00:00:00"/>
    <x v="31"/>
    <x v="0"/>
  </r>
  <r>
    <n v="14"/>
    <x v="1"/>
    <n v="100"/>
    <n v="37.44"/>
    <s v=" R$                    -  "/>
    <n v="37.44"/>
    <d v="2024-09-10T00:00:00"/>
    <x v="32"/>
    <x v="1"/>
  </r>
  <r>
    <n v="14"/>
    <x v="1"/>
    <n v="100"/>
    <n v="52.02"/>
    <s v=" R$                    -  "/>
    <n v="52.02"/>
    <d v="2024-10-10T00:00:00"/>
    <x v="33"/>
    <x v="1"/>
  </r>
  <r>
    <n v="14"/>
    <x v="2"/>
    <n v="100"/>
    <n v="42.14"/>
    <s v=" R$                    -  "/>
    <n v="42.14"/>
    <d v="2024-11-10T00:00:00"/>
    <x v="34"/>
    <x v="1"/>
  </r>
  <r>
    <n v="14"/>
    <x v="3"/>
    <n v="100"/>
    <n v="177.12"/>
    <s v=" R$                    -  "/>
    <n v="177.12"/>
    <d v="2024-12-10T00:00:00"/>
    <x v="35"/>
    <x v="1"/>
  </r>
  <r>
    <n v="13"/>
    <x v="4"/>
    <n v="100"/>
    <n v="162.75"/>
    <s v=" R$                    -  "/>
    <n v="162.75"/>
    <d v="2025-01-10T00:00:00"/>
    <x v="36"/>
    <x v="0"/>
  </r>
  <r>
    <n v="14"/>
    <x v="1"/>
    <n v="100"/>
    <n v="61"/>
    <s v=" R$                    -  "/>
    <n v="61"/>
    <d v="2025-02-10T00:00:00"/>
    <x v="37"/>
    <x v="1"/>
  </r>
  <r>
    <n v="14"/>
    <x v="1"/>
    <n v="100"/>
    <n v="180.6"/>
    <s v=" R$                    -  "/>
    <n v="180.6"/>
    <d v="2025-03-10T00:00:00"/>
    <x v="38"/>
    <x v="1"/>
  </r>
  <r>
    <n v="14"/>
    <x v="2"/>
    <n v="100"/>
    <n v="38.4"/>
    <s v=" R$                    -  "/>
    <n v="38.4"/>
    <d v="2025-04-10T00:00:00"/>
    <x v="39"/>
    <x v="1"/>
  </r>
  <r>
    <n v="14"/>
    <x v="3"/>
    <n v="100"/>
    <n v="153.18"/>
    <s v=" R$                    -  "/>
    <n v="153.18"/>
    <d v="2025-05-10T00:00:00"/>
    <x v="40"/>
    <x v="1"/>
  </r>
  <r>
    <n v="13"/>
    <x v="6"/>
    <n v="100"/>
    <n v="156.13999999999999"/>
    <s v=" R$                    -  "/>
    <n v="156.13999999999999"/>
    <d v="2025-06-10T00:00:00"/>
    <x v="41"/>
    <x v="1"/>
  </r>
  <r>
    <n v="14"/>
    <x v="1"/>
    <n v="100"/>
    <n v="61"/>
    <n v="1.03"/>
    <n v="59.97"/>
    <d v="2025-07-10T00:00:00"/>
    <x v="42"/>
    <x v="1"/>
  </r>
  <r>
    <n v="14"/>
    <x v="1"/>
    <n v="100"/>
    <n v="99"/>
    <s v=" R$                    -  "/>
    <n v="99"/>
    <d v="2025-08-10T00:00:00"/>
    <x v="43"/>
    <x v="1"/>
  </r>
  <r>
    <n v="14"/>
    <x v="2"/>
    <n v="100"/>
    <n v="99.9"/>
    <s v=" R$                    -  "/>
    <n v="99.9"/>
    <d v="2025-09-10T00:00:00"/>
    <x v="44"/>
    <x v="1"/>
  </r>
  <r>
    <n v="14"/>
    <x v="3"/>
    <n v="100"/>
    <n v="98.42"/>
    <s v=" R$                    -  "/>
    <n v="98.42"/>
    <d v="2025-10-10T00:00:00"/>
    <x v="45"/>
    <x v="1"/>
  </r>
  <r>
    <n v="14"/>
    <x v="1"/>
    <n v="100"/>
    <n v="37.44"/>
    <s v=" R$                    -  "/>
    <n v="37.44"/>
    <d v="2025-11-10T00:00:00"/>
    <x v="46"/>
    <x v="1"/>
  </r>
  <r>
    <n v="14"/>
    <x v="1"/>
    <n v="100"/>
    <n v="52.02"/>
    <s v=" R$                    -  "/>
    <n v="52.02"/>
    <d v="2025-12-10T00:00:00"/>
    <x v="47"/>
    <x v="1"/>
  </r>
  <r>
    <n v="14"/>
    <x v="2"/>
    <n v="100"/>
    <n v="42.14"/>
    <s v=" R$                    -  "/>
    <n v="42.14"/>
    <d v="2026-01-10T00:00:00"/>
    <x v="48"/>
    <x v="1"/>
  </r>
  <r>
    <n v="14"/>
    <x v="3"/>
    <n v="100"/>
    <n v="177.12"/>
    <s v=" R$                    -  "/>
    <n v="177.12"/>
    <d v="2026-02-10T00:00:00"/>
    <x v="49"/>
    <x v="1"/>
  </r>
  <r>
    <n v="13"/>
    <x v="0"/>
    <n v="100"/>
    <n v="162.75"/>
    <s v=" R$                    -  "/>
    <n v="162.75"/>
    <d v="2026-03-10T00:00:00"/>
    <x v="50"/>
    <x v="0"/>
  </r>
  <r>
    <n v="14"/>
    <x v="1"/>
    <n v="100"/>
    <n v="61"/>
    <s v=" R$                    -  "/>
    <n v="61"/>
    <d v="2026-04-10T00:00:00"/>
    <x v="51"/>
    <x v="1"/>
  </r>
  <r>
    <n v="14"/>
    <x v="1"/>
    <n v="100"/>
    <n v="180.6"/>
    <s v=" R$                    -  "/>
    <n v="180.6"/>
    <d v="2026-05-10T00:00:00"/>
    <x v="52"/>
    <x v="1"/>
  </r>
  <r>
    <n v="14"/>
    <x v="2"/>
    <n v="100"/>
    <n v="38.4"/>
    <s v=" R$                    -  "/>
    <n v="38.4"/>
    <d v="2026-06-10T00:00:00"/>
    <x v="53"/>
    <x v="1"/>
  </r>
  <r>
    <n v="14"/>
    <x v="3"/>
    <n v="100"/>
    <n v="153.18"/>
    <s v=" R$                    -  "/>
    <n v="153.18"/>
    <d v="2026-07-10T00:00:00"/>
    <x v="54"/>
    <x v="1"/>
  </r>
  <r>
    <n v="13"/>
    <x v="7"/>
    <n v="100"/>
    <n v="156.13999999999999"/>
    <s v=" R$                    -  "/>
    <n v="156.13999999999999"/>
    <d v="2026-08-10T00:00:00"/>
    <x v="55"/>
    <x v="0"/>
  </r>
  <r>
    <n v="14"/>
    <x v="1"/>
    <n v="100"/>
    <n v="61"/>
    <s v=" R$                    -  "/>
    <n v="61"/>
    <d v="2026-09-10T00:00:00"/>
    <x v="56"/>
    <x v="1"/>
  </r>
  <r>
    <n v="14"/>
    <x v="1"/>
    <n v="100"/>
    <n v="99"/>
    <s v=" R$                    -  "/>
    <n v="99"/>
    <d v="2026-10-10T00:00:00"/>
    <x v="57"/>
    <x v="1"/>
  </r>
  <r>
    <n v="14"/>
    <x v="2"/>
    <n v="100"/>
    <n v="99.9"/>
    <s v=" R$                    -  "/>
    <n v="99.9"/>
    <d v="2026-11-10T00:00:00"/>
    <x v="58"/>
    <x v="1"/>
  </r>
  <r>
    <n v="14"/>
    <x v="3"/>
    <n v="100"/>
    <n v="98.42"/>
    <s v=" R$                    -  "/>
    <n v="98.42"/>
    <d v="2026-12-10T00:00:00"/>
    <x v="59"/>
    <x v="1"/>
  </r>
  <r>
    <n v="13"/>
    <x v="0"/>
    <n v="100"/>
    <n v="166"/>
    <s v=" R$                    -  "/>
    <n v="166"/>
    <d v="2027-01-10T00:00:00"/>
    <x v="60"/>
    <x v="0"/>
  </r>
  <r>
    <n v="14"/>
    <x v="1"/>
    <n v="100"/>
    <n v="37.44"/>
    <s v=" R$                    -  "/>
    <n v="37.44"/>
    <d v="2027-02-10T00:00:00"/>
    <x v="61"/>
    <x v="1"/>
  </r>
  <r>
    <n v="14"/>
    <x v="1"/>
    <n v="100"/>
    <n v="52.02"/>
    <s v=" R$                    -  "/>
    <n v="52.02"/>
    <d v="2027-03-10T00:00:00"/>
    <x v="62"/>
    <x v="1"/>
  </r>
  <r>
    <n v="14"/>
    <x v="2"/>
    <n v="100"/>
    <n v="42.14"/>
    <s v=" R$                    -  "/>
    <n v="42.14"/>
    <d v="2027-04-10T00:00:00"/>
    <x v="63"/>
    <x v="1"/>
  </r>
  <r>
    <n v="14"/>
    <x v="3"/>
    <n v="100"/>
    <n v="177.12"/>
    <s v=" R$                    -  "/>
    <n v="177.12"/>
    <d v="2027-05-10T00:00:00"/>
    <x v="64"/>
    <x v="1"/>
  </r>
  <r>
    <n v="14"/>
    <x v="7"/>
    <n v="100"/>
    <n v="162.75"/>
    <s v=" R$                    -  "/>
    <n v="162.75"/>
    <d v="2027-06-10T00:00:00"/>
    <x v="65"/>
    <x v="0"/>
  </r>
  <r>
    <n v="14"/>
    <x v="1"/>
    <n v="100"/>
    <n v="61"/>
    <s v=" R$                    -  "/>
    <n v="61"/>
    <d v="2027-07-10T00:00:00"/>
    <x v="66"/>
    <x v="1"/>
  </r>
  <r>
    <n v="14"/>
    <x v="1"/>
    <n v="100"/>
    <n v="180.6"/>
    <s v=" R$                    -  "/>
    <n v="180.6"/>
    <d v="2027-08-10T00:00:00"/>
    <x v="67"/>
    <x v="1"/>
  </r>
  <r>
    <n v="14"/>
    <x v="2"/>
    <n v="100"/>
    <n v="38.4"/>
    <s v=" R$                    -  "/>
    <n v="38.4"/>
    <d v="2027-09-10T00:00:00"/>
    <x v="68"/>
    <x v="1"/>
  </r>
  <r>
    <n v="14"/>
    <x v="3"/>
    <n v="100"/>
    <n v="153.18"/>
    <s v=" R$                    -  "/>
    <n v="153.18"/>
    <d v="2027-10-10T00:00:00"/>
    <x v="6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d v="2021-12-10T00:00:00"/>
    <x v="0"/>
    <n v="100"/>
    <n v="9.0299999999999994"/>
    <n v="10"/>
    <n v="912.99999999999989"/>
    <x v="0"/>
    <n v="2021"/>
    <n v="12"/>
    <x v="0"/>
  </r>
  <r>
    <d v="2022-01-10T00:00:00"/>
    <x v="1"/>
    <n v="100"/>
    <n v="28.88"/>
    <n v="10"/>
    <n v="2898"/>
    <x v="0"/>
    <n v="2022"/>
    <n v="1"/>
    <x v="1"/>
  </r>
  <r>
    <d v="2022-02-10T00:00:00"/>
    <x v="2"/>
    <n v="100"/>
    <n v="37.94"/>
    <n v="10"/>
    <n v="3804"/>
    <x v="0"/>
    <n v="2022"/>
    <n v="2"/>
    <x v="2"/>
  </r>
  <r>
    <d v="2022-03-10T00:00:00"/>
    <x v="3"/>
    <n v="5"/>
    <n v="150.69999999999999"/>
    <n v="0"/>
    <n v="753.5"/>
    <x v="1"/>
    <n v="2022"/>
    <n v="3"/>
    <x v="3"/>
  </r>
  <r>
    <d v="2022-04-10T00:00:00"/>
    <x v="0"/>
    <n v="100"/>
    <n v="9.0299999999999994"/>
    <n v="10"/>
    <n v="912.99999999999989"/>
    <x v="0"/>
    <n v="2022"/>
    <n v="4"/>
    <x v="4"/>
  </r>
  <r>
    <d v="2022-05-10T00:00:00"/>
    <x v="4"/>
    <n v="8"/>
    <n v="98.5"/>
    <n v="0"/>
    <n v="788"/>
    <x v="1"/>
    <n v="2022"/>
    <n v="5"/>
    <x v="5"/>
  </r>
  <r>
    <d v="2022-06-10T00:00:00"/>
    <x v="5"/>
    <n v="1"/>
    <n v="651880"/>
    <n v="0.45"/>
    <n v="651880.44999999995"/>
    <x v="2"/>
    <n v="2022"/>
    <n v="6"/>
    <x v="6"/>
  </r>
  <r>
    <d v="2022-07-10T00:00:00"/>
    <x v="6"/>
    <n v="3"/>
    <n v="97.38"/>
    <n v="0"/>
    <n v="292.14"/>
    <x v="1"/>
    <n v="2022"/>
    <n v="7"/>
    <x v="7"/>
  </r>
  <r>
    <d v="2022-08-10T00:00:00"/>
    <x v="3"/>
    <n v="2"/>
    <n v="150.69999999999999"/>
    <n v="0"/>
    <n v="301.39999999999998"/>
    <x v="1"/>
    <n v="2022"/>
    <n v="8"/>
    <x v="8"/>
  </r>
  <r>
    <d v="2022-09-10T00:00:00"/>
    <x v="7"/>
    <n v="3"/>
    <n v="97.72"/>
    <n v="0"/>
    <n v="293.15999999999997"/>
    <x v="1"/>
    <n v="2022"/>
    <n v="9"/>
    <x v="9"/>
  </r>
  <r>
    <d v="2022-10-10T00:00:00"/>
    <x v="1"/>
    <n v="100"/>
    <n v="28.88"/>
    <n v="10"/>
    <n v="2898"/>
    <x v="0"/>
    <n v="2022"/>
    <n v="10"/>
    <x v="10"/>
  </r>
  <r>
    <d v="2022-11-10T00:00:00"/>
    <x v="8"/>
    <n v="100"/>
    <n v="57.11"/>
    <n v="10"/>
    <n v="5721"/>
    <x v="0"/>
    <n v="2022"/>
    <n v="11"/>
    <x v="11"/>
  </r>
  <r>
    <d v="2022-12-10T00:00:00"/>
    <x v="4"/>
    <n v="5"/>
    <n v="98.5"/>
    <n v="0"/>
    <n v="492.5"/>
    <x v="1"/>
    <n v="2022"/>
    <n v="12"/>
    <x v="12"/>
  </r>
  <r>
    <d v="2023-01-10T00:00:00"/>
    <x v="2"/>
    <n v="100"/>
    <n v="37.94"/>
    <n v="10"/>
    <n v="3804"/>
    <x v="0"/>
    <n v="2023"/>
    <n v="1"/>
    <x v="13"/>
  </r>
  <r>
    <d v="2023-02-10T00:00:00"/>
    <x v="5"/>
    <n v="1"/>
    <n v="651880"/>
    <n v="0.6"/>
    <n v="651880.6"/>
    <x v="2"/>
    <n v="2023"/>
    <n v="2"/>
    <x v="14"/>
  </r>
  <r>
    <d v="2023-03-10T00:00:00"/>
    <x v="6"/>
    <n v="1"/>
    <n v="97.38"/>
    <n v="0"/>
    <n v="97.38"/>
    <x v="1"/>
    <n v="2023"/>
    <n v="3"/>
    <x v="15"/>
  </r>
  <r>
    <d v="2023-04-10T00:00:00"/>
    <x v="3"/>
    <n v="7"/>
    <n v="150.69999999999999"/>
    <n v="0"/>
    <n v="1054.8999999999999"/>
    <x v="1"/>
    <n v="2023"/>
    <n v="4"/>
    <x v="16"/>
  </r>
  <r>
    <d v="2023-05-10T00:00:00"/>
    <x v="2"/>
    <n v="100"/>
    <n v="37.94"/>
    <n v="10"/>
    <n v="3804"/>
    <x v="0"/>
    <n v="2023"/>
    <n v="5"/>
    <x v="17"/>
  </r>
  <r>
    <d v="2023-06-10T00:00:00"/>
    <x v="1"/>
    <n v="100"/>
    <n v="28.88"/>
    <n v="10"/>
    <n v="2898"/>
    <x v="0"/>
    <n v="2023"/>
    <n v="6"/>
    <x v="18"/>
  </r>
  <r>
    <d v="2023-07-10T00:00:00"/>
    <x v="4"/>
    <n v="2"/>
    <n v="98.5"/>
    <n v="0"/>
    <n v="197"/>
    <x v="1"/>
    <n v="2023"/>
    <n v="7"/>
    <x v="19"/>
  </r>
  <r>
    <d v="2023-08-10T00:00:00"/>
    <x v="2"/>
    <n v="100"/>
    <n v="37.94"/>
    <n v="10"/>
    <n v="3804"/>
    <x v="0"/>
    <n v="2023"/>
    <n v="8"/>
    <x v="20"/>
  </r>
  <r>
    <d v="2023-09-10T00:00:00"/>
    <x v="6"/>
    <n v="5"/>
    <n v="97.38"/>
    <n v="0"/>
    <n v="486.9"/>
    <x v="1"/>
    <n v="2023"/>
    <n v="9"/>
    <x v="21"/>
  </r>
  <r>
    <d v="2023-10-10T00:00:00"/>
    <x v="0"/>
    <n v="100"/>
    <n v="9.0299999999999994"/>
    <n v="10"/>
    <n v="912.99999999999989"/>
    <x v="0"/>
    <n v="2023"/>
    <n v="10"/>
    <x v="22"/>
  </r>
  <r>
    <d v="2023-11-10T00:00:00"/>
    <x v="3"/>
    <n v="3"/>
    <n v="150.69999999999999"/>
    <n v="0"/>
    <n v="452.09999999999997"/>
    <x v="1"/>
    <n v="2023"/>
    <n v="11"/>
    <x v="23"/>
  </r>
  <r>
    <d v="2023-12-10T00:00:00"/>
    <x v="7"/>
    <n v="5"/>
    <n v="97.72"/>
    <n v="0"/>
    <n v="488.6"/>
    <x v="1"/>
    <n v="2023"/>
    <n v="12"/>
    <x v="24"/>
  </r>
  <r>
    <d v="2024-01-10T00:00:00"/>
    <x v="8"/>
    <n v="100"/>
    <n v="57.11"/>
    <n v="10"/>
    <n v="5721"/>
    <x v="0"/>
    <n v="2024"/>
    <n v="1"/>
    <x v="25"/>
  </r>
  <r>
    <d v="2024-02-10T00:00:00"/>
    <x v="7"/>
    <n v="10"/>
    <n v="97.72"/>
    <n v="0"/>
    <n v="977.2"/>
    <x v="1"/>
    <n v="2024"/>
    <n v="2"/>
    <x v="26"/>
  </r>
  <r>
    <d v="2024-03-10T00:00:00"/>
    <x v="4"/>
    <n v="4"/>
    <n v="98.5"/>
    <n v="0"/>
    <n v="394"/>
    <x v="1"/>
    <n v="2024"/>
    <n v="3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4F057-BA91-471A-B56D-C2A47D2A68FD}" name="Tabela dinâmica1" cacheId="4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e ativo" colHeaderCaption="Mês a mês">
  <location ref="A3:AD17" firstHeaderRow="1" firstDataRow="2" firstDataCol="1"/>
  <pivotFields count="10">
    <pivotField numFmtId="14" showAll="0"/>
    <pivotField axis="axisRow" showAll="0">
      <items count="10">
        <item x="1"/>
        <item x="5"/>
        <item x="3"/>
        <item x="4"/>
        <item x="0"/>
        <item x="7"/>
        <item x="2"/>
        <item x="8"/>
        <item x="6"/>
        <item t="default"/>
      </items>
    </pivotField>
    <pivotField showAll="0"/>
    <pivotField numFmtId="44" showAll="0"/>
    <pivotField numFmtId="165" showAll="0"/>
    <pivotField dataField="1" numFmtId="44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axis="axisCol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2">
    <field x="6"/>
    <field x="1"/>
  </rowFields>
  <rowItems count="13">
    <i>
      <x/>
    </i>
    <i r="1">
      <x v="1"/>
    </i>
    <i>
      <x v="1"/>
    </i>
    <i r="1">
      <x/>
    </i>
    <i r="1">
      <x v="4"/>
    </i>
    <i r="1">
      <x v="6"/>
    </i>
    <i r="1">
      <x v="7"/>
    </i>
    <i>
      <x v="2"/>
    </i>
    <i r="1">
      <x v="2"/>
    </i>
    <i r="1">
      <x v="3"/>
    </i>
    <i r="1">
      <x v="5"/>
    </i>
    <i r="1">
      <x v="8"/>
    </i>
    <i t="grand">
      <x/>
    </i>
  </rowItems>
  <colFields count="1">
    <field x="9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dataFields count="1">
    <dataField name="Total investido" fld="5" baseField="0" baseItem="0" numFmtId="44"/>
  </dataFields>
  <formats count="6">
    <format dxfId="59">
      <pivotArea outline="0" collapsedLevelsAreSubtotals="1" fieldPosition="0"/>
    </format>
    <format dxfId="58">
      <pivotArea dataOnly="0" labelOnly="1" fieldPosition="0">
        <references count="1">
          <reference field="9" count="0"/>
        </references>
      </pivotArea>
    </format>
    <format dxfId="57">
      <pivotArea dataOnly="0" labelOnly="1" grandCol="1" outline="0" fieldPosition="0"/>
    </format>
    <format dxfId="56">
      <pivotArea outline="0" collapsedLevelsAreSubtotals="1" fieldPosition="0"/>
    </format>
    <format dxfId="55">
      <pivotArea dataOnly="0" labelOnly="1" fieldPosition="0">
        <references count="1">
          <reference field="9" count="0"/>
        </references>
      </pivotArea>
    </format>
    <format dxfId="54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A0D4A-648E-429E-B48B-96203F0DC782}" name="Tabela dinâmica2" cacheId="4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ipo e ativo" colHeaderCaption="Mês a Mês">
  <location ref="A3:BT15" firstHeaderRow="1" firstDataRow="2" firstDataCol="1"/>
  <pivotFields count="9">
    <pivotField showAll="0"/>
    <pivotField axis="axisRow" showAll="0">
      <items count="9">
        <item x="5"/>
        <item x="1"/>
        <item x="2"/>
        <item x="0"/>
        <item x="3"/>
        <item x="4"/>
        <item x="7"/>
        <item x="6"/>
        <item t="default"/>
      </items>
    </pivotField>
    <pivotField showAll="0"/>
    <pivotField showAll="0"/>
    <pivotField showAll="0"/>
    <pivotField dataField="1" showAll="0"/>
    <pivotField numFmtId="14" showAll="0"/>
    <pivotField axis="axisCol" showAll="0">
      <items count="83"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8"/>
    <field x="1"/>
  </rowFields>
  <rowItems count="11">
    <i>
      <x/>
    </i>
    <i r="1">
      <x/>
    </i>
    <i r="1">
      <x v="3"/>
    </i>
    <i r="1">
      <x v="5"/>
    </i>
    <i r="1">
      <x v="6"/>
    </i>
    <i>
      <x v="1"/>
    </i>
    <i r="1">
      <x v="1"/>
    </i>
    <i r="1">
      <x v="2"/>
    </i>
    <i r="1">
      <x v="4"/>
    </i>
    <i r="1">
      <x v="7"/>
    </i>
    <i t="grand">
      <x/>
    </i>
  </rowItems>
  <colFields count="1">
    <field x="7"/>
  </colFields>
  <colItems count="71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colItems>
  <dataFields count="1">
    <dataField name="Valor Líquido  Recebido" fld="5" baseField="8" baseItem="0" numFmtId="44"/>
  </dataFields>
  <formats count="1">
    <format dxfId="5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6">
  <rv s="0">
    <v>https://www.bing.com/financeapi/forcetrigger?t=apm327&amp;q=BVMF%3aBPAC11&amp;form=skydnc</v>
    <v>Learn more on Bing</v>
  </rv>
  <rv s="1">
    <v>pt-BR</v>
    <v>apm327</v>
    <v>268435456</v>
    <v>1</v>
    <v>Da plataforma Refinitiv</v>
    <v>0</v>
    <v>1</v>
    <v>BCO BTG PACTUAL UNT (BVMF:BPAC11)</v>
    <v>3</v>
    <v>4</v>
    <v>Finance</v>
    <v>5</v>
    <v>38.14</v>
    <v>28.86</v>
    <v>BVMF</v>
    <v>30.36</v>
    <v>28.86</v>
    <v>B3 - Brazil Stock Exchange</v>
    <v>30.18</v>
    <v>45642.947916666664</v>
    <v>0</v>
    <v>BRL</v>
    <v>BCO BTG PACTUAL UNT</v>
    <v>30.33</v>
    <v>28.88</v>
    <v>BPAC11</v>
    <v>Fundos mais negociados</v>
    <v>BCO BTG PACTUAL UNT (BVMF:BPAC11)</v>
    <v>-1.3</v>
    <v>-4.3075000000000002E-2</v>
    <v>17574800</v>
  </rv>
  <rv s="2">
    <v>1</v>
  </rv>
  <rv s="3">
    <v>pt-BR</v>
    <v>bo8lf2</v>
    <v>268435456</v>
    <v>1</v>
    <v>Da plataforma Refinitiv</v>
    <v>6</v>
    <v>7</v>
    <v>BTC/BRL</v>
    <v>8</v>
    <v>9</v>
    <v>Finance</v>
    <v>10</v>
    <v>653620</v>
    <v>190947</v>
    <v>653620</v>
    <v>648266</v>
    <v>BTC</v>
    <v>652182</v>
    <v>45643.039918981478</v>
    <v>BRL</v>
    <v>Bitcoin/Brazilian Real FX Cross Rate</v>
    <v>652192</v>
    <v>651880</v>
    <v>BTCBRL</v>
    <v>Par de Moedas</v>
    <v>BTC/BRL</v>
    <v>-302</v>
    <v>-4.6309999999999998E-4</v>
  </rv>
  <rv s="2">
    <v>3</v>
  </rv>
  <rv s="0">
    <v>https://www.bing.com/financeapi/forcetrigger?t=apmqh7&amp;q=BVMF%3aHGLG11&amp;form=skydnc</v>
    <v>Learn more on Bing</v>
  </rv>
  <rv s="1">
    <v>pt-BR</v>
    <v>apmqh7</v>
    <v>268435456</v>
    <v>1</v>
    <v>Da plataforma Refinitiv</v>
    <v>0</v>
    <v>1</v>
    <v>FDO INV IMOB CSHG LOGISTICA CF (BVMF:HGLG11)</v>
    <v>3</v>
    <v>4</v>
    <v>Finance</v>
    <v>5</v>
    <v>160.49</v>
    <v>142</v>
    <v>BVMF</v>
    <v>152.59</v>
    <v>150.5</v>
    <v>B3 - Brazil Stock Exchange</v>
    <v>151.36000000000001</v>
    <v>45642.879166921091</v>
    <v>5</v>
    <v>BRL</v>
    <v>FDO INV IMOB CSHG LOGISTICA CF</v>
    <v>151.36000000000001</v>
    <v>150.69999999999999</v>
    <v>HGLG11</v>
    <v>Fundos mais negociados</v>
    <v>FDO INV IMOB CSHG LOGISTICA CF (BVMF:HGLG11)</v>
    <v>-0.66</v>
    <v>-4.3600000000000002E-3</v>
    <v>60722</v>
  </rv>
  <rv s="2">
    <v>6</v>
  </rv>
  <rv s="0">
    <v>https://www.bing.com/financeapi/forcetrigger?t=apmu8m&amp;q=BVMF%3aKNCR11&amp;form=skydnc</v>
    <v>Learn more on Bing</v>
  </rv>
  <rv s="1">
    <v>pt-BR</v>
    <v>apmu8m</v>
    <v>268435456</v>
    <v>1</v>
    <v>Da plataforma Refinitiv</v>
    <v>0</v>
    <v>1</v>
    <v>FDO INV IMOB KINEA RENDIMENTOS ETF (BVMF:KNCR11)</v>
    <v>3</v>
    <v>4</v>
    <v>Finance</v>
    <v>5</v>
    <v>104.3</v>
    <v>90.41</v>
    <v>BVMF</v>
    <v>98.72</v>
    <v>97.55</v>
    <v>B3 - Brazil Stock Exchange</v>
    <v>98.31</v>
    <v>45642.947916666664</v>
    <v>8</v>
    <v>BRL</v>
    <v>FDO INV IMOB KINEA RENDIMENTOS ETF</v>
    <v>98.31</v>
    <v>97.72</v>
    <v>KNCR11</v>
    <v>Fundos mais negociados</v>
    <v>FDO INV IMOB KINEA RENDIMENTOS ETF (BVMF:KNCR11)</v>
    <v>-0.59</v>
    <v>-6.0009999999999994E-3</v>
    <v>204652</v>
  </rv>
  <rv s="2">
    <v>9</v>
  </rv>
  <rv s="0">
    <v>https://www.bing.com/financeapi/forcetrigger?t=apms77&amp;q=BVMF%3aITSA4&amp;form=skydnc</v>
    <v>Learn more on Bing</v>
  </rv>
  <rv s="4">
    <v>pt-BR</v>
    <v>apms77</v>
    <v>268435456</v>
    <v>1</v>
    <v>Da plataforma Refinitiv</v>
    <v>11</v>
    <v>12</v>
    <v>ITAÚSA S.A. (BVMF:ITSA4)</v>
    <v>13</v>
    <v>14</v>
    <v>Finance</v>
    <v>5</v>
    <v>10.63</v>
    <v>8.74</v>
    <v>BVMF</v>
    <v>10844560000</v>
    <v>9.1999999999999993</v>
    <v>1966</v>
    <v>8.99</v>
    <v>1.002</v>
    <v>B3 - Brazil Stock Exchange</v>
    <v>99966340000</v>
    <v>Itausa Investimentos Itau SA é uma empresa sediada no Brasil e tem como atividade principal o setor bancário. As atividades da Companhia estão divididas em dois segmentos de negócios: Financeiro e Industrial. A divisão Financeiral concentra-se na gestão do Itau Unibanco Holding SA, uma instituição bancária que oferece produtos e serviços financeiros, como empréstimos, cartões de crédito, contas correntes, apólices de seguros, ferramentas de investimento, corretagem de valores mobiliários, consultoria de tesouraria e investimentos para clientes individuais e empresas. A divisão Industrial é responsável pela operação da Itautec SA, que fabrica equipamentos de automação comercial e bancária, além de prestar serviços de tecnologia da informação (TI); Duratex SA, que produz painéis de madeira, louças sanitárias e metais sanitários, e Alpargatas, que produz calçados sob as marcas Juntas, Havaianas e Dupe, entre outros.</v>
    <v>BVMF</v>
    <v>9.17</v>
    <v>127000</v>
    <v>45642.947916666664</v>
    <v>11</v>
    <v>31761250</v>
    <v>BRL</v>
    <v>ITAÚSA S.A.</v>
    <v>ITAÚSA S.A.</v>
    <v>9.18</v>
    <v>9.0299999999999994</v>
    <v>Avenida Paulista, 1938, 5 andar, Bela Vista, SAO PAULO, SAO PAULO, 01.310-200 BR</v>
    <v>Banking Services</v>
    <v>ITSA4</v>
    <v>Ações</v>
    <v>ITAÚSA S.A. (BVMF:ITSA4)</v>
    <v>-0.14000000000000001</v>
    <v>-1.5266999999999999E-2</v>
    <v>43519300</v>
  </rv>
  <rv s="2">
    <v>12</v>
  </rv>
  <rv s="0">
    <v>https://www.bing.com/financeapi/forcetrigger?t=apn4gh&amp;q=BVMF%3aPETR4&amp;form=skydnc</v>
    <v>Learn more on Bing</v>
  </rv>
  <rv s="4">
    <v>pt-BR</v>
    <v>apn4gh</v>
    <v>268435456</v>
    <v>1</v>
    <v>Da plataforma Refinitiv</v>
    <v>11</v>
    <v>12</v>
    <v>Petróleo Brasileiro S.A. (Petrobras) (BVMF:PETR4)</v>
    <v>13</v>
    <v>14</v>
    <v>Finance</v>
    <v>5</v>
    <v>39.200000000000003</v>
    <v>29.83</v>
    <v>BVMF</v>
    <v>13044500000</v>
    <v>38.26</v>
    <v>1953</v>
    <v>37.83</v>
    <v>1.2882</v>
    <v>B3 - Brazil Stock Exchange</v>
    <v>519099400000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38.1</v>
    <v>46730</v>
    <v>45642.947916666664</v>
    <v>14</v>
    <v>30080050</v>
    <v>BRL</v>
    <v>Petróleo Brasileiro S.A. (Petrobras)</v>
    <v>Petróleo Brasileiro S.A. (Petrobras)</v>
    <v>38.19</v>
    <v>37.94</v>
    <v>Av. Republica do Chile, n 65, 24 andar, Centro, RIO DE JANEIRO, RIO DE JANEIRO, 20.031-912 BR</v>
    <v>Oil &amp; Gas</v>
    <v>PETR4</v>
    <v>Ações</v>
    <v>Petróleo Brasileiro S.A. (Petrobras) (BVMF:PETR4)</v>
    <v>-0.16</v>
    <v>-4.1989999999999996E-3</v>
    <v>21349400</v>
  </rv>
  <rv s="2">
    <v>15</v>
  </rv>
  <rv s="0">
    <v>https://www.bing.com/financeapi/forcetrigger?t=apnlim&amp;q=BVMF%3aWEGE3&amp;form=skydnc</v>
    <v>Learn more on Bing</v>
  </rv>
  <rv s="4">
    <v>pt-BR</v>
    <v>apnlim</v>
    <v>268435456</v>
    <v>1</v>
    <v>Da plataforma Refinitiv</v>
    <v>11</v>
    <v>12</v>
    <v>WEG S.A. (BVMF:WEGE3)</v>
    <v>13</v>
    <v>14</v>
    <v>Finance</v>
    <v>5</v>
    <v>59.83</v>
    <v>31.57</v>
    <v>BVMF</v>
    <v>4197318000</v>
    <v>58.17</v>
    <v>1961</v>
    <v>57.11</v>
    <v>0.61050000000000004</v>
    <v>B3 - Brazil Stock Exchange</v>
    <v>239708830980</v>
    <v>A WEG SA é uma holding sediada no Brasil que tem por objetivo principal a fabricação de equipamentos e componentes elétricos. A Companhia atua, juntamente com suas subsidiárias, na fabricação e comercialização de mercadorias, tais como motores elétricos, geradores e transformadores; redutores, redutores de engrenagem, inversores de frequência, motores de partida e dispositivos de manobra; controle e proteção de circuitos elétricos e automação industrial; soluções de tração elétrica (terrestre e marítima); soluções para geração de energia renovável e distribuída, explorando todas as oportunidades em pequenas centrais hidrelétricas e fontes de biomassa térmica, eólica e solar; no-breaks e alternadores para grupos de geradores; subestações elétricas; sistemas de equipamentos elétricos e eletrônicos industriais e tintas e vernizes industriais. Atua no Brasil, Argentina, México, Estados Unidos, Portugal, Áustria, África do Sul, Índia e China. Opera por meio da Bluffton Motor Works LLC.</v>
    <v>BVMF</v>
    <v>57.66</v>
    <v>40793</v>
    <v>45642.947916666664</v>
    <v>17</v>
    <v>6671640</v>
    <v>BRL</v>
    <v>WEG S.A.</v>
    <v>WEG S.A.</v>
    <v>57.85</v>
    <v>57.11</v>
    <v>Av. Prefeito Waldemar Grubba,3300, Vila Lalau, JARAGUA DO SUL, SANTA CATARINA, 89.256-900 BR</v>
    <v>Machinery, Equipment &amp; Components</v>
    <v>WEGE3</v>
    <v>Ações</v>
    <v>WEG S.A. (BVMF:WEGE3)</v>
    <v>-0.55000000000000004</v>
    <v>-9.5389999999999989E-3</v>
    <v>5966200</v>
  </rv>
  <rv s="2">
    <v>18</v>
  </rv>
  <rv s="0">
    <v>https://www.bing.com/financeapi/forcetrigger?t=bgly3m&amp;q=BVMF%3aXPML11&amp;form=skydnc</v>
    <v>Learn more on Bing</v>
  </rv>
  <rv s="1">
    <v>pt-BR</v>
    <v>bgly3m</v>
    <v>268435456</v>
    <v>1</v>
    <v>Da plataforma Refinitiv</v>
    <v>0</v>
    <v>1</v>
    <v>XP MALLS FDO INV IMOB FII ETF (BVMF:XPML11)</v>
    <v>3</v>
    <v>4</v>
    <v>Finance</v>
    <v>5</v>
    <v>111.78</v>
    <v>90.32</v>
    <v>BVMF</v>
    <v>98.98</v>
    <v>97.01</v>
    <v>B3 - Brazil Stock Exchange</v>
    <v>97.65</v>
    <v>45642.947916666664</v>
    <v>20</v>
    <v>BRL</v>
    <v>XP MALLS FDO INV IMOB FII ETF</v>
    <v>97.81</v>
    <v>97.38</v>
    <v>XPML11</v>
    <v>Fundos mais negociados</v>
    <v>XP MALLS FDO INV IMOB FII ETF (BVMF:XPML11)</v>
    <v>-0.27</v>
    <v>-2.7650000000000001E-3</v>
    <v>166442</v>
  </rv>
  <rv s="2">
    <v>21</v>
  </rv>
  <rv s="0">
    <v>https://www.bing.com/financeapi/forcetrigger?t=apmqk2&amp;q=BVMF%3aHGRE11&amp;form=skydnc</v>
    <v>Learn more on Bing</v>
  </rv>
  <rv s="1">
    <v>pt-BR</v>
    <v>apmqk2</v>
    <v>268435456</v>
    <v>1</v>
    <v>Da plataforma Refinitiv</v>
    <v>0</v>
    <v>1</v>
    <v>HG REAL ESTATE FDO INV IMOB CF (BVMF:HGRE11)</v>
    <v>3</v>
    <v>4</v>
    <v>Finance</v>
    <v>5</v>
    <v>126.34</v>
    <v>93.5</v>
    <v>BVMF</v>
    <v>99</v>
    <v>97.2</v>
    <v>B3 - Brazil Stock Exchange</v>
    <v>98.69</v>
    <v>45642.947916666664</v>
    <v>23</v>
    <v>BRL</v>
    <v>HG REAL ESTATE FDO INV IMOB CF</v>
    <v>98.7</v>
    <v>98.5</v>
    <v>HGRE11</v>
    <v>Fundos mais negociados</v>
    <v>HG REAL ESTATE FDO INV IMOB CF (BVMF:HGRE11)</v>
    <v>-0.19</v>
    <v>-1.9250000000000001E-3</v>
    <v>20476</v>
  </rv>
  <rv s="2">
    <v>24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</rvStructures>
</file>

<file path=xl/richData/rdsupportingpropertybag.xml><?xml version="1.0" encoding="utf-8"?>
<supportingPropertyBags xmlns="http://schemas.microsoft.com/office/spreadsheetml/2017/richdata2">
  <spbArrays count="3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</spbArrays>
  <spbData count="15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7">
      <v>1</v>
      <v>Name</v>
    </spb>
    <spb s="8">
      <v>2</v>
      <v>2</v>
    </spb>
    <spb s="9">
      <v>1</v>
      <v>2</v>
      <v>1</v>
      <v>1</v>
      <v>1</v>
      <v>1</v>
      <v>4</v>
      <v>5</v>
      <v>1</v>
      <v>1</v>
      <v>1</v>
      <v>6</v>
    </spb>
    <spb s="10">
      <v>GMT</v>
    </spb>
    <spb s="11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2</v>
      <v>Name</v>
      <v>LearnMoreOnLink</v>
    </spb>
    <spb s="12">
      <v>2</v>
      <v>2</v>
      <v>2</v>
      <v>2</v>
    </spb>
    <spb s="13">
      <v>1</v>
      <v>7</v>
      <v>2</v>
      <v>1</v>
      <v>1</v>
      <v>3</v>
      <v>1</v>
      <v>1</v>
      <v>3</v>
      <v>4</v>
      <v>3</v>
      <v>5</v>
      <v>1</v>
      <v>1</v>
      <v>8</v>
      <v>3</v>
      <v>1</v>
      <v>9</v>
      <v>6</v>
    </spb>
  </spbData>
</supportingPropertyBags>
</file>

<file path=xl/richData/rdsupportingpropertybagstructure.xml><?xml version="1.0" encoding="utf-8"?>
<spbStructures xmlns="http://schemas.microsoft.com/office/spreadsheetml/2017/richdata2" count="14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  <rSty dxfid="5">
      <rpv i="0">#,##0.00</rpv>
    </rSty>
    <rSty dxfid="6">
      <rpv i="0">0</rpv>
    </rSty>
    <rSty dxfid="1">
      <rpv i="0">_-[$R$-pt-BR] * #,##0_-;-[$R$-pt-BR] * #,##0_-;_-[$R$-pt-BR] * "-"_-;_-@_-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07066B-F14B-4678-81F1-9A4EE9DD97F3}" name="TabelaCarteiraTotal" displayName="TabelaCarteiraTotal" ref="A1:I11" totalsRowCount="1">
  <autoFilter ref="A1:I10" xr:uid="{B907066B-F14B-4678-81F1-9A4EE9DD97F3}"/>
  <tableColumns count="9">
    <tableColumn id="1" xr3:uid="{D82C3910-5EB8-4111-9EB8-9368FE621805}" name="Ativo" totalsRowLabel="Total"/>
    <tableColumn id="2" xr3:uid="{D0E20516-CAF8-4138-88EF-B663D590C965}" name="Tipo" dataDxfId="68">
      <calculatedColumnFormula>VLOOKUP(TabelaCarteiraTotal[[#This Row],[Ativo]],TabelaAtivos[[Sigla]:[Preço]],2,FALSE)</calculatedColumnFormula>
    </tableColumn>
    <tableColumn id="3" xr3:uid="{6FD9E1A9-CFD0-4559-BF3E-ECBE6E8CB438}" name="Cotação" dataDxfId="67">
      <calculatedColumnFormula>VLOOKUP(TabelaCarteiraTotal[[#This Row],[Ativo]],TabelaAtivos[[Sigla]:[Preço]],3,FALSE)</calculatedColumnFormula>
    </tableColumn>
    <tableColumn id="4" xr3:uid="{57921352-C346-46D9-B67F-9DB573EBDCD0}" name="Total aportado" totalsRowFunction="sum" dataDxfId="66">
      <calculatedColumnFormula>SUMIFS(TabelaAportes[Total],TabelaAportes[Ativo],TabelaCarteiraTotal[[#This Row],[Ativo]],TabelaAportes[Data],"&lt;="&amp;IF($L$1="",TODAY(),$L$1))</calculatedColumnFormula>
    </tableColumn>
    <tableColumn id="5" xr3:uid="{E1255DF6-8690-4051-B832-13E735C6FAFA}" name="Quantidade total" dataDxfId="65">
      <calculatedColumnFormula>SUMIFS(TabelaAportes[Quantidade],TabelaAportes[Ativo],TabelaCarteiraTotal[[#This Row],[Ativo]],TabelaAportes[Data],"&lt;="&amp;IF($L$1="",TODAY(),$L$1))</calculatedColumnFormula>
    </tableColumn>
    <tableColumn id="6" xr3:uid="{7737701E-C54E-4A61-8B4E-D1576C24A3D3}" name="Preço médio" dataDxfId="64">
      <calculatedColumnFormula>TabelaCarteiraTotal[[#This Row],[Total aportado]]/TabelaCarteiraTotal[[#This Row],[Quantidade total]]</calculatedColumnFormula>
    </tableColumn>
    <tableColumn id="7" xr3:uid="{86ECB817-762F-4B47-8412-225BCD7F1E00}" name="Total atual" totalsRowFunction="sum" dataDxfId="63">
      <calculatedColumnFormula>TabelaCarteiraTotal[[#This Row],[Quantidade total]]*TabelaCarteiraTotal[[#This Row],[Cotação]]</calculatedColumnFormula>
    </tableColumn>
    <tableColumn id="8" xr3:uid="{CFE9E081-DEE6-4E7C-AD51-A1352F9E9626}" name="Valorização" totalsRowFunction="sum" dataDxfId="62">
      <calculatedColumnFormula>TabelaCarteiraTotal[[#This Row],[Total atual]]-TabelaCarteiraTotal[[#This Row],[Total aportado]]</calculatedColumnFormula>
    </tableColumn>
    <tableColumn id="9" xr3:uid="{D04BDD5F-ED57-4531-88B4-2FD9503C120A}" name="Valorização %" dataDxfId="61" totalsRowDxfId="60" dataCellStyle="Porcentagem">
      <calculatedColumnFormula>(TabelaCarteiraTotal[[#This Row],[Total atual]]/TabelaCarteiraTotal[[#This Row],[Total aportado]])-1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DA07B0-BF46-4B42-BD72-C416ABDDA430}" name="TabelaCarteiraAções" displayName="TabelaCarteiraAções" ref="A1:I6" totalsRowCount="1">
  <autoFilter ref="A1:I5" xr:uid="{B907066B-F14B-4678-81F1-9A4EE9DD97F3}"/>
  <sortState xmlns:xlrd2="http://schemas.microsoft.com/office/spreadsheetml/2017/richdata2" ref="A2:I5">
    <sortCondition ref="B1:B5"/>
  </sortState>
  <tableColumns count="9">
    <tableColumn id="1" xr3:uid="{B727F806-2103-4C99-879B-C164C4BC7994}" name="Ativo" totalsRowLabel="Total"/>
    <tableColumn id="2" xr3:uid="{5A264EDE-A563-4B7A-BE61-2A3862E0B914}" name="Tipo" dataDxfId="31">
      <calculatedColumnFormula>VLOOKUP(TabelaCarteiraAções[[#This Row],[Ativo]],TabelaAtivos[[Sigla]:[Preço]],2,FALSE)</calculatedColumnFormula>
    </tableColumn>
    <tableColumn id="3" xr3:uid="{5D42B289-EBC4-4B54-AEF4-170FAA0EBE28}" name="Cotação" dataDxfId="30">
      <calculatedColumnFormula>VLOOKUP(TabelaCarteiraAções[[#This Row],[Ativo]],TabelaAtivos[[Sigla]:[Preço]],3,FALSE)</calculatedColumnFormula>
    </tableColumn>
    <tableColumn id="4" xr3:uid="{08E61405-8E2E-42B7-ADBD-0BE83F6994F3}" name="Total aportado" totalsRowFunction="sum" dataDxfId="29">
      <calculatedColumnFormula>SUMIFS(TabelaAportes[Total],TabelaAportes[Ativo],TabelaCarteiraAções[[#This Row],[Ativo]],TabelaAportes[Data],"&lt;="&amp;IF($L$1="",TODAY(),$L$1))</calculatedColumnFormula>
    </tableColumn>
    <tableColumn id="5" xr3:uid="{BC11716E-65C3-4B80-814F-9E3D6EB5FDC8}" name="Quantidade total" dataDxfId="28">
      <calculatedColumnFormula>SUMIFS(TabelaAportes[Quantidade],TabelaAportes[Ativo],TabelaCarteiraAções[[#This Row],[Ativo]],TabelaAportes[Data],"&lt;="&amp;IF($L$1="",TODAY(),$L$1))</calculatedColumnFormula>
    </tableColumn>
    <tableColumn id="6" xr3:uid="{9ECE9507-E348-4588-BC7B-19B876914DD5}" name="Preço médio" dataDxfId="27">
      <calculatedColumnFormula>TabelaCarteiraAções[[#This Row],[Total aportado]]/TabelaCarteiraAções[[#This Row],[Quantidade total]]</calculatedColumnFormula>
    </tableColumn>
    <tableColumn id="7" xr3:uid="{526F21AE-3050-4CE9-B687-C4087E29AD6C}" name="Total atual" totalsRowFunction="sum" dataDxfId="26">
      <calculatedColumnFormula>TabelaCarteiraAções[[#This Row],[Quantidade total]]*TabelaCarteiraAções[[#This Row],[Cotação]]</calculatedColumnFormula>
    </tableColumn>
    <tableColumn id="8" xr3:uid="{F65D0877-FCC0-4F1F-A9B1-97F89FE0F5F2}" name="Valorização" totalsRowFunction="sum" dataDxfId="25">
      <calculatedColumnFormula>TabelaCarteiraAções[[#This Row],[Total atual]]-TabelaCarteiraAções[[#This Row],[Total aportado]]</calculatedColumnFormula>
    </tableColumn>
    <tableColumn id="9" xr3:uid="{990A8076-E02E-4CA5-A8C6-1B40831043E6}" name="Valorização %" dataDxfId="23" totalsRowDxfId="24" dataCellStyle="Porcentagem">
      <calculatedColumnFormula>(TabelaCarteiraAções[[#This Row],[Total atual]]/TabelaCarteiraAções[[#This Row],[Total aportado]])-1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C828BF-E03E-48F2-A8F4-C3A9DF031E12}" name="TabelaCarteiraFII" displayName="TabelaCarteiraFII" ref="A1:I6" totalsRowCount="1">
  <autoFilter ref="A1:I5" xr:uid="{B907066B-F14B-4678-81F1-9A4EE9DD97F3}"/>
  <sortState xmlns:xlrd2="http://schemas.microsoft.com/office/spreadsheetml/2017/richdata2" ref="A2:I5">
    <sortCondition ref="B1:B5"/>
  </sortState>
  <tableColumns count="9">
    <tableColumn id="1" xr3:uid="{966920FF-3095-45A5-A6D4-C2F83C87E9B6}" name="Ativo" totalsRowLabel="Total"/>
    <tableColumn id="2" xr3:uid="{4AF373B8-5BE0-41C9-92B3-49E6B09725A9}" name="Tipo" dataDxfId="22">
      <calculatedColumnFormula>VLOOKUP(TabelaCarteiraFII[[#This Row],[Ativo]],TabelaAtivos[[Sigla]:[Preço]],2,FALSE)</calculatedColumnFormula>
    </tableColumn>
    <tableColumn id="3" xr3:uid="{046F4025-D971-4658-9C22-0FFB207A0402}" name="Cotação" dataDxfId="21">
      <calculatedColumnFormula>VLOOKUP(TabelaCarteiraFII[[#This Row],[Ativo]],TabelaAtivos[[Sigla]:[Preço]],3,FALSE)</calculatedColumnFormula>
    </tableColumn>
    <tableColumn id="4" xr3:uid="{AB145018-90AC-4AE4-A5DD-6BA9A7A104B6}" name="Total aportado" totalsRowFunction="sum" dataDxfId="20">
      <calculatedColumnFormula>SUMIFS(TabelaAportes[Total],TabelaAportes[Ativo],TabelaCarteiraFII[[#This Row],[Ativo]],TabelaAportes[Data],"&lt;="&amp;IF($L$1="",TODAY(),$L$1))</calculatedColumnFormula>
    </tableColumn>
    <tableColumn id="5" xr3:uid="{03E0139C-E7EA-4D42-8C6A-472F5023BE13}" name="Quantidade total" dataDxfId="19">
      <calculatedColumnFormula>SUMIFS(TabelaAportes[Quantidade],TabelaAportes[Ativo],TabelaCarteiraFII[[#This Row],[Ativo]],TabelaAportes[Data],"&lt;="&amp;IF($L$1="",TODAY(),$L$1))</calculatedColumnFormula>
    </tableColumn>
    <tableColumn id="6" xr3:uid="{D3AA67B6-6862-4399-BCEC-539A7AE62956}" name="Preço médio" dataDxfId="18">
      <calculatedColumnFormula>TabelaCarteiraFII[[#This Row],[Total aportado]]/TabelaCarteiraFII[[#This Row],[Quantidade total]]</calculatedColumnFormula>
    </tableColumn>
    <tableColumn id="7" xr3:uid="{C0C84496-0FDD-4DDA-9718-4999B3EA8AAC}" name="Total atual" totalsRowFunction="sum" dataDxfId="17">
      <calculatedColumnFormula>TabelaCarteiraFII[[#This Row],[Quantidade total]]*TabelaCarteiraFII[[#This Row],[Cotação]]</calculatedColumnFormula>
    </tableColumn>
    <tableColumn id="8" xr3:uid="{5030238C-07E6-4F6B-9F6C-6C041D5C5064}" name="Valorização" totalsRowFunction="sum" dataDxfId="16">
      <calculatedColumnFormula>TabelaCarteiraFII[[#This Row],[Total atual]]-TabelaCarteiraFII[[#This Row],[Total aportado]]</calculatedColumnFormula>
    </tableColumn>
    <tableColumn id="9" xr3:uid="{8482B51B-900E-437D-A291-757EB44757DC}" name="Valorização %" dataDxfId="14" totalsRowDxfId="15" dataCellStyle="Porcentagem">
      <calculatedColumnFormula>(TabelaCarteiraFII[[#This Row],[Total atual]]/TabelaCarteiraFII[[#This Row],[Total aportado]])-1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F9026F-CE51-4DC8-964B-012F336FA5A4}" name="TabelaCarteiraCriptomoedas" displayName="TabelaCarteiraCriptomoedas" ref="A1:I3" totalsRowCount="1">
  <autoFilter ref="A1:I2" xr:uid="{B907066B-F14B-4678-81F1-9A4EE9DD97F3}"/>
  <sortState xmlns:xlrd2="http://schemas.microsoft.com/office/spreadsheetml/2017/richdata2" ref="A2:I2">
    <sortCondition ref="B1:B2"/>
  </sortState>
  <tableColumns count="9">
    <tableColumn id="1" xr3:uid="{4B968FF5-2EAD-4156-9276-6AC7793C05E4}" name="Ativo" totalsRowLabel="Total"/>
    <tableColumn id="2" xr3:uid="{8B3FF4B3-AE40-4E30-91E0-E88C8138913F}" name="Tipo" dataDxfId="13">
      <calculatedColumnFormula>VLOOKUP(TabelaCarteiraCriptomoedas[[#This Row],[Ativo]],TabelaAtivos[[Sigla]:[Preço]],2,FALSE)</calculatedColumnFormula>
    </tableColumn>
    <tableColumn id="3" xr3:uid="{4BD0E72B-D3FD-44BE-9F09-4CDEDC5B482E}" name="Cotação" dataDxfId="12">
      <calculatedColumnFormula>VLOOKUP(TabelaCarteiraCriptomoedas[[#This Row],[Ativo]],TabelaAtivos[[Sigla]:[Preço]],3,FALSE)</calculatedColumnFormula>
    </tableColumn>
    <tableColumn id="4" xr3:uid="{6D9CE312-8EC1-488B-A8C8-4C09E135B29B}" name="Total aportado" totalsRowFunction="sum" dataDxfId="11">
      <calculatedColumnFormula>SUMIFS(TabelaAportes[Total],TabelaAportes[Ativo],TabelaCarteiraCriptomoedas[[#This Row],[Ativo]],TabelaAportes[Data],"&lt;="&amp;IF($L$1="",TODAY(),$L$1))</calculatedColumnFormula>
    </tableColumn>
    <tableColumn id="5" xr3:uid="{B791A13A-0D96-403E-8CC0-8ACB316804AF}" name="Quantidade total" dataDxfId="10">
      <calculatedColumnFormula>SUMIFS(TabelaAportes[Quantidade],TabelaAportes[Ativo],TabelaCarteiraCriptomoedas[[#This Row],[Ativo]],TabelaAportes[Data],"&lt;="&amp;IF($L$1="",TODAY(),$L$1))</calculatedColumnFormula>
    </tableColumn>
    <tableColumn id="6" xr3:uid="{788B6D28-CDF7-482B-BFE4-0959174DA184}" name="Preço médio" dataDxfId="9">
      <calculatedColumnFormula>TabelaCarteiraCriptomoedas[[#This Row],[Total aportado]]/TabelaCarteiraCriptomoedas[[#This Row],[Quantidade total]]</calculatedColumnFormula>
    </tableColumn>
    <tableColumn id="7" xr3:uid="{CC775D3C-F82C-4040-A665-42F9C01B4454}" name="Total atual" totalsRowFunction="sum" dataDxfId="8">
      <calculatedColumnFormula>TabelaCarteiraCriptomoedas[[#This Row],[Quantidade total]]*TabelaCarteiraCriptomoedas[[#This Row],[Cotação]]</calculatedColumnFormula>
    </tableColumn>
    <tableColumn id="8" xr3:uid="{A24D1AC9-26E6-4C73-BE34-76E6B32FEB23}" name="Valorização" totalsRowFunction="sum" dataDxfId="7">
      <calculatedColumnFormula>TabelaCarteiraCriptomoedas[[#This Row],[Total atual]]-TabelaCarteiraCriptomoedas[[#This Row],[Total aportado]]</calculatedColumnFormula>
    </tableColumn>
    <tableColumn id="9" xr3:uid="{1EF7DD10-C0C6-48C1-A556-A738D936A27A}" name="Valorização %" dataDxfId="5" totalsRowDxfId="6" dataCellStyle="Porcentagem">
      <calculatedColumnFormula>(TabelaCarteiraCriptomoedas[[#This Row],[Total atual]]/TabelaCarteiraCriptomoedas[[#This Row],[Total aportado]])-1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1D1D8-ED27-4050-8C48-96619601DCEC}" name="TabelaAtivos" displayName="TabelaAtivos" ref="A1:D10" totalsRowShown="0">
  <autoFilter ref="A1:D10" xr:uid="{1A21D1D8-ED27-4050-8C48-96619601DCEC}"/>
  <sortState xmlns:xlrd2="http://schemas.microsoft.com/office/spreadsheetml/2017/richdata2" ref="A2:D9">
    <sortCondition ref="A1:A9"/>
  </sortState>
  <tableColumns count="4">
    <tableColumn id="11" xr3:uid="{169A48DB-3EEC-4CA4-808F-3A22A32D01EC}" name="Ativo" dataDxfId="52"/>
    <tableColumn id="1" xr3:uid="{0522411D-136E-4BE5-A706-AE2AEBD3644D}" name="Sigla" dataDxfId="51"/>
    <tableColumn id="2" xr3:uid="{E399CDFD-6465-4852-9980-AAAF6EC6EE6D}" name="Tipo" dataDxfId="50"/>
    <tableColumn id="3" xr3:uid="{04CDE686-3F84-45A5-8398-D1A598F2ED86}" name="Preço" dataDxfId="49">
      <calculatedColumnFormula array="1">_FV(TabelaAtivos[[#This Row],[Ativo]],"Preço")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76CC2-504F-4D11-94AF-A1F0DB518E9C}" name="TabelaAportes" displayName="TabelaAportes" ref="A1:J29" totalsRowShown="0">
  <autoFilter ref="A1:J29" xr:uid="{A9376CC2-504F-4D11-94AF-A1F0DB518E9C}"/>
  <tableColumns count="10">
    <tableColumn id="1" xr3:uid="{C96C1A04-171B-4EA5-9254-12BAD9A26291}" name="Data" dataDxfId="48"/>
    <tableColumn id="2" xr3:uid="{681E05E0-F711-4FBE-BC45-65A373310CE8}" name="Ativo" dataDxfId="47"/>
    <tableColumn id="3" xr3:uid="{4C757427-D8CB-41B5-9140-8266F04F8CAB}" name="Quantidade" dataDxfId="46"/>
    <tableColumn id="4" xr3:uid="{C33099C0-021E-4E93-9455-A05C8116EB43}" name="Valor unitário" dataDxfId="45">
      <calculatedColumnFormula>VLOOKUP(TabelaAportes[[#This Row],[Ativo]],TabelaAtivos[[Sigla]:[Preço]],3,FALSE)</calculatedColumnFormula>
    </tableColumn>
    <tableColumn id="5" xr3:uid="{3A6FB79E-1D3A-4937-967F-A62D5DEAA891}" name="Custo" dataDxfId="44"/>
    <tableColumn id="6" xr3:uid="{C520E7C8-FE04-49B1-A5C7-7BF6DF0CE31A}" name="Total" dataDxfId="43">
      <calculatedColumnFormula>(TabelaAportes[[#This Row],[Quantidade]]*TabelaAportes[[#This Row],[Valor unitário]])+TabelaAportes[[#This Row],[Custo]]</calculatedColumnFormula>
    </tableColumn>
    <tableColumn id="7" xr3:uid="{C54996CF-8463-4B7E-906F-C5CC64B851FB}" name="Tipo" dataDxfId="42">
      <calculatedColumnFormula>VLOOKUP(TabelaAportes[[#This Row],[Ativo]],TabelaAtivos[[Sigla]:[Preço]],2,FALSE)</calculatedColumnFormula>
    </tableColumn>
    <tableColumn id="8" xr3:uid="{811D9C15-9AB9-49C7-B84F-96DF4670C28F}" name="Ano" dataDxfId="41">
      <calculatedColumnFormula>YEAR(TabelaAportes[[#This Row],[Data]])</calculatedColumnFormula>
    </tableColumn>
    <tableColumn id="9" xr3:uid="{E342488B-E22B-48D4-8ED0-5BDB8EC32D6E}" name="Mês" dataDxfId="40">
      <calculatedColumnFormula>MONTH(TabelaAportes[[#This Row],[Data]])</calculatedColumnFormula>
    </tableColumn>
    <tableColumn id="10" xr3:uid="{26417A26-2E65-4A6C-9CD3-7D0F6CB276EB}" name="Ano/Mês" dataDxfId="39">
      <calculatedColumnFormula>CONCATENATE(TabelaAportes[[#This Row],[Ano]],"/",IF(TabelaAportes[[#This Row],[Mês]]&lt;10,"0",""),TabelaAportes[[#This Row],[Mês]])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86ABEC-1670-4A09-9E7A-B4DF76C3EDC3}" name="TabelaProventos" displayName="TabelaProventos" ref="A1:I71" totalsRowShown="0">
  <autoFilter ref="A1:I71" xr:uid="{D186ABEC-1670-4A09-9E7A-B4DF76C3EDC3}"/>
  <tableColumns count="9">
    <tableColumn id="1" xr3:uid="{F6884413-2D30-4EFC-BEE5-C4E912EA4A27}" name="Cod"/>
    <tableColumn id="2" xr3:uid="{F8ADB2DF-B8F4-40DA-9D70-0523CD8C1A05}" name="Ativo" dataDxfId="38"/>
    <tableColumn id="3" xr3:uid="{C3C72149-18B8-41D3-A10C-8C923B3B22D2}" name="Qte"/>
    <tableColumn id="4" xr3:uid="{52F33D18-D69D-4012-A1A5-60DC08409E6D}" name=" Valor Bruto " dataDxfId="37"/>
    <tableColumn id="5" xr3:uid="{F061FEB9-D351-4C01-84CC-695FF402E12F}" name=" IR " dataDxfId="36"/>
    <tableColumn id="6" xr3:uid="{8DA0BD8B-B638-4C04-B1EC-18129A8745F7}" name=" Valor Líquido " dataDxfId="35"/>
    <tableColumn id="7" xr3:uid="{B4DF3501-753D-4ECF-9AD1-37A2AAEA3F3B}" name="Data" dataDxfId="34"/>
    <tableColumn id="8" xr3:uid="{7F197D8A-4DB3-483E-A784-4252E0A3E821}" name="Ano/Mês" dataDxfId="33">
      <calculatedColumnFormula>CONCATENATE(YEAR(TabelaProventos[[#This Row],[Data]]),"/",IF(MONTH(TabelaProventos[[#This Row],[Data]])&lt;10,"0",""),MONTH(TabelaProventos[[#This Row],[Data]]))</calculatedColumnFormula>
    </tableColumn>
    <tableColumn id="9" xr3:uid="{8F1CD43B-8DDE-479F-879C-92F604F3BF09}" name="Tipo" dataDxfId="32">
      <calculatedColumnFormula>VLOOKUP(TabelaProventos[[#This Row],[Ativo]],TabelaAtivos[[Sigla]:[Preço]],2,FALSE)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4-12-15T15:47:52.03" personId="{8E5F83C4-BA24-4AF9-BD1D-11E95B41D045}" id="{E551C24F-59BA-4632-BB70-4181480C19FB}">
    <text>Deixe em branco para a data de hoje.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12-15T15:47:52.03" personId="{8E5F83C4-BA24-4AF9-BD1D-11E95B41D045}" id="{64536C23-0B60-45A0-B960-8E10F0D25E24}">
    <text>Deixe em branco para a data de hoje.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" dT="2024-12-15T15:47:52.03" personId="{8E5F83C4-BA24-4AF9-BD1D-11E95B41D045}" id="{B837BCE0-F548-478B-955B-DF13DE82F31C}">
    <text>Deixe em branco para a data de hoje.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1" dT="2024-12-15T15:47:52.03" personId="{8E5F83C4-BA24-4AF9-BD1D-11E95B41D045}" id="{40AB866B-3888-4540-9845-728BF4735123}">
    <text>Deixe em branco para a data de hoje.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94E314-93E0-4E37-9415-29DF6A4688A4}">
  <we:reference id="wa104379220" version="8.0.0.0" store="pt-BR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1734270309946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2048-E6B5-4EEE-BF83-CF4956DC706B}">
  <sheetPr codeName="Planilha2"/>
  <dimension ref="A1:H14"/>
  <sheetViews>
    <sheetView showGridLines="0" tabSelected="1" workbookViewId="0">
      <selection activeCell="E1" sqref="E1"/>
    </sheetView>
  </sheetViews>
  <sheetFormatPr defaultRowHeight="14.4" x14ac:dyDescent="0.3"/>
  <cols>
    <col min="1" max="1" width="2.77734375" customWidth="1"/>
    <col min="2" max="2" width="30.77734375" customWidth="1"/>
    <col min="3" max="3" width="2.77734375" customWidth="1"/>
    <col min="4" max="8" width="30.77734375" customWidth="1"/>
  </cols>
  <sheetData>
    <row r="1" spans="1:8" ht="39" customHeight="1" x14ac:dyDescent="0.3">
      <c r="A1" s="18"/>
      <c r="B1" s="18"/>
      <c r="C1" s="18"/>
      <c r="D1" s="33" t="s">
        <v>119</v>
      </c>
      <c r="E1" s="42">
        <v>5000</v>
      </c>
      <c r="F1" s="18"/>
      <c r="G1" s="20" t="s">
        <v>120</v>
      </c>
      <c r="H1" s="32">
        <f ca="1">IF(RelatórioCarteira!L1="",TODAY(),RelatórioCarteira!$L$1)</f>
        <v>45642</v>
      </c>
    </row>
    <row r="2" spans="1:8" ht="6" customHeight="1" x14ac:dyDescent="0.3">
      <c r="A2" s="19"/>
      <c r="B2" s="19"/>
      <c r="C2" s="19"/>
      <c r="D2" s="19"/>
      <c r="E2" s="19"/>
      <c r="F2" s="19"/>
      <c r="G2" s="19"/>
      <c r="H2" s="19"/>
    </row>
    <row r="4" spans="1:8" ht="15.6" customHeight="1" thickBot="1" x14ac:dyDescent="0.35">
      <c r="B4" t="s">
        <v>118</v>
      </c>
    </row>
    <row r="5" spans="1:8" ht="40.950000000000003" customHeight="1" thickBot="1" x14ac:dyDescent="0.35">
      <c r="B5" s="17">
        <f ca="1">'Dashboard auxiliar'!B13</f>
        <v>1348799.7799999998</v>
      </c>
    </row>
    <row r="6" spans="1:8" ht="14.4" customHeight="1" x14ac:dyDescent="0.3"/>
    <row r="7" spans="1:8" ht="13.2" customHeight="1" thickBot="1" x14ac:dyDescent="0.35">
      <c r="B7" t="s">
        <v>67</v>
      </c>
    </row>
    <row r="8" spans="1:8" ht="40.950000000000003" customHeight="1" thickBot="1" x14ac:dyDescent="0.35">
      <c r="B8" s="17">
        <f ca="1">'Dashboard auxiliar'!B12</f>
        <v>1348920.8299999996</v>
      </c>
    </row>
    <row r="9" spans="1:8" ht="11.4" customHeight="1" x14ac:dyDescent="0.3"/>
    <row r="10" spans="1:8" ht="13.2" customHeight="1" thickBot="1" x14ac:dyDescent="0.35">
      <c r="B10" t="s">
        <v>70</v>
      </c>
    </row>
    <row r="11" spans="1:8" ht="40.950000000000003" customHeight="1" thickBot="1" x14ac:dyDescent="0.35">
      <c r="B11" s="29">
        <f ca="1">'Dashboard auxiliar'!B14</f>
        <v>-121.04999999981328</v>
      </c>
    </row>
    <row r="12" spans="1:8" ht="9" customHeight="1" x14ac:dyDescent="0.3"/>
    <row r="13" spans="1:8" ht="15" thickBot="1" x14ac:dyDescent="0.35">
      <c r="B13" t="s">
        <v>71</v>
      </c>
    </row>
    <row r="14" spans="1:8" ht="40.950000000000003" customHeight="1" thickBot="1" x14ac:dyDescent="0.35">
      <c r="B14" s="28">
        <f ca="1">'Dashboard auxiliar'!B15</f>
        <v>-8.9738402215822077E-5</v>
      </c>
    </row>
  </sheetData>
  <sheetProtection sheet="1" objects="1" scenarios="1" selectLockedCells="1"/>
  <conditionalFormatting sqref="B11 B14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Line="0" autoPict="0">
                <anchor moveWithCells="1">
                  <from>
                    <xdr:col>1</xdr:col>
                    <xdr:colOff>0</xdr:colOff>
                    <xdr:row>0</xdr:row>
                    <xdr:rowOff>30480</xdr:rowOff>
                  </from>
                  <to>
                    <xdr:col>1</xdr:col>
                    <xdr:colOff>2103120</xdr:colOff>
                    <xdr:row>0</xdr:row>
                    <xdr:rowOff>464820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1FAF-CE47-467A-A9AE-6D7E885A7602}">
  <sheetPr codeName="Planilha1"/>
  <dimension ref="A1:AB51"/>
  <sheetViews>
    <sheetView topLeftCell="H13" workbookViewId="0">
      <selection activeCell="L29" sqref="L29:M38"/>
    </sheetView>
  </sheetViews>
  <sheetFormatPr defaultColWidth="15" defaultRowHeight="14.4" x14ac:dyDescent="0.3"/>
  <cols>
    <col min="1" max="1" width="18.77734375" customWidth="1"/>
    <col min="3" max="4" width="3.44140625" customWidth="1"/>
    <col min="6" max="6" width="15.5546875" bestFit="1" customWidth="1"/>
    <col min="9" max="9" width="15.5546875" bestFit="1" customWidth="1"/>
    <col min="10" max="10" width="4.77734375" customWidth="1"/>
    <col min="13" max="13" width="15.5546875" bestFit="1" customWidth="1"/>
    <col min="14" max="14" width="3.44140625" customWidth="1"/>
    <col min="17" max="17" width="15.5546875" style="2" bestFit="1" customWidth="1"/>
    <col min="19" max="19" width="6.77734375" customWidth="1"/>
    <col min="24" max="24" width="4" customWidth="1"/>
  </cols>
  <sheetData>
    <row r="1" spans="1:28" x14ac:dyDescent="0.3">
      <c r="A1" s="34" t="s">
        <v>121</v>
      </c>
      <c r="B1" s="34"/>
      <c r="E1" s="34" t="s">
        <v>128</v>
      </c>
      <c r="F1" s="34"/>
      <c r="G1" s="34"/>
      <c r="H1" s="34"/>
      <c r="I1" s="34"/>
      <c r="K1" s="35" t="s">
        <v>133</v>
      </c>
      <c r="L1" s="35"/>
      <c r="M1" s="35"/>
      <c r="O1" s="35" t="s">
        <v>137</v>
      </c>
      <c r="P1" s="35"/>
      <c r="Q1" s="35"/>
      <c r="R1" s="35"/>
      <c r="T1" s="35" t="s">
        <v>138</v>
      </c>
      <c r="U1" s="35"/>
      <c r="V1" s="35"/>
      <c r="W1" s="35"/>
      <c r="Y1" s="35" t="s">
        <v>139</v>
      </c>
      <c r="Z1" s="35"/>
      <c r="AA1" s="35"/>
      <c r="AB1" s="35"/>
    </row>
    <row r="2" spans="1:28" x14ac:dyDescent="0.3">
      <c r="A2" s="21">
        <v>1</v>
      </c>
      <c r="B2" s="18" t="s">
        <v>122</v>
      </c>
      <c r="E2" s="26"/>
      <c r="F2" s="27">
        <v>1</v>
      </c>
      <c r="G2" s="27">
        <v>2</v>
      </c>
      <c r="H2" s="27">
        <v>3</v>
      </c>
      <c r="I2" s="27">
        <v>4</v>
      </c>
      <c r="K2" s="31" t="s">
        <v>134</v>
      </c>
      <c r="L2" s="31" t="s">
        <v>0</v>
      </c>
      <c r="M2" s="31" t="s">
        <v>135</v>
      </c>
      <c r="O2" s="31" t="s">
        <v>134</v>
      </c>
      <c r="P2" s="31" t="s">
        <v>0</v>
      </c>
      <c r="Q2" s="37" t="s">
        <v>135</v>
      </c>
      <c r="R2" s="31" t="s">
        <v>136</v>
      </c>
      <c r="T2" s="31" t="s">
        <v>134</v>
      </c>
      <c r="U2" s="31" t="s">
        <v>0</v>
      </c>
      <c r="V2" s="37" t="s">
        <v>135</v>
      </c>
      <c r="W2" s="31" t="s">
        <v>136</v>
      </c>
      <c r="Y2" s="31" t="s">
        <v>134</v>
      </c>
      <c r="Z2" s="31" t="s">
        <v>0</v>
      </c>
      <c r="AA2" s="37" t="s">
        <v>135</v>
      </c>
      <c r="AB2" s="31" t="s">
        <v>136</v>
      </c>
    </row>
    <row r="3" spans="1:28" x14ac:dyDescent="0.3">
      <c r="A3" s="21">
        <v>2</v>
      </c>
      <c r="B3" s="18" t="s">
        <v>123</v>
      </c>
      <c r="E3" s="21"/>
      <c r="F3" s="31" t="s">
        <v>122</v>
      </c>
      <c r="G3" s="31" t="s">
        <v>123</v>
      </c>
      <c r="H3" s="31" t="s">
        <v>2</v>
      </c>
      <c r="I3" s="31" t="s">
        <v>124</v>
      </c>
      <c r="K3" s="21">
        <v>10</v>
      </c>
      <c r="L3" s="21" t="str">
        <f ca="1">IF($B$8=1,P3,IF($B$8=2,Z3,IF($B$8=3,U3,P16)))</f>
        <v>-</v>
      </c>
      <c r="M3" s="38">
        <f ca="1">IF($B$8=1,Q3,IF($B$8=2,AA3,IF($B$8=3,V3,Q16)))</f>
        <v>0</v>
      </c>
      <c r="O3" s="21">
        <v>10</v>
      </c>
      <c r="P3" s="21" t="str" cm="1">
        <f t="array" aca="1" ref="P3" ca="1">IF(ISNA(INDEX(TabelaCarteiraTotal[],R3,1)),"-",INDEX(TabelaCarteiraTotal[],R3,1))</f>
        <v>-</v>
      </c>
      <c r="Q3" s="38">
        <f ca="1">IF(ISNUMBER(LARGE(TabelaCarteiraTotal[Total atual],O3)),LARGE(TabelaCarteiraTotal[Total atual],O3),0)</f>
        <v>0</v>
      </c>
      <c r="R3" s="21" t="e">
        <f ca="1">MATCH(Q3,TabelaCarteiraTotal[Total atual],0)</f>
        <v>#N/A</v>
      </c>
      <c r="T3" s="21">
        <v>10</v>
      </c>
      <c r="U3" s="21" t="str" cm="1">
        <f t="array" aca="1" ref="U3" ca="1">IF(ISNA(INDEX(TabelaCarteiraFII[],W3,1)),"-",INDEX(TabelaCarteiraFII[],W3,1))</f>
        <v>-</v>
      </c>
      <c r="V3" s="38">
        <f ca="1">IF(ISNUMBER(LARGE(TabelaCarteiraFII[Total atual],T3)),LARGE(TabelaCarteiraFII[Total atual],T3),0)</f>
        <v>0</v>
      </c>
      <c r="W3" s="21" t="e">
        <f ca="1">MATCH(V3,TabelaCarteiraFII[Total atual],0)</f>
        <v>#N/A</v>
      </c>
      <c r="Y3" s="21">
        <v>10</v>
      </c>
      <c r="Z3" s="21" t="str" cm="1">
        <f t="array" aca="1" ref="Z3" ca="1">IF(ISNA(INDEX(TabelaCarteiraAções[],AB3,1)),"-",INDEX(TabelaCarteiraAções[],AB3,1))</f>
        <v>-</v>
      </c>
      <c r="AA3" s="38">
        <f ca="1">IF(ISNUMBER(LARGE(TabelaCarteiraAções[Total atual],Y3)),LARGE(TabelaCarteiraAções[Total atual],Y3),0)</f>
        <v>0</v>
      </c>
      <c r="AB3" s="21" t="e">
        <f ca="1">MATCH(AA3,TabelaCarteiraAções[Total atual],0)</f>
        <v>#N/A</v>
      </c>
    </row>
    <row r="4" spans="1:28" x14ac:dyDescent="0.3">
      <c r="A4" s="21">
        <v>3</v>
      </c>
      <c r="B4" s="18" t="s">
        <v>2</v>
      </c>
      <c r="D4">
        <v>1</v>
      </c>
      <c r="E4" s="21" t="s">
        <v>74</v>
      </c>
      <c r="F4" s="23">
        <f ca="1">SUM(TabelaCarteiraTotal[Total aportado])</f>
        <v>1348920.8299999996</v>
      </c>
      <c r="G4" s="23">
        <f ca="1">SUMIF(TabelaCarteiraTotal[Tipo],"Empresa",TabelaCarteiraTotal[Total aportado])</f>
        <v>38091</v>
      </c>
      <c r="H4" s="23">
        <f ca="1">SUMIF(TabelaCarteiraTotal[Tipo],"FII",TabelaCarteiraTotal[Total aportado])</f>
        <v>7068.7800000000007</v>
      </c>
      <c r="I4" s="23">
        <f ca="1">SUMIF(TabelaCarteiraTotal[Tipo],"Criptomoeda",TabelaCarteiraTotal[Total aportado])</f>
        <v>1303761.0499999998</v>
      </c>
      <c r="K4" s="21">
        <v>9</v>
      </c>
      <c r="L4" s="21" t="str">
        <f t="shared" ref="L4:L12" ca="1" si="0">IF($B$8=1,P4,IF($B$8=2,Z4,IF($B$8=3,U4,P17)))</f>
        <v>XPML11</v>
      </c>
      <c r="M4" s="38">
        <f t="shared" ref="M4:M12" ca="1" si="1">IF($B$8=1,Q4,IF($B$8=2,AA4,IF($B$8=3,V4,Q17)))</f>
        <v>876.42</v>
      </c>
      <c r="O4" s="21">
        <v>9</v>
      </c>
      <c r="P4" s="21" t="str" cm="1">
        <f t="array" aca="1" ref="P4" ca="1">IF(ISNA(INDEX(TabelaCarteiraTotal[],R4,1)),"-",INDEX(TabelaCarteiraTotal[],R4,1))</f>
        <v>XPML11</v>
      </c>
      <c r="Q4" s="38">
        <f ca="1">IF(ISNUMBER(LARGE(TabelaCarteiraTotal[Total atual],O4)),LARGE(TabelaCarteiraTotal[Total atual],O4),0)</f>
        <v>876.42</v>
      </c>
      <c r="R4" s="21">
        <f ca="1">MATCH(Q4,TabelaCarteiraTotal[Total atual],0)</f>
        <v>8</v>
      </c>
      <c r="T4" s="21">
        <v>9</v>
      </c>
      <c r="U4" s="21" t="str" cm="1">
        <f t="array" aca="1" ref="U4" ca="1">IF(ISNA(INDEX(TabelaCarteiraFII[],W4,1)),"-",INDEX(TabelaCarteiraFII[],W4,1))</f>
        <v>-</v>
      </c>
      <c r="V4" s="38">
        <f ca="1">IF(ISNUMBER(LARGE(TabelaCarteiraFII[Total atual],T4)),LARGE(TabelaCarteiraFII[Total atual],T4),0)</f>
        <v>0</v>
      </c>
      <c r="W4" s="21" t="e">
        <f ca="1">MATCH(V4,TabelaCarteiraFII[Total atual],0)</f>
        <v>#N/A</v>
      </c>
      <c r="Y4" s="21">
        <v>9</v>
      </c>
      <c r="Z4" s="21" t="str" cm="1">
        <f t="array" aca="1" ref="Z4" ca="1">IF(ISNA(INDEX(TabelaCarteiraAções[],AB4,1)),"-",INDEX(TabelaCarteiraAções[],AB4,1))</f>
        <v>-</v>
      </c>
      <c r="AA4" s="38">
        <f ca="1">IF(ISNUMBER(LARGE(TabelaCarteiraAções[Total atual],Y4)),LARGE(TabelaCarteiraAções[Total atual],Y4),0)</f>
        <v>0</v>
      </c>
      <c r="AB4" s="21" t="e">
        <f ca="1">MATCH(AA4,TabelaCarteiraAções[Total atual],0)</f>
        <v>#N/A</v>
      </c>
    </row>
    <row r="5" spans="1:28" x14ac:dyDescent="0.3">
      <c r="A5" s="21">
        <v>4</v>
      </c>
      <c r="B5" s="18" t="s">
        <v>124</v>
      </c>
      <c r="D5">
        <v>2</v>
      </c>
      <c r="E5" s="21" t="s">
        <v>129</v>
      </c>
      <c r="F5" s="23">
        <f ca="1">SUM(TabelaCarteiraTotal[Total atual])</f>
        <v>1348799.7799999998</v>
      </c>
      <c r="G5" s="23">
        <f ca="1">SUMIF(TabelaCarteiraTotal[Tipo],"Empresa",TabelaCarteiraTotal[Total atual])</f>
        <v>37971</v>
      </c>
      <c r="H5" s="23">
        <f ca="1">SUMIF(TabelaCarteiraTotal[Tipo],"FII",TabelaCarteiraTotal[Total atual])</f>
        <v>7068.78</v>
      </c>
      <c r="I5" s="23">
        <f ca="1">SUMIF(TabelaCarteiraTotal[Tipo],"Criptomoeda",TabelaCarteiraTotal[Total atual])</f>
        <v>1303760</v>
      </c>
      <c r="K5" s="21">
        <v>8</v>
      </c>
      <c r="L5" s="21" t="str">
        <f t="shared" ca="1" si="0"/>
        <v>KNCR11</v>
      </c>
      <c r="M5" s="38">
        <f t="shared" ca="1" si="1"/>
        <v>1758.96</v>
      </c>
      <c r="O5" s="21">
        <v>8</v>
      </c>
      <c r="P5" s="21" t="str" cm="1">
        <f t="array" aca="1" ref="P5" ca="1">IF(ISNA(INDEX(TabelaCarteiraTotal[],R5,1)),"-",INDEX(TabelaCarteiraTotal[],R5,1))</f>
        <v>KNCR11</v>
      </c>
      <c r="Q5" s="38">
        <f ca="1">IF(ISNUMBER(LARGE(TabelaCarteiraTotal[Total atual],O5)),LARGE(TabelaCarteiraTotal[Total atual],O5),0)</f>
        <v>1758.96</v>
      </c>
      <c r="R5" s="21">
        <f ca="1">MATCH(Q5,TabelaCarteiraTotal[Total atual],0)</f>
        <v>4</v>
      </c>
      <c r="T5" s="21">
        <v>8</v>
      </c>
      <c r="U5" s="21" t="str" cm="1">
        <f t="array" aca="1" ref="U5" ca="1">IF(ISNA(INDEX(TabelaCarteiraFII[],W5,1)),"-",INDEX(TabelaCarteiraFII[],W5,1))</f>
        <v>-</v>
      </c>
      <c r="V5" s="38">
        <f ca="1">IF(ISNUMBER(LARGE(TabelaCarteiraFII[Total atual],T5)),LARGE(TabelaCarteiraFII[Total atual],T5),0)</f>
        <v>0</v>
      </c>
      <c r="W5" s="21" t="e">
        <f ca="1">MATCH(V5,TabelaCarteiraFII[Total atual],0)</f>
        <v>#N/A</v>
      </c>
      <c r="Y5" s="21">
        <v>8</v>
      </c>
      <c r="Z5" s="21" t="str" cm="1">
        <f t="array" aca="1" ref="Z5" ca="1">IF(ISNA(INDEX(TabelaCarteiraAções[],AB5,1)),"-",INDEX(TabelaCarteiraAções[],AB5,1))</f>
        <v>-</v>
      </c>
      <c r="AA5" s="38">
        <f ca="1">IF(ISNUMBER(LARGE(TabelaCarteiraAções[Total atual],Y5)),LARGE(TabelaCarteiraAções[Total atual],Y5),0)</f>
        <v>0</v>
      </c>
      <c r="AB5" s="21" t="e">
        <f ca="1">MATCH(AA5,TabelaCarteiraAções[Total atual],0)</f>
        <v>#N/A</v>
      </c>
    </row>
    <row r="6" spans="1:28" x14ac:dyDescent="0.3">
      <c r="D6">
        <v>3</v>
      </c>
      <c r="E6" s="21" t="s">
        <v>70</v>
      </c>
      <c r="F6" s="23">
        <f ca="1">SUM(TabelaCarteiraTotal[Valorização])</f>
        <v>-121.04999999981328</v>
      </c>
      <c r="G6" s="23">
        <f ca="1">G5-G4</f>
        <v>-120</v>
      </c>
      <c r="H6" s="23">
        <f ca="1">H5-H4</f>
        <v>0</v>
      </c>
      <c r="I6" s="23">
        <f ca="1">I5-I4</f>
        <v>-1.0499999998137355</v>
      </c>
      <c r="K6" s="21">
        <v>7</v>
      </c>
      <c r="L6" s="21" t="str">
        <f t="shared" ca="1" si="0"/>
        <v>HGRE11</v>
      </c>
      <c r="M6" s="38">
        <f t="shared" ca="1" si="1"/>
        <v>1871.5</v>
      </c>
      <c r="O6" s="21">
        <v>7</v>
      </c>
      <c r="P6" s="21" t="str" cm="1">
        <f t="array" aca="1" ref="P6" ca="1">IF(ISNA(INDEX(TabelaCarteiraTotal[],R6,1)),"-",INDEX(TabelaCarteiraTotal[],R6,1))</f>
        <v>HGRE11</v>
      </c>
      <c r="Q6" s="38">
        <f ca="1">IF(ISNUMBER(LARGE(TabelaCarteiraTotal[Total atual],O6)),LARGE(TabelaCarteiraTotal[Total atual],O6),0)</f>
        <v>1871.5</v>
      </c>
      <c r="R6" s="21">
        <f ca="1">MATCH(Q6,TabelaCarteiraTotal[Total atual],0)</f>
        <v>9</v>
      </c>
      <c r="T6" s="21">
        <v>7</v>
      </c>
      <c r="U6" s="21" t="str" cm="1">
        <f t="array" aca="1" ref="U6" ca="1">IF(ISNA(INDEX(TabelaCarteiraFII[],W6,1)),"-",INDEX(TabelaCarteiraFII[],W6,1))</f>
        <v>-</v>
      </c>
      <c r="V6" s="38">
        <f ca="1">IF(ISNUMBER(LARGE(TabelaCarteiraFII[Total atual],T6)),LARGE(TabelaCarteiraFII[Total atual],T6),0)</f>
        <v>0</v>
      </c>
      <c r="W6" s="21" t="e">
        <f ca="1">MATCH(V6,TabelaCarteiraFII[Total atual],0)</f>
        <v>#N/A</v>
      </c>
      <c r="Y6" s="21">
        <v>7</v>
      </c>
      <c r="Z6" s="21" t="str" cm="1">
        <f t="array" aca="1" ref="Z6" ca="1">IF(ISNA(INDEX(TabelaCarteiraAções[],AB6,1)),"-",INDEX(TabelaCarteiraAções[],AB6,1))</f>
        <v>-</v>
      </c>
      <c r="AA6" s="38">
        <f ca="1">IF(ISNUMBER(LARGE(TabelaCarteiraAções[Total atual],Y6)),LARGE(TabelaCarteiraAções[Total atual],Y6),0)</f>
        <v>0</v>
      </c>
      <c r="AB6" s="21" t="e">
        <f ca="1">MATCH(AA6,TabelaCarteiraAções[Total atual],0)</f>
        <v>#N/A</v>
      </c>
    </row>
    <row r="7" spans="1:28" x14ac:dyDescent="0.3">
      <c r="A7" s="34" t="s">
        <v>125</v>
      </c>
      <c r="B7" s="34"/>
      <c r="D7">
        <v>4</v>
      </c>
      <c r="E7" s="21" t="s">
        <v>71</v>
      </c>
      <c r="F7" s="25">
        <f ca="1">F5/F4-1</f>
        <v>-8.9738402215822077E-5</v>
      </c>
      <c r="G7" s="25">
        <f ca="1">G5/G4-1</f>
        <v>-3.1503504764904822E-3</v>
      </c>
      <c r="H7" s="25">
        <f t="shared" ref="H7:I7" ca="1" si="2">H5/H4-1</f>
        <v>0</v>
      </c>
      <c r="I7" s="25">
        <f t="shared" ca="1" si="2"/>
        <v>-8.0536230151473376E-7</v>
      </c>
      <c r="K7" s="21">
        <v>6</v>
      </c>
      <c r="L7" s="21" t="str">
        <f t="shared" ca="1" si="0"/>
        <v>HGLG11</v>
      </c>
      <c r="M7" s="38">
        <f t="shared" ca="1" si="1"/>
        <v>2561.8999999999996</v>
      </c>
      <c r="O7" s="21">
        <v>6</v>
      </c>
      <c r="P7" s="21" t="str" cm="1">
        <f t="array" aca="1" ref="P7" ca="1">IF(ISNA(INDEX(TabelaCarteiraTotal[],R7,1)),"-",INDEX(TabelaCarteiraTotal[],R7,1))</f>
        <v>HGLG11</v>
      </c>
      <c r="Q7" s="38">
        <f ca="1">IF(ISNUMBER(LARGE(TabelaCarteiraTotal[Total atual],O7)),LARGE(TabelaCarteiraTotal[Total atual],O7),0)</f>
        <v>2561.8999999999996</v>
      </c>
      <c r="R7" s="21">
        <f ca="1">MATCH(Q7,TabelaCarteiraTotal[Total atual],0)</f>
        <v>3</v>
      </c>
      <c r="T7" s="21">
        <v>6</v>
      </c>
      <c r="U7" s="21" t="str" cm="1">
        <f t="array" aca="1" ref="U7" ca="1">IF(ISNA(INDEX(TabelaCarteiraFII[],W7,1)),"-",INDEX(TabelaCarteiraFII[],W7,1))</f>
        <v>-</v>
      </c>
      <c r="V7" s="38">
        <f ca="1">IF(ISNUMBER(LARGE(TabelaCarteiraFII[Total atual],T7)),LARGE(TabelaCarteiraFII[Total atual],T7),0)</f>
        <v>0</v>
      </c>
      <c r="W7" s="21" t="e">
        <f ca="1">MATCH(V7,TabelaCarteiraFII[Total atual],0)</f>
        <v>#N/A</v>
      </c>
      <c r="Y7" s="21">
        <v>6</v>
      </c>
      <c r="Z7" s="21" t="str" cm="1">
        <f t="array" aca="1" ref="Z7" ca="1">IF(ISNA(INDEX(TabelaCarteiraAções[],AB7,1)),"-",INDEX(TabelaCarteiraAções[],AB7,1))</f>
        <v>-</v>
      </c>
      <c r="AA7" s="38">
        <f ca="1">IF(ISNUMBER(LARGE(TabelaCarteiraAções[Total atual],Y7)),LARGE(TabelaCarteiraAções[Total atual],Y7),0)</f>
        <v>0</v>
      </c>
      <c r="AB7" s="21" t="e">
        <f ca="1">MATCH(AA7,TabelaCarteiraAções[Total atual],0)</f>
        <v>#N/A</v>
      </c>
    </row>
    <row r="8" spans="1:28" x14ac:dyDescent="0.3">
      <c r="A8" s="21" t="s">
        <v>126</v>
      </c>
      <c r="B8" s="18">
        <v>1</v>
      </c>
      <c r="K8" s="21">
        <v>5</v>
      </c>
      <c r="L8" s="21" t="str">
        <f t="shared" ca="1" si="0"/>
        <v>ITSA4</v>
      </c>
      <c r="M8" s="38">
        <f t="shared" ca="1" si="1"/>
        <v>2709</v>
      </c>
      <c r="O8" s="21">
        <v>5</v>
      </c>
      <c r="P8" s="21" t="str" cm="1">
        <f t="array" aca="1" ref="P8" ca="1">IF(ISNA(INDEX(TabelaCarteiraTotal[],R8,1)),"-",INDEX(TabelaCarteiraTotal[],R8,1))</f>
        <v>ITSA4</v>
      </c>
      <c r="Q8" s="38">
        <f ca="1">IF(ISNUMBER(LARGE(TabelaCarteiraTotal[Total atual],O8)),LARGE(TabelaCarteiraTotal[Total atual],O8),0)</f>
        <v>2709</v>
      </c>
      <c r="R8" s="21">
        <f ca="1">MATCH(Q8,TabelaCarteiraTotal[Total atual],0)</f>
        <v>5</v>
      </c>
      <c r="T8" s="21">
        <v>5</v>
      </c>
      <c r="U8" s="21" t="str" cm="1">
        <f t="array" aca="1" ref="U8" ca="1">IF(ISNA(INDEX(TabelaCarteiraFII[],W8,1)),"-",INDEX(TabelaCarteiraFII[],W8,1))</f>
        <v>-</v>
      </c>
      <c r="V8" s="38">
        <f ca="1">IF(ISNUMBER(LARGE(TabelaCarteiraFII[Total atual],T8)),LARGE(TabelaCarteiraFII[Total atual],T8),0)</f>
        <v>0</v>
      </c>
      <c r="W8" s="21" t="e">
        <f ca="1">MATCH(V8,TabelaCarteiraFII[Total atual],0)</f>
        <v>#N/A</v>
      </c>
      <c r="Y8" s="21">
        <v>5</v>
      </c>
      <c r="Z8" s="21" t="str" cm="1">
        <f t="array" aca="1" ref="Z8" ca="1">IF(ISNA(INDEX(TabelaCarteiraAções[],AB8,1)),"-",INDEX(TabelaCarteiraAções[],AB8,1))</f>
        <v>-</v>
      </c>
      <c r="AA8" s="38">
        <f ca="1">IF(ISNUMBER(LARGE(TabelaCarteiraAções[Total atual],Y8)),LARGE(TabelaCarteiraAções[Total atual],Y8),0)</f>
        <v>0</v>
      </c>
      <c r="AB8" s="21" t="e">
        <f ca="1">MATCH(AA8,TabelaCarteiraAções[Total atual],0)</f>
        <v>#N/A</v>
      </c>
    </row>
    <row r="9" spans="1:28" x14ac:dyDescent="0.3">
      <c r="A9" s="21" t="s">
        <v>127</v>
      </c>
      <c r="B9" s="22">
        <f>Dashboard!E1</f>
        <v>5000</v>
      </c>
      <c r="K9" s="21">
        <v>4</v>
      </c>
      <c r="L9" s="21" t="str">
        <f t="shared" ca="1" si="0"/>
        <v>BPAC11</v>
      </c>
      <c r="M9" s="38">
        <f t="shared" ca="1" si="1"/>
        <v>8664</v>
      </c>
      <c r="O9" s="21">
        <v>4</v>
      </c>
      <c r="P9" s="21" t="str" cm="1">
        <f t="array" aca="1" ref="P9" ca="1">IF(ISNA(INDEX(TabelaCarteiraTotal[],R9,1)),"-",INDEX(TabelaCarteiraTotal[],R9,1))</f>
        <v>BPAC11</v>
      </c>
      <c r="Q9" s="38">
        <f ca="1">IF(ISNUMBER(LARGE(TabelaCarteiraTotal[Total atual],O9)),LARGE(TabelaCarteiraTotal[Total atual],O9),0)</f>
        <v>8664</v>
      </c>
      <c r="R9" s="21">
        <f ca="1">MATCH(Q9,TabelaCarteiraTotal[Total atual],0)</f>
        <v>1</v>
      </c>
      <c r="T9" s="21">
        <v>4</v>
      </c>
      <c r="U9" s="21" t="str" cm="1">
        <f t="array" aca="1" ref="U9" ca="1">IF(ISNA(INDEX(TabelaCarteiraFII[],W9,1)),"-",INDEX(TabelaCarteiraFII[],W9,1))</f>
        <v>XPML11</v>
      </c>
      <c r="V9" s="38">
        <f ca="1">IF(ISNUMBER(LARGE(TabelaCarteiraFII[Total atual],T9)),LARGE(TabelaCarteiraFII[Total atual],T9),0)</f>
        <v>876.42</v>
      </c>
      <c r="W9" s="21">
        <f ca="1">MATCH(V9,TabelaCarteiraFII[Total atual],0)</f>
        <v>3</v>
      </c>
      <c r="Y9" s="21">
        <v>4</v>
      </c>
      <c r="Z9" s="21" t="str" cm="1">
        <f t="array" aca="1" ref="Z9" ca="1">IF(ISNA(INDEX(TabelaCarteiraAções[],AB9,1)),"-",INDEX(TabelaCarteiraAções[],AB9,1))</f>
        <v>ITSA4</v>
      </c>
      <c r="AA9" s="38">
        <f ca="1">IF(ISNUMBER(LARGE(TabelaCarteiraAções[Total atual],Y9)),LARGE(TabelaCarteiraAções[Total atual],Y9),0)</f>
        <v>2709</v>
      </c>
      <c r="AB9" s="21">
        <f ca="1">MATCH(AA9,TabelaCarteiraAções[Total atual],0)</f>
        <v>2</v>
      </c>
    </row>
    <row r="10" spans="1:28" x14ac:dyDescent="0.3">
      <c r="K10" s="21">
        <v>3</v>
      </c>
      <c r="L10" s="21" t="str">
        <f t="shared" ca="1" si="0"/>
        <v>WEGE3</v>
      </c>
      <c r="M10" s="38">
        <f t="shared" ca="1" si="1"/>
        <v>11422</v>
      </c>
      <c r="O10" s="21">
        <v>3</v>
      </c>
      <c r="P10" s="21" t="str" cm="1">
        <f t="array" aca="1" ref="P10" ca="1">IF(ISNA(INDEX(TabelaCarteiraTotal[],R10,1)),"-",INDEX(TabelaCarteiraTotal[],R10,1))</f>
        <v>WEGE3</v>
      </c>
      <c r="Q10" s="38">
        <f ca="1">IF(ISNUMBER(LARGE(TabelaCarteiraTotal[Total atual],O10)),LARGE(TabelaCarteiraTotal[Total atual],O10),0)</f>
        <v>11422</v>
      </c>
      <c r="R10" s="21">
        <f ca="1">MATCH(Q10,TabelaCarteiraTotal[Total atual],0)</f>
        <v>7</v>
      </c>
      <c r="T10" s="21">
        <v>3</v>
      </c>
      <c r="U10" s="21" t="str" cm="1">
        <f t="array" aca="1" ref="U10" ca="1">IF(ISNA(INDEX(TabelaCarteiraFII[],W10,1)),"-",INDEX(TabelaCarteiraFII[],W10,1))</f>
        <v>KNCR11</v>
      </c>
      <c r="V10" s="38">
        <f ca="1">IF(ISNUMBER(LARGE(TabelaCarteiraFII[Total atual],T10)),LARGE(TabelaCarteiraFII[Total atual],T10),0)</f>
        <v>1758.96</v>
      </c>
      <c r="W10" s="21">
        <f ca="1">MATCH(V10,TabelaCarteiraFII[Total atual],0)</f>
        <v>2</v>
      </c>
      <c r="Y10" s="21">
        <v>3</v>
      </c>
      <c r="Z10" s="21" t="str" cm="1">
        <f t="array" aca="1" ref="Z10" ca="1">IF(ISNA(INDEX(TabelaCarteiraAções[],AB10,1)),"-",INDEX(TabelaCarteiraAções[],AB10,1))</f>
        <v>BPAC11</v>
      </c>
      <c r="AA10" s="38">
        <f ca="1">IF(ISNUMBER(LARGE(TabelaCarteiraAções[Total atual],Y10)),LARGE(TabelaCarteiraAções[Total atual],Y10),0)</f>
        <v>8664</v>
      </c>
      <c r="AB10" s="21">
        <f ca="1">MATCH(AA10,TabelaCarteiraAções[Total atual],0)</f>
        <v>1</v>
      </c>
    </row>
    <row r="11" spans="1:28" x14ac:dyDescent="0.3">
      <c r="A11" s="34" t="s">
        <v>130</v>
      </c>
      <c r="B11" s="34"/>
      <c r="K11" s="21">
        <v>2</v>
      </c>
      <c r="L11" s="21" t="str">
        <f t="shared" ca="1" si="0"/>
        <v>PETR4</v>
      </c>
      <c r="M11" s="38">
        <f t="shared" ca="1" si="1"/>
        <v>15176</v>
      </c>
      <c r="O11" s="21">
        <v>2</v>
      </c>
      <c r="P11" s="21" t="str" cm="1">
        <f t="array" aca="1" ref="P11" ca="1">IF(ISNA(INDEX(TabelaCarteiraTotal[],R11,1)),"-",INDEX(TabelaCarteiraTotal[],R11,1))</f>
        <v>PETR4</v>
      </c>
      <c r="Q11" s="38">
        <f ca="1">IF(ISNUMBER(LARGE(TabelaCarteiraTotal[Total atual],O11)),LARGE(TabelaCarteiraTotal[Total atual],O11),0)</f>
        <v>15176</v>
      </c>
      <c r="R11" s="21">
        <f ca="1">MATCH(Q11,TabelaCarteiraTotal[Total atual],0)</f>
        <v>6</v>
      </c>
      <c r="T11" s="21">
        <v>2</v>
      </c>
      <c r="U11" s="21" t="str" cm="1">
        <f t="array" aca="1" ref="U11" ca="1">IF(ISNA(INDEX(TabelaCarteiraFII[],W11,1)),"-",INDEX(TabelaCarteiraFII[],W11,1))</f>
        <v>HGRE11</v>
      </c>
      <c r="V11" s="38">
        <f ca="1">IF(ISNUMBER(LARGE(TabelaCarteiraFII[Total atual],T11)),LARGE(TabelaCarteiraFII[Total atual],T11),0)</f>
        <v>1871.5</v>
      </c>
      <c r="W11" s="21">
        <f ca="1">MATCH(V11,TabelaCarteiraFII[Total atual],0)</f>
        <v>4</v>
      </c>
      <c r="Y11" s="21">
        <v>2</v>
      </c>
      <c r="Z11" s="21" t="str" cm="1">
        <f t="array" aca="1" ref="Z11" ca="1">IF(ISNA(INDEX(TabelaCarteiraAções[],AB11,1)),"-",INDEX(TabelaCarteiraAções[],AB11,1))</f>
        <v>WEGE3</v>
      </c>
      <c r="AA11" s="38">
        <f ca="1">IF(ISNUMBER(LARGE(TabelaCarteiraAções[Total atual],Y11)),LARGE(TabelaCarteiraAções[Total atual],Y11),0)</f>
        <v>11422</v>
      </c>
      <c r="AB11" s="21">
        <f ca="1">MATCH(AA11,TabelaCarteiraAções[Total atual],0)</f>
        <v>4</v>
      </c>
    </row>
    <row r="12" spans="1:28" x14ac:dyDescent="0.3">
      <c r="A12" s="21" t="s">
        <v>74</v>
      </c>
      <c r="B12" s="23" cm="1">
        <f t="array" aca="1" ref="B12" ca="1">INDEX($F$4:$I$7,D4,$B$8)</f>
        <v>1348920.8299999996</v>
      </c>
      <c r="K12" s="21">
        <v>1</v>
      </c>
      <c r="L12" s="21" t="str">
        <f t="shared" ca="1" si="0"/>
        <v>BTCBRL</v>
      </c>
      <c r="M12" s="38">
        <f t="shared" ca="1" si="1"/>
        <v>1303760</v>
      </c>
      <c r="O12" s="21">
        <v>1</v>
      </c>
      <c r="P12" s="21" t="str" cm="1">
        <f t="array" aca="1" ref="P12" ca="1">IF(ISNA(INDEX(TabelaCarteiraTotal[],R12,1)),"-",INDEX(TabelaCarteiraTotal[],R12,1))</f>
        <v>BTCBRL</v>
      </c>
      <c r="Q12" s="38">
        <f ca="1">IF(ISNUMBER(LARGE(TabelaCarteiraTotal[Total atual],O12)),LARGE(TabelaCarteiraTotal[Total atual],O12),0)</f>
        <v>1303760</v>
      </c>
      <c r="R12" s="21">
        <f ca="1">MATCH(Q12,TabelaCarteiraTotal[Total atual],0)</f>
        <v>2</v>
      </c>
      <c r="T12" s="21">
        <v>1</v>
      </c>
      <c r="U12" s="21" t="str" cm="1">
        <f t="array" aca="1" ref="U12" ca="1">IF(ISNA(INDEX(TabelaCarteiraFII[],W12,1)),"-",INDEX(TabelaCarteiraFII[],W12,1))</f>
        <v>HGLG11</v>
      </c>
      <c r="V12" s="38">
        <f ca="1">IF(ISNUMBER(LARGE(TabelaCarteiraFII[Total atual],T12)),LARGE(TabelaCarteiraFII[Total atual],T12),0)</f>
        <v>2561.8999999999996</v>
      </c>
      <c r="W12" s="21">
        <f ca="1">MATCH(V12,TabelaCarteiraFII[Total atual],0)</f>
        <v>1</v>
      </c>
      <c r="Y12" s="21">
        <v>1</v>
      </c>
      <c r="Z12" s="21" t="str" cm="1">
        <f t="array" aca="1" ref="Z12" ca="1">IF(ISNA(INDEX(TabelaCarteiraAções[],AB12,1)),"-",INDEX(TabelaCarteiraAções[],AB12,1))</f>
        <v>PETR4</v>
      </c>
      <c r="AA12" s="38">
        <f ca="1">IF(ISNUMBER(LARGE(TabelaCarteiraAções[Total atual],Y12)),LARGE(TabelaCarteiraAções[Total atual],Y12),0)</f>
        <v>15176</v>
      </c>
      <c r="AB12" s="21">
        <f ca="1">MATCH(AA12,TabelaCarteiraAções[Total atual],0)</f>
        <v>3</v>
      </c>
    </row>
    <row r="13" spans="1:28" x14ac:dyDescent="0.3">
      <c r="A13" s="21" t="s">
        <v>129</v>
      </c>
      <c r="B13" s="23" cm="1">
        <f t="array" aca="1" ref="B13" ca="1">INDEX($F$4:$I$7,D5,$B$8)</f>
        <v>1348799.7799999998</v>
      </c>
      <c r="K13" s="36"/>
      <c r="L13" s="36"/>
      <c r="M13" s="36"/>
    </row>
    <row r="14" spans="1:28" x14ac:dyDescent="0.3">
      <c r="A14" s="21" t="s">
        <v>70</v>
      </c>
      <c r="B14" s="23" cm="1">
        <f t="array" aca="1" ref="B14" ca="1">INDEX($F$4:$I$7,D6,$B$8)</f>
        <v>-121.04999999981328</v>
      </c>
      <c r="O14" s="35" t="s">
        <v>140</v>
      </c>
      <c r="P14" s="35"/>
      <c r="Q14" s="35"/>
      <c r="R14" s="35"/>
    </row>
    <row r="15" spans="1:28" x14ac:dyDescent="0.3">
      <c r="A15" s="21" t="s">
        <v>71</v>
      </c>
      <c r="B15" s="24" cm="1">
        <f t="array" aca="1" ref="B15" ca="1">INDEX($F$4:$I$7,D7,$B$8)</f>
        <v>-8.9738402215822077E-5</v>
      </c>
      <c r="O15" s="31" t="s">
        <v>134</v>
      </c>
      <c r="P15" s="31" t="s">
        <v>0</v>
      </c>
      <c r="Q15" s="37" t="s">
        <v>135</v>
      </c>
      <c r="R15" s="31" t="s">
        <v>136</v>
      </c>
    </row>
    <row r="16" spans="1:28" x14ac:dyDescent="0.3">
      <c r="O16" s="21">
        <v>10</v>
      </c>
      <c r="P16" s="21" t="str" cm="1">
        <f t="array" aca="1" ref="P16" ca="1">IF(ISNA(INDEX(TabelaCarteiraCriptomoedas[],R16,1)),"-",INDEX(TabelaCarteiraCriptomoedas[],R16,1))</f>
        <v>-</v>
      </c>
      <c r="Q16" s="38">
        <f ca="1">IF(ISNUMBER(LARGE(TabelaCarteiraCriptomoedas[Total atual],O16)),LARGE(TabelaCarteiraCriptomoedas[Total atual],O16),0)</f>
        <v>0</v>
      </c>
      <c r="R16" s="21" t="e">
        <f ca="1">MATCH(Q16,TabelaCarteiraCriptomoedas[Total atual],0)</f>
        <v>#N/A</v>
      </c>
    </row>
    <row r="17" spans="1:28" x14ac:dyDescent="0.3">
      <c r="A17" s="30" t="s">
        <v>131</v>
      </c>
      <c r="B17" s="30"/>
      <c r="O17" s="21">
        <v>9</v>
      </c>
      <c r="P17" s="21" t="str" cm="1">
        <f t="array" aca="1" ref="P17" ca="1">IF(ISNA(INDEX(TabelaCarteiraCriptomoedas[],R17,1)),"-",INDEX(TabelaCarteiraCriptomoedas[],R17,1))</f>
        <v>-</v>
      </c>
      <c r="Q17" s="38">
        <f ca="1">IF(ISNUMBER(LARGE(TabelaCarteiraCriptomoedas[Total atual],O17)),LARGE(TabelaCarteiraCriptomoedas[Total atual],O17),0)</f>
        <v>0</v>
      </c>
      <c r="R17" s="21" t="e">
        <f ca="1">MATCH(Q17,TabelaCarteiraCriptomoedas[Total atual],0)</f>
        <v>#N/A</v>
      </c>
    </row>
    <row r="18" spans="1:28" x14ac:dyDescent="0.3">
      <c r="A18" s="21" t="s">
        <v>123</v>
      </c>
      <c r="B18" s="23">
        <f ca="1">G5</f>
        <v>37971</v>
      </c>
      <c r="O18" s="21">
        <v>8</v>
      </c>
      <c r="P18" s="21" t="str" cm="1">
        <f t="array" aca="1" ref="P18" ca="1">IF(ISNA(INDEX(TabelaCarteiraCriptomoedas[],R18,1)),"-",INDEX(TabelaCarteiraCriptomoedas[],R18,1))</f>
        <v>-</v>
      </c>
      <c r="Q18" s="38">
        <f ca="1">IF(ISNUMBER(LARGE(TabelaCarteiraCriptomoedas[Total atual],O18)),LARGE(TabelaCarteiraCriptomoedas[Total atual],O18),0)</f>
        <v>0</v>
      </c>
      <c r="R18" s="21" t="e">
        <f ca="1">MATCH(Q18,TabelaCarteiraCriptomoedas[Total atual],0)</f>
        <v>#N/A</v>
      </c>
    </row>
    <row r="19" spans="1:28" x14ac:dyDescent="0.3">
      <c r="A19" s="21" t="s">
        <v>2</v>
      </c>
      <c r="B19" s="23">
        <f ca="1">H5</f>
        <v>7068.78</v>
      </c>
      <c r="O19" s="21">
        <v>7</v>
      </c>
      <c r="P19" s="21" t="str" cm="1">
        <f t="array" aca="1" ref="P19" ca="1">IF(ISNA(INDEX(TabelaCarteiraCriptomoedas[],R19,1)),"-",INDEX(TabelaCarteiraCriptomoedas[],R19,1))</f>
        <v>-</v>
      </c>
      <c r="Q19" s="38">
        <f ca="1">IF(ISNUMBER(LARGE(TabelaCarteiraCriptomoedas[Total atual],O19)),LARGE(TabelaCarteiraCriptomoedas[Total atual],O19),0)</f>
        <v>0</v>
      </c>
      <c r="R19" s="21" t="e">
        <f ca="1">MATCH(Q19,TabelaCarteiraCriptomoedas[Total atual],0)</f>
        <v>#N/A</v>
      </c>
    </row>
    <row r="20" spans="1:28" x14ac:dyDescent="0.3">
      <c r="A20" s="21" t="s">
        <v>124</v>
      </c>
      <c r="B20" s="23">
        <f ca="1">I5</f>
        <v>1303760</v>
      </c>
      <c r="O20" s="21">
        <v>6</v>
      </c>
      <c r="P20" s="21" t="str" cm="1">
        <f t="array" aca="1" ref="P20" ca="1">IF(ISNA(INDEX(TabelaCarteiraCriptomoedas[],R20,1)),"-",INDEX(TabelaCarteiraCriptomoedas[],R20,1))</f>
        <v>-</v>
      </c>
      <c r="Q20" s="38">
        <f ca="1">IF(ISNUMBER(LARGE(TabelaCarteiraCriptomoedas[Total atual],O20)),LARGE(TabelaCarteiraCriptomoedas[Total atual],O20),0)</f>
        <v>0</v>
      </c>
      <c r="R20" s="21" t="e">
        <f ca="1">MATCH(Q20,TabelaCarteiraCriptomoedas[Total atual],0)</f>
        <v>#N/A</v>
      </c>
    </row>
    <row r="21" spans="1:28" x14ac:dyDescent="0.3">
      <c r="A21" s="21" t="s">
        <v>132</v>
      </c>
      <c r="B21" s="23">
        <f>B9</f>
        <v>5000</v>
      </c>
      <c r="O21" s="21">
        <v>5</v>
      </c>
      <c r="P21" s="21" t="str" cm="1">
        <f t="array" aca="1" ref="P21" ca="1">IF(ISNA(INDEX(TabelaCarteiraCriptomoedas[],R21,1)),"-",INDEX(TabelaCarteiraCriptomoedas[],R21,1))</f>
        <v>-</v>
      </c>
      <c r="Q21" s="38">
        <f ca="1">IF(ISNUMBER(LARGE(TabelaCarteiraCriptomoedas[Total atual],O21)),LARGE(TabelaCarteiraCriptomoedas[Total atual],O21),0)</f>
        <v>0</v>
      </c>
      <c r="R21" s="21" t="e">
        <f ca="1">MATCH(Q21,TabelaCarteiraCriptomoedas[Total atual],0)</f>
        <v>#N/A</v>
      </c>
    </row>
    <row r="22" spans="1:28" x14ac:dyDescent="0.3">
      <c r="O22" s="21">
        <v>4</v>
      </c>
      <c r="P22" s="21" t="str" cm="1">
        <f t="array" aca="1" ref="P22" ca="1">IF(ISNA(INDEX(TabelaCarteiraCriptomoedas[],R22,1)),"-",INDEX(TabelaCarteiraCriptomoedas[],R22,1))</f>
        <v>-</v>
      </c>
      <c r="Q22" s="38">
        <f ca="1">IF(ISNUMBER(LARGE(TabelaCarteiraCriptomoedas[Total atual],O22)),LARGE(TabelaCarteiraCriptomoedas[Total atual],O22),0)</f>
        <v>0</v>
      </c>
      <c r="R22" s="21" t="e">
        <f ca="1">MATCH(Q22,TabelaCarteiraCriptomoedas[Total atual],0)</f>
        <v>#N/A</v>
      </c>
    </row>
    <row r="23" spans="1:28" x14ac:dyDescent="0.3">
      <c r="O23" s="21">
        <v>3</v>
      </c>
      <c r="P23" s="21" t="str" cm="1">
        <f t="array" aca="1" ref="P23" ca="1">IF(ISNA(INDEX(TabelaCarteiraCriptomoedas[],R23,1)),"-",INDEX(TabelaCarteiraCriptomoedas[],R23,1))</f>
        <v>-</v>
      </c>
      <c r="Q23" s="38">
        <f ca="1">IF(ISNUMBER(LARGE(TabelaCarteiraCriptomoedas[Total atual],O23)),LARGE(TabelaCarteiraCriptomoedas[Total atual],O23),0)</f>
        <v>0</v>
      </c>
      <c r="R23" s="21" t="e">
        <f ca="1">MATCH(Q23,TabelaCarteiraCriptomoedas[Total atual],0)</f>
        <v>#N/A</v>
      </c>
    </row>
    <row r="24" spans="1:28" x14ac:dyDescent="0.3">
      <c r="O24" s="21">
        <v>2</v>
      </c>
      <c r="P24" s="21" t="str" cm="1">
        <f t="array" aca="1" ref="P24" ca="1">IF(ISNA(INDEX(TabelaCarteiraCriptomoedas[],R24,1)),"-",INDEX(TabelaCarteiraCriptomoedas[],R24,1))</f>
        <v>-</v>
      </c>
      <c r="Q24" s="38">
        <f ca="1">IF(ISNUMBER(LARGE(TabelaCarteiraCriptomoedas[Total atual],O24)),LARGE(TabelaCarteiraCriptomoedas[Total atual],O24),0)</f>
        <v>0</v>
      </c>
      <c r="R24" s="21" t="e">
        <f ca="1">MATCH(Q24,TabelaCarteiraCriptomoedas[Total atual],0)</f>
        <v>#N/A</v>
      </c>
    </row>
    <row r="25" spans="1:28" x14ac:dyDescent="0.3">
      <c r="O25" s="21">
        <v>1</v>
      </c>
      <c r="P25" s="21" t="str" cm="1">
        <f t="array" aca="1" ref="P25" ca="1">IF(ISNA(INDEX(TabelaCarteiraCriptomoedas[],R25,1)),"-",INDEX(TabelaCarteiraCriptomoedas[],R25,1))</f>
        <v>BTCBRL</v>
      </c>
      <c r="Q25" s="38">
        <f ca="1">IF(ISNUMBER(LARGE(TabelaCarteiraCriptomoedas[Total atual],O25)),LARGE(TabelaCarteiraCriptomoedas[Total atual],O25),0)</f>
        <v>1303760</v>
      </c>
      <c r="R25" s="21">
        <f ca="1">MATCH(Q25,TabelaCarteiraCriptomoedas[Total atual],0)</f>
        <v>1</v>
      </c>
    </row>
    <row r="27" spans="1:28" x14ac:dyDescent="0.3">
      <c r="K27" s="35" t="s">
        <v>141</v>
      </c>
      <c r="L27" s="35"/>
      <c r="M27" s="35"/>
      <c r="O27" s="35" t="s">
        <v>142</v>
      </c>
      <c r="P27" s="35"/>
      <c r="Q27" s="35"/>
      <c r="R27" s="35"/>
      <c r="T27" s="35" t="s">
        <v>144</v>
      </c>
      <c r="U27" s="35"/>
      <c r="V27" s="35"/>
      <c r="W27" s="35"/>
      <c r="Y27" s="35" t="s">
        <v>145</v>
      </c>
      <c r="Z27" s="35"/>
      <c r="AA27" s="35"/>
      <c r="AB27" s="35"/>
    </row>
    <row r="28" spans="1:28" x14ac:dyDescent="0.3">
      <c r="K28" s="31" t="s">
        <v>134</v>
      </c>
      <c r="L28" s="31" t="s">
        <v>0</v>
      </c>
      <c r="M28" s="31" t="s">
        <v>135</v>
      </c>
      <c r="O28" s="31" t="s">
        <v>134</v>
      </c>
      <c r="P28" s="31" t="s">
        <v>0</v>
      </c>
      <c r="Q28" s="37" t="s">
        <v>70</v>
      </c>
      <c r="R28" s="31" t="s">
        <v>136</v>
      </c>
      <c r="T28" s="31" t="s">
        <v>134</v>
      </c>
      <c r="U28" s="31" t="s">
        <v>0</v>
      </c>
      <c r="V28" s="37" t="s">
        <v>70</v>
      </c>
      <c r="W28" s="31" t="s">
        <v>136</v>
      </c>
      <c r="Y28" s="31" t="s">
        <v>134</v>
      </c>
      <c r="Z28" s="31" t="s">
        <v>0</v>
      </c>
      <c r="AA28" s="37" t="s">
        <v>70</v>
      </c>
      <c r="AB28" s="31" t="s">
        <v>136</v>
      </c>
    </row>
    <row r="29" spans="1:28" x14ac:dyDescent="0.3">
      <c r="K29" s="21">
        <v>10</v>
      </c>
      <c r="L29" s="21" t="str">
        <f ca="1">IF($B$8=1,P29,IF($B$8=2,Z29,IF($B$8=3,U29,P42)))</f>
        <v>HGLG11</v>
      </c>
      <c r="M29" s="40">
        <f ca="1">IF($B$8=1,Q29,IF($B$8=2,AA29,IF($B$8=3,V29,Q42)))</f>
        <v>0</v>
      </c>
      <c r="O29" s="21">
        <v>10</v>
      </c>
      <c r="P29" s="21" t="str" cm="1">
        <f t="array" aca="1" ref="P29" ca="1">IF(ISNA(INDEX(TabelaCarteiraTotal[],R29,1)),"-",INDEX(TabelaCarteiraTotal[],R29,1))</f>
        <v>HGLG11</v>
      </c>
      <c r="Q29" s="39">
        <f ca="1">IF(ISNUMBER(LARGE(TabelaCarteiraTotal[Valorização %],O29)),LARGE(TabelaCarteiraTotal[Valorização %],O29),0)</f>
        <v>0</v>
      </c>
      <c r="R29" s="21">
        <f ca="1">MATCH(Q29,TabelaCarteiraTotal[Valorização %],0)</f>
        <v>3</v>
      </c>
      <c r="T29" s="21">
        <v>10</v>
      </c>
      <c r="U29" s="21" t="str" cm="1">
        <f t="array" aca="1" ref="U29" ca="1">IF(ISNA(INDEX(TabelaCarteiraFII[],W29,1)),"-",INDEX(TabelaCarteiraFII[],W29,1))</f>
        <v>-</v>
      </c>
      <c r="V29" s="41">
        <f t="array" aca="1" ref="V29" ca="1">IFERROR(LARGE(IF(TabelaCarteiraFII[Valorização %]&lt;&gt;0,TabelaCarteiraFII[Valorização %]),T29),0)</f>
        <v>0</v>
      </c>
      <c r="W29" s="21" t="e" cm="1">
        <f t="array" aca="1" ref="W29" ca="1">MATCH(V29,IF(TabelaCarteiraFII[Valorização %]&lt;&gt;0,TabelaCarteiraFII[Valorização %]),0)</f>
        <v>#N/A</v>
      </c>
      <c r="Y29" s="21">
        <v>10</v>
      </c>
      <c r="Z29" s="21" t="str" cm="1">
        <f t="array" aca="1" ref="Z29" ca="1">IF(ISNA(INDEX(TabelaCarteiraAções[],AB29,1)),"-",INDEX(TabelaCarteiraAções[],AB29,1))</f>
        <v>-</v>
      </c>
      <c r="AA29" s="40">
        <f ca="1">IF(ISNUMBER(LARGE(TabelaCarteiraAções[Valorização %],Y29)),LARGE(TabelaCarteiraAções[Valorização %],Y29),0)</f>
        <v>0</v>
      </c>
      <c r="AB29" s="21" t="e">
        <f ca="1">MATCH(AA29,TabelaCarteiraAções[Valorização %],0)</f>
        <v>#N/A</v>
      </c>
    </row>
    <row r="30" spans="1:28" x14ac:dyDescent="0.3">
      <c r="K30" s="21">
        <v>9</v>
      </c>
      <c r="L30" s="21" t="str">
        <f t="shared" ref="L30:L38" ca="1" si="3">IF($B$8=1,P30,IF($B$8=2,Z30,IF($B$8=3,U30,P43)))</f>
        <v>ITSA4</v>
      </c>
      <c r="M30" s="40">
        <f t="shared" ref="M30:M38" ca="1" si="4">IF($B$8=1,Q30,IF($B$8=2,AA30,IF($B$8=3,V30,Q43)))</f>
        <v>-1.0952902519167362E-2</v>
      </c>
      <c r="O30" s="21">
        <v>9</v>
      </c>
      <c r="P30" s="21" t="str" cm="1">
        <f t="array" aca="1" ref="P30" ca="1">IF(ISNA(INDEX(TabelaCarteiraTotal[],R30,1)),"-",INDEX(TabelaCarteiraTotal[],R30,1))</f>
        <v>ITSA4</v>
      </c>
      <c r="Q30" s="39">
        <f ca="1">IF(ISNUMBER(LARGE(TabelaCarteiraTotal[Valorização %],O30)),LARGE(TabelaCarteiraTotal[Valorização %],O30),0)</f>
        <v>-1.0952902519167362E-2</v>
      </c>
      <c r="R30" s="21">
        <f ca="1">MATCH(Q30,TabelaCarteiraTotal[Valorização %],0)</f>
        <v>5</v>
      </c>
      <c r="T30" s="21">
        <v>9</v>
      </c>
      <c r="U30" s="21" t="str" cm="1">
        <f t="array" aca="1" ref="U30" ca="1">IF(ISNA(INDEX(TabelaCarteiraFII[],W30,1)),"-",INDEX(TabelaCarteiraFII[],W30,1))</f>
        <v>-</v>
      </c>
      <c r="V30" s="41">
        <f t="array" aca="1" ref="V30" ca="1">IFERROR(LARGE(IF(TabelaCarteiraFII[Valorização %]&lt;&gt;0,TabelaCarteiraFII[Valorização %]),T30),0)</f>
        <v>0</v>
      </c>
      <c r="W30" s="21" t="e" cm="1">
        <f t="array" aca="1" ref="W30" ca="1">MATCH(V30,IF(TabelaCarteiraFII[Valorização %]&lt;&gt;0,TabelaCarteiraFII[Valorização %]),0)</f>
        <v>#N/A</v>
      </c>
      <c r="Y30" s="21">
        <v>9</v>
      </c>
      <c r="Z30" s="21" t="str" cm="1">
        <f t="array" aca="1" ref="Z30" ca="1">IF(ISNA(INDEX(TabelaCarteiraAções[],AB30,1)),"-",INDEX(TabelaCarteiraAções[],AB30,1))</f>
        <v>-</v>
      </c>
      <c r="AA30" s="40">
        <f ca="1">IF(ISNUMBER(LARGE(TabelaCarteiraAções[Valorização %],Y30)),LARGE(TabelaCarteiraAções[Valorização %],Y30),0)</f>
        <v>0</v>
      </c>
      <c r="AB30" s="21" t="e">
        <f ca="1">MATCH(AA30,TabelaCarteiraAções[Valorização %],0)</f>
        <v>#N/A</v>
      </c>
    </row>
    <row r="31" spans="1:28" x14ac:dyDescent="0.3">
      <c r="K31" s="21">
        <v>8</v>
      </c>
      <c r="L31" s="21" t="str">
        <f t="shared" ca="1" si="3"/>
        <v>BPAC11</v>
      </c>
      <c r="M31" s="40">
        <f t="shared" ca="1" si="4"/>
        <v>-3.4506556245686992E-3</v>
      </c>
      <c r="O31" s="21">
        <v>8</v>
      </c>
      <c r="P31" s="21" t="str" cm="1">
        <f t="array" aca="1" ref="P31" ca="1">IF(ISNA(INDEX(TabelaCarteiraTotal[],R31,1)),"-",INDEX(TabelaCarteiraTotal[],R31,1))</f>
        <v>BPAC11</v>
      </c>
      <c r="Q31" s="39">
        <f ca="1">IF(ISNUMBER(LARGE(TabelaCarteiraTotal[Valorização %],O31)),LARGE(TabelaCarteiraTotal[Valorização %],O31),0)</f>
        <v>-3.4506556245686992E-3</v>
      </c>
      <c r="R31" s="21">
        <f ca="1">MATCH(Q31,TabelaCarteiraTotal[Valorização %],0)</f>
        <v>1</v>
      </c>
      <c r="T31" s="21">
        <v>8</v>
      </c>
      <c r="U31" s="21" t="str" cm="1">
        <f t="array" aca="1" ref="U31" ca="1">IF(ISNA(INDEX(TabelaCarteiraFII[],W31,1)),"-",INDEX(TabelaCarteiraFII[],W31,1))</f>
        <v>-</v>
      </c>
      <c r="V31" s="41">
        <f t="array" aca="1" ref="V31" ca="1">IFERROR(LARGE(IF(TabelaCarteiraFII[Valorização %]&lt;&gt;0,TabelaCarteiraFII[Valorização %]),T31),0)</f>
        <v>0</v>
      </c>
      <c r="W31" s="21" t="e" cm="1">
        <f t="array" aca="1" ref="W31" ca="1">MATCH(V31,IF(TabelaCarteiraFII[Valorização %]&lt;&gt;0,TabelaCarteiraFII[Valorização %]),0)</f>
        <v>#N/A</v>
      </c>
      <c r="Y31" s="21">
        <v>8</v>
      </c>
      <c r="Z31" s="21" t="str" cm="1">
        <f t="array" aca="1" ref="Z31" ca="1">IF(ISNA(INDEX(TabelaCarteiraAções[],AB31,1)),"-",INDEX(TabelaCarteiraAções[],AB31,1))</f>
        <v>-</v>
      </c>
      <c r="AA31" s="40">
        <f ca="1">IF(ISNUMBER(LARGE(TabelaCarteiraAções[Valorização %],Y31)),LARGE(TabelaCarteiraAções[Valorização %],Y31),0)</f>
        <v>0</v>
      </c>
      <c r="AB31" s="21" t="e">
        <f ca="1">MATCH(AA31,TabelaCarteiraAções[Valorização %],0)</f>
        <v>#N/A</v>
      </c>
    </row>
    <row r="32" spans="1:28" x14ac:dyDescent="0.3">
      <c r="K32" s="21">
        <v>7</v>
      </c>
      <c r="L32" s="21" t="str">
        <f t="shared" ca="1" si="3"/>
        <v>PETR4</v>
      </c>
      <c r="M32" s="40">
        <f t="shared" ca="1" si="4"/>
        <v>-2.628811777076745E-3</v>
      </c>
      <c r="O32" s="21">
        <v>7</v>
      </c>
      <c r="P32" s="21" t="str" cm="1">
        <f t="array" aca="1" ref="P32" ca="1">IF(ISNA(INDEX(TabelaCarteiraTotal[],R32,1)),"-",INDEX(TabelaCarteiraTotal[],R32,1))</f>
        <v>PETR4</v>
      </c>
      <c r="Q32" s="39">
        <f ca="1">IF(ISNUMBER(LARGE(TabelaCarteiraTotal[Valorização %],O32)),LARGE(TabelaCarteiraTotal[Valorização %],O32),0)</f>
        <v>-2.628811777076745E-3</v>
      </c>
      <c r="R32" s="21">
        <f ca="1">MATCH(Q32,TabelaCarteiraTotal[Valorização %],0)</f>
        <v>6</v>
      </c>
      <c r="T32" s="21">
        <v>7</v>
      </c>
      <c r="U32" s="21" t="str" cm="1">
        <f t="array" aca="1" ref="U32" ca="1">IF(ISNA(INDEX(TabelaCarteiraFII[],W32,1)),"-",INDEX(TabelaCarteiraFII[],W32,1))</f>
        <v>-</v>
      </c>
      <c r="V32" s="41">
        <f t="array" aca="1" ref="V32" ca="1">IFERROR(LARGE(IF(TabelaCarteiraFII[Valorização %]&lt;&gt;0,TabelaCarteiraFII[Valorização %]),T32),0)</f>
        <v>0</v>
      </c>
      <c r="W32" s="21" t="e" cm="1">
        <f t="array" aca="1" ref="W32" ca="1">MATCH(V32,IF(TabelaCarteiraFII[Valorização %]&lt;&gt;0,TabelaCarteiraFII[Valorização %]),0)</f>
        <v>#N/A</v>
      </c>
      <c r="Y32" s="21">
        <v>7</v>
      </c>
      <c r="Z32" s="21" t="str" cm="1">
        <f t="array" aca="1" ref="Z32" ca="1">IF(ISNA(INDEX(TabelaCarteiraAções[],AB32,1)),"-",INDEX(TabelaCarteiraAções[],AB32,1))</f>
        <v>-</v>
      </c>
      <c r="AA32" s="40">
        <f ca="1">IF(ISNUMBER(LARGE(TabelaCarteiraAções[Valorização %],Y32)),LARGE(TabelaCarteiraAções[Valorização %],Y32),0)</f>
        <v>0</v>
      </c>
      <c r="AB32" s="21" t="e">
        <f ca="1">MATCH(AA32,TabelaCarteiraAções[Valorização %],0)</f>
        <v>#N/A</v>
      </c>
    </row>
    <row r="33" spans="11:28" x14ac:dyDescent="0.3">
      <c r="K33" s="21">
        <v>6</v>
      </c>
      <c r="L33" s="21" t="str">
        <f t="shared" ca="1" si="3"/>
        <v>WEGE3</v>
      </c>
      <c r="M33" s="40">
        <f t="shared" ca="1" si="4"/>
        <v>-1.7479461632581295E-3</v>
      </c>
      <c r="O33" s="21">
        <v>6</v>
      </c>
      <c r="P33" s="21" t="str" cm="1">
        <f t="array" aca="1" ref="P33" ca="1">IF(ISNA(INDEX(TabelaCarteiraTotal[],R33,1)),"-",INDEX(TabelaCarteiraTotal[],R33,1))</f>
        <v>WEGE3</v>
      </c>
      <c r="Q33" s="39">
        <f ca="1">IF(ISNUMBER(LARGE(TabelaCarteiraTotal[Valorização %],O33)),LARGE(TabelaCarteiraTotal[Valorização %],O33),0)</f>
        <v>-1.7479461632581295E-3</v>
      </c>
      <c r="R33" s="21">
        <f ca="1">MATCH(Q33,TabelaCarteiraTotal[Valorização %],0)</f>
        <v>7</v>
      </c>
      <c r="T33" s="21">
        <v>6</v>
      </c>
      <c r="U33" s="21" t="str" cm="1">
        <f t="array" aca="1" ref="U33" ca="1">IF(ISNA(INDEX(TabelaCarteiraFII[],W33,1)),"-",INDEX(TabelaCarteiraFII[],W33,1))</f>
        <v>-</v>
      </c>
      <c r="V33" s="41">
        <f t="array" aca="1" ref="V33" ca="1">IFERROR(LARGE(IF(TabelaCarteiraFII[Valorização %]&lt;&gt;0,TabelaCarteiraFII[Valorização %]),T33),0)</f>
        <v>0</v>
      </c>
      <c r="W33" s="21" t="e" cm="1">
        <f t="array" aca="1" ref="W33" ca="1">MATCH(V33,IF(TabelaCarteiraFII[Valorização %]&lt;&gt;0,TabelaCarteiraFII[Valorização %]),0)</f>
        <v>#N/A</v>
      </c>
      <c r="Y33" s="21">
        <v>6</v>
      </c>
      <c r="Z33" s="21" t="str" cm="1">
        <f t="array" aca="1" ref="Z33" ca="1">IF(ISNA(INDEX(TabelaCarteiraAções[],AB33,1)),"-",INDEX(TabelaCarteiraAções[],AB33,1))</f>
        <v>-</v>
      </c>
      <c r="AA33" s="40">
        <f ca="1">IF(ISNUMBER(LARGE(TabelaCarteiraAções[Valorização %],Y33)),LARGE(TabelaCarteiraAções[Valorização %],Y33),0)</f>
        <v>0</v>
      </c>
      <c r="AB33" s="21" t="e">
        <f ca="1">MATCH(AA33,TabelaCarteiraAções[Valorização %],0)</f>
        <v>#N/A</v>
      </c>
    </row>
    <row r="34" spans="11:28" x14ac:dyDescent="0.3">
      <c r="K34" s="21">
        <v>5</v>
      </c>
      <c r="L34" s="21" t="str">
        <f t="shared" ca="1" si="3"/>
        <v>BTCBRL</v>
      </c>
      <c r="M34" s="40">
        <f t="shared" ca="1" si="4"/>
        <v>-8.0536230151473376E-7</v>
      </c>
      <c r="O34" s="21">
        <v>5</v>
      </c>
      <c r="P34" s="21" t="str" cm="1">
        <f t="array" aca="1" ref="P34" ca="1">IF(ISNA(INDEX(TabelaCarteiraTotal[],R34,1)),"-",INDEX(TabelaCarteiraTotal[],R34,1))</f>
        <v>BTCBRL</v>
      </c>
      <c r="Q34" s="39">
        <f ca="1">IF(ISNUMBER(LARGE(TabelaCarteiraTotal[Valorização %],O34)),LARGE(TabelaCarteiraTotal[Valorização %],O34),0)</f>
        <v>-8.0536230151473376E-7</v>
      </c>
      <c r="R34" s="21">
        <f ca="1">MATCH(Q34,TabelaCarteiraTotal[Valorização %],0)</f>
        <v>2</v>
      </c>
      <c r="T34" s="21">
        <v>5</v>
      </c>
      <c r="U34" s="21" t="str" cm="1">
        <f t="array" aca="1" ref="U34" ca="1">IF(ISNA(INDEX(TabelaCarteiraFII[],W34,1)),"-",INDEX(TabelaCarteiraFII[],W34,1))</f>
        <v>-</v>
      </c>
      <c r="V34" s="41">
        <f t="array" aca="1" ref="V34" ca="1">IFERROR(LARGE(IF(TabelaCarteiraFII[Valorização %]&lt;&gt;0,TabelaCarteiraFII[Valorização %]),T34),0)</f>
        <v>0</v>
      </c>
      <c r="W34" s="21" t="e" cm="1">
        <f t="array" aca="1" ref="W34" ca="1">MATCH(V34,IF(TabelaCarteiraFII[Valorização %]&lt;&gt;0,TabelaCarteiraFII[Valorização %]),0)</f>
        <v>#N/A</v>
      </c>
      <c r="Y34" s="21">
        <v>5</v>
      </c>
      <c r="Z34" s="21" t="str" cm="1">
        <f t="array" aca="1" ref="Z34" ca="1">IF(ISNA(INDEX(TabelaCarteiraAções[],AB34,1)),"-",INDEX(TabelaCarteiraAções[],AB34,1))</f>
        <v>-</v>
      </c>
      <c r="AA34" s="40">
        <f ca="1">IF(ISNUMBER(LARGE(TabelaCarteiraAções[Valorização %],Y34)),LARGE(TabelaCarteiraAções[Valorização %],Y34),0)</f>
        <v>0</v>
      </c>
      <c r="AB34" s="21" t="e">
        <f ca="1">MATCH(AA34,TabelaCarteiraAções[Valorização %],0)</f>
        <v>#N/A</v>
      </c>
    </row>
    <row r="35" spans="11:28" x14ac:dyDescent="0.3">
      <c r="K35" s="21">
        <v>4</v>
      </c>
      <c r="L35" s="21" t="str">
        <f t="shared" ca="1" si="3"/>
        <v>HGLG11</v>
      </c>
      <c r="M35" s="40">
        <f t="shared" ca="1" si="4"/>
        <v>0</v>
      </c>
      <c r="O35" s="21">
        <v>4</v>
      </c>
      <c r="P35" s="21" t="str" cm="1">
        <f t="array" aca="1" ref="P35" ca="1">IF(ISNA(INDEX(TabelaCarteiraTotal[],R35,1)),"-",INDEX(TabelaCarteiraTotal[],R35,1))</f>
        <v>HGLG11</v>
      </c>
      <c r="Q35" s="39">
        <f ca="1">IF(ISNUMBER(LARGE(TabelaCarteiraTotal[Valorização %],O35)),LARGE(TabelaCarteiraTotal[Valorização %],O35),0)</f>
        <v>0</v>
      </c>
      <c r="R35" s="21">
        <f ca="1">MATCH(Q35,TabelaCarteiraTotal[Valorização %],0)</f>
        <v>3</v>
      </c>
      <c r="T35" s="21">
        <v>4</v>
      </c>
      <c r="U35" s="21" t="str" cm="1">
        <f t="array" aca="1" ref="U35" ca="1">IF(ISNA(INDEX(TabelaCarteiraFII[],W35,1)),"-",INDEX(TabelaCarteiraFII[],W35,1))</f>
        <v>-</v>
      </c>
      <c r="V35" s="41">
        <f t="array" aca="1" ref="V35" ca="1">IFERROR(LARGE(IF(TabelaCarteiraFII[Valorização %]&lt;&gt;0,TabelaCarteiraFII[Valorização %]),T35),0)</f>
        <v>0</v>
      </c>
      <c r="W35" s="21" t="e" cm="1">
        <f t="array" aca="1" ref="W35" ca="1">MATCH(V35,IF(TabelaCarteiraFII[Valorização %]&lt;&gt;0,TabelaCarteiraFII[Valorização %]),0)</f>
        <v>#N/A</v>
      </c>
      <c r="Y35" s="21">
        <v>4</v>
      </c>
      <c r="Z35" s="21" t="str" cm="1">
        <f t="array" aca="1" ref="Z35" ca="1">IF(ISNA(INDEX(TabelaCarteiraAções[],AB35,1)),"-",INDEX(TabelaCarteiraAções[],AB35,1))</f>
        <v>ITSA4</v>
      </c>
      <c r="AA35" s="40">
        <f ca="1">IF(ISNUMBER(LARGE(TabelaCarteiraAções[Valorização %],Y35)),LARGE(TabelaCarteiraAções[Valorização %],Y35),0)</f>
        <v>-1.0952902519167362E-2</v>
      </c>
      <c r="AB35" s="21">
        <f ca="1">MATCH(AA35,TabelaCarteiraAções[Valorização %],0)</f>
        <v>2</v>
      </c>
    </row>
    <row r="36" spans="11:28" x14ac:dyDescent="0.3">
      <c r="K36" s="21">
        <v>3</v>
      </c>
      <c r="L36" s="21" t="str">
        <f t="shared" ca="1" si="3"/>
        <v>HGLG11</v>
      </c>
      <c r="M36" s="40">
        <f t="shared" ca="1" si="4"/>
        <v>0</v>
      </c>
      <c r="O36" s="21">
        <v>3</v>
      </c>
      <c r="P36" s="21" t="str" cm="1">
        <f t="array" aca="1" ref="P36" ca="1">IF(ISNA(INDEX(TabelaCarteiraTotal[],R36,1)),"-",INDEX(TabelaCarteiraTotal[],R36,1))</f>
        <v>HGLG11</v>
      </c>
      <c r="Q36" s="39">
        <f ca="1">IF(ISNUMBER(LARGE(TabelaCarteiraTotal[Valorização %],O36)),LARGE(TabelaCarteiraTotal[Valorização %],O36),0)</f>
        <v>0</v>
      </c>
      <c r="R36" s="21">
        <f ca="1">MATCH(Q36,TabelaCarteiraTotal[Valorização %],0)</f>
        <v>3</v>
      </c>
      <c r="T36" s="21">
        <v>3</v>
      </c>
      <c r="U36" s="21" t="str" cm="1">
        <f t="array" aca="1" ref="U36" ca="1">IF(ISNA(INDEX(TabelaCarteiraFII[],W36,1)),"-",INDEX(TabelaCarteiraFII[],W36,1))</f>
        <v>-</v>
      </c>
      <c r="V36" s="41">
        <f t="array" aca="1" ref="V36" ca="1">IFERROR(LARGE(IF(TabelaCarteiraFII[Valorização %]&lt;&gt;0,TabelaCarteiraFII[Valorização %]),T36),0)</f>
        <v>0</v>
      </c>
      <c r="W36" s="21" t="e" cm="1">
        <f t="array" aca="1" ref="W36" ca="1">MATCH(V36,IF(TabelaCarteiraFII[Valorização %]&lt;&gt;0,TabelaCarteiraFII[Valorização %]),0)</f>
        <v>#N/A</v>
      </c>
      <c r="Y36" s="21">
        <v>3</v>
      </c>
      <c r="Z36" s="21" t="str" cm="1">
        <f t="array" aca="1" ref="Z36" ca="1">IF(ISNA(INDEX(TabelaCarteiraAções[],AB36,1)),"-",INDEX(TabelaCarteiraAções[],AB36,1))</f>
        <v>BPAC11</v>
      </c>
      <c r="AA36" s="40">
        <f ca="1">IF(ISNUMBER(LARGE(TabelaCarteiraAções[Valorização %],Y36)),LARGE(TabelaCarteiraAções[Valorização %],Y36),0)</f>
        <v>-3.4506556245686992E-3</v>
      </c>
      <c r="AB36" s="21">
        <f ca="1">MATCH(AA36,TabelaCarteiraAções[Valorização %],0)</f>
        <v>1</v>
      </c>
    </row>
    <row r="37" spans="11:28" x14ac:dyDescent="0.3">
      <c r="K37" s="21">
        <v>2</v>
      </c>
      <c r="L37" s="21" t="str">
        <f t="shared" ca="1" si="3"/>
        <v>HGLG11</v>
      </c>
      <c r="M37" s="40">
        <f t="shared" ca="1" si="4"/>
        <v>0</v>
      </c>
      <c r="O37" s="21">
        <v>2</v>
      </c>
      <c r="P37" s="21" t="str" cm="1">
        <f t="array" aca="1" ref="P37" ca="1">IF(ISNA(INDEX(TabelaCarteiraTotal[],R37,1)),"-",INDEX(TabelaCarteiraTotal[],R37,1))</f>
        <v>HGLG11</v>
      </c>
      <c r="Q37" s="39">
        <f ca="1">IF(ISNUMBER(LARGE(TabelaCarteiraTotal[Valorização %],O37)),LARGE(TabelaCarteiraTotal[Valorização %],O37),0)</f>
        <v>0</v>
      </c>
      <c r="R37" s="21">
        <f ca="1">MATCH(Q37,TabelaCarteiraTotal[Valorização %],0)</f>
        <v>3</v>
      </c>
      <c r="T37" s="21">
        <v>2</v>
      </c>
      <c r="U37" s="21" t="str" cm="1">
        <f t="array" aca="1" ref="U37" ca="1">IF(ISNA(INDEX(TabelaCarteiraFII[],W37,1)),"-",INDEX(TabelaCarteiraFII[],W37,1))</f>
        <v>-</v>
      </c>
      <c r="V37" s="41">
        <f t="array" aca="1" ref="V37" ca="1">IFERROR(LARGE(IF(TabelaCarteiraFII[Valorização %]&lt;&gt;0,TabelaCarteiraFII[Valorização %]),T37),0)</f>
        <v>0</v>
      </c>
      <c r="W37" s="21" t="e" cm="1">
        <f t="array" aca="1" ref="W37" ca="1">MATCH(V37,IF(TabelaCarteiraFII[Valorização %]&lt;&gt;0,TabelaCarteiraFII[Valorização %]),0)</f>
        <v>#N/A</v>
      </c>
      <c r="Y37" s="21">
        <v>2</v>
      </c>
      <c r="Z37" s="21" t="str" cm="1">
        <f t="array" aca="1" ref="Z37" ca="1">IF(ISNA(INDEX(TabelaCarteiraAções[],AB37,1)),"-",INDEX(TabelaCarteiraAções[],AB37,1))</f>
        <v>PETR4</v>
      </c>
      <c r="AA37" s="40">
        <f ca="1">IF(ISNUMBER(LARGE(TabelaCarteiraAções[Valorização %],Y37)),LARGE(TabelaCarteiraAções[Valorização %],Y37),0)</f>
        <v>-2.628811777076745E-3</v>
      </c>
      <c r="AB37" s="21">
        <f ca="1">MATCH(AA37,TabelaCarteiraAções[Valorização %],0)</f>
        <v>3</v>
      </c>
    </row>
    <row r="38" spans="11:28" x14ac:dyDescent="0.3">
      <c r="K38" s="21">
        <v>1</v>
      </c>
      <c r="L38" s="21" t="str">
        <f t="shared" ca="1" si="3"/>
        <v>HGLG11</v>
      </c>
      <c r="M38" s="40">
        <f t="shared" ca="1" si="4"/>
        <v>0</v>
      </c>
      <c r="O38" s="21">
        <v>1</v>
      </c>
      <c r="P38" s="21" t="str" cm="1">
        <f t="array" aca="1" ref="P38" ca="1">IF(ISNA(INDEX(TabelaCarteiraTotal[],R38,1)),"-",INDEX(TabelaCarteiraTotal[],R38,1))</f>
        <v>HGLG11</v>
      </c>
      <c r="Q38" s="39">
        <f ca="1">IF(ISNUMBER(LARGE(TabelaCarteiraTotal[Valorização %],O38)),LARGE(TabelaCarteiraTotal[Valorização %],O38),0)</f>
        <v>0</v>
      </c>
      <c r="R38" s="21">
        <f ca="1">MATCH(Q38,TabelaCarteiraTotal[Valorização %],0)</f>
        <v>3</v>
      </c>
      <c r="T38" s="21">
        <v>1</v>
      </c>
      <c r="U38" s="21" t="str" cm="1">
        <f t="array" aca="1" ref="U38" ca="1">IF(ISNA(INDEX(TabelaCarteiraFII[],W38,1)),"-",INDEX(TabelaCarteiraFII[],W38,1))</f>
        <v>-</v>
      </c>
      <c r="V38" s="41">
        <f t="array" aca="1" ref="V38" ca="1">IFERROR(LARGE(IF(TabelaCarteiraFII[Valorização %]&lt;&gt;0,TabelaCarteiraFII[Valorização %]),T38),0)</f>
        <v>0</v>
      </c>
      <c r="W38" s="21" t="e" cm="1">
        <f t="array" aca="1" ref="W38" ca="1">MATCH(V38,IF(TabelaCarteiraFII[Valorização %]&lt;&gt;0,TabelaCarteiraFII[Valorização %]),0)</f>
        <v>#N/A</v>
      </c>
      <c r="Y38" s="21">
        <v>1</v>
      </c>
      <c r="Z38" s="21" t="str" cm="1">
        <f t="array" aca="1" ref="Z38" ca="1">IF(ISNA(INDEX(TabelaCarteiraAções[],AB38,1)),"-",INDEX(TabelaCarteiraAções[],AB38,1))</f>
        <v>WEGE3</v>
      </c>
      <c r="AA38" s="40">
        <f ca="1">IF(ISNUMBER(LARGE(TabelaCarteiraAções[Valorização %],Y38)),LARGE(TabelaCarteiraAções[Valorização %],Y38),0)</f>
        <v>-1.7479461632581295E-3</v>
      </c>
      <c r="AB38" s="21">
        <f ca="1">MATCH(AA38,TabelaCarteiraAções[Valorização %],0)</f>
        <v>4</v>
      </c>
    </row>
    <row r="40" spans="11:28" x14ac:dyDescent="0.3">
      <c r="O40" s="35" t="s">
        <v>143</v>
      </c>
      <c r="P40" s="35"/>
      <c r="Q40" s="35"/>
      <c r="R40" s="35"/>
    </row>
    <row r="41" spans="11:28" x14ac:dyDescent="0.3">
      <c r="O41" s="31" t="s">
        <v>134</v>
      </c>
      <c r="P41" s="31" t="s">
        <v>0</v>
      </c>
      <c r="Q41" s="37" t="s">
        <v>70</v>
      </c>
      <c r="R41" s="31" t="s">
        <v>136</v>
      </c>
    </row>
    <row r="42" spans="11:28" x14ac:dyDescent="0.3">
      <c r="O42" s="21">
        <v>10</v>
      </c>
      <c r="P42" s="21" t="str" cm="1">
        <f t="array" aca="1" ref="P42" ca="1">IF(ISNA(INDEX(TabelaCarteiraCriptomoedas[],R42,1)),"-",INDEX(TabelaCarteiraCriptomoedas[],R42,1))</f>
        <v>-</v>
      </c>
      <c r="Q42" s="41">
        <f ca="1">IF(ISNUMBER(LARGE(TabelaCarteiraCriptomoedas[Valorização %],O42)),LARGE(TabelaCarteiraCriptomoedas[Valorização %],O42),0)</f>
        <v>0</v>
      </c>
      <c r="R42" s="21" t="e">
        <f ca="1">MATCH(Q42,TabelaCarteiraCriptomoedas[Valorização %],0)</f>
        <v>#N/A</v>
      </c>
    </row>
    <row r="43" spans="11:28" x14ac:dyDescent="0.3">
      <c r="O43" s="21">
        <v>9</v>
      </c>
      <c r="P43" s="21" t="str" cm="1">
        <f t="array" aca="1" ref="P43" ca="1">IF(ISNA(INDEX(TabelaCarteiraCriptomoedas[],R43,1)),"-",INDEX(TabelaCarteiraCriptomoedas[],R43,1))</f>
        <v>-</v>
      </c>
      <c r="Q43" s="41">
        <f ca="1">IF(ISNUMBER(LARGE(TabelaCarteiraCriptomoedas[Valorização %],O43)),LARGE(TabelaCarteiraCriptomoedas[Valorização %],O43),0)</f>
        <v>0</v>
      </c>
      <c r="R43" s="21" t="e">
        <f ca="1">MATCH(Q43,TabelaCarteiraCriptomoedas[Valorização %],0)</f>
        <v>#N/A</v>
      </c>
    </row>
    <row r="44" spans="11:28" x14ac:dyDescent="0.3">
      <c r="O44" s="21">
        <v>8</v>
      </c>
      <c r="P44" s="21" t="str" cm="1">
        <f t="array" aca="1" ref="P44" ca="1">IF(ISNA(INDEX(TabelaCarteiraCriptomoedas[],R44,1)),"-",INDEX(TabelaCarteiraCriptomoedas[],R44,1))</f>
        <v>-</v>
      </c>
      <c r="Q44" s="41">
        <f ca="1">IF(ISNUMBER(LARGE(TabelaCarteiraCriptomoedas[Valorização %],O44)),LARGE(TabelaCarteiraCriptomoedas[Valorização %],O44),0)</f>
        <v>0</v>
      </c>
      <c r="R44" s="21" t="e">
        <f ca="1">MATCH(Q44,TabelaCarteiraCriptomoedas[Valorização %],0)</f>
        <v>#N/A</v>
      </c>
    </row>
    <row r="45" spans="11:28" x14ac:dyDescent="0.3">
      <c r="O45" s="21">
        <v>7</v>
      </c>
      <c r="P45" s="21" t="str" cm="1">
        <f t="array" aca="1" ref="P45" ca="1">IF(ISNA(INDEX(TabelaCarteiraCriptomoedas[],R45,1)),"-",INDEX(TabelaCarteiraCriptomoedas[],R45,1))</f>
        <v>-</v>
      </c>
      <c r="Q45" s="41">
        <f ca="1">IF(ISNUMBER(LARGE(TabelaCarteiraCriptomoedas[Valorização %],O45)),LARGE(TabelaCarteiraCriptomoedas[Valorização %],O45),0)</f>
        <v>0</v>
      </c>
      <c r="R45" s="21" t="e">
        <f ca="1">MATCH(Q45,TabelaCarteiraCriptomoedas[Valorização %],0)</f>
        <v>#N/A</v>
      </c>
    </row>
    <row r="46" spans="11:28" x14ac:dyDescent="0.3">
      <c r="O46" s="21">
        <v>6</v>
      </c>
      <c r="P46" s="21" t="str" cm="1">
        <f t="array" aca="1" ref="P46" ca="1">IF(ISNA(INDEX(TabelaCarteiraCriptomoedas[],R46,1)),"-",INDEX(TabelaCarteiraCriptomoedas[],R46,1))</f>
        <v>-</v>
      </c>
      <c r="Q46" s="41">
        <f ca="1">IF(ISNUMBER(LARGE(TabelaCarteiraCriptomoedas[Valorização %],O46)),LARGE(TabelaCarteiraCriptomoedas[Valorização %],O46),0)</f>
        <v>0</v>
      </c>
      <c r="R46" s="21" t="e">
        <f ca="1">MATCH(Q46,TabelaCarteiraCriptomoedas[Valorização %],0)</f>
        <v>#N/A</v>
      </c>
    </row>
    <row r="47" spans="11:28" x14ac:dyDescent="0.3">
      <c r="O47" s="21">
        <v>5</v>
      </c>
      <c r="P47" s="21" t="str" cm="1">
        <f t="array" aca="1" ref="P47" ca="1">IF(ISNA(INDEX(TabelaCarteiraCriptomoedas[],R47,1)),"-",INDEX(TabelaCarteiraCriptomoedas[],R47,1))</f>
        <v>-</v>
      </c>
      <c r="Q47" s="41">
        <f ca="1">IF(ISNUMBER(LARGE(TabelaCarteiraCriptomoedas[Valorização %],O47)),LARGE(TabelaCarteiraCriptomoedas[Valorização %],O47),0)</f>
        <v>0</v>
      </c>
      <c r="R47" s="21" t="e">
        <f ca="1">MATCH(Q47,TabelaCarteiraCriptomoedas[Valorização %],0)</f>
        <v>#N/A</v>
      </c>
    </row>
    <row r="48" spans="11:28" x14ac:dyDescent="0.3">
      <c r="O48" s="21">
        <v>4</v>
      </c>
      <c r="P48" s="21" t="str" cm="1">
        <f t="array" aca="1" ref="P48" ca="1">IF(ISNA(INDEX(TabelaCarteiraCriptomoedas[],R48,1)),"-",INDEX(TabelaCarteiraCriptomoedas[],R48,1))</f>
        <v>-</v>
      </c>
      <c r="Q48" s="41">
        <f ca="1">IF(ISNUMBER(LARGE(TabelaCarteiraCriptomoedas[Valorização %],O48)),LARGE(TabelaCarteiraCriptomoedas[Valorização %],O48),0)</f>
        <v>0</v>
      </c>
      <c r="R48" s="21" t="e">
        <f ca="1">MATCH(Q48,TabelaCarteiraCriptomoedas[Valorização %],0)</f>
        <v>#N/A</v>
      </c>
    </row>
    <row r="49" spans="15:18" x14ac:dyDescent="0.3">
      <c r="O49" s="21">
        <v>3</v>
      </c>
      <c r="P49" s="21" t="str" cm="1">
        <f t="array" aca="1" ref="P49" ca="1">IF(ISNA(INDEX(TabelaCarteiraCriptomoedas[],R49,1)),"-",INDEX(TabelaCarteiraCriptomoedas[],R49,1))</f>
        <v>-</v>
      </c>
      <c r="Q49" s="41">
        <f ca="1">IF(ISNUMBER(LARGE(TabelaCarteiraCriptomoedas[Valorização %],O49)),LARGE(TabelaCarteiraCriptomoedas[Valorização %],O49),0)</f>
        <v>0</v>
      </c>
      <c r="R49" s="21" t="e">
        <f ca="1">MATCH(Q49,TabelaCarteiraCriptomoedas[Valorização %],0)</f>
        <v>#N/A</v>
      </c>
    </row>
    <row r="50" spans="15:18" x14ac:dyDescent="0.3">
      <c r="O50" s="21">
        <v>2</v>
      </c>
      <c r="P50" s="21" t="str" cm="1">
        <f t="array" aca="1" ref="P50" ca="1">IF(ISNA(INDEX(TabelaCarteiraCriptomoedas[],R50,1)),"-",INDEX(TabelaCarteiraCriptomoedas[],R50,1))</f>
        <v>-</v>
      </c>
      <c r="Q50" s="41">
        <f ca="1">IF(ISNUMBER(LARGE(TabelaCarteiraCriptomoedas[Valorização %],O50)),LARGE(TabelaCarteiraCriptomoedas[Valorização %],O50),0)</f>
        <v>0</v>
      </c>
      <c r="R50" s="21" t="e">
        <f ca="1">MATCH(Q50,TabelaCarteiraCriptomoedas[Valorização %],0)</f>
        <v>#N/A</v>
      </c>
    </row>
    <row r="51" spans="15:18" x14ac:dyDescent="0.3">
      <c r="O51" s="21">
        <v>1</v>
      </c>
      <c r="P51" s="21" t="str" cm="1">
        <f t="array" aca="1" ref="P51" ca="1">IF(ISNA(INDEX(TabelaCarteiraCriptomoedas[],R51,1)),"-",INDEX(TabelaCarteiraCriptomoedas[],R51,1))</f>
        <v>BTCBRL</v>
      </c>
      <c r="Q51" s="41">
        <f ca="1">IF(ISNUMBER(LARGE(TabelaCarteiraCriptomoedas[Valorização %],O51)),LARGE(TabelaCarteiraCriptomoedas[Valorização %],O51),0)</f>
        <v>-8.0536230151473376E-7</v>
      </c>
      <c r="R51" s="21">
        <f ca="1">MATCH(Q51,TabelaCarteiraCriptomoedas[Valorização %],0)</f>
        <v>1</v>
      </c>
    </row>
  </sheetData>
  <mergeCells count="14">
    <mergeCell ref="O40:R40"/>
    <mergeCell ref="O1:R1"/>
    <mergeCell ref="T1:W1"/>
    <mergeCell ref="Y1:AB1"/>
    <mergeCell ref="O14:R14"/>
    <mergeCell ref="K27:M27"/>
    <mergeCell ref="O27:R27"/>
    <mergeCell ref="T27:W27"/>
    <mergeCell ref="Y27:AB27"/>
    <mergeCell ref="A1:B1"/>
    <mergeCell ref="A7:B7"/>
    <mergeCell ref="E1:I1"/>
    <mergeCell ref="A11:B11"/>
    <mergeCell ref="K1:M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6FCF-0929-400F-B227-1AEB000202CB}">
  <sheetPr codeName="Planilha3"/>
  <dimension ref="A1:L11"/>
  <sheetViews>
    <sheetView zoomScale="110" zoomScaleNormal="110" workbookViewId="0">
      <selection activeCell="E6" sqref="E6"/>
    </sheetView>
  </sheetViews>
  <sheetFormatPr defaultRowHeight="14.4" x14ac:dyDescent="0.3"/>
  <cols>
    <col min="2" max="2" width="11.44140625" bestFit="1" customWidth="1"/>
    <col min="3" max="3" width="14" style="2" bestFit="1" customWidth="1"/>
    <col min="4" max="4" width="16.77734375" style="2" bestFit="1" customWidth="1"/>
    <col min="5" max="5" width="16.88671875" style="6" customWidth="1"/>
    <col min="6" max="6" width="14" style="2" bestFit="1" customWidth="1"/>
    <col min="7" max="7" width="15.5546875" style="2" bestFit="1" customWidth="1"/>
    <col min="8" max="8" width="12.6640625" style="7" customWidth="1"/>
    <col min="9" max="9" width="14.5546875" style="15" customWidth="1"/>
    <col min="11" max="11" width="12.21875" bestFit="1" customWidth="1"/>
    <col min="12" max="12" width="10.33203125" bestFit="1" customWidth="1"/>
  </cols>
  <sheetData>
    <row r="1" spans="1:12" ht="15" thickBot="1" x14ac:dyDescent="0.35">
      <c r="A1" t="s">
        <v>0</v>
      </c>
      <c r="B1" t="s">
        <v>1</v>
      </c>
      <c r="C1" s="2" t="s">
        <v>66</v>
      </c>
      <c r="D1" s="2" t="s">
        <v>74</v>
      </c>
      <c r="E1" s="6" t="s">
        <v>68</v>
      </c>
      <c r="F1" s="2" t="s">
        <v>69</v>
      </c>
      <c r="G1" s="2" t="s">
        <v>73</v>
      </c>
      <c r="H1" s="7" t="s">
        <v>70</v>
      </c>
      <c r="I1" s="15" t="s">
        <v>71</v>
      </c>
      <c r="K1" s="5" t="s">
        <v>72</v>
      </c>
      <c r="L1" s="14"/>
    </row>
    <row r="2" spans="1:12" x14ac:dyDescent="0.3">
      <c r="A2" t="s">
        <v>20</v>
      </c>
      <c r="B2" t="str">
        <f>VLOOKUP(TabelaCarteiraTotal[[#This Row],[Ativo]],TabelaAtivos[[Sigla]:[Preço]],2,FALSE)</f>
        <v>Empresa</v>
      </c>
      <c r="C2" s="2">
        <f ca="1">VLOOKUP(TabelaCarteiraTotal[[#This Row],[Ativo]],TabelaAtivos[[Sigla]:[Preço]],3,FALSE)</f>
        <v>28.88</v>
      </c>
      <c r="D2" s="2">
        <f ca="1">SUMIFS(TabelaAportes[Total],TabelaAportes[Ativo],TabelaCarteiraTotal[[#This Row],[Ativo]],TabelaAportes[Data],"&lt;="&amp;IF($L$1="",TODAY(),$L$1))</f>
        <v>8694</v>
      </c>
      <c r="E2" s="6">
        <f ca="1">SUMIFS(TabelaAportes[Quantidade],TabelaAportes[Ativo],TabelaCarteiraTotal[[#This Row],[Ativo]],TabelaAportes[Data],"&lt;="&amp;IF($L$1="",TODAY(),$L$1))</f>
        <v>300</v>
      </c>
      <c r="F2" s="2">
        <f ca="1">TabelaCarteiraTotal[[#This Row],[Total aportado]]/TabelaCarteiraTotal[[#This Row],[Quantidade total]]</f>
        <v>28.98</v>
      </c>
      <c r="G2" s="2">
        <f ca="1">TabelaCarteiraTotal[[#This Row],[Quantidade total]]*TabelaCarteiraTotal[[#This Row],[Cotação]]</f>
        <v>8664</v>
      </c>
      <c r="H2" s="7">
        <f ca="1">TabelaCarteiraTotal[[#This Row],[Total atual]]-TabelaCarteiraTotal[[#This Row],[Total aportado]]</f>
        <v>-30</v>
      </c>
      <c r="I2" s="15">
        <f ca="1">(TabelaCarteiraTotal[[#This Row],[Total atual]]/TabelaCarteiraTotal[[#This Row],[Total aportado]])-1</f>
        <v>-3.4506556245686992E-3</v>
      </c>
    </row>
    <row r="3" spans="1:12" x14ac:dyDescent="0.3">
      <c r="A3" t="s">
        <v>21</v>
      </c>
      <c r="B3" t="str">
        <f>VLOOKUP(TabelaCarteiraTotal[[#This Row],[Ativo]],TabelaAtivos[[Sigla]:[Preço]],2,FALSE)</f>
        <v>Criptomoeda</v>
      </c>
      <c r="C3" s="2">
        <f ca="1">VLOOKUP(TabelaCarteiraTotal[[#This Row],[Ativo]],TabelaAtivos[[Sigla]:[Preço]],3,FALSE)</f>
        <v>651880</v>
      </c>
      <c r="D3" s="2">
        <f ca="1">SUMIFS(TabelaAportes[Total],TabelaAportes[Ativo],TabelaCarteiraTotal[[#This Row],[Ativo]],TabelaAportes[Data],"&lt;="&amp;IF($L$1="",TODAY(),$L$1))</f>
        <v>1303761.0499999998</v>
      </c>
      <c r="E3" s="6">
        <f ca="1">SUMIFS(TabelaAportes[Quantidade],TabelaAportes[Ativo],TabelaCarteiraTotal[[#This Row],[Ativo]],TabelaAportes[Data],"&lt;="&amp;IF($L$1="",TODAY(),$L$1))</f>
        <v>2</v>
      </c>
      <c r="F3" s="2">
        <f ca="1">TabelaCarteiraTotal[[#This Row],[Total aportado]]/TabelaCarteiraTotal[[#This Row],[Quantidade total]]</f>
        <v>651880.52499999991</v>
      </c>
      <c r="G3" s="2">
        <f ca="1">TabelaCarteiraTotal[[#This Row],[Quantidade total]]*TabelaCarteiraTotal[[#This Row],[Cotação]]</f>
        <v>1303760</v>
      </c>
      <c r="H3" s="7">
        <f ca="1">TabelaCarteiraTotal[[#This Row],[Total atual]]-TabelaCarteiraTotal[[#This Row],[Total aportado]]</f>
        <v>-1.0499999998137355</v>
      </c>
      <c r="I3" s="15">
        <f ca="1">(TabelaCarteiraTotal[[#This Row],[Total atual]]/TabelaCarteiraTotal[[#This Row],[Total aportado]])-1</f>
        <v>-8.0536230151473376E-7</v>
      </c>
    </row>
    <row r="4" spans="1:12" x14ac:dyDescent="0.3">
      <c r="A4" t="s">
        <v>5</v>
      </c>
      <c r="B4" t="str">
        <f>VLOOKUP(TabelaCarteiraTotal[[#This Row],[Ativo]],TabelaAtivos[[Sigla]:[Preço]],2,FALSE)</f>
        <v>FII</v>
      </c>
      <c r="C4" s="2">
        <f ca="1">VLOOKUP(TabelaCarteiraTotal[[#This Row],[Ativo]],TabelaAtivos[[Sigla]:[Preço]],3,FALSE)</f>
        <v>150.69999999999999</v>
      </c>
      <c r="D4" s="2">
        <f ca="1">SUMIFS(TabelaAportes[Total],TabelaAportes[Ativo],TabelaCarteiraTotal[[#This Row],[Ativo]],TabelaAportes[Data],"&lt;="&amp;IF($L$1="",TODAY(),$L$1))</f>
        <v>2561.9</v>
      </c>
      <c r="E4" s="6">
        <f ca="1">SUMIFS(TabelaAportes[Quantidade],TabelaAportes[Ativo],TabelaCarteiraTotal[[#This Row],[Ativo]],TabelaAportes[Data],"&lt;="&amp;IF($L$1="",TODAY(),$L$1))</f>
        <v>17</v>
      </c>
      <c r="F4" s="2">
        <f ca="1">TabelaCarteiraTotal[[#This Row],[Total aportado]]/TabelaCarteiraTotal[[#This Row],[Quantidade total]]</f>
        <v>150.70000000000002</v>
      </c>
      <c r="G4" s="2">
        <f ca="1">TabelaCarteiraTotal[[#This Row],[Quantidade total]]*TabelaCarteiraTotal[[#This Row],[Cotação]]</f>
        <v>2561.8999999999996</v>
      </c>
      <c r="H4" s="7">
        <f ca="1">TabelaCarteiraTotal[[#This Row],[Total atual]]-TabelaCarteiraTotal[[#This Row],[Total aportado]]</f>
        <v>0</v>
      </c>
      <c r="I4" s="15">
        <f ca="1">(TabelaCarteiraTotal[[#This Row],[Total atual]]/TabelaCarteiraTotal[[#This Row],[Total aportado]])-1</f>
        <v>0</v>
      </c>
    </row>
    <row r="5" spans="1:12" x14ac:dyDescent="0.3">
      <c r="A5" t="s">
        <v>22</v>
      </c>
      <c r="B5" t="str">
        <f>VLOOKUP(TabelaCarteiraTotal[[#This Row],[Ativo]],TabelaAtivos[[Sigla]:[Preço]],2,FALSE)</f>
        <v>FII</v>
      </c>
      <c r="C5" s="2">
        <f ca="1">VLOOKUP(TabelaCarteiraTotal[[#This Row],[Ativo]],TabelaAtivos[[Sigla]:[Preço]],3,FALSE)</f>
        <v>97.72</v>
      </c>
      <c r="D5" s="2">
        <f ca="1">SUMIFS(TabelaAportes[Total],TabelaAportes[Ativo],TabelaCarteiraTotal[[#This Row],[Ativo]],TabelaAportes[Data],"&lt;="&amp;IF($L$1="",TODAY(),$L$1))</f>
        <v>1758.96</v>
      </c>
      <c r="E5" s="6">
        <f ca="1">SUMIFS(TabelaAportes[Quantidade],TabelaAportes[Ativo],TabelaCarteiraTotal[[#This Row],[Ativo]],TabelaAportes[Data],"&lt;="&amp;IF($L$1="",TODAY(),$L$1))</f>
        <v>18</v>
      </c>
      <c r="F5" s="2">
        <f ca="1">TabelaCarteiraTotal[[#This Row],[Total aportado]]/TabelaCarteiraTotal[[#This Row],[Quantidade total]]</f>
        <v>97.72</v>
      </c>
      <c r="G5" s="2">
        <f ca="1">TabelaCarteiraTotal[[#This Row],[Quantidade total]]*TabelaCarteiraTotal[[#This Row],[Cotação]]</f>
        <v>1758.96</v>
      </c>
      <c r="H5" s="7">
        <f ca="1">TabelaCarteiraTotal[[#This Row],[Total atual]]-TabelaCarteiraTotal[[#This Row],[Total aportado]]</f>
        <v>0</v>
      </c>
      <c r="I5" s="15">
        <f ca="1">(TabelaCarteiraTotal[[#This Row],[Total atual]]/TabelaCarteiraTotal[[#This Row],[Total aportado]])-1</f>
        <v>0</v>
      </c>
    </row>
    <row r="6" spans="1:12" x14ac:dyDescent="0.3">
      <c r="A6" t="s">
        <v>14</v>
      </c>
      <c r="B6" t="str">
        <f>VLOOKUP(TabelaCarteiraTotal[[#This Row],[Ativo]],TabelaAtivos[[Sigla]:[Preço]],2,FALSE)</f>
        <v>Empresa</v>
      </c>
      <c r="C6" s="2">
        <f ca="1">VLOOKUP(TabelaCarteiraTotal[[#This Row],[Ativo]],TabelaAtivos[[Sigla]:[Preço]],3,FALSE)</f>
        <v>9.0299999999999994</v>
      </c>
      <c r="D6" s="2">
        <f ca="1">SUMIFS(TabelaAportes[Total],TabelaAportes[Ativo],TabelaCarteiraTotal[[#This Row],[Ativo]],TabelaAportes[Data],"&lt;="&amp;IF($L$1="",TODAY(),$L$1))</f>
        <v>2738.9999999999995</v>
      </c>
      <c r="E6" s="6">
        <f ca="1">SUMIFS(TabelaAportes[Quantidade],TabelaAportes[Ativo],TabelaCarteiraTotal[[#This Row],[Ativo]],TabelaAportes[Data],"&lt;="&amp;IF($L$1="",TODAY(),$L$1))</f>
        <v>300</v>
      </c>
      <c r="F6" s="2">
        <f ca="1">TabelaCarteiraTotal[[#This Row],[Total aportado]]/TabelaCarteiraTotal[[#This Row],[Quantidade total]]</f>
        <v>9.129999999999999</v>
      </c>
      <c r="G6" s="2">
        <f ca="1">TabelaCarteiraTotal[[#This Row],[Quantidade total]]*TabelaCarteiraTotal[[#This Row],[Cotação]]</f>
        <v>2709</v>
      </c>
      <c r="H6" s="7">
        <f ca="1">TabelaCarteiraTotal[[#This Row],[Total atual]]-TabelaCarteiraTotal[[#This Row],[Total aportado]]</f>
        <v>-29.999999999999545</v>
      </c>
      <c r="I6" s="15">
        <f ca="1">(TabelaCarteiraTotal[[#This Row],[Total atual]]/TabelaCarteiraTotal[[#This Row],[Total aportado]])-1</f>
        <v>-1.0952902519167362E-2</v>
      </c>
    </row>
    <row r="7" spans="1:12" x14ac:dyDescent="0.3">
      <c r="A7" t="s">
        <v>3</v>
      </c>
      <c r="B7" t="str">
        <f>VLOOKUP(TabelaCarteiraTotal[[#This Row],[Ativo]],TabelaAtivos[[Sigla]:[Preço]],2,FALSE)</f>
        <v>Empresa</v>
      </c>
      <c r="C7" s="2">
        <f ca="1">VLOOKUP(TabelaCarteiraTotal[[#This Row],[Ativo]],TabelaAtivos[[Sigla]:[Preço]],3,FALSE)</f>
        <v>37.94</v>
      </c>
      <c r="D7" s="2">
        <f ca="1">SUMIFS(TabelaAportes[Total],TabelaAportes[Ativo],TabelaCarteiraTotal[[#This Row],[Ativo]],TabelaAportes[Data],"&lt;="&amp;IF($L$1="",TODAY(),$L$1))</f>
        <v>15216</v>
      </c>
      <c r="E7" s="6">
        <f ca="1">SUMIFS(TabelaAportes[Quantidade],TabelaAportes[Ativo],TabelaCarteiraTotal[[#This Row],[Ativo]],TabelaAportes[Data],"&lt;="&amp;IF($L$1="",TODAY(),$L$1))</f>
        <v>400</v>
      </c>
      <c r="F7" s="2">
        <f ca="1">TabelaCarteiraTotal[[#This Row],[Total aportado]]/TabelaCarteiraTotal[[#This Row],[Quantidade total]]</f>
        <v>38.04</v>
      </c>
      <c r="G7" s="2">
        <f ca="1">TabelaCarteiraTotal[[#This Row],[Quantidade total]]*TabelaCarteiraTotal[[#This Row],[Cotação]]</f>
        <v>15176</v>
      </c>
      <c r="H7" s="7">
        <f ca="1">TabelaCarteiraTotal[[#This Row],[Total atual]]-TabelaCarteiraTotal[[#This Row],[Total aportado]]</f>
        <v>-40</v>
      </c>
      <c r="I7" s="15">
        <f ca="1">(TabelaCarteiraTotal[[#This Row],[Total atual]]/TabelaCarteiraTotal[[#This Row],[Total aportado]])-1</f>
        <v>-2.628811777076745E-3</v>
      </c>
    </row>
    <row r="8" spans="1:12" x14ac:dyDescent="0.3">
      <c r="A8" t="s">
        <v>23</v>
      </c>
      <c r="B8" t="str">
        <f>VLOOKUP(TabelaCarteiraTotal[[#This Row],[Ativo]],TabelaAtivos[[Sigla]:[Preço]],2,FALSE)</f>
        <v>Empresa</v>
      </c>
      <c r="C8" s="2">
        <f ca="1">VLOOKUP(TabelaCarteiraTotal[[#This Row],[Ativo]],TabelaAtivos[[Sigla]:[Preço]],3,FALSE)</f>
        <v>57.11</v>
      </c>
      <c r="D8" s="2">
        <f ca="1">SUMIFS(TabelaAportes[Total],TabelaAportes[Ativo],TabelaCarteiraTotal[[#This Row],[Ativo]],TabelaAportes[Data],"&lt;="&amp;IF($L$1="",TODAY(),$L$1))</f>
        <v>11442</v>
      </c>
      <c r="E8" s="6">
        <f ca="1">SUMIFS(TabelaAportes[Quantidade],TabelaAportes[Ativo],TabelaCarteiraTotal[[#This Row],[Ativo]],TabelaAportes[Data],"&lt;="&amp;IF($L$1="",TODAY(),$L$1))</f>
        <v>200</v>
      </c>
      <c r="F8" s="2">
        <f ca="1">TabelaCarteiraTotal[[#This Row],[Total aportado]]/TabelaCarteiraTotal[[#This Row],[Quantidade total]]</f>
        <v>57.21</v>
      </c>
      <c r="G8" s="2">
        <f ca="1">TabelaCarteiraTotal[[#This Row],[Quantidade total]]*TabelaCarteiraTotal[[#This Row],[Cotação]]</f>
        <v>11422</v>
      </c>
      <c r="H8" s="7">
        <f ca="1">TabelaCarteiraTotal[[#This Row],[Total atual]]-TabelaCarteiraTotal[[#This Row],[Total aportado]]</f>
        <v>-20</v>
      </c>
      <c r="I8" s="15">
        <f ca="1">(TabelaCarteiraTotal[[#This Row],[Total atual]]/TabelaCarteiraTotal[[#This Row],[Total aportado]])-1</f>
        <v>-1.7479461632581295E-3</v>
      </c>
    </row>
    <row r="9" spans="1:12" x14ac:dyDescent="0.3">
      <c r="A9" t="s">
        <v>24</v>
      </c>
      <c r="B9" t="str">
        <f>VLOOKUP(TabelaCarteiraTotal[[#This Row],[Ativo]],TabelaAtivos[[Sigla]:[Preço]],2,FALSE)</f>
        <v>FII</v>
      </c>
      <c r="C9" s="2">
        <f ca="1">VLOOKUP(TabelaCarteiraTotal[[#This Row],[Ativo]],TabelaAtivos[[Sigla]:[Preço]],3,FALSE)</f>
        <v>97.38</v>
      </c>
      <c r="D9" s="2">
        <f ca="1">SUMIFS(TabelaAportes[Total],TabelaAportes[Ativo],TabelaCarteiraTotal[[#This Row],[Ativo]],TabelaAportes[Data],"&lt;="&amp;IF($L$1="",TODAY(),$L$1))</f>
        <v>876.42</v>
      </c>
      <c r="E9" s="6">
        <f ca="1">SUMIFS(TabelaAportes[Quantidade],TabelaAportes[Ativo],TabelaCarteiraTotal[[#This Row],[Ativo]],TabelaAportes[Data],"&lt;="&amp;IF($L$1="",TODAY(),$L$1))</f>
        <v>9</v>
      </c>
      <c r="F9" s="2">
        <f ca="1">TabelaCarteiraTotal[[#This Row],[Total aportado]]/TabelaCarteiraTotal[[#This Row],[Quantidade total]]</f>
        <v>97.38</v>
      </c>
      <c r="G9" s="2">
        <f ca="1">TabelaCarteiraTotal[[#This Row],[Quantidade total]]*TabelaCarteiraTotal[[#This Row],[Cotação]]</f>
        <v>876.42</v>
      </c>
      <c r="H9" s="7">
        <f ca="1">TabelaCarteiraTotal[[#This Row],[Total atual]]-TabelaCarteiraTotal[[#This Row],[Total aportado]]</f>
        <v>0</v>
      </c>
      <c r="I9" s="15">
        <f ca="1">(TabelaCarteiraTotal[[#This Row],[Total atual]]/TabelaCarteiraTotal[[#This Row],[Total aportado]])-1</f>
        <v>0</v>
      </c>
    </row>
    <row r="10" spans="1:12" x14ac:dyDescent="0.3">
      <c r="A10" t="s">
        <v>16</v>
      </c>
      <c r="B10" t="str">
        <f>VLOOKUP(TabelaCarteiraTotal[[#This Row],[Ativo]],TabelaAtivos[[Sigla]:[Preço]],2,FALSE)</f>
        <v>FII</v>
      </c>
      <c r="C10" s="2">
        <f ca="1">VLOOKUP(TabelaCarteiraTotal[[#This Row],[Ativo]],TabelaAtivos[[Sigla]:[Preço]],3,FALSE)</f>
        <v>98.5</v>
      </c>
      <c r="D10" s="2">
        <f ca="1">SUMIFS(TabelaAportes[Total],TabelaAportes[Ativo],TabelaCarteiraTotal[[#This Row],[Ativo]],TabelaAportes[Data],"&lt;="&amp;IF($L$1="",TODAY(),$L$1))</f>
        <v>1871.5</v>
      </c>
      <c r="E10" s="6">
        <f ca="1">SUMIFS(TabelaAportes[Quantidade],TabelaAportes[Ativo],TabelaCarteiraTotal[[#This Row],[Ativo]],TabelaAportes[Data],"&lt;="&amp;IF($L$1="",TODAY(),$L$1))</f>
        <v>19</v>
      </c>
      <c r="F10" s="2">
        <f ca="1">TabelaCarteiraTotal[[#This Row],[Total aportado]]/TabelaCarteiraTotal[[#This Row],[Quantidade total]]</f>
        <v>98.5</v>
      </c>
      <c r="G10" s="2">
        <f ca="1">TabelaCarteiraTotal[[#This Row],[Quantidade total]]*TabelaCarteiraTotal[[#This Row],[Cotação]]</f>
        <v>1871.5</v>
      </c>
      <c r="H10" s="7">
        <f ca="1">TabelaCarteiraTotal[[#This Row],[Total atual]]-TabelaCarteiraTotal[[#This Row],[Total aportado]]</f>
        <v>0</v>
      </c>
      <c r="I10" s="15">
        <f ca="1">(TabelaCarteiraTotal[[#This Row],[Total atual]]/TabelaCarteiraTotal[[#This Row],[Total aportado]])-1</f>
        <v>0</v>
      </c>
    </row>
    <row r="11" spans="1:12" x14ac:dyDescent="0.3">
      <c r="A11" t="s">
        <v>11</v>
      </c>
      <c r="C11"/>
      <c r="D11" s="2">
        <f ca="1">SUBTOTAL(109,TabelaCarteiraTotal[Total aportado])</f>
        <v>1348920.8299999996</v>
      </c>
      <c r="E11"/>
      <c r="F11"/>
      <c r="G11" s="2">
        <f ca="1">SUBTOTAL(109,TabelaCarteiraTotal[Total atual])</f>
        <v>1348799.7799999998</v>
      </c>
      <c r="H11" s="7">
        <f ca="1">SUBTOTAL(109,TabelaCarteiraTotal[Valorização])</f>
        <v>-121.04999999981328</v>
      </c>
      <c r="I11" s="16"/>
    </row>
  </sheetData>
  <conditionalFormatting sqref="H1:I10 H12:I1048576">
    <cfRule type="cellIs" dxfId="3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4BDB-AF9B-49D5-A5D4-142BFCB0C4B9}">
  <dimension ref="A1:L6"/>
  <sheetViews>
    <sheetView zoomScale="110" zoomScaleNormal="110" workbookViewId="0">
      <selection activeCell="A2" sqref="A2"/>
    </sheetView>
  </sheetViews>
  <sheetFormatPr defaultRowHeight="14.4" x14ac:dyDescent="0.3"/>
  <cols>
    <col min="2" max="2" width="11.44140625" bestFit="1" customWidth="1"/>
    <col min="3" max="3" width="14" style="2" bestFit="1" customWidth="1"/>
    <col min="4" max="4" width="16.77734375" style="2" bestFit="1" customWidth="1"/>
    <col min="5" max="5" width="16.88671875" style="6" customWidth="1"/>
    <col min="6" max="6" width="14" style="2" bestFit="1" customWidth="1"/>
    <col min="7" max="7" width="15.5546875" style="2" bestFit="1" customWidth="1"/>
    <col min="8" max="8" width="12.6640625" style="7" customWidth="1"/>
    <col min="9" max="9" width="14.5546875" style="15" customWidth="1"/>
    <col min="11" max="11" width="12.21875" bestFit="1" customWidth="1"/>
    <col min="12" max="12" width="10.33203125" bestFit="1" customWidth="1"/>
  </cols>
  <sheetData>
    <row r="1" spans="1:12" ht="15" thickBot="1" x14ac:dyDescent="0.35">
      <c r="A1" t="s">
        <v>0</v>
      </c>
      <c r="B1" t="s">
        <v>1</v>
      </c>
      <c r="C1" s="2" t="s">
        <v>66</v>
      </c>
      <c r="D1" s="2" t="s">
        <v>74</v>
      </c>
      <c r="E1" s="6" t="s">
        <v>68</v>
      </c>
      <c r="F1" s="2" t="s">
        <v>69</v>
      </c>
      <c r="G1" s="2" t="s">
        <v>73</v>
      </c>
      <c r="H1" s="7" t="s">
        <v>70</v>
      </c>
      <c r="I1" s="15" t="s">
        <v>71</v>
      </c>
      <c r="K1" s="5" t="s">
        <v>72</v>
      </c>
      <c r="L1" s="14"/>
    </row>
    <row r="2" spans="1:12" x14ac:dyDescent="0.3">
      <c r="A2" t="s">
        <v>20</v>
      </c>
      <c r="B2" t="str">
        <f>VLOOKUP(TabelaCarteiraAções[[#This Row],[Ativo]],TabelaAtivos[[Sigla]:[Preço]],2,FALSE)</f>
        <v>Empresa</v>
      </c>
      <c r="C2" s="2">
        <f ca="1">VLOOKUP(TabelaCarteiraAções[[#This Row],[Ativo]],TabelaAtivos[[Sigla]:[Preço]],3,FALSE)</f>
        <v>28.88</v>
      </c>
      <c r="D2" s="2">
        <f ca="1">SUMIFS(TabelaAportes[Total],TabelaAportes[Ativo],TabelaCarteiraAções[[#This Row],[Ativo]],TabelaAportes[Data],"&lt;="&amp;IF($L$1="",TODAY(),$L$1))</f>
        <v>8694</v>
      </c>
      <c r="E2" s="6">
        <f ca="1">SUMIFS(TabelaAportes[Quantidade],TabelaAportes[Ativo],TabelaCarteiraAções[[#This Row],[Ativo]],TabelaAportes[Data],"&lt;="&amp;IF($L$1="",TODAY(),$L$1))</f>
        <v>300</v>
      </c>
      <c r="F2" s="2">
        <f ca="1">TabelaCarteiraAções[[#This Row],[Total aportado]]/TabelaCarteiraAções[[#This Row],[Quantidade total]]</f>
        <v>28.98</v>
      </c>
      <c r="G2" s="2">
        <f ca="1">TabelaCarteiraAções[[#This Row],[Quantidade total]]*TabelaCarteiraAções[[#This Row],[Cotação]]</f>
        <v>8664</v>
      </c>
      <c r="H2" s="7">
        <f ca="1">TabelaCarteiraAções[[#This Row],[Total atual]]-TabelaCarteiraAções[[#This Row],[Total aportado]]</f>
        <v>-30</v>
      </c>
      <c r="I2" s="15">
        <f ca="1">(TabelaCarteiraAções[[#This Row],[Total atual]]/TabelaCarteiraAções[[#This Row],[Total aportado]])-1</f>
        <v>-3.4506556245686992E-3</v>
      </c>
    </row>
    <row r="3" spans="1:12" x14ac:dyDescent="0.3">
      <c r="A3" t="s">
        <v>14</v>
      </c>
      <c r="B3" t="str">
        <f>VLOOKUP(TabelaCarteiraAções[[#This Row],[Ativo]],TabelaAtivos[[Sigla]:[Preço]],2,FALSE)</f>
        <v>Empresa</v>
      </c>
      <c r="C3" s="2">
        <f ca="1">VLOOKUP(TabelaCarteiraAções[[#This Row],[Ativo]],TabelaAtivos[[Sigla]:[Preço]],3,FALSE)</f>
        <v>9.0299999999999994</v>
      </c>
      <c r="D3" s="2">
        <f ca="1">SUMIFS(TabelaAportes[Total],TabelaAportes[Ativo],TabelaCarteiraAções[[#This Row],[Ativo]],TabelaAportes[Data],"&lt;="&amp;IF($L$1="",TODAY(),$L$1))</f>
        <v>2738.9999999999995</v>
      </c>
      <c r="E3" s="6">
        <f ca="1">SUMIFS(TabelaAportes[Quantidade],TabelaAportes[Ativo],TabelaCarteiraAções[[#This Row],[Ativo]],TabelaAportes[Data],"&lt;="&amp;IF($L$1="",TODAY(),$L$1))</f>
        <v>300</v>
      </c>
      <c r="F3" s="2">
        <f ca="1">TabelaCarteiraAções[[#This Row],[Total aportado]]/TabelaCarteiraAções[[#This Row],[Quantidade total]]</f>
        <v>9.129999999999999</v>
      </c>
      <c r="G3" s="2">
        <f ca="1">TabelaCarteiraAções[[#This Row],[Quantidade total]]*TabelaCarteiraAções[[#This Row],[Cotação]]</f>
        <v>2709</v>
      </c>
      <c r="H3" s="7">
        <f ca="1">TabelaCarteiraAções[[#This Row],[Total atual]]-TabelaCarteiraAções[[#This Row],[Total aportado]]</f>
        <v>-29.999999999999545</v>
      </c>
      <c r="I3" s="15">
        <f ca="1">(TabelaCarteiraAções[[#This Row],[Total atual]]/TabelaCarteiraAções[[#This Row],[Total aportado]])-1</f>
        <v>-1.0952902519167362E-2</v>
      </c>
    </row>
    <row r="4" spans="1:12" x14ac:dyDescent="0.3">
      <c r="A4" t="s">
        <v>3</v>
      </c>
      <c r="B4" t="str">
        <f>VLOOKUP(TabelaCarteiraAções[[#This Row],[Ativo]],TabelaAtivos[[Sigla]:[Preço]],2,FALSE)</f>
        <v>Empresa</v>
      </c>
      <c r="C4" s="2">
        <f ca="1">VLOOKUP(TabelaCarteiraAções[[#This Row],[Ativo]],TabelaAtivos[[Sigla]:[Preço]],3,FALSE)</f>
        <v>37.94</v>
      </c>
      <c r="D4" s="2">
        <f ca="1">SUMIFS(TabelaAportes[Total],TabelaAportes[Ativo],TabelaCarteiraAções[[#This Row],[Ativo]],TabelaAportes[Data],"&lt;="&amp;IF($L$1="",TODAY(),$L$1))</f>
        <v>15216</v>
      </c>
      <c r="E4" s="6">
        <f ca="1">SUMIFS(TabelaAportes[Quantidade],TabelaAportes[Ativo],TabelaCarteiraAções[[#This Row],[Ativo]],TabelaAportes[Data],"&lt;="&amp;IF($L$1="",TODAY(),$L$1))</f>
        <v>400</v>
      </c>
      <c r="F4" s="2">
        <f ca="1">TabelaCarteiraAções[[#This Row],[Total aportado]]/TabelaCarteiraAções[[#This Row],[Quantidade total]]</f>
        <v>38.04</v>
      </c>
      <c r="G4" s="2">
        <f ca="1">TabelaCarteiraAções[[#This Row],[Quantidade total]]*TabelaCarteiraAções[[#This Row],[Cotação]]</f>
        <v>15176</v>
      </c>
      <c r="H4" s="7">
        <f ca="1">TabelaCarteiraAções[[#This Row],[Total atual]]-TabelaCarteiraAções[[#This Row],[Total aportado]]</f>
        <v>-40</v>
      </c>
      <c r="I4" s="15">
        <f ca="1">(TabelaCarteiraAções[[#This Row],[Total atual]]/TabelaCarteiraAções[[#This Row],[Total aportado]])-1</f>
        <v>-2.628811777076745E-3</v>
      </c>
    </row>
    <row r="5" spans="1:12" x14ac:dyDescent="0.3">
      <c r="A5" t="s">
        <v>23</v>
      </c>
      <c r="B5" t="str">
        <f>VLOOKUP(TabelaCarteiraAções[[#This Row],[Ativo]],TabelaAtivos[[Sigla]:[Preço]],2,FALSE)</f>
        <v>Empresa</v>
      </c>
      <c r="C5" s="2">
        <f ca="1">VLOOKUP(TabelaCarteiraAções[[#This Row],[Ativo]],TabelaAtivos[[Sigla]:[Preço]],3,FALSE)</f>
        <v>57.11</v>
      </c>
      <c r="D5" s="2">
        <f ca="1">SUMIFS(TabelaAportes[Total],TabelaAportes[Ativo],TabelaCarteiraAções[[#This Row],[Ativo]],TabelaAportes[Data],"&lt;="&amp;IF($L$1="",TODAY(),$L$1))</f>
        <v>11442</v>
      </c>
      <c r="E5" s="6">
        <f ca="1">SUMIFS(TabelaAportes[Quantidade],TabelaAportes[Ativo],TabelaCarteiraAções[[#This Row],[Ativo]],TabelaAportes[Data],"&lt;="&amp;IF($L$1="",TODAY(),$L$1))</f>
        <v>200</v>
      </c>
      <c r="F5" s="2">
        <f ca="1">TabelaCarteiraAções[[#This Row],[Total aportado]]/TabelaCarteiraAções[[#This Row],[Quantidade total]]</f>
        <v>57.21</v>
      </c>
      <c r="G5" s="2">
        <f ca="1">TabelaCarteiraAções[[#This Row],[Quantidade total]]*TabelaCarteiraAções[[#This Row],[Cotação]]</f>
        <v>11422</v>
      </c>
      <c r="H5" s="7">
        <f ca="1">TabelaCarteiraAções[[#This Row],[Total atual]]-TabelaCarteiraAções[[#This Row],[Total aportado]]</f>
        <v>-20</v>
      </c>
      <c r="I5" s="15">
        <f ca="1">(TabelaCarteiraAções[[#This Row],[Total atual]]/TabelaCarteiraAções[[#This Row],[Total aportado]])-1</f>
        <v>-1.7479461632581295E-3</v>
      </c>
    </row>
    <row r="6" spans="1:12" x14ac:dyDescent="0.3">
      <c r="A6" t="s">
        <v>11</v>
      </c>
      <c r="C6"/>
      <c r="D6" s="2">
        <f ca="1">SUBTOTAL(109,TabelaCarteiraAções[Total aportado])</f>
        <v>38091</v>
      </c>
      <c r="E6"/>
      <c r="F6"/>
      <c r="G6" s="2">
        <f ca="1">SUBTOTAL(109,TabelaCarteiraAções[Total atual])</f>
        <v>37971</v>
      </c>
      <c r="H6" s="7">
        <f ca="1">SUBTOTAL(109,TabelaCarteiraAções[Valorização])</f>
        <v>-119.99999999999955</v>
      </c>
      <c r="I6" s="16"/>
    </row>
  </sheetData>
  <conditionalFormatting sqref="H7:I1048576 H1:I5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CCAF-1B5C-4250-BD87-255EF4F1CECE}">
  <dimension ref="A1:L6"/>
  <sheetViews>
    <sheetView zoomScale="110" zoomScaleNormal="110" workbookViewId="0">
      <selection activeCell="A6" sqref="A2:A6"/>
    </sheetView>
  </sheetViews>
  <sheetFormatPr defaultRowHeight="14.4" x14ac:dyDescent="0.3"/>
  <cols>
    <col min="2" max="2" width="11.44140625" bestFit="1" customWidth="1"/>
    <col min="3" max="3" width="14" style="2" bestFit="1" customWidth="1"/>
    <col min="4" max="4" width="16.77734375" style="2" bestFit="1" customWidth="1"/>
    <col min="5" max="5" width="16.88671875" style="6" customWidth="1"/>
    <col min="6" max="6" width="14" style="2" bestFit="1" customWidth="1"/>
    <col min="7" max="7" width="15.5546875" style="2" bestFit="1" customWidth="1"/>
    <col min="8" max="8" width="12.6640625" style="7" customWidth="1"/>
    <col min="9" max="9" width="14.5546875" style="15" customWidth="1"/>
    <col min="11" max="11" width="12.21875" bestFit="1" customWidth="1"/>
    <col min="12" max="12" width="10.33203125" bestFit="1" customWidth="1"/>
  </cols>
  <sheetData>
    <row r="1" spans="1:12" ht="15" thickBot="1" x14ac:dyDescent="0.35">
      <c r="A1" t="s">
        <v>0</v>
      </c>
      <c r="B1" t="s">
        <v>1</v>
      </c>
      <c r="C1" s="2" t="s">
        <v>66</v>
      </c>
      <c r="D1" s="2" t="s">
        <v>74</v>
      </c>
      <c r="E1" s="6" t="s">
        <v>68</v>
      </c>
      <c r="F1" s="2" t="s">
        <v>69</v>
      </c>
      <c r="G1" s="2" t="s">
        <v>73</v>
      </c>
      <c r="H1" s="7" t="s">
        <v>70</v>
      </c>
      <c r="I1" s="15" t="s">
        <v>71</v>
      </c>
      <c r="K1" s="5" t="s">
        <v>72</v>
      </c>
      <c r="L1" s="14"/>
    </row>
    <row r="2" spans="1:12" x14ac:dyDescent="0.3">
      <c r="A2" t="s">
        <v>5</v>
      </c>
      <c r="B2" t="str">
        <f>VLOOKUP(TabelaCarteiraFII[[#This Row],[Ativo]],TabelaAtivos[[Sigla]:[Preço]],2,FALSE)</f>
        <v>FII</v>
      </c>
      <c r="C2" s="2">
        <f ca="1">VLOOKUP(TabelaCarteiraFII[[#This Row],[Ativo]],TabelaAtivos[[Sigla]:[Preço]],3,FALSE)</f>
        <v>150.69999999999999</v>
      </c>
      <c r="D2" s="2">
        <f ca="1">SUMIFS(TabelaAportes[Total],TabelaAportes[Ativo],TabelaCarteiraFII[[#This Row],[Ativo]],TabelaAportes[Data],"&lt;="&amp;IF($L$1="",TODAY(),$L$1))</f>
        <v>2561.9</v>
      </c>
      <c r="E2" s="6">
        <f ca="1">SUMIFS(TabelaAportes[Quantidade],TabelaAportes[Ativo],TabelaCarteiraFII[[#This Row],[Ativo]],TabelaAportes[Data],"&lt;="&amp;IF($L$1="",TODAY(),$L$1))</f>
        <v>17</v>
      </c>
      <c r="F2" s="2">
        <f ca="1">TabelaCarteiraFII[[#This Row],[Total aportado]]/TabelaCarteiraFII[[#This Row],[Quantidade total]]</f>
        <v>150.70000000000002</v>
      </c>
      <c r="G2" s="2">
        <f ca="1">TabelaCarteiraFII[[#This Row],[Quantidade total]]*TabelaCarteiraFII[[#This Row],[Cotação]]</f>
        <v>2561.8999999999996</v>
      </c>
      <c r="H2" s="7">
        <f ca="1">TabelaCarteiraFII[[#This Row],[Total atual]]-TabelaCarteiraFII[[#This Row],[Total aportado]]</f>
        <v>0</v>
      </c>
      <c r="I2" s="15">
        <f ca="1">(TabelaCarteiraFII[[#This Row],[Total atual]]/TabelaCarteiraFII[[#This Row],[Total aportado]])-1</f>
        <v>0</v>
      </c>
    </row>
    <row r="3" spans="1:12" x14ac:dyDescent="0.3">
      <c r="A3" t="s">
        <v>22</v>
      </c>
      <c r="B3" t="str">
        <f>VLOOKUP(TabelaCarteiraFII[[#This Row],[Ativo]],TabelaAtivos[[Sigla]:[Preço]],2,FALSE)</f>
        <v>FII</v>
      </c>
      <c r="C3" s="2">
        <f ca="1">VLOOKUP(TabelaCarteiraFII[[#This Row],[Ativo]],TabelaAtivos[[Sigla]:[Preço]],3,FALSE)</f>
        <v>97.72</v>
      </c>
      <c r="D3" s="2">
        <f ca="1">SUMIFS(TabelaAportes[Total],TabelaAportes[Ativo],TabelaCarteiraFII[[#This Row],[Ativo]],TabelaAportes[Data],"&lt;="&amp;IF($L$1="",TODAY(),$L$1))</f>
        <v>1758.96</v>
      </c>
      <c r="E3" s="6">
        <f ca="1">SUMIFS(TabelaAportes[Quantidade],TabelaAportes[Ativo],TabelaCarteiraFII[[#This Row],[Ativo]],TabelaAportes[Data],"&lt;="&amp;IF($L$1="",TODAY(),$L$1))</f>
        <v>18</v>
      </c>
      <c r="F3" s="2">
        <f ca="1">TabelaCarteiraFII[[#This Row],[Total aportado]]/TabelaCarteiraFII[[#This Row],[Quantidade total]]</f>
        <v>97.72</v>
      </c>
      <c r="G3" s="2">
        <f ca="1">TabelaCarteiraFII[[#This Row],[Quantidade total]]*TabelaCarteiraFII[[#This Row],[Cotação]]</f>
        <v>1758.96</v>
      </c>
      <c r="H3" s="7">
        <f ca="1">TabelaCarteiraFII[[#This Row],[Total atual]]-TabelaCarteiraFII[[#This Row],[Total aportado]]</f>
        <v>0</v>
      </c>
      <c r="I3" s="15">
        <f ca="1">(TabelaCarteiraFII[[#This Row],[Total atual]]/TabelaCarteiraFII[[#This Row],[Total aportado]])-1</f>
        <v>0</v>
      </c>
    </row>
    <row r="4" spans="1:12" x14ac:dyDescent="0.3">
      <c r="A4" t="s">
        <v>24</v>
      </c>
      <c r="B4" t="str">
        <f>VLOOKUP(TabelaCarteiraFII[[#This Row],[Ativo]],TabelaAtivos[[Sigla]:[Preço]],2,FALSE)</f>
        <v>FII</v>
      </c>
      <c r="C4" s="2">
        <f ca="1">VLOOKUP(TabelaCarteiraFII[[#This Row],[Ativo]],TabelaAtivos[[Sigla]:[Preço]],3,FALSE)</f>
        <v>97.38</v>
      </c>
      <c r="D4" s="2">
        <f ca="1">SUMIFS(TabelaAportes[Total],TabelaAportes[Ativo],TabelaCarteiraFII[[#This Row],[Ativo]],TabelaAportes[Data],"&lt;="&amp;IF($L$1="",TODAY(),$L$1))</f>
        <v>876.42</v>
      </c>
      <c r="E4" s="6">
        <f ca="1">SUMIFS(TabelaAportes[Quantidade],TabelaAportes[Ativo],TabelaCarteiraFII[[#This Row],[Ativo]],TabelaAportes[Data],"&lt;="&amp;IF($L$1="",TODAY(),$L$1))</f>
        <v>9</v>
      </c>
      <c r="F4" s="2">
        <f ca="1">TabelaCarteiraFII[[#This Row],[Total aportado]]/TabelaCarteiraFII[[#This Row],[Quantidade total]]</f>
        <v>97.38</v>
      </c>
      <c r="G4" s="2">
        <f ca="1">TabelaCarteiraFII[[#This Row],[Quantidade total]]*TabelaCarteiraFII[[#This Row],[Cotação]]</f>
        <v>876.42</v>
      </c>
      <c r="H4" s="7">
        <f ca="1">TabelaCarteiraFII[[#This Row],[Total atual]]-TabelaCarteiraFII[[#This Row],[Total aportado]]</f>
        <v>0</v>
      </c>
      <c r="I4" s="15">
        <f ca="1">(TabelaCarteiraFII[[#This Row],[Total atual]]/TabelaCarteiraFII[[#This Row],[Total aportado]])-1</f>
        <v>0</v>
      </c>
    </row>
    <row r="5" spans="1:12" x14ac:dyDescent="0.3">
      <c r="A5" t="s">
        <v>16</v>
      </c>
      <c r="B5" t="str">
        <f>VLOOKUP(TabelaCarteiraFII[[#This Row],[Ativo]],TabelaAtivos[[Sigla]:[Preço]],2,FALSE)</f>
        <v>FII</v>
      </c>
      <c r="C5" s="2">
        <f ca="1">VLOOKUP(TabelaCarteiraFII[[#This Row],[Ativo]],TabelaAtivos[[Sigla]:[Preço]],3,FALSE)</f>
        <v>98.5</v>
      </c>
      <c r="D5" s="2">
        <f ca="1">SUMIFS(TabelaAportes[Total],TabelaAportes[Ativo],TabelaCarteiraFII[[#This Row],[Ativo]],TabelaAportes[Data],"&lt;="&amp;IF($L$1="",TODAY(),$L$1))</f>
        <v>1871.5</v>
      </c>
      <c r="E5" s="6">
        <f ca="1">SUMIFS(TabelaAportes[Quantidade],TabelaAportes[Ativo],TabelaCarteiraFII[[#This Row],[Ativo]],TabelaAportes[Data],"&lt;="&amp;IF($L$1="",TODAY(),$L$1))</f>
        <v>19</v>
      </c>
      <c r="F5" s="2">
        <f ca="1">TabelaCarteiraFII[[#This Row],[Total aportado]]/TabelaCarteiraFII[[#This Row],[Quantidade total]]</f>
        <v>98.5</v>
      </c>
      <c r="G5" s="2">
        <f ca="1">TabelaCarteiraFII[[#This Row],[Quantidade total]]*TabelaCarteiraFII[[#This Row],[Cotação]]</f>
        <v>1871.5</v>
      </c>
      <c r="H5" s="7">
        <f ca="1">TabelaCarteiraFII[[#This Row],[Total atual]]-TabelaCarteiraFII[[#This Row],[Total aportado]]</f>
        <v>0</v>
      </c>
      <c r="I5" s="15">
        <f ca="1">(TabelaCarteiraFII[[#This Row],[Total atual]]/TabelaCarteiraFII[[#This Row],[Total aportado]])-1</f>
        <v>0</v>
      </c>
    </row>
    <row r="6" spans="1:12" x14ac:dyDescent="0.3">
      <c r="A6" t="s">
        <v>11</v>
      </c>
      <c r="C6"/>
      <c r="D6" s="2">
        <f ca="1">SUBTOTAL(109,TabelaCarteiraFII[Total aportado])</f>
        <v>7068.7800000000007</v>
      </c>
      <c r="E6"/>
      <c r="F6"/>
      <c r="G6" s="2">
        <f ca="1">SUBTOTAL(109,TabelaCarteiraFII[Total atual])</f>
        <v>7068.78</v>
      </c>
      <c r="H6" s="7">
        <f ca="1">SUBTOTAL(109,TabelaCarteiraFII[Valorização])</f>
        <v>0</v>
      </c>
      <c r="I6" s="16"/>
    </row>
  </sheetData>
  <conditionalFormatting sqref="H7:I1048576 H1:I5">
    <cfRule type="cellIs" dxfId="1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D746-DCED-417E-9A7B-006BCBAAF263}">
  <dimension ref="A1:L3"/>
  <sheetViews>
    <sheetView zoomScale="110" zoomScaleNormal="110" workbookViewId="0">
      <selection activeCell="A3" sqref="A3:A10"/>
    </sheetView>
  </sheetViews>
  <sheetFormatPr defaultRowHeight="14.4" x14ac:dyDescent="0.3"/>
  <cols>
    <col min="2" max="2" width="11.44140625" bestFit="1" customWidth="1"/>
    <col min="3" max="3" width="14" style="2" bestFit="1" customWidth="1"/>
    <col min="4" max="4" width="16.77734375" style="2" bestFit="1" customWidth="1"/>
    <col min="5" max="5" width="16.88671875" style="6" customWidth="1"/>
    <col min="6" max="6" width="14" style="2" bestFit="1" customWidth="1"/>
    <col min="7" max="7" width="15.5546875" style="2" bestFit="1" customWidth="1"/>
    <col min="8" max="8" width="12.6640625" style="7" customWidth="1"/>
    <col min="9" max="9" width="14.5546875" style="15" customWidth="1"/>
    <col min="11" max="11" width="12.21875" bestFit="1" customWidth="1"/>
    <col min="12" max="12" width="10.33203125" bestFit="1" customWidth="1"/>
  </cols>
  <sheetData>
    <row r="1" spans="1:12" ht="15" thickBot="1" x14ac:dyDescent="0.35">
      <c r="A1" t="s">
        <v>0</v>
      </c>
      <c r="B1" t="s">
        <v>1</v>
      </c>
      <c r="C1" s="2" t="s">
        <v>66</v>
      </c>
      <c r="D1" s="2" t="s">
        <v>74</v>
      </c>
      <c r="E1" s="6" t="s">
        <v>68</v>
      </c>
      <c r="F1" s="2" t="s">
        <v>69</v>
      </c>
      <c r="G1" s="2" t="s">
        <v>73</v>
      </c>
      <c r="H1" s="7" t="s">
        <v>70</v>
      </c>
      <c r="I1" s="15" t="s">
        <v>71</v>
      </c>
      <c r="K1" s="5" t="s">
        <v>72</v>
      </c>
      <c r="L1" s="14"/>
    </row>
    <row r="2" spans="1:12" x14ac:dyDescent="0.3">
      <c r="A2" t="s">
        <v>21</v>
      </c>
      <c r="B2" t="str">
        <f>VLOOKUP(TabelaCarteiraCriptomoedas[[#This Row],[Ativo]],TabelaAtivos[[Sigla]:[Preço]],2,FALSE)</f>
        <v>Criptomoeda</v>
      </c>
      <c r="C2" s="2">
        <f ca="1">VLOOKUP(TabelaCarteiraCriptomoedas[[#This Row],[Ativo]],TabelaAtivos[[Sigla]:[Preço]],3,FALSE)</f>
        <v>651880</v>
      </c>
      <c r="D2" s="2">
        <f ca="1">SUMIFS(TabelaAportes[Total],TabelaAportes[Ativo],TabelaCarteiraCriptomoedas[[#This Row],[Ativo]],TabelaAportes[Data],"&lt;="&amp;IF($L$1="",TODAY(),$L$1))</f>
        <v>1303761.0499999998</v>
      </c>
      <c r="E2" s="6">
        <f ca="1">SUMIFS(TabelaAportes[Quantidade],TabelaAportes[Ativo],TabelaCarteiraCriptomoedas[[#This Row],[Ativo]],TabelaAportes[Data],"&lt;="&amp;IF($L$1="",TODAY(),$L$1))</f>
        <v>2</v>
      </c>
      <c r="F2" s="2">
        <f ca="1">TabelaCarteiraCriptomoedas[[#This Row],[Total aportado]]/TabelaCarteiraCriptomoedas[[#This Row],[Quantidade total]]</f>
        <v>651880.52499999991</v>
      </c>
      <c r="G2" s="2">
        <f ca="1">TabelaCarteiraCriptomoedas[[#This Row],[Quantidade total]]*TabelaCarteiraCriptomoedas[[#This Row],[Cotação]]</f>
        <v>1303760</v>
      </c>
      <c r="H2" s="7">
        <f ca="1">TabelaCarteiraCriptomoedas[[#This Row],[Total atual]]-TabelaCarteiraCriptomoedas[[#This Row],[Total aportado]]</f>
        <v>-1.0499999998137355</v>
      </c>
      <c r="I2" s="15">
        <f ca="1">(TabelaCarteiraCriptomoedas[[#This Row],[Total atual]]/TabelaCarteiraCriptomoedas[[#This Row],[Total aportado]])-1</f>
        <v>-8.0536230151473376E-7</v>
      </c>
    </row>
    <row r="3" spans="1:12" x14ac:dyDescent="0.3">
      <c r="A3" t="s">
        <v>11</v>
      </c>
      <c r="C3"/>
      <c r="D3" s="2">
        <f ca="1">SUBTOTAL(109,TabelaCarteiraCriptomoedas[Total aportado])</f>
        <v>1303761.0499999998</v>
      </c>
      <c r="E3"/>
      <c r="F3"/>
      <c r="G3" s="2">
        <f ca="1">SUBTOTAL(109,TabelaCarteiraCriptomoedas[Total atual])</f>
        <v>1303760</v>
      </c>
      <c r="H3" s="7">
        <f ca="1">SUBTOTAL(109,TabelaCarteiraCriptomoedas[Valorização])</f>
        <v>-1.0499999998137355</v>
      </c>
      <c r="I3" s="16"/>
    </row>
  </sheetData>
  <conditionalFormatting sqref="H1:I2 H4:I1048576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874-DEDB-40C5-A175-8CB9FAEF93A6}">
  <sheetPr codeName="Planilha4"/>
  <dimension ref="A3:AD17"/>
  <sheetViews>
    <sheetView workbookViewId="0">
      <selection activeCell="C3" sqref="C3:AD3"/>
    </sheetView>
  </sheetViews>
  <sheetFormatPr defaultRowHeight="14.4" x14ac:dyDescent="0.3"/>
  <cols>
    <col min="1" max="1" width="13.6640625" bestFit="1" customWidth="1"/>
    <col min="2" max="2" width="11.77734375" bestFit="1" customWidth="1"/>
    <col min="3" max="4" width="11.88671875" bestFit="1" customWidth="1"/>
    <col min="5" max="7" width="10.33203125" bestFit="1" customWidth="1"/>
    <col min="8" max="8" width="14" bestFit="1" customWidth="1"/>
    <col min="9" max="11" width="10.33203125" bestFit="1" customWidth="1"/>
    <col min="12" max="13" width="11.88671875" bestFit="1" customWidth="1"/>
    <col min="14" max="14" width="10.33203125" bestFit="1" customWidth="1"/>
    <col min="15" max="15" width="11.88671875" bestFit="1" customWidth="1"/>
    <col min="16" max="16" width="14" bestFit="1" customWidth="1"/>
    <col min="17" max="17" width="9.33203125" bestFit="1" customWidth="1"/>
    <col min="18" max="20" width="11.88671875" bestFit="1" customWidth="1"/>
    <col min="21" max="21" width="10.33203125" bestFit="1" customWidth="1"/>
    <col min="22" max="22" width="11.88671875" bestFit="1" customWidth="1"/>
    <col min="23" max="26" width="10.33203125" bestFit="1" customWidth="1"/>
    <col min="27" max="27" width="11.88671875" bestFit="1" customWidth="1"/>
    <col min="28" max="29" width="10.33203125" bestFit="1" customWidth="1"/>
    <col min="30" max="30" width="15.5546875" bestFit="1" customWidth="1"/>
    <col min="31" max="31" width="12.88671875" bestFit="1" customWidth="1"/>
    <col min="32" max="33" width="11.88671875" bestFit="1" customWidth="1"/>
    <col min="34" max="34" width="12.88671875" bestFit="1" customWidth="1"/>
    <col min="35" max="35" width="10.33203125" bestFit="1" customWidth="1"/>
    <col min="36" max="36" width="9.33203125" bestFit="1" customWidth="1"/>
    <col min="37" max="37" width="10.33203125" bestFit="1" customWidth="1"/>
    <col min="38" max="38" width="12" bestFit="1" customWidth="1"/>
    <col min="39" max="39" width="12.88671875" bestFit="1" customWidth="1"/>
    <col min="40" max="40" width="12" bestFit="1" customWidth="1"/>
    <col min="41" max="41" width="11.88671875" bestFit="1" customWidth="1"/>
    <col min="42" max="42" width="12.88671875" bestFit="1" customWidth="1"/>
    <col min="43" max="43" width="12.109375" bestFit="1" customWidth="1"/>
    <col min="44" max="44" width="13.6640625" bestFit="1" customWidth="1"/>
    <col min="45" max="45" width="16.5546875" bestFit="1" customWidth="1"/>
    <col min="46" max="46" width="12.109375" bestFit="1" customWidth="1"/>
    <col min="47" max="48" width="9.33203125" bestFit="1" customWidth="1"/>
    <col min="49" max="49" width="12.109375" bestFit="1" customWidth="1"/>
    <col min="50" max="51" width="11.88671875" bestFit="1" customWidth="1"/>
    <col min="52" max="52" width="12.109375" bestFit="1" customWidth="1"/>
    <col min="53" max="53" width="11.88671875" bestFit="1" customWidth="1"/>
    <col min="54" max="54" width="12.77734375" bestFit="1" customWidth="1"/>
    <col min="55" max="55" width="12.109375" bestFit="1" customWidth="1"/>
    <col min="56" max="56" width="11.88671875" bestFit="1" customWidth="1"/>
    <col min="57" max="57" width="12.77734375" bestFit="1" customWidth="1"/>
    <col min="58" max="58" width="12.109375" bestFit="1" customWidth="1"/>
    <col min="59" max="60" width="10.33203125" bestFit="1" customWidth="1"/>
    <col min="61" max="61" width="12.109375" bestFit="1" customWidth="1"/>
    <col min="62" max="62" width="11.88671875" bestFit="1" customWidth="1"/>
    <col min="63" max="63" width="12.77734375" bestFit="1" customWidth="1"/>
    <col min="64" max="64" width="12.109375" bestFit="1" customWidth="1"/>
    <col min="65" max="66" width="10.33203125" bestFit="1" customWidth="1"/>
    <col min="67" max="67" width="12.109375" bestFit="1" customWidth="1"/>
    <col min="68" max="68" width="10.33203125" bestFit="1" customWidth="1"/>
    <col min="69" max="69" width="12.77734375" bestFit="1" customWidth="1"/>
    <col min="70" max="70" width="12.109375" bestFit="1" customWidth="1"/>
    <col min="71" max="72" width="10.33203125" bestFit="1" customWidth="1"/>
    <col min="73" max="73" width="12.109375" bestFit="1" customWidth="1"/>
    <col min="74" max="75" width="10.33203125" bestFit="1" customWidth="1"/>
    <col min="76" max="76" width="12.109375" bestFit="1" customWidth="1"/>
    <col min="77" max="77" width="11.88671875" bestFit="1" customWidth="1"/>
    <col min="78" max="78" width="12.77734375" bestFit="1" customWidth="1"/>
    <col min="79" max="79" width="12.109375" bestFit="1" customWidth="1"/>
    <col min="80" max="81" width="10.33203125" bestFit="1" customWidth="1"/>
    <col min="82" max="82" width="12.109375" bestFit="1" customWidth="1"/>
    <col min="83" max="84" width="10.33203125" bestFit="1" customWidth="1"/>
    <col min="85" max="85" width="12.109375" bestFit="1" customWidth="1"/>
    <col min="86" max="86" width="12.88671875" bestFit="1" customWidth="1"/>
  </cols>
  <sheetData>
    <row r="3" spans="1:30" x14ac:dyDescent="0.3">
      <c r="A3" s="9" t="s">
        <v>63</v>
      </c>
      <c r="B3" s="9" t="s">
        <v>61</v>
      </c>
    </row>
    <row r="4" spans="1:30" x14ac:dyDescent="0.3">
      <c r="A4" s="9" t="s">
        <v>62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  <c r="V4" s="12" t="s">
        <v>53</v>
      </c>
      <c r="W4" s="12" t="s">
        <v>54</v>
      </c>
      <c r="X4" s="12" t="s">
        <v>55</v>
      </c>
      <c r="Y4" s="12" t="s">
        <v>56</v>
      </c>
      <c r="Z4" s="12" t="s">
        <v>57</v>
      </c>
      <c r="AA4" s="12" t="s">
        <v>58</v>
      </c>
      <c r="AB4" s="12" t="s">
        <v>59</v>
      </c>
      <c r="AC4" s="12" t="s">
        <v>60</v>
      </c>
      <c r="AD4" s="12" t="s">
        <v>32</v>
      </c>
    </row>
    <row r="5" spans="1:30" x14ac:dyDescent="0.3">
      <c r="A5" s="10" t="s">
        <v>7</v>
      </c>
      <c r="B5" s="13"/>
      <c r="C5" s="13"/>
      <c r="D5" s="13"/>
      <c r="E5" s="13"/>
      <c r="F5" s="13"/>
      <c r="G5" s="13"/>
      <c r="H5" s="13">
        <v>651880.44999999995</v>
      </c>
      <c r="I5" s="13"/>
      <c r="J5" s="13"/>
      <c r="K5" s="13"/>
      <c r="L5" s="13"/>
      <c r="M5" s="13"/>
      <c r="N5" s="13"/>
      <c r="O5" s="13"/>
      <c r="P5" s="13">
        <v>651880.6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>
        <v>1303761.0499999998</v>
      </c>
    </row>
    <row r="6" spans="1:30" x14ac:dyDescent="0.3">
      <c r="A6" s="11" t="s">
        <v>21</v>
      </c>
      <c r="B6" s="13"/>
      <c r="C6" s="13"/>
      <c r="D6" s="13"/>
      <c r="E6" s="13"/>
      <c r="F6" s="13"/>
      <c r="G6" s="13"/>
      <c r="H6" s="13">
        <v>651880.44999999995</v>
      </c>
      <c r="I6" s="13"/>
      <c r="J6" s="13"/>
      <c r="K6" s="13"/>
      <c r="L6" s="13"/>
      <c r="M6" s="13"/>
      <c r="N6" s="13"/>
      <c r="O6" s="13"/>
      <c r="P6" s="13">
        <v>651880.6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>
        <v>1303761.0499999998</v>
      </c>
    </row>
    <row r="7" spans="1:30" x14ac:dyDescent="0.3">
      <c r="A7" s="10" t="s">
        <v>4</v>
      </c>
      <c r="B7" s="13">
        <v>912.99999999999989</v>
      </c>
      <c r="C7" s="13">
        <v>2898</v>
      </c>
      <c r="D7" s="13">
        <v>3804</v>
      </c>
      <c r="E7" s="13"/>
      <c r="F7" s="13">
        <v>912.99999999999989</v>
      </c>
      <c r="G7" s="13"/>
      <c r="H7" s="13"/>
      <c r="I7" s="13"/>
      <c r="J7" s="13"/>
      <c r="K7" s="13"/>
      <c r="L7" s="13">
        <v>2898</v>
      </c>
      <c r="M7" s="13">
        <v>5721</v>
      </c>
      <c r="N7" s="13"/>
      <c r="O7" s="13">
        <v>3804</v>
      </c>
      <c r="P7" s="13"/>
      <c r="Q7" s="13"/>
      <c r="R7" s="13"/>
      <c r="S7" s="13">
        <v>3804</v>
      </c>
      <c r="T7" s="13">
        <v>2898</v>
      </c>
      <c r="U7" s="13"/>
      <c r="V7" s="13">
        <v>3804</v>
      </c>
      <c r="W7" s="13"/>
      <c r="X7" s="13">
        <v>912.99999999999989</v>
      </c>
      <c r="Y7" s="13"/>
      <c r="Z7" s="13"/>
      <c r="AA7" s="13">
        <v>5721</v>
      </c>
      <c r="AB7" s="13"/>
      <c r="AC7" s="13"/>
      <c r="AD7" s="13">
        <v>38091</v>
      </c>
    </row>
    <row r="8" spans="1:30" x14ac:dyDescent="0.3">
      <c r="A8" s="11" t="s">
        <v>20</v>
      </c>
      <c r="B8" s="13"/>
      <c r="C8" s="13">
        <v>2898</v>
      </c>
      <c r="D8" s="13"/>
      <c r="E8" s="13"/>
      <c r="F8" s="13"/>
      <c r="G8" s="13"/>
      <c r="H8" s="13"/>
      <c r="I8" s="13"/>
      <c r="J8" s="13"/>
      <c r="K8" s="13"/>
      <c r="L8" s="13">
        <v>2898</v>
      </c>
      <c r="M8" s="13"/>
      <c r="N8" s="13"/>
      <c r="O8" s="13"/>
      <c r="P8" s="13"/>
      <c r="Q8" s="13"/>
      <c r="R8" s="13"/>
      <c r="S8" s="13"/>
      <c r="T8" s="13">
        <v>2898</v>
      </c>
      <c r="U8" s="13"/>
      <c r="V8" s="13"/>
      <c r="W8" s="13"/>
      <c r="X8" s="13"/>
      <c r="Y8" s="13"/>
      <c r="Z8" s="13"/>
      <c r="AA8" s="13"/>
      <c r="AB8" s="13"/>
      <c r="AC8" s="13"/>
      <c r="AD8" s="13">
        <v>8694</v>
      </c>
    </row>
    <row r="9" spans="1:30" x14ac:dyDescent="0.3">
      <c r="A9" s="11" t="s">
        <v>14</v>
      </c>
      <c r="B9" s="13">
        <v>912.99999999999989</v>
      </c>
      <c r="C9" s="13"/>
      <c r="D9" s="13"/>
      <c r="E9" s="13"/>
      <c r="F9" s="13">
        <v>912.99999999999989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>
        <v>912.99999999999989</v>
      </c>
      <c r="Y9" s="13"/>
      <c r="Z9" s="13"/>
      <c r="AA9" s="13"/>
      <c r="AB9" s="13"/>
      <c r="AC9" s="13"/>
      <c r="AD9" s="13">
        <v>2738.9999999999995</v>
      </c>
    </row>
    <row r="10" spans="1:30" x14ac:dyDescent="0.3">
      <c r="A10" s="11" t="s">
        <v>3</v>
      </c>
      <c r="B10" s="13"/>
      <c r="C10" s="13"/>
      <c r="D10" s="13">
        <v>3804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>
        <v>3804</v>
      </c>
      <c r="P10" s="13"/>
      <c r="Q10" s="13"/>
      <c r="R10" s="13"/>
      <c r="S10" s="13">
        <v>3804</v>
      </c>
      <c r="T10" s="13"/>
      <c r="U10" s="13"/>
      <c r="V10" s="13">
        <v>3804</v>
      </c>
      <c r="W10" s="13"/>
      <c r="X10" s="13"/>
      <c r="Y10" s="13"/>
      <c r="Z10" s="13"/>
      <c r="AA10" s="13"/>
      <c r="AB10" s="13"/>
      <c r="AC10" s="13"/>
      <c r="AD10" s="13">
        <v>15216</v>
      </c>
    </row>
    <row r="11" spans="1:30" x14ac:dyDescent="0.3">
      <c r="A11" s="11" t="s">
        <v>23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>
        <v>5721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5721</v>
      </c>
      <c r="AB11" s="13"/>
      <c r="AC11" s="13"/>
      <c r="AD11" s="13">
        <v>11442</v>
      </c>
    </row>
    <row r="12" spans="1:30" x14ac:dyDescent="0.3">
      <c r="A12" s="10" t="s">
        <v>2</v>
      </c>
      <c r="B12" s="13"/>
      <c r="C12" s="13"/>
      <c r="D12" s="13"/>
      <c r="E12" s="13">
        <v>753.5</v>
      </c>
      <c r="F12" s="13"/>
      <c r="G12" s="13">
        <v>788</v>
      </c>
      <c r="H12" s="13"/>
      <c r="I12" s="13">
        <v>292.14</v>
      </c>
      <c r="J12" s="13">
        <v>301.39999999999998</v>
      </c>
      <c r="K12" s="13">
        <v>293.15999999999997</v>
      </c>
      <c r="L12" s="13"/>
      <c r="M12" s="13"/>
      <c r="N12" s="13">
        <v>492.5</v>
      </c>
      <c r="O12" s="13"/>
      <c r="P12" s="13"/>
      <c r="Q12" s="13">
        <v>97.38</v>
      </c>
      <c r="R12" s="13">
        <v>1054.8999999999999</v>
      </c>
      <c r="S12" s="13"/>
      <c r="T12" s="13"/>
      <c r="U12" s="13">
        <v>197</v>
      </c>
      <c r="V12" s="13"/>
      <c r="W12" s="13">
        <v>486.9</v>
      </c>
      <c r="X12" s="13"/>
      <c r="Y12" s="13">
        <v>452.09999999999997</v>
      </c>
      <c r="Z12" s="13">
        <v>488.6</v>
      </c>
      <c r="AA12" s="13"/>
      <c r="AB12" s="13">
        <v>977.2</v>
      </c>
      <c r="AC12" s="13">
        <v>394</v>
      </c>
      <c r="AD12" s="13">
        <v>7068.78</v>
      </c>
    </row>
    <row r="13" spans="1:30" x14ac:dyDescent="0.3">
      <c r="A13" s="11" t="s">
        <v>5</v>
      </c>
      <c r="B13" s="13"/>
      <c r="C13" s="13"/>
      <c r="D13" s="13"/>
      <c r="E13" s="13">
        <v>753.5</v>
      </c>
      <c r="F13" s="13"/>
      <c r="G13" s="13"/>
      <c r="H13" s="13"/>
      <c r="I13" s="13"/>
      <c r="J13" s="13">
        <v>301.39999999999998</v>
      </c>
      <c r="K13" s="13"/>
      <c r="L13" s="13"/>
      <c r="M13" s="13"/>
      <c r="N13" s="13"/>
      <c r="O13" s="13"/>
      <c r="P13" s="13"/>
      <c r="Q13" s="13"/>
      <c r="R13" s="13">
        <v>1054.8999999999999</v>
      </c>
      <c r="S13" s="13"/>
      <c r="T13" s="13"/>
      <c r="U13" s="13"/>
      <c r="V13" s="13"/>
      <c r="W13" s="13"/>
      <c r="X13" s="13"/>
      <c r="Y13" s="13">
        <v>452.09999999999997</v>
      </c>
      <c r="Z13" s="13"/>
      <c r="AA13" s="13"/>
      <c r="AB13" s="13"/>
      <c r="AC13" s="13"/>
      <c r="AD13" s="13">
        <v>2561.9</v>
      </c>
    </row>
    <row r="14" spans="1:30" x14ac:dyDescent="0.3">
      <c r="A14" s="11" t="s">
        <v>16</v>
      </c>
      <c r="B14" s="13"/>
      <c r="C14" s="13"/>
      <c r="D14" s="13"/>
      <c r="E14" s="13"/>
      <c r="F14" s="13"/>
      <c r="G14" s="13">
        <v>788</v>
      </c>
      <c r="H14" s="13"/>
      <c r="I14" s="13"/>
      <c r="J14" s="13"/>
      <c r="K14" s="13"/>
      <c r="L14" s="13"/>
      <c r="M14" s="13"/>
      <c r="N14" s="13">
        <v>492.5</v>
      </c>
      <c r="O14" s="13"/>
      <c r="P14" s="13"/>
      <c r="Q14" s="13"/>
      <c r="R14" s="13"/>
      <c r="S14" s="13"/>
      <c r="T14" s="13"/>
      <c r="U14" s="13">
        <v>197</v>
      </c>
      <c r="V14" s="13"/>
      <c r="W14" s="13"/>
      <c r="X14" s="13"/>
      <c r="Y14" s="13"/>
      <c r="Z14" s="13"/>
      <c r="AA14" s="13"/>
      <c r="AB14" s="13"/>
      <c r="AC14" s="13">
        <v>394</v>
      </c>
      <c r="AD14" s="13">
        <v>1871.5</v>
      </c>
    </row>
    <row r="15" spans="1:30" x14ac:dyDescent="0.3">
      <c r="A15" s="11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>
        <v>293.15999999999997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>
        <v>488.6</v>
      </c>
      <c r="AA15" s="13"/>
      <c r="AB15" s="13">
        <v>977.2</v>
      </c>
      <c r="AC15" s="13"/>
      <c r="AD15" s="13">
        <v>1758.96</v>
      </c>
    </row>
    <row r="16" spans="1:30" x14ac:dyDescent="0.3">
      <c r="A16" s="11" t="s">
        <v>24</v>
      </c>
      <c r="B16" s="13"/>
      <c r="C16" s="13"/>
      <c r="D16" s="13"/>
      <c r="E16" s="13"/>
      <c r="F16" s="13"/>
      <c r="G16" s="13"/>
      <c r="H16" s="13"/>
      <c r="I16" s="13">
        <v>292.14</v>
      </c>
      <c r="J16" s="13"/>
      <c r="K16" s="13"/>
      <c r="L16" s="13"/>
      <c r="M16" s="13"/>
      <c r="N16" s="13"/>
      <c r="O16" s="13"/>
      <c r="P16" s="13"/>
      <c r="Q16" s="13">
        <v>97.38</v>
      </c>
      <c r="R16" s="13"/>
      <c r="S16" s="13"/>
      <c r="T16" s="13"/>
      <c r="U16" s="13"/>
      <c r="V16" s="13"/>
      <c r="W16" s="13">
        <v>486.9</v>
      </c>
      <c r="X16" s="13"/>
      <c r="Y16" s="13"/>
      <c r="Z16" s="13"/>
      <c r="AA16" s="13"/>
      <c r="AB16" s="13"/>
      <c r="AC16" s="13"/>
      <c r="AD16" s="13">
        <v>876.42</v>
      </c>
    </row>
    <row r="17" spans="1:30" x14ac:dyDescent="0.3">
      <c r="A17" s="10" t="s">
        <v>32</v>
      </c>
      <c r="B17" s="13">
        <v>912.99999999999989</v>
      </c>
      <c r="C17" s="13">
        <v>2898</v>
      </c>
      <c r="D17" s="13">
        <v>3804</v>
      </c>
      <c r="E17" s="13">
        <v>753.5</v>
      </c>
      <c r="F17" s="13">
        <v>912.99999999999989</v>
      </c>
      <c r="G17" s="13">
        <v>788</v>
      </c>
      <c r="H17" s="13">
        <v>651880.44999999995</v>
      </c>
      <c r="I17" s="13">
        <v>292.14</v>
      </c>
      <c r="J17" s="13">
        <v>301.39999999999998</v>
      </c>
      <c r="K17" s="13">
        <v>293.15999999999997</v>
      </c>
      <c r="L17" s="13">
        <v>2898</v>
      </c>
      <c r="M17" s="13">
        <v>5721</v>
      </c>
      <c r="N17" s="13">
        <v>492.5</v>
      </c>
      <c r="O17" s="13">
        <v>3804</v>
      </c>
      <c r="P17" s="13">
        <v>651880.6</v>
      </c>
      <c r="Q17" s="13">
        <v>97.38</v>
      </c>
      <c r="R17" s="13">
        <v>1054.8999999999999</v>
      </c>
      <c r="S17" s="13">
        <v>3804</v>
      </c>
      <c r="T17" s="13">
        <v>2898</v>
      </c>
      <c r="U17" s="13">
        <v>197</v>
      </c>
      <c r="V17" s="13">
        <v>3804</v>
      </c>
      <c r="W17" s="13">
        <v>486.9</v>
      </c>
      <c r="X17" s="13">
        <v>912.99999999999989</v>
      </c>
      <c r="Y17" s="13">
        <v>452.09999999999997</v>
      </c>
      <c r="Z17" s="13">
        <v>488.6</v>
      </c>
      <c r="AA17" s="13">
        <v>5721</v>
      </c>
      <c r="AB17" s="13">
        <v>977.2</v>
      </c>
      <c r="AC17" s="13">
        <v>394</v>
      </c>
      <c r="AD17" s="13">
        <v>1348920.8299999996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C49F-E208-4D70-9D66-AFC98FD63CDB}">
  <sheetPr codeName="Planilha5"/>
  <dimension ref="A3:BT15"/>
  <sheetViews>
    <sheetView workbookViewId="0">
      <selection activeCell="C7" sqref="C7"/>
    </sheetView>
  </sheetViews>
  <sheetFormatPr defaultRowHeight="14.4" x14ac:dyDescent="0.3"/>
  <cols>
    <col min="1" max="1" width="20.6640625" bestFit="1" customWidth="1"/>
    <col min="2" max="2" width="11.5546875" bestFit="1" customWidth="1"/>
    <col min="3" max="12" width="9.33203125" bestFit="1" customWidth="1"/>
    <col min="13" max="13" width="7.6640625" bestFit="1" customWidth="1"/>
    <col min="14" max="17" width="9.33203125" bestFit="1" customWidth="1"/>
    <col min="18" max="18" width="10.33203125" bestFit="1" customWidth="1"/>
    <col min="19" max="21" width="9.33203125" bestFit="1" customWidth="1"/>
    <col min="22" max="23" width="10.33203125" bestFit="1" customWidth="1"/>
    <col min="24" max="24" width="9.33203125" bestFit="1" customWidth="1"/>
    <col min="25" max="25" width="10.33203125" bestFit="1" customWidth="1"/>
    <col min="26" max="26" width="9.33203125" bestFit="1" customWidth="1"/>
    <col min="27" max="28" width="10.33203125" bestFit="1" customWidth="1"/>
    <col min="29" max="32" width="9.33203125" bestFit="1" customWidth="1"/>
    <col min="33" max="33" width="10.33203125" bestFit="1" customWidth="1"/>
    <col min="34" max="36" width="9.33203125" bestFit="1" customWidth="1"/>
    <col min="37" max="38" width="10.33203125" bestFit="1" customWidth="1"/>
    <col min="39" max="39" width="9.33203125" bestFit="1" customWidth="1"/>
    <col min="40" max="40" width="10.33203125" bestFit="1" customWidth="1"/>
    <col min="41" max="41" width="9.33203125" bestFit="1" customWidth="1"/>
    <col min="42" max="43" width="10.33203125" bestFit="1" customWidth="1"/>
    <col min="44" max="50" width="9.33203125" bestFit="1" customWidth="1"/>
    <col min="51" max="52" width="10.33203125" bestFit="1" customWidth="1"/>
    <col min="53" max="53" width="9.33203125" bestFit="1" customWidth="1"/>
    <col min="54" max="54" width="10.33203125" bestFit="1" customWidth="1"/>
    <col min="55" max="55" width="9.33203125" bestFit="1" customWidth="1"/>
    <col min="56" max="57" width="10.33203125" bestFit="1" customWidth="1"/>
    <col min="58" max="61" width="9.33203125" bestFit="1" customWidth="1"/>
    <col min="62" max="62" width="10.33203125" bestFit="1" customWidth="1"/>
    <col min="63" max="65" width="9.33203125" bestFit="1" customWidth="1"/>
    <col min="66" max="67" width="10.33203125" bestFit="1" customWidth="1"/>
    <col min="68" max="68" width="9.33203125" bestFit="1" customWidth="1"/>
    <col min="69" max="69" width="10.33203125" bestFit="1" customWidth="1"/>
    <col min="70" max="70" width="9.33203125" bestFit="1" customWidth="1"/>
    <col min="71" max="71" width="10.33203125" bestFit="1" customWidth="1"/>
    <col min="72" max="72" width="11.88671875" bestFit="1" customWidth="1"/>
  </cols>
  <sheetData>
    <row r="3" spans="1:72" x14ac:dyDescent="0.3">
      <c r="A3" s="9" t="s">
        <v>64</v>
      </c>
      <c r="B3" s="9" t="s">
        <v>65</v>
      </c>
    </row>
    <row r="4" spans="1:72" x14ac:dyDescent="0.3">
      <c r="A4" s="9" t="s">
        <v>62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  <c r="BF4" t="s">
        <v>104</v>
      </c>
      <c r="BG4" t="s">
        <v>105</v>
      </c>
      <c r="BH4" t="s">
        <v>106</v>
      </c>
      <c r="BI4" t="s">
        <v>107</v>
      </c>
      <c r="BJ4" t="s">
        <v>108</v>
      </c>
      <c r="BK4" t="s">
        <v>109</v>
      </c>
      <c r="BL4" t="s">
        <v>110</v>
      </c>
      <c r="BM4" t="s">
        <v>111</v>
      </c>
      <c r="BN4" t="s">
        <v>112</v>
      </c>
      <c r="BO4" t="s">
        <v>113</v>
      </c>
      <c r="BP4" t="s">
        <v>114</v>
      </c>
      <c r="BQ4" t="s">
        <v>115</v>
      </c>
      <c r="BR4" t="s">
        <v>116</v>
      </c>
      <c r="BS4" t="s">
        <v>117</v>
      </c>
      <c r="BT4" t="s">
        <v>32</v>
      </c>
    </row>
    <row r="5" spans="1:72" x14ac:dyDescent="0.3">
      <c r="A5" s="10" t="s">
        <v>4</v>
      </c>
      <c r="B5" s="2">
        <v>39.479999999999997</v>
      </c>
      <c r="C5" s="2"/>
      <c r="D5" s="2"/>
      <c r="E5" s="2"/>
      <c r="F5" s="2"/>
      <c r="G5" s="2">
        <v>61</v>
      </c>
      <c r="H5" s="2"/>
      <c r="I5" s="2"/>
      <c r="J5" s="2"/>
      <c r="K5" s="2"/>
      <c r="L5" s="2">
        <v>65.430000000000007</v>
      </c>
      <c r="M5" s="2">
        <v>0</v>
      </c>
      <c r="N5" s="2"/>
      <c r="O5" s="2"/>
      <c r="P5" s="2"/>
      <c r="Q5" s="2"/>
      <c r="R5" s="2"/>
      <c r="S5" s="2"/>
      <c r="T5" s="2"/>
      <c r="U5" s="2"/>
      <c r="V5" s="2"/>
      <c r="W5" s="2">
        <v>162.75</v>
      </c>
      <c r="X5" s="2"/>
      <c r="Y5" s="2"/>
      <c r="Z5" s="2"/>
      <c r="AA5" s="2"/>
      <c r="AB5" s="2">
        <v>156.13999999999999</v>
      </c>
      <c r="AC5" s="2"/>
      <c r="AD5" s="2"/>
      <c r="AE5" s="2"/>
      <c r="AF5" s="2"/>
      <c r="AG5" s="2">
        <v>166</v>
      </c>
      <c r="AH5" s="2"/>
      <c r="AI5" s="2"/>
      <c r="AJ5" s="2"/>
      <c r="AK5" s="2"/>
      <c r="AL5" s="2">
        <v>162.75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>
        <v>162.75</v>
      </c>
      <c r="BA5" s="2"/>
      <c r="BB5" s="2"/>
      <c r="BC5" s="2"/>
      <c r="BD5" s="2"/>
      <c r="BE5" s="2">
        <v>156.13999999999999</v>
      </c>
      <c r="BF5" s="2"/>
      <c r="BG5" s="2"/>
      <c r="BH5" s="2"/>
      <c r="BI5" s="2"/>
      <c r="BJ5" s="2">
        <v>166</v>
      </c>
      <c r="BK5" s="2"/>
      <c r="BL5" s="2"/>
      <c r="BM5" s="2"/>
      <c r="BN5" s="2"/>
      <c r="BO5" s="2">
        <v>162.75</v>
      </c>
      <c r="BP5" s="2"/>
      <c r="BQ5" s="2"/>
      <c r="BR5" s="2"/>
      <c r="BS5" s="2"/>
      <c r="BT5" s="2">
        <v>1461.19</v>
      </c>
    </row>
    <row r="6" spans="1:72" x14ac:dyDescent="0.3">
      <c r="A6" s="11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0</v>
      </c>
    </row>
    <row r="7" spans="1:72" x14ac:dyDescent="0.3">
      <c r="A7" s="11" t="s">
        <v>14</v>
      </c>
      <c r="B7" s="2">
        <v>39.479999999999997</v>
      </c>
      <c r="C7" s="2"/>
      <c r="D7" s="2"/>
      <c r="E7" s="2"/>
      <c r="F7" s="2"/>
      <c r="G7" s="2"/>
      <c r="H7" s="2"/>
      <c r="I7" s="2"/>
      <c r="J7" s="2"/>
      <c r="K7" s="2"/>
      <c r="L7" s="2">
        <v>65.430000000000007</v>
      </c>
      <c r="M7" s="2"/>
      <c r="N7" s="2"/>
      <c r="O7" s="2"/>
      <c r="P7" s="2"/>
      <c r="Q7" s="2"/>
      <c r="R7" s="2"/>
      <c r="S7" s="2"/>
      <c r="T7" s="2"/>
      <c r="U7" s="2"/>
      <c r="V7" s="2"/>
      <c r="W7" s="2">
        <v>162.75</v>
      </c>
      <c r="X7" s="2"/>
      <c r="Y7" s="2"/>
      <c r="Z7" s="2"/>
      <c r="AA7" s="2"/>
      <c r="AB7" s="2"/>
      <c r="AC7" s="2"/>
      <c r="AD7" s="2"/>
      <c r="AE7" s="2"/>
      <c r="AF7" s="2"/>
      <c r="AG7" s="2">
        <v>166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>
        <v>162.75</v>
      </c>
      <c r="BA7" s="2"/>
      <c r="BB7" s="2"/>
      <c r="BC7" s="2"/>
      <c r="BD7" s="2"/>
      <c r="BE7" s="2"/>
      <c r="BF7" s="2"/>
      <c r="BG7" s="2"/>
      <c r="BH7" s="2"/>
      <c r="BI7" s="2"/>
      <c r="BJ7" s="2">
        <v>166</v>
      </c>
      <c r="BK7" s="2"/>
      <c r="BL7" s="2"/>
      <c r="BM7" s="2"/>
      <c r="BN7" s="2"/>
      <c r="BO7" s="2"/>
      <c r="BP7" s="2"/>
      <c r="BQ7" s="2"/>
      <c r="BR7" s="2"/>
      <c r="BS7" s="2"/>
      <c r="BT7" s="2">
        <v>762.41</v>
      </c>
    </row>
    <row r="8" spans="1:72" x14ac:dyDescent="0.3">
      <c r="A8" s="11" t="s">
        <v>3</v>
      </c>
      <c r="B8" s="2"/>
      <c r="C8" s="2"/>
      <c r="D8" s="2"/>
      <c r="E8" s="2"/>
      <c r="F8" s="2"/>
      <c r="G8" s="2">
        <v>61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>
        <v>162.75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>
        <v>223.75</v>
      </c>
    </row>
    <row r="9" spans="1:72" x14ac:dyDescent="0.3">
      <c r="A9" s="11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>
        <v>156.13999999999999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156.13999999999999</v>
      </c>
      <c r="BF9" s="2"/>
      <c r="BG9" s="2"/>
      <c r="BH9" s="2"/>
      <c r="BI9" s="2"/>
      <c r="BJ9" s="2"/>
      <c r="BK9" s="2"/>
      <c r="BL9" s="2"/>
      <c r="BM9" s="2"/>
      <c r="BN9" s="2"/>
      <c r="BO9" s="2">
        <v>162.75</v>
      </c>
      <c r="BP9" s="2"/>
      <c r="BQ9" s="2"/>
      <c r="BR9" s="2"/>
      <c r="BS9" s="2"/>
      <c r="BT9" s="2">
        <v>475.03</v>
      </c>
    </row>
    <row r="10" spans="1:72" x14ac:dyDescent="0.3">
      <c r="A10" s="10" t="s">
        <v>2</v>
      </c>
      <c r="B10" s="2"/>
      <c r="C10" s="2">
        <v>63</v>
      </c>
      <c r="D10" s="2">
        <v>81</v>
      </c>
      <c r="E10" s="2">
        <v>38.89</v>
      </c>
      <c r="F10" s="2">
        <v>34.770000000000003</v>
      </c>
      <c r="G10" s="2"/>
      <c r="H10" s="2">
        <v>75.709999999999994</v>
      </c>
      <c r="I10" s="2">
        <v>39.36</v>
      </c>
      <c r="J10" s="2">
        <v>51.8</v>
      </c>
      <c r="K10" s="2">
        <v>61.75</v>
      </c>
      <c r="L10" s="2"/>
      <c r="M10" s="2"/>
      <c r="N10" s="2">
        <v>61</v>
      </c>
      <c r="O10" s="2">
        <v>99</v>
      </c>
      <c r="P10" s="2">
        <v>99.9</v>
      </c>
      <c r="Q10" s="2">
        <v>98.42</v>
      </c>
      <c r="R10" s="2">
        <v>163.66</v>
      </c>
      <c r="S10" s="2">
        <v>37.44</v>
      </c>
      <c r="T10" s="2">
        <v>52.02</v>
      </c>
      <c r="U10" s="2">
        <v>42.14</v>
      </c>
      <c r="V10" s="2">
        <v>177.12</v>
      </c>
      <c r="W10" s="2"/>
      <c r="X10" s="2">
        <v>61</v>
      </c>
      <c r="Y10" s="2">
        <v>180.6</v>
      </c>
      <c r="Z10" s="2">
        <v>38.4</v>
      </c>
      <c r="AA10" s="2">
        <v>153.18</v>
      </c>
      <c r="AB10" s="2"/>
      <c r="AC10" s="2">
        <v>61</v>
      </c>
      <c r="AD10" s="2">
        <v>99</v>
      </c>
      <c r="AE10" s="2">
        <v>99.9</v>
      </c>
      <c r="AF10" s="2">
        <v>98.42</v>
      </c>
      <c r="AG10" s="2"/>
      <c r="AH10" s="2">
        <v>37.44</v>
      </c>
      <c r="AI10" s="2">
        <v>52.02</v>
      </c>
      <c r="AJ10" s="2">
        <v>42.14</v>
      </c>
      <c r="AK10" s="2">
        <v>177.12</v>
      </c>
      <c r="AL10" s="2"/>
      <c r="AM10" s="2">
        <v>61</v>
      </c>
      <c r="AN10" s="2">
        <v>180.6</v>
      </c>
      <c r="AO10" s="2">
        <v>38.4</v>
      </c>
      <c r="AP10" s="2">
        <v>153.18</v>
      </c>
      <c r="AQ10" s="2">
        <v>156.13999999999999</v>
      </c>
      <c r="AR10" s="2">
        <v>59.97</v>
      </c>
      <c r="AS10" s="2">
        <v>99</v>
      </c>
      <c r="AT10" s="2">
        <v>99.9</v>
      </c>
      <c r="AU10" s="2">
        <v>98.42</v>
      </c>
      <c r="AV10" s="2">
        <v>37.44</v>
      </c>
      <c r="AW10" s="2">
        <v>52.02</v>
      </c>
      <c r="AX10" s="2">
        <v>42.14</v>
      </c>
      <c r="AY10" s="2">
        <v>177.12</v>
      </c>
      <c r="AZ10" s="2"/>
      <c r="BA10" s="2">
        <v>61</v>
      </c>
      <c r="BB10" s="2">
        <v>180.6</v>
      </c>
      <c r="BC10" s="2">
        <v>38.4</v>
      </c>
      <c r="BD10" s="2">
        <v>153.18</v>
      </c>
      <c r="BE10" s="2"/>
      <c r="BF10" s="2">
        <v>61</v>
      </c>
      <c r="BG10" s="2">
        <v>99</v>
      </c>
      <c r="BH10" s="2">
        <v>99.9</v>
      </c>
      <c r="BI10" s="2">
        <v>98.42</v>
      </c>
      <c r="BJ10" s="2"/>
      <c r="BK10" s="2">
        <v>37.44</v>
      </c>
      <c r="BL10" s="2">
        <v>52.02</v>
      </c>
      <c r="BM10" s="2">
        <v>42.14</v>
      </c>
      <c r="BN10" s="2">
        <v>177.12</v>
      </c>
      <c r="BO10" s="2"/>
      <c r="BP10" s="2">
        <v>61</v>
      </c>
      <c r="BQ10" s="2">
        <v>180.6</v>
      </c>
      <c r="BR10" s="2">
        <v>38.4</v>
      </c>
      <c r="BS10" s="2">
        <v>153.18</v>
      </c>
      <c r="BT10" s="2">
        <v>5165.93</v>
      </c>
    </row>
    <row r="11" spans="1:72" x14ac:dyDescent="0.3">
      <c r="A11" s="11" t="s">
        <v>5</v>
      </c>
      <c r="B11" s="2"/>
      <c r="C11" s="2">
        <v>63</v>
      </c>
      <c r="D11" s="2">
        <v>81</v>
      </c>
      <c r="E11" s="2"/>
      <c r="F11" s="2"/>
      <c r="G11" s="2"/>
      <c r="H11" s="2">
        <v>75.709999999999994</v>
      </c>
      <c r="I11" s="2">
        <v>39.36</v>
      </c>
      <c r="J11" s="2"/>
      <c r="K11" s="2"/>
      <c r="L11" s="2"/>
      <c r="M11" s="2"/>
      <c r="N11" s="2">
        <v>61</v>
      </c>
      <c r="O11" s="2">
        <v>99</v>
      </c>
      <c r="P11" s="2"/>
      <c r="Q11" s="2"/>
      <c r="R11" s="2"/>
      <c r="S11" s="2">
        <v>37.44</v>
      </c>
      <c r="T11" s="2">
        <v>52.02</v>
      </c>
      <c r="U11" s="2"/>
      <c r="V11" s="2"/>
      <c r="W11" s="2"/>
      <c r="X11" s="2">
        <v>61</v>
      </c>
      <c r="Y11" s="2">
        <v>180.6</v>
      </c>
      <c r="Z11" s="2"/>
      <c r="AA11" s="2"/>
      <c r="AB11" s="2"/>
      <c r="AC11" s="2">
        <v>61</v>
      </c>
      <c r="AD11" s="2">
        <v>99</v>
      </c>
      <c r="AE11" s="2"/>
      <c r="AF11" s="2"/>
      <c r="AG11" s="2"/>
      <c r="AH11" s="2">
        <v>37.44</v>
      </c>
      <c r="AI11" s="2">
        <v>52.02</v>
      </c>
      <c r="AJ11" s="2"/>
      <c r="AK11" s="2"/>
      <c r="AL11" s="2"/>
      <c r="AM11" s="2">
        <v>61</v>
      </c>
      <c r="AN11" s="2">
        <v>180.6</v>
      </c>
      <c r="AO11" s="2"/>
      <c r="AP11" s="2"/>
      <c r="AQ11" s="2"/>
      <c r="AR11" s="2">
        <v>59.97</v>
      </c>
      <c r="AS11" s="2">
        <v>99</v>
      </c>
      <c r="AT11" s="2"/>
      <c r="AU11" s="2"/>
      <c r="AV11" s="2">
        <v>37.44</v>
      </c>
      <c r="AW11" s="2">
        <v>52.02</v>
      </c>
      <c r="AX11" s="2"/>
      <c r="AY11" s="2"/>
      <c r="AZ11" s="2"/>
      <c r="BA11" s="2">
        <v>61</v>
      </c>
      <c r="BB11" s="2">
        <v>180.6</v>
      </c>
      <c r="BC11" s="2"/>
      <c r="BD11" s="2"/>
      <c r="BE11" s="2"/>
      <c r="BF11" s="2">
        <v>61</v>
      </c>
      <c r="BG11" s="2">
        <v>99</v>
      </c>
      <c r="BH11" s="2"/>
      <c r="BI11" s="2"/>
      <c r="BJ11" s="2"/>
      <c r="BK11" s="2">
        <v>37.44</v>
      </c>
      <c r="BL11" s="2">
        <v>52.02</v>
      </c>
      <c r="BM11" s="2"/>
      <c r="BN11" s="2"/>
      <c r="BO11" s="2"/>
      <c r="BP11" s="2">
        <v>61</v>
      </c>
      <c r="BQ11" s="2">
        <v>180.6</v>
      </c>
      <c r="BR11" s="2"/>
      <c r="BS11" s="2"/>
      <c r="BT11" s="2">
        <v>2222.2799999999997</v>
      </c>
    </row>
    <row r="12" spans="1:72" x14ac:dyDescent="0.3">
      <c r="A12" s="11" t="s">
        <v>16</v>
      </c>
      <c r="B12" s="2"/>
      <c r="C12" s="2"/>
      <c r="D12" s="2"/>
      <c r="E12" s="2">
        <v>38.89</v>
      </c>
      <c r="F12" s="2"/>
      <c r="G12" s="2"/>
      <c r="H12" s="2"/>
      <c r="I12" s="2"/>
      <c r="J12" s="2">
        <v>51.8</v>
      </c>
      <c r="K12" s="2"/>
      <c r="L12" s="2"/>
      <c r="M12" s="2"/>
      <c r="N12" s="2"/>
      <c r="O12" s="2"/>
      <c r="P12" s="2">
        <v>99.9</v>
      </c>
      <c r="Q12" s="2"/>
      <c r="R12" s="2"/>
      <c r="S12" s="2"/>
      <c r="T12" s="2"/>
      <c r="U12" s="2">
        <v>42.14</v>
      </c>
      <c r="V12" s="2"/>
      <c r="W12" s="2"/>
      <c r="X12" s="2"/>
      <c r="Y12" s="2"/>
      <c r="Z12" s="2">
        <v>38.4</v>
      </c>
      <c r="AA12" s="2"/>
      <c r="AB12" s="2"/>
      <c r="AC12" s="2"/>
      <c r="AD12" s="2"/>
      <c r="AE12" s="2">
        <v>99.9</v>
      </c>
      <c r="AF12" s="2"/>
      <c r="AG12" s="2"/>
      <c r="AH12" s="2"/>
      <c r="AI12" s="2"/>
      <c r="AJ12" s="2">
        <v>42.14</v>
      </c>
      <c r="AK12" s="2"/>
      <c r="AL12" s="2"/>
      <c r="AM12" s="2"/>
      <c r="AN12" s="2"/>
      <c r="AO12" s="2">
        <v>38.4</v>
      </c>
      <c r="AP12" s="2"/>
      <c r="AQ12" s="2"/>
      <c r="AR12" s="2"/>
      <c r="AS12" s="2"/>
      <c r="AT12" s="2">
        <v>99.9</v>
      </c>
      <c r="AU12" s="2"/>
      <c r="AV12" s="2"/>
      <c r="AW12" s="2"/>
      <c r="AX12" s="2">
        <v>42.14</v>
      </c>
      <c r="AY12" s="2"/>
      <c r="AZ12" s="2"/>
      <c r="BA12" s="2"/>
      <c r="BB12" s="2"/>
      <c r="BC12" s="2">
        <v>38.4</v>
      </c>
      <c r="BD12" s="2"/>
      <c r="BE12" s="2"/>
      <c r="BF12" s="2"/>
      <c r="BG12" s="2"/>
      <c r="BH12" s="2">
        <v>99.9</v>
      </c>
      <c r="BI12" s="2"/>
      <c r="BJ12" s="2"/>
      <c r="BK12" s="2"/>
      <c r="BL12" s="2"/>
      <c r="BM12" s="2">
        <v>42.14</v>
      </c>
      <c r="BN12" s="2"/>
      <c r="BO12" s="2"/>
      <c r="BP12" s="2"/>
      <c r="BQ12" s="2"/>
      <c r="BR12" s="2">
        <v>38.4</v>
      </c>
      <c r="BS12" s="2"/>
      <c r="BT12" s="2">
        <v>812.44999999999982</v>
      </c>
    </row>
    <row r="13" spans="1:72" x14ac:dyDescent="0.3">
      <c r="A13" s="11" t="s">
        <v>22</v>
      </c>
      <c r="B13" s="2"/>
      <c r="C13" s="2"/>
      <c r="D13" s="2"/>
      <c r="E13" s="2"/>
      <c r="F13" s="2">
        <v>34.770000000000003</v>
      </c>
      <c r="G13" s="2"/>
      <c r="H13" s="2"/>
      <c r="I13" s="2"/>
      <c r="J13" s="2"/>
      <c r="K13" s="2">
        <v>61.75</v>
      </c>
      <c r="L13" s="2"/>
      <c r="M13" s="2"/>
      <c r="N13" s="2"/>
      <c r="O13" s="2"/>
      <c r="P13" s="2"/>
      <c r="Q13" s="2">
        <v>98.42</v>
      </c>
      <c r="R13" s="2"/>
      <c r="S13" s="2"/>
      <c r="T13" s="2"/>
      <c r="U13" s="2"/>
      <c r="V13" s="2">
        <v>177.12</v>
      </c>
      <c r="W13" s="2"/>
      <c r="X13" s="2"/>
      <c r="Y13" s="2"/>
      <c r="Z13" s="2"/>
      <c r="AA13" s="2">
        <v>153.18</v>
      </c>
      <c r="AB13" s="2"/>
      <c r="AC13" s="2"/>
      <c r="AD13" s="2"/>
      <c r="AE13" s="2"/>
      <c r="AF13" s="2">
        <v>98.42</v>
      </c>
      <c r="AG13" s="2"/>
      <c r="AH13" s="2"/>
      <c r="AI13" s="2"/>
      <c r="AJ13" s="2"/>
      <c r="AK13" s="2">
        <v>177.12</v>
      </c>
      <c r="AL13" s="2"/>
      <c r="AM13" s="2"/>
      <c r="AN13" s="2"/>
      <c r="AO13" s="2"/>
      <c r="AP13" s="2">
        <v>153.18</v>
      </c>
      <c r="AQ13" s="2"/>
      <c r="AR13" s="2"/>
      <c r="AS13" s="2"/>
      <c r="AT13" s="2"/>
      <c r="AU13" s="2">
        <v>98.42</v>
      </c>
      <c r="AV13" s="2"/>
      <c r="AW13" s="2"/>
      <c r="AX13" s="2"/>
      <c r="AY13" s="2">
        <v>177.12</v>
      </c>
      <c r="AZ13" s="2"/>
      <c r="BA13" s="2"/>
      <c r="BB13" s="2"/>
      <c r="BC13" s="2"/>
      <c r="BD13" s="2">
        <v>153.18</v>
      </c>
      <c r="BE13" s="2"/>
      <c r="BF13" s="2"/>
      <c r="BG13" s="2"/>
      <c r="BH13" s="2"/>
      <c r="BI13" s="2">
        <v>98.42</v>
      </c>
      <c r="BJ13" s="2"/>
      <c r="BK13" s="2"/>
      <c r="BL13" s="2"/>
      <c r="BM13" s="2"/>
      <c r="BN13" s="2">
        <v>177.12</v>
      </c>
      <c r="BO13" s="2"/>
      <c r="BP13" s="2"/>
      <c r="BQ13" s="2"/>
      <c r="BR13" s="2"/>
      <c r="BS13" s="2">
        <v>153.18</v>
      </c>
      <c r="BT13" s="2">
        <v>1811.4000000000003</v>
      </c>
    </row>
    <row r="14" spans="1:72" x14ac:dyDescent="0.3">
      <c r="A14" s="1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163.66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>
        <v>156.13999999999999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>
        <v>319.79999999999995</v>
      </c>
    </row>
    <row r="15" spans="1:72" x14ac:dyDescent="0.3">
      <c r="A15" s="10" t="s">
        <v>32</v>
      </c>
      <c r="B15" s="2">
        <v>39.479999999999997</v>
      </c>
      <c r="C15" s="2">
        <v>63</v>
      </c>
      <c r="D15" s="2">
        <v>81</v>
      </c>
      <c r="E15" s="2">
        <v>38.89</v>
      </c>
      <c r="F15" s="2">
        <v>34.770000000000003</v>
      </c>
      <c r="G15" s="2">
        <v>61</v>
      </c>
      <c r="H15" s="2">
        <v>75.709999999999994</v>
      </c>
      <c r="I15" s="2">
        <v>39.36</v>
      </c>
      <c r="J15" s="2">
        <v>51.8</v>
      </c>
      <c r="K15" s="2">
        <v>61.75</v>
      </c>
      <c r="L15" s="2">
        <v>65.430000000000007</v>
      </c>
      <c r="M15" s="2">
        <v>0</v>
      </c>
      <c r="N15" s="2">
        <v>61</v>
      </c>
      <c r="O15" s="2">
        <v>99</v>
      </c>
      <c r="P15" s="2">
        <v>99.9</v>
      </c>
      <c r="Q15" s="2">
        <v>98.42</v>
      </c>
      <c r="R15" s="2">
        <v>163.66</v>
      </c>
      <c r="S15" s="2">
        <v>37.44</v>
      </c>
      <c r="T15" s="2">
        <v>52.02</v>
      </c>
      <c r="U15" s="2">
        <v>42.14</v>
      </c>
      <c r="V15" s="2">
        <v>177.12</v>
      </c>
      <c r="W15" s="2">
        <v>162.75</v>
      </c>
      <c r="X15" s="2">
        <v>61</v>
      </c>
      <c r="Y15" s="2">
        <v>180.6</v>
      </c>
      <c r="Z15" s="2">
        <v>38.4</v>
      </c>
      <c r="AA15" s="2">
        <v>153.18</v>
      </c>
      <c r="AB15" s="2">
        <v>156.13999999999999</v>
      </c>
      <c r="AC15" s="2">
        <v>61</v>
      </c>
      <c r="AD15" s="2">
        <v>99</v>
      </c>
      <c r="AE15" s="2">
        <v>99.9</v>
      </c>
      <c r="AF15" s="2">
        <v>98.42</v>
      </c>
      <c r="AG15" s="2">
        <v>166</v>
      </c>
      <c r="AH15" s="2">
        <v>37.44</v>
      </c>
      <c r="AI15" s="2">
        <v>52.02</v>
      </c>
      <c r="AJ15" s="2">
        <v>42.14</v>
      </c>
      <c r="AK15" s="2">
        <v>177.12</v>
      </c>
      <c r="AL15" s="2">
        <v>162.75</v>
      </c>
      <c r="AM15" s="2">
        <v>61</v>
      </c>
      <c r="AN15" s="2">
        <v>180.6</v>
      </c>
      <c r="AO15" s="2">
        <v>38.4</v>
      </c>
      <c r="AP15" s="2">
        <v>153.18</v>
      </c>
      <c r="AQ15" s="2">
        <v>156.13999999999999</v>
      </c>
      <c r="AR15" s="2">
        <v>59.97</v>
      </c>
      <c r="AS15" s="2">
        <v>99</v>
      </c>
      <c r="AT15" s="2">
        <v>99.9</v>
      </c>
      <c r="AU15" s="2">
        <v>98.42</v>
      </c>
      <c r="AV15" s="2">
        <v>37.44</v>
      </c>
      <c r="AW15" s="2">
        <v>52.02</v>
      </c>
      <c r="AX15" s="2">
        <v>42.14</v>
      </c>
      <c r="AY15" s="2">
        <v>177.12</v>
      </c>
      <c r="AZ15" s="2">
        <v>162.75</v>
      </c>
      <c r="BA15" s="2">
        <v>61</v>
      </c>
      <c r="BB15" s="2">
        <v>180.6</v>
      </c>
      <c r="BC15" s="2">
        <v>38.4</v>
      </c>
      <c r="BD15" s="2">
        <v>153.18</v>
      </c>
      <c r="BE15" s="2">
        <v>156.13999999999999</v>
      </c>
      <c r="BF15" s="2">
        <v>61</v>
      </c>
      <c r="BG15" s="2">
        <v>99</v>
      </c>
      <c r="BH15" s="2">
        <v>99.9</v>
      </c>
      <c r="BI15" s="2">
        <v>98.42</v>
      </c>
      <c r="BJ15" s="2">
        <v>166</v>
      </c>
      <c r="BK15" s="2">
        <v>37.44</v>
      </c>
      <c r="BL15" s="2">
        <v>52.02</v>
      </c>
      <c r="BM15" s="2">
        <v>42.14</v>
      </c>
      <c r="BN15" s="2">
        <v>177.12</v>
      </c>
      <c r="BO15" s="2">
        <v>162.75</v>
      </c>
      <c r="BP15" s="2">
        <v>61</v>
      </c>
      <c r="BQ15" s="2">
        <v>180.6</v>
      </c>
      <c r="BR15" s="2">
        <v>38.4</v>
      </c>
      <c r="BS15" s="2">
        <v>153.18</v>
      </c>
      <c r="BT15" s="2">
        <v>6627.1200000000008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752E-F67D-48A6-91BC-0DF4250BA8B7}">
  <sheetPr codeName="Planilha6"/>
  <dimension ref="A1:D10"/>
  <sheetViews>
    <sheetView workbookViewId="0">
      <selection activeCell="B5" sqref="B5"/>
    </sheetView>
  </sheetViews>
  <sheetFormatPr defaultRowHeight="14.4" x14ac:dyDescent="0.3"/>
  <cols>
    <col min="1" max="1" width="52.33203125" style="1" bestFit="1" customWidth="1"/>
    <col min="2" max="2" width="11.44140625" style="1" bestFit="1" customWidth="1"/>
    <col min="3" max="4" width="14" bestFit="1" customWidth="1"/>
  </cols>
  <sheetData>
    <row r="1" spans="1:4" x14ac:dyDescent="0.3">
      <c r="A1" s="1" t="s">
        <v>0</v>
      </c>
      <c r="B1" s="1" t="s">
        <v>19</v>
      </c>
      <c r="C1" s="1" t="s">
        <v>1</v>
      </c>
      <c r="D1" t="s">
        <v>6</v>
      </c>
    </row>
    <row r="2" spans="1:4" x14ac:dyDescent="0.3">
      <c r="A2" s="1" t="e" vm="1">
        <v>#VALUE!</v>
      </c>
      <c r="B2" s="1" t="s">
        <v>20</v>
      </c>
      <c r="C2" s="1" t="s">
        <v>4</v>
      </c>
      <c r="D2" s="3" cm="1">
        <f t="array" aca="1" ref="D2" ca="1">_FV(TabelaAtivos[[#This Row],[Ativo]],"Preço")</f>
        <v>28.88</v>
      </c>
    </row>
    <row r="3" spans="1:4" x14ac:dyDescent="0.3">
      <c r="A3" s="1" t="e" vm="2">
        <v>#VALUE!</v>
      </c>
      <c r="B3" s="1" t="s">
        <v>21</v>
      </c>
      <c r="C3" s="1" t="s">
        <v>7</v>
      </c>
      <c r="D3" s="3" cm="1">
        <f t="array" aca="1" ref="D3" ca="1">_FV(TabelaAtivos[[#This Row],[Ativo]],"Preço")</f>
        <v>651880</v>
      </c>
    </row>
    <row r="4" spans="1:4" x14ac:dyDescent="0.3">
      <c r="A4" s="1" t="e" vm="3">
        <v>#VALUE!</v>
      </c>
      <c r="B4" s="1" t="s">
        <v>5</v>
      </c>
      <c r="C4" s="1" t="s">
        <v>2</v>
      </c>
      <c r="D4" s="3" cm="1">
        <f t="array" aca="1" ref="D4" ca="1">_FV(TabelaAtivos[[#This Row],[Ativo]],"Preço")</f>
        <v>150.69999999999999</v>
      </c>
    </row>
    <row r="5" spans="1:4" x14ac:dyDescent="0.3">
      <c r="A5" s="1" t="e" vm="4">
        <v>#VALUE!</v>
      </c>
      <c r="B5" s="1" t="s">
        <v>22</v>
      </c>
      <c r="C5" s="1" t="s">
        <v>2</v>
      </c>
      <c r="D5" s="3" cm="1">
        <f t="array" aca="1" ref="D5" ca="1">_FV(TabelaAtivos[[#This Row],[Ativo]],"Preço")</f>
        <v>97.72</v>
      </c>
    </row>
    <row r="6" spans="1:4" x14ac:dyDescent="0.3">
      <c r="A6" s="1" t="e" vm="5">
        <v>#VALUE!</v>
      </c>
      <c r="B6" s="1" t="s">
        <v>14</v>
      </c>
      <c r="C6" s="1" t="s">
        <v>4</v>
      </c>
      <c r="D6" s="3" cm="1">
        <f t="array" aca="1" ref="D6" ca="1">_FV(TabelaAtivos[[#This Row],[Ativo]],"Preço")</f>
        <v>9.0299999999999994</v>
      </c>
    </row>
    <row r="7" spans="1:4" x14ac:dyDescent="0.3">
      <c r="A7" s="1" t="e" vm="6">
        <v>#VALUE!</v>
      </c>
      <c r="B7" s="1" t="s">
        <v>3</v>
      </c>
      <c r="C7" s="1" t="s">
        <v>4</v>
      </c>
      <c r="D7" s="3" cm="1">
        <f t="array" aca="1" ref="D7" ca="1">_FV(TabelaAtivos[[#This Row],[Ativo]],"Preço")</f>
        <v>37.94</v>
      </c>
    </row>
    <row r="8" spans="1:4" x14ac:dyDescent="0.3">
      <c r="A8" s="1" t="e" vm="7">
        <v>#VALUE!</v>
      </c>
      <c r="B8" s="1" t="s">
        <v>23</v>
      </c>
      <c r="C8" s="1" t="s">
        <v>4</v>
      </c>
      <c r="D8" s="3" cm="1">
        <f t="array" aca="1" ref="D8" ca="1">_FV(TabelaAtivos[[#This Row],[Ativo]],"Preço")</f>
        <v>57.11</v>
      </c>
    </row>
    <row r="9" spans="1:4" x14ac:dyDescent="0.3">
      <c r="A9" s="1" t="e" vm="8">
        <v>#VALUE!</v>
      </c>
      <c r="B9" s="1" t="s">
        <v>24</v>
      </c>
      <c r="C9" s="1" t="s">
        <v>2</v>
      </c>
      <c r="D9" s="3" cm="1">
        <f t="array" aca="1" ref="D9" ca="1">_FV(TabelaAtivos[[#This Row],[Ativo]],"Preço")</f>
        <v>97.38</v>
      </c>
    </row>
    <row r="10" spans="1:4" x14ac:dyDescent="0.3">
      <c r="A10" t="e" vm="9">
        <v>#VALUE!</v>
      </c>
      <c r="B10" t="s">
        <v>16</v>
      </c>
      <c r="C10" s="1" t="s">
        <v>2</v>
      </c>
      <c r="D10" s="3" cm="1">
        <f t="array" aca="1" ref="D10" ca="1">_FV(TabelaAtivos[[#This Row],[Ativo]],"Preço")</f>
        <v>98.5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2B33-8010-4852-B32E-571A7C9F4894}">
  <sheetPr codeName="Planilha7"/>
  <dimension ref="A1:J29"/>
  <sheetViews>
    <sheetView workbookViewId="0">
      <selection activeCell="D34" sqref="D34"/>
    </sheetView>
  </sheetViews>
  <sheetFormatPr defaultColWidth="15.77734375" defaultRowHeight="15" customHeight="1" x14ac:dyDescent="0.3"/>
  <cols>
    <col min="1" max="1" width="15.77734375" style="4"/>
    <col min="3" max="3" width="15.77734375" style="6"/>
    <col min="4" max="4" width="15.77734375" style="2"/>
    <col min="5" max="5" width="15.77734375" style="7"/>
    <col min="6" max="6" width="15.77734375" style="2"/>
  </cols>
  <sheetData>
    <row r="1" spans="1:10" ht="15" customHeight="1" x14ac:dyDescent="0.3">
      <c r="A1" s="4" t="s">
        <v>8</v>
      </c>
      <c r="B1" t="s">
        <v>0</v>
      </c>
      <c r="C1" s="6" t="s">
        <v>9</v>
      </c>
      <c r="D1" s="2" t="s">
        <v>15</v>
      </c>
      <c r="E1" s="7" t="s">
        <v>10</v>
      </c>
      <c r="F1" s="2" t="s">
        <v>11</v>
      </c>
      <c r="G1" t="s">
        <v>1</v>
      </c>
      <c r="H1" t="s">
        <v>12</v>
      </c>
      <c r="I1" t="s">
        <v>13</v>
      </c>
      <c r="J1" t="s">
        <v>17</v>
      </c>
    </row>
    <row r="2" spans="1:10" ht="15" customHeight="1" x14ac:dyDescent="0.3">
      <c r="A2" s="4">
        <v>44540</v>
      </c>
      <c r="B2" t="s">
        <v>14</v>
      </c>
      <c r="C2" s="6">
        <v>100</v>
      </c>
      <c r="D2" s="2">
        <f ca="1">VLOOKUP(TabelaAportes[[#This Row],[Ativo]],TabelaAtivos[[Sigla]:[Preço]],3,FALSE)</f>
        <v>9.0299999999999994</v>
      </c>
      <c r="E2" s="7">
        <v>10</v>
      </c>
      <c r="F2" s="2">
        <f ca="1">(TabelaAportes[[#This Row],[Quantidade]]*TabelaAportes[[#This Row],[Valor unitário]])+TabelaAportes[[#This Row],[Custo]]</f>
        <v>912.99999999999989</v>
      </c>
      <c r="G2" t="str">
        <f>VLOOKUP(TabelaAportes[[#This Row],[Ativo]],TabelaAtivos[[Sigla]:[Preço]],2,FALSE)</f>
        <v>Empresa</v>
      </c>
      <c r="H2">
        <f>YEAR(TabelaAportes[[#This Row],[Data]])</f>
        <v>2021</v>
      </c>
      <c r="I2">
        <f>MONTH(TabelaAportes[[#This Row],[Data]])</f>
        <v>12</v>
      </c>
      <c r="J2" t="str">
        <f>CONCATENATE(TabelaAportes[[#This Row],[Ano]],"/",IF(TabelaAportes[[#This Row],[Mês]]&lt;10,"0",""),TabelaAportes[[#This Row],[Mês]])</f>
        <v>2021/12</v>
      </c>
    </row>
    <row r="3" spans="1:10" ht="15" customHeight="1" x14ac:dyDescent="0.3">
      <c r="A3" s="4">
        <v>44571</v>
      </c>
      <c r="B3" t="s">
        <v>20</v>
      </c>
      <c r="C3" s="6">
        <v>100</v>
      </c>
      <c r="D3" s="2">
        <f ca="1">VLOOKUP(TabelaAportes[[#This Row],[Ativo]],TabelaAtivos[[Sigla]:[Preço]],3,FALSE)</f>
        <v>28.88</v>
      </c>
      <c r="E3" s="7">
        <v>10</v>
      </c>
      <c r="F3" s="2">
        <f ca="1">(TabelaAportes[[#This Row],[Quantidade]]*TabelaAportes[[#This Row],[Valor unitário]])+TabelaAportes[[#This Row],[Custo]]</f>
        <v>2898</v>
      </c>
      <c r="G3" t="str">
        <f>VLOOKUP(TabelaAportes[[#This Row],[Ativo]],TabelaAtivos[[Sigla]:[Preço]],2,FALSE)</f>
        <v>Empresa</v>
      </c>
      <c r="H3">
        <f>YEAR(TabelaAportes[[#This Row],[Data]])</f>
        <v>2022</v>
      </c>
      <c r="I3">
        <f>MONTH(TabelaAportes[[#This Row],[Data]])</f>
        <v>1</v>
      </c>
      <c r="J3" t="str">
        <f>CONCATENATE(TabelaAportes[[#This Row],[Ano]],"/",IF(TabelaAportes[[#This Row],[Mês]]&lt;10,"0",""),TabelaAportes[[#This Row],[Mês]])</f>
        <v>2022/01</v>
      </c>
    </row>
    <row r="4" spans="1:10" ht="15" customHeight="1" x14ac:dyDescent="0.3">
      <c r="A4" s="4">
        <v>44602</v>
      </c>
      <c r="B4" t="s">
        <v>3</v>
      </c>
      <c r="C4" s="6">
        <v>100</v>
      </c>
      <c r="D4" s="2">
        <f ca="1">VLOOKUP(TabelaAportes[[#This Row],[Ativo]],TabelaAtivos[[Sigla]:[Preço]],3,FALSE)</f>
        <v>37.94</v>
      </c>
      <c r="E4" s="7">
        <v>10</v>
      </c>
      <c r="F4" s="2">
        <f ca="1">(TabelaAportes[[#This Row],[Quantidade]]*TabelaAportes[[#This Row],[Valor unitário]])+TabelaAportes[[#This Row],[Custo]]</f>
        <v>3804</v>
      </c>
      <c r="G4" t="str">
        <f>VLOOKUP(TabelaAportes[[#This Row],[Ativo]],TabelaAtivos[[Sigla]:[Preço]],2,FALSE)</f>
        <v>Empresa</v>
      </c>
      <c r="H4">
        <f>YEAR(TabelaAportes[[#This Row],[Data]])</f>
        <v>2022</v>
      </c>
      <c r="I4">
        <f>MONTH(TabelaAportes[[#This Row],[Data]])</f>
        <v>2</v>
      </c>
      <c r="J4" t="str">
        <f>CONCATENATE(TabelaAportes[[#This Row],[Ano]],"/",IF(TabelaAportes[[#This Row],[Mês]]&lt;10,"0",""),TabelaAportes[[#This Row],[Mês]])</f>
        <v>2022/02</v>
      </c>
    </row>
    <row r="5" spans="1:10" ht="15" customHeight="1" x14ac:dyDescent="0.3">
      <c r="A5" s="4">
        <v>44630</v>
      </c>
      <c r="B5" t="s">
        <v>5</v>
      </c>
      <c r="C5" s="6">
        <v>5</v>
      </c>
      <c r="D5" s="2">
        <f ca="1">VLOOKUP(TabelaAportes[[#This Row],[Ativo]],TabelaAtivos[[Sigla]:[Preço]],3,FALSE)</f>
        <v>150.69999999999999</v>
      </c>
      <c r="E5" s="7">
        <v>0</v>
      </c>
      <c r="F5" s="2">
        <f ca="1">(TabelaAportes[[#This Row],[Quantidade]]*TabelaAportes[[#This Row],[Valor unitário]])+TabelaAportes[[#This Row],[Custo]]</f>
        <v>753.5</v>
      </c>
      <c r="G5" t="str">
        <f>VLOOKUP(TabelaAportes[[#This Row],[Ativo]],TabelaAtivos[[Sigla]:[Preço]],2,FALSE)</f>
        <v>FII</v>
      </c>
      <c r="H5">
        <f>YEAR(TabelaAportes[[#This Row],[Data]])</f>
        <v>2022</v>
      </c>
      <c r="I5">
        <f>MONTH(TabelaAportes[[#This Row],[Data]])</f>
        <v>3</v>
      </c>
      <c r="J5" t="str">
        <f>CONCATENATE(TabelaAportes[[#This Row],[Ano]],"/",IF(TabelaAportes[[#This Row],[Mês]]&lt;10,"0",""),TabelaAportes[[#This Row],[Mês]])</f>
        <v>2022/03</v>
      </c>
    </row>
    <row r="6" spans="1:10" ht="15" customHeight="1" x14ac:dyDescent="0.3">
      <c r="A6" s="4">
        <v>44661</v>
      </c>
      <c r="B6" t="s">
        <v>14</v>
      </c>
      <c r="C6" s="6">
        <v>100</v>
      </c>
      <c r="D6" s="2">
        <f ca="1">VLOOKUP(TabelaAportes[[#This Row],[Ativo]],TabelaAtivos[[Sigla]:[Preço]],3,FALSE)</f>
        <v>9.0299999999999994</v>
      </c>
      <c r="E6" s="7">
        <v>10</v>
      </c>
      <c r="F6" s="2">
        <f ca="1">(TabelaAportes[[#This Row],[Quantidade]]*TabelaAportes[[#This Row],[Valor unitário]])+TabelaAportes[[#This Row],[Custo]]</f>
        <v>912.99999999999989</v>
      </c>
      <c r="G6" t="str">
        <f>VLOOKUP(TabelaAportes[[#This Row],[Ativo]],TabelaAtivos[[Sigla]:[Preço]],2,FALSE)</f>
        <v>Empresa</v>
      </c>
      <c r="H6">
        <f>YEAR(TabelaAportes[[#This Row],[Data]])</f>
        <v>2022</v>
      </c>
      <c r="I6">
        <f>MONTH(TabelaAportes[[#This Row],[Data]])</f>
        <v>4</v>
      </c>
      <c r="J6" t="str">
        <f>CONCATENATE(TabelaAportes[[#This Row],[Ano]],"/",IF(TabelaAportes[[#This Row],[Mês]]&lt;10,"0",""),TabelaAportes[[#This Row],[Mês]])</f>
        <v>2022/04</v>
      </c>
    </row>
    <row r="7" spans="1:10" ht="15" customHeight="1" x14ac:dyDescent="0.3">
      <c r="A7" s="4">
        <v>44691</v>
      </c>
      <c r="B7" t="s">
        <v>16</v>
      </c>
      <c r="C7" s="6">
        <v>8</v>
      </c>
      <c r="D7" s="2">
        <f ca="1">VLOOKUP(TabelaAportes[[#This Row],[Ativo]],TabelaAtivos[[Sigla]:[Preço]],3,FALSE)</f>
        <v>98.5</v>
      </c>
      <c r="E7" s="7">
        <v>0</v>
      </c>
      <c r="F7" s="2">
        <f ca="1">(TabelaAportes[[#This Row],[Quantidade]]*TabelaAportes[[#This Row],[Valor unitário]])+TabelaAportes[[#This Row],[Custo]]</f>
        <v>788</v>
      </c>
      <c r="G7" t="str">
        <f>VLOOKUP(TabelaAportes[[#This Row],[Ativo]],TabelaAtivos[[Sigla]:[Preço]],2,FALSE)</f>
        <v>FII</v>
      </c>
      <c r="H7">
        <f>YEAR(TabelaAportes[[#This Row],[Data]])</f>
        <v>2022</v>
      </c>
      <c r="I7">
        <f>MONTH(TabelaAportes[[#This Row],[Data]])</f>
        <v>5</v>
      </c>
      <c r="J7" t="str">
        <f>CONCATENATE(TabelaAportes[[#This Row],[Ano]],"/",IF(TabelaAportes[[#This Row],[Mês]]&lt;10,"0",""),TabelaAportes[[#This Row],[Mês]])</f>
        <v>2022/05</v>
      </c>
    </row>
    <row r="8" spans="1:10" ht="15" customHeight="1" x14ac:dyDescent="0.3">
      <c r="A8" s="4">
        <v>44722</v>
      </c>
      <c r="B8" t="s">
        <v>21</v>
      </c>
      <c r="C8" s="8">
        <v>1</v>
      </c>
      <c r="D8" s="2">
        <f ca="1">VLOOKUP(TabelaAportes[[#This Row],[Ativo]],TabelaAtivos[[Sigla]:[Preço]],3,FALSE)</f>
        <v>651880</v>
      </c>
      <c r="E8" s="7">
        <v>0.45</v>
      </c>
      <c r="F8" s="2">
        <f ca="1">(TabelaAportes[[#This Row],[Quantidade]]*TabelaAportes[[#This Row],[Valor unitário]])+TabelaAportes[[#This Row],[Custo]]</f>
        <v>651880.44999999995</v>
      </c>
      <c r="G8" t="str">
        <f>VLOOKUP(TabelaAportes[[#This Row],[Ativo]],TabelaAtivos[[Sigla]:[Preço]],2,FALSE)</f>
        <v>Criptomoeda</v>
      </c>
      <c r="H8">
        <f>YEAR(TabelaAportes[[#This Row],[Data]])</f>
        <v>2022</v>
      </c>
      <c r="I8">
        <f>MONTH(TabelaAportes[[#This Row],[Data]])</f>
        <v>6</v>
      </c>
      <c r="J8" t="str">
        <f>CONCATENATE(TabelaAportes[[#This Row],[Ano]],"/",IF(TabelaAportes[[#This Row],[Mês]]&lt;10,"0",""),TabelaAportes[[#This Row],[Mês]])</f>
        <v>2022/06</v>
      </c>
    </row>
    <row r="9" spans="1:10" ht="15" customHeight="1" x14ac:dyDescent="0.3">
      <c r="A9" s="4">
        <v>44752</v>
      </c>
      <c r="B9" t="s">
        <v>24</v>
      </c>
      <c r="C9" s="6">
        <v>3</v>
      </c>
      <c r="D9" s="2">
        <f ca="1">VLOOKUP(TabelaAportes[[#This Row],[Ativo]],TabelaAtivos[[Sigla]:[Preço]],3,FALSE)</f>
        <v>97.38</v>
      </c>
      <c r="E9" s="7">
        <v>0</v>
      </c>
      <c r="F9" s="2">
        <f ca="1">(TabelaAportes[[#This Row],[Quantidade]]*TabelaAportes[[#This Row],[Valor unitário]])+TabelaAportes[[#This Row],[Custo]]</f>
        <v>292.14</v>
      </c>
      <c r="G9" t="str">
        <f>VLOOKUP(TabelaAportes[[#This Row],[Ativo]],TabelaAtivos[[Sigla]:[Preço]],2,FALSE)</f>
        <v>FII</v>
      </c>
      <c r="H9">
        <f>YEAR(TabelaAportes[[#This Row],[Data]])</f>
        <v>2022</v>
      </c>
      <c r="I9">
        <f>MONTH(TabelaAportes[[#This Row],[Data]])</f>
        <v>7</v>
      </c>
      <c r="J9" t="str">
        <f>CONCATENATE(TabelaAportes[[#This Row],[Ano]],"/",IF(TabelaAportes[[#This Row],[Mês]]&lt;10,"0",""),TabelaAportes[[#This Row],[Mês]])</f>
        <v>2022/07</v>
      </c>
    </row>
    <row r="10" spans="1:10" ht="15" customHeight="1" x14ac:dyDescent="0.3">
      <c r="A10" s="4">
        <v>44783</v>
      </c>
      <c r="B10" t="s">
        <v>5</v>
      </c>
      <c r="C10" s="6">
        <v>2</v>
      </c>
      <c r="D10" s="2">
        <f ca="1">VLOOKUP(TabelaAportes[[#This Row],[Ativo]],TabelaAtivos[[Sigla]:[Preço]],3,FALSE)</f>
        <v>150.69999999999999</v>
      </c>
      <c r="E10" s="7">
        <v>0</v>
      </c>
      <c r="F10" s="2">
        <f ca="1">(TabelaAportes[[#This Row],[Quantidade]]*TabelaAportes[[#This Row],[Valor unitário]])+TabelaAportes[[#This Row],[Custo]]</f>
        <v>301.39999999999998</v>
      </c>
      <c r="G10" t="str">
        <f>VLOOKUP(TabelaAportes[[#This Row],[Ativo]],TabelaAtivos[[Sigla]:[Preço]],2,FALSE)</f>
        <v>FII</v>
      </c>
      <c r="H10">
        <f>YEAR(TabelaAportes[[#This Row],[Data]])</f>
        <v>2022</v>
      </c>
      <c r="I10">
        <f>MONTH(TabelaAportes[[#This Row],[Data]])</f>
        <v>8</v>
      </c>
      <c r="J10" t="str">
        <f>CONCATENATE(TabelaAportes[[#This Row],[Ano]],"/",IF(TabelaAportes[[#This Row],[Mês]]&lt;10,"0",""),TabelaAportes[[#This Row],[Mês]])</f>
        <v>2022/08</v>
      </c>
    </row>
    <row r="11" spans="1:10" ht="15" customHeight="1" x14ac:dyDescent="0.3">
      <c r="A11" s="4">
        <v>44814</v>
      </c>
      <c r="B11" t="s">
        <v>22</v>
      </c>
      <c r="C11" s="6">
        <v>3</v>
      </c>
      <c r="D11" s="2">
        <f ca="1">VLOOKUP(TabelaAportes[[#This Row],[Ativo]],TabelaAtivos[[Sigla]:[Preço]],3,FALSE)</f>
        <v>97.72</v>
      </c>
      <c r="E11" s="7">
        <v>0</v>
      </c>
      <c r="F11" s="2">
        <f ca="1">(TabelaAportes[[#This Row],[Quantidade]]*TabelaAportes[[#This Row],[Valor unitário]])+TabelaAportes[[#This Row],[Custo]]</f>
        <v>293.15999999999997</v>
      </c>
      <c r="G11" t="str">
        <f>VLOOKUP(TabelaAportes[[#This Row],[Ativo]],TabelaAtivos[[Sigla]:[Preço]],2,FALSE)</f>
        <v>FII</v>
      </c>
      <c r="H11">
        <f>YEAR(TabelaAportes[[#This Row],[Data]])</f>
        <v>2022</v>
      </c>
      <c r="I11">
        <f>MONTH(TabelaAportes[[#This Row],[Data]])</f>
        <v>9</v>
      </c>
      <c r="J11" t="str">
        <f>CONCATENATE(TabelaAportes[[#This Row],[Ano]],"/",IF(TabelaAportes[[#This Row],[Mês]]&lt;10,"0",""),TabelaAportes[[#This Row],[Mês]])</f>
        <v>2022/09</v>
      </c>
    </row>
    <row r="12" spans="1:10" ht="15" customHeight="1" x14ac:dyDescent="0.3">
      <c r="A12" s="4">
        <v>44844</v>
      </c>
      <c r="B12" t="s">
        <v>20</v>
      </c>
      <c r="C12" s="6">
        <v>100</v>
      </c>
      <c r="D12" s="2">
        <f ca="1">VLOOKUP(TabelaAportes[[#This Row],[Ativo]],TabelaAtivos[[Sigla]:[Preço]],3,FALSE)</f>
        <v>28.88</v>
      </c>
      <c r="E12" s="7">
        <v>10</v>
      </c>
      <c r="F12" s="2">
        <f ca="1">(TabelaAportes[[#This Row],[Quantidade]]*TabelaAportes[[#This Row],[Valor unitário]])+TabelaAportes[[#This Row],[Custo]]</f>
        <v>2898</v>
      </c>
      <c r="G12" t="str">
        <f>VLOOKUP(TabelaAportes[[#This Row],[Ativo]],TabelaAtivos[[Sigla]:[Preço]],2,FALSE)</f>
        <v>Empresa</v>
      </c>
      <c r="H12">
        <f>YEAR(TabelaAportes[[#This Row],[Data]])</f>
        <v>2022</v>
      </c>
      <c r="I12">
        <f>MONTH(TabelaAportes[[#This Row],[Data]])</f>
        <v>10</v>
      </c>
      <c r="J12" t="str">
        <f>CONCATENATE(TabelaAportes[[#This Row],[Ano]],"/",IF(TabelaAportes[[#This Row],[Mês]]&lt;10,"0",""),TabelaAportes[[#This Row],[Mês]])</f>
        <v>2022/10</v>
      </c>
    </row>
    <row r="13" spans="1:10" ht="15" customHeight="1" x14ac:dyDescent="0.3">
      <c r="A13" s="4">
        <v>44875</v>
      </c>
      <c r="B13" t="s">
        <v>23</v>
      </c>
      <c r="C13" s="6">
        <v>100</v>
      </c>
      <c r="D13" s="2">
        <f ca="1">VLOOKUP(TabelaAportes[[#This Row],[Ativo]],TabelaAtivos[[Sigla]:[Preço]],3,FALSE)</f>
        <v>57.11</v>
      </c>
      <c r="E13" s="7">
        <v>10</v>
      </c>
      <c r="F13" s="2">
        <f ca="1">(TabelaAportes[[#This Row],[Quantidade]]*TabelaAportes[[#This Row],[Valor unitário]])+TabelaAportes[[#This Row],[Custo]]</f>
        <v>5721</v>
      </c>
      <c r="G13" t="str">
        <f>VLOOKUP(TabelaAportes[[#This Row],[Ativo]],TabelaAtivos[[Sigla]:[Preço]],2,FALSE)</f>
        <v>Empresa</v>
      </c>
      <c r="H13">
        <f>YEAR(TabelaAportes[[#This Row],[Data]])</f>
        <v>2022</v>
      </c>
      <c r="I13">
        <f>MONTH(TabelaAportes[[#This Row],[Data]])</f>
        <v>11</v>
      </c>
      <c r="J13" t="str">
        <f>CONCATENATE(TabelaAportes[[#This Row],[Ano]],"/",IF(TabelaAportes[[#This Row],[Mês]]&lt;10,"0",""),TabelaAportes[[#This Row],[Mês]])</f>
        <v>2022/11</v>
      </c>
    </row>
    <row r="14" spans="1:10" ht="15" customHeight="1" x14ac:dyDescent="0.3">
      <c r="A14" s="4">
        <v>44905</v>
      </c>
      <c r="B14" t="s">
        <v>16</v>
      </c>
      <c r="C14" s="6">
        <v>5</v>
      </c>
      <c r="D14" s="2">
        <f ca="1">VLOOKUP(TabelaAportes[[#This Row],[Ativo]],TabelaAtivos[[Sigla]:[Preço]],3,FALSE)</f>
        <v>98.5</v>
      </c>
      <c r="E14" s="7">
        <v>0</v>
      </c>
      <c r="F14" s="2">
        <f ca="1">(TabelaAportes[[#This Row],[Quantidade]]*TabelaAportes[[#This Row],[Valor unitário]])+TabelaAportes[[#This Row],[Custo]]</f>
        <v>492.5</v>
      </c>
      <c r="G14" t="str">
        <f>VLOOKUP(TabelaAportes[[#This Row],[Ativo]],TabelaAtivos[[Sigla]:[Preço]],2,FALSE)</f>
        <v>FII</v>
      </c>
      <c r="H14">
        <f>YEAR(TabelaAportes[[#This Row],[Data]])</f>
        <v>2022</v>
      </c>
      <c r="I14">
        <f>MONTH(TabelaAportes[[#This Row],[Data]])</f>
        <v>12</v>
      </c>
      <c r="J14" t="str">
        <f>CONCATENATE(TabelaAportes[[#This Row],[Ano]],"/",IF(TabelaAportes[[#This Row],[Mês]]&lt;10,"0",""),TabelaAportes[[#This Row],[Mês]])</f>
        <v>2022/12</v>
      </c>
    </row>
    <row r="15" spans="1:10" ht="15" customHeight="1" x14ac:dyDescent="0.3">
      <c r="A15" s="4">
        <v>44936</v>
      </c>
      <c r="B15" t="s">
        <v>3</v>
      </c>
      <c r="C15" s="6">
        <v>100</v>
      </c>
      <c r="D15" s="2">
        <f ca="1">VLOOKUP(TabelaAportes[[#This Row],[Ativo]],TabelaAtivos[[Sigla]:[Preço]],3,FALSE)</f>
        <v>37.94</v>
      </c>
      <c r="E15" s="7">
        <v>10</v>
      </c>
      <c r="F15" s="2">
        <f ca="1">(TabelaAportes[[#This Row],[Quantidade]]*TabelaAportes[[#This Row],[Valor unitário]])+TabelaAportes[[#This Row],[Custo]]</f>
        <v>3804</v>
      </c>
      <c r="G15" t="str">
        <f>VLOOKUP(TabelaAportes[[#This Row],[Ativo]],TabelaAtivos[[Sigla]:[Preço]],2,FALSE)</f>
        <v>Empresa</v>
      </c>
      <c r="H15">
        <f>YEAR(TabelaAportes[[#This Row],[Data]])</f>
        <v>2023</v>
      </c>
      <c r="I15">
        <f>MONTH(TabelaAportes[[#This Row],[Data]])</f>
        <v>1</v>
      </c>
      <c r="J15" t="str">
        <f>CONCATENATE(TabelaAportes[[#This Row],[Ano]],"/",IF(TabelaAportes[[#This Row],[Mês]]&lt;10,"0",""),TabelaAportes[[#This Row],[Mês]])</f>
        <v>2023/01</v>
      </c>
    </row>
    <row r="16" spans="1:10" ht="15" customHeight="1" x14ac:dyDescent="0.3">
      <c r="A16" s="4">
        <v>44967</v>
      </c>
      <c r="B16" t="s">
        <v>21</v>
      </c>
      <c r="C16" s="8">
        <v>1</v>
      </c>
      <c r="D16" s="2">
        <f ca="1">VLOOKUP(TabelaAportes[[#This Row],[Ativo]],TabelaAtivos[[Sigla]:[Preço]],3,FALSE)</f>
        <v>651880</v>
      </c>
      <c r="E16" s="7">
        <v>0.6</v>
      </c>
      <c r="F16" s="2">
        <f ca="1">(TabelaAportes[[#This Row],[Quantidade]]*TabelaAportes[[#This Row],[Valor unitário]])+TabelaAportes[[#This Row],[Custo]]</f>
        <v>651880.6</v>
      </c>
      <c r="G16" t="str">
        <f>VLOOKUP(TabelaAportes[[#This Row],[Ativo]],TabelaAtivos[[Sigla]:[Preço]],2,FALSE)</f>
        <v>Criptomoeda</v>
      </c>
      <c r="H16">
        <f>YEAR(TabelaAportes[[#This Row],[Data]])</f>
        <v>2023</v>
      </c>
      <c r="I16">
        <f>MONTH(TabelaAportes[[#This Row],[Data]])</f>
        <v>2</v>
      </c>
      <c r="J16" t="str">
        <f>CONCATENATE(TabelaAportes[[#This Row],[Ano]],"/",IF(TabelaAportes[[#This Row],[Mês]]&lt;10,"0",""),TabelaAportes[[#This Row],[Mês]])</f>
        <v>2023/02</v>
      </c>
    </row>
    <row r="17" spans="1:10" ht="15" customHeight="1" x14ac:dyDescent="0.3">
      <c r="A17" s="4">
        <v>44995</v>
      </c>
      <c r="B17" t="s">
        <v>24</v>
      </c>
      <c r="C17" s="6">
        <v>1</v>
      </c>
      <c r="D17" s="2">
        <f ca="1">VLOOKUP(TabelaAportes[[#This Row],[Ativo]],TabelaAtivos[[Sigla]:[Preço]],3,FALSE)</f>
        <v>97.38</v>
      </c>
      <c r="E17" s="7">
        <v>0</v>
      </c>
      <c r="F17" s="2">
        <f ca="1">(TabelaAportes[[#This Row],[Quantidade]]*TabelaAportes[[#This Row],[Valor unitário]])+TabelaAportes[[#This Row],[Custo]]</f>
        <v>97.38</v>
      </c>
      <c r="G17" t="str">
        <f>VLOOKUP(TabelaAportes[[#This Row],[Ativo]],TabelaAtivos[[Sigla]:[Preço]],2,FALSE)</f>
        <v>FII</v>
      </c>
      <c r="H17">
        <f>YEAR(TabelaAportes[[#This Row],[Data]])</f>
        <v>2023</v>
      </c>
      <c r="I17">
        <f>MONTH(TabelaAportes[[#This Row],[Data]])</f>
        <v>3</v>
      </c>
      <c r="J17" t="str">
        <f>CONCATENATE(TabelaAportes[[#This Row],[Ano]],"/",IF(TabelaAportes[[#This Row],[Mês]]&lt;10,"0",""),TabelaAportes[[#This Row],[Mês]])</f>
        <v>2023/03</v>
      </c>
    </row>
    <row r="18" spans="1:10" ht="15" customHeight="1" x14ac:dyDescent="0.3">
      <c r="A18" s="4">
        <v>45026</v>
      </c>
      <c r="B18" t="s">
        <v>5</v>
      </c>
      <c r="C18" s="6">
        <v>7</v>
      </c>
      <c r="D18" s="2">
        <f ca="1">VLOOKUP(TabelaAportes[[#This Row],[Ativo]],TabelaAtivos[[Sigla]:[Preço]],3,FALSE)</f>
        <v>150.69999999999999</v>
      </c>
      <c r="E18" s="7">
        <v>0</v>
      </c>
      <c r="F18" s="2">
        <f ca="1">(TabelaAportes[[#This Row],[Quantidade]]*TabelaAportes[[#This Row],[Valor unitário]])+TabelaAportes[[#This Row],[Custo]]</f>
        <v>1054.8999999999999</v>
      </c>
      <c r="G18" t="str">
        <f>VLOOKUP(TabelaAportes[[#This Row],[Ativo]],TabelaAtivos[[Sigla]:[Preço]],2,FALSE)</f>
        <v>FII</v>
      </c>
      <c r="H18">
        <f>YEAR(TabelaAportes[[#This Row],[Data]])</f>
        <v>2023</v>
      </c>
      <c r="I18">
        <f>MONTH(TabelaAportes[[#This Row],[Data]])</f>
        <v>4</v>
      </c>
      <c r="J18" t="str">
        <f>CONCATENATE(TabelaAportes[[#This Row],[Ano]],"/",IF(TabelaAportes[[#This Row],[Mês]]&lt;10,"0",""),TabelaAportes[[#This Row],[Mês]])</f>
        <v>2023/04</v>
      </c>
    </row>
    <row r="19" spans="1:10" ht="15" customHeight="1" x14ac:dyDescent="0.3">
      <c r="A19" s="4">
        <v>45056</v>
      </c>
      <c r="B19" t="s">
        <v>3</v>
      </c>
      <c r="C19" s="6">
        <v>100</v>
      </c>
      <c r="D19" s="2">
        <f ca="1">VLOOKUP(TabelaAportes[[#This Row],[Ativo]],TabelaAtivos[[Sigla]:[Preço]],3,FALSE)</f>
        <v>37.94</v>
      </c>
      <c r="E19" s="7">
        <v>10</v>
      </c>
      <c r="F19" s="2">
        <f ca="1">(TabelaAportes[[#This Row],[Quantidade]]*TabelaAportes[[#This Row],[Valor unitário]])+TabelaAportes[[#This Row],[Custo]]</f>
        <v>3804</v>
      </c>
      <c r="G19" t="str">
        <f>VLOOKUP(TabelaAportes[[#This Row],[Ativo]],TabelaAtivos[[Sigla]:[Preço]],2,FALSE)</f>
        <v>Empresa</v>
      </c>
      <c r="H19">
        <f>YEAR(TabelaAportes[[#This Row],[Data]])</f>
        <v>2023</v>
      </c>
      <c r="I19">
        <f>MONTH(TabelaAportes[[#This Row],[Data]])</f>
        <v>5</v>
      </c>
      <c r="J19" t="str">
        <f>CONCATENATE(TabelaAportes[[#This Row],[Ano]],"/",IF(TabelaAportes[[#This Row],[Mês]]&lt;10,"0",""),TabelaAportes[[#This Row],[Mês]])</f>
        <v>2023/05</v>
      </c>
    </row>
    <row r="20" spans="1:10" ht="15" customHeight="1" x14ac:dyDescent="0.3">
      <c r="A20" s="4">
        <v>45087</v>
      </c>
      <c r="B20" t="s">
        <v>20</v>
      </c>
      <c r="C20" s="6">
        <v>100</v>
      </c>
      <c r="D20" s="2">
        <f ca="1">VLOOKUP(TabelaAportes[[#This Row],[Ativo]],TabelaAtivos[[Sigla]:[Preço]],3,FALSE)</f>
        <v>28.88</v>
      </c>
      <c r="E20" s="7">
        <v>10</v>
      </c>
      <c r="F20" s="2">
        <f ca="1">(TabelaAportes[[#This Row],[Quantidade]]*TabelaAportes[[#This Row],[Valor unitário]])+TabelaAportes[[#This Row],[Custo]]</f>
        <v>2898</v>
      </c>
      <c r="G20" t="str">
        <f>VLOOKUP(TabelaAportes[[#This Row],[Ativo]],TabelaAtivos[[Sigla]:[Preço]],2,FALSE)</f>
        <v>Empresa</v>
      </c>
      <c r="H20">
        <f>YEAR(TabelaAportes[[#This Row],[Data]])</f>
        <v>2023</v>
      </c>
      <c r="I20">
        <f>MONTH(TabelaAportes[[#This Row],[Data]])</f>
        <v>6</v>
      </c>
      <c r="J20" t="str">
        <f>CONCATENATE(TabelaAportes[[#This Row],[Ano]],"/",IF(TabelaAportes[[#This Row],[Mês]]&lt;10,"0",""),TabelaAportes[[#This Row],[Mês]])</f>
        <v>2023/06</v>
      </c>
    </row>
    <row r="21" spans="1:10" ht="15" customHeight="1" x14ac:dyDescent="0.3">
      <c r="A21" s="4">
        <v>45117</v>
      </c>
      <c r="B21" t="s">
        <v>16</v>
      </c>
      <c r="C21" s="6">
        <v>2</v>
      </c>
      <c r="D21" s="2">
        <f ca="1">VLOOKUP(TabelaAportes[[#This Row],[Ativo]],TabelaAtivos[[Sigla]:[Preço]],3,FALSE)</f>
        <v>98.5</v>
      </c>
      <c r="E21" s="7">
        <v>0</v>
      </c>
      <c r="F21" s="2">
        <f ca="1">(TabelaAportes[[#This Row],[Quantidade]]*TabelaAportes[[#This Row],[Valor unitário]])+TabelaAportes[[#This Row],[Custo]]</f>
        <v>197</v>
      </c>
      <c r="G21" t="str">
        <f>VLOOKUP(TabelaAportes[[#This Row],[Ativo]],TabelaAtivos[[Sigla]:[Preço]],2,FALSE)</f>
        <v>FII</v>
      </c>
      <c r="H21">
        <f>YEAR(TabelaAportes[[#This Row],[Data]])</f>
        <v>2023</v>
      </c>
      <c r="I21">
        <f>MONTH(TabelaAportes[[#This Row],[Data]])</f>
        <v>7</v>
      </c>
      <c r="J21" t="str">
        <f>CONCATENATE(TabelaAportes[[#This Row],[Ano]],"/",IF(TabelaAportes[[#This Row],[Mês]]&lt;10,"0",""),TabelaAportes[[#This Row],[Mês]])</f>
        <v>2023/07</v>
      </c>
    </row>
    <row r="22" spans="1:10" ht="15" customHeight="1" x14ac:dyDescent="0.3">
      <c r="A22" s="4">
        <v>45148</v>
      </c>
      <c r="B22" t="s">
        <v>3</v>
      </c>
      <c r="C22" s="6">
        <v>100</v>
      </c>
      <c r="D22" s="2">
        <f ca="1">VLOOKUP(TabelaAportes[[#This Row],[Ativo]],TabelaAtivos[[Sigla]:[Preço]],3,FALSE)</f>
        <v>37.94</v>
      </c>
      <c r="E22" s="7">
        <v>10</v>
      </c>
      <c r="F22" s="2">
        <f ca="1">(TabelaAportes[[#This Row],[Quantidade]]*TabelaAportes[[#This Row],[Valor unitário]])+TabelaAportes[[#This Row],[Custo]]</f>
        <v>3804</v>
      </c>
      <c r="G22" t="str">
        <f>VLOOKUP(TabelaAportes[[#This Row],[Ativo]],TabelaAtivos[[Sigla]:[Preço]],2,FALSE)</f>
        <v>Empresa</v>
      </c>
      <c r="H22">
        <f>YEAR(TabelaAportes[[#This Row],[Data]])</f>
        <v>2023</v>
      </c>
      <c r="I22">
        <f>MONTH(TabelaAportes[[#This Row],[Data]])</f>
        <v>8</v>
      </c>
      <c r="J22" t="str">
        <f>CONCATENATE(TabelaAportes[[#This Row],[Ano]],"/",IF(TabelaAportes[[#This Row],[Mês]]&lt;10,"0",""),TabelaAportes[[#This Row],[Mês]])</f>
        <v>2023/08</v>
      </c>
    </row>
    <row r="23" spans="1:10" ht="15" customHeight="1" x14ac:dyDescent="0.3">
      <c r="A23" s="4">
        <v>45179</v>
      </c>
      <c r="B23" t="s">
        <v>24</v>
      </c>
      <c r="C23" s="6">
        <v>5</v>
      </c>
      <c r="D23" s="2">
        <f ca="1">VLOOKUP(TabelaAportes[[#This Row],[Ativo]],TabelaAtivos[[Sigla]:[Preço]],3,FALSE)</f>
        <v>97.38</v>
      </c>
      <c r="E23" s="7">
        <v>0</v>
      </c>
      <c r="F23" s="2">
        <f ca="1">(TabelaAportes[[#This Row],[Quantidade]]*TabelaAportes[[#This Row],[Valor unitário]])+TabelaAportes[[#This Row],[Custo]]</f>
        <v>486.9</v>
      </c>
      <c r="G23" t="str">
        <f>VLOOKUP(TabelaAportes[[#This Row],[Ativo]],TabelaAtivos[[Sigla]:[Preço]],2,FALSE)</f>
        <v>FII</v>
      </c>
      <c r="H23">
        <f>YEAR(TabelaAportes[[#This Row],[Data]])</f>
        <v>2023</v>
      </c>
      <c r="I23">
        <f>MONTH(TabelaAportes[[#This Row],[Data]])</f>
        <v>9</v>
      </c>
      <c r="J23" t="str">
        <f>CONCATENATE(TabelaAportes[[#This Row],[Ano]],"/",IF(TabelaAportes[[#This Row],[Mês]]&lt;10,"0",""),TabelaAportes[[#This Row],[Mês]])</f>
        <v>2023/09</v>
      </c>
    </row>
    <row r="24" spans="1:10" ht="15" customHeight="1" x14ac:dyDescent="0.3">
      <c r="A24" s="4">
        <v>45209</v>
      </c>
      <c r="B24" t="s">
        <v>14</v>
      </c>
      <c r="C24" s="6">
        <v>100</v>
      </c>
      <c r="D24" s="2">
        <f ca="1">VLOOKUP(TabelaAportes[[#This Row],[Ativo]],TabelaAtivos[[Sigla]:[Preço]],3,FALSE)</f>
        <v>9.0299999999999994</v>
      </c>
      <c r="E24" s="7">
        <v>10</v>
      </c>
      <c r="F24" s="2">
        <f ca="1">(TabelaAportes[[#This Row],[Quantidade]]*TabelaAportes[[#This Row],[Valor unitário]])+TabelaAportes[[#This Row],[Custo]]</f>
        <v>912.99999999999989</v>
      </c>
      <c r="G24" t="str">
        <f>VLOOKUP(TabelaAportes[[#This Row],[Ativo]],TabelaAtivos[[Sigla]:[Preço]],2,FALSE)</f>
        <v>Empresa</v>
      </c>
      <c r="H24">
        <f>YEAR(TabelaAportes[[#This Row],[Data]])</f>
        <v>2023</v>
      </c>
      <c r="I24">
        <f>MONTH(TabelaAportes[[#This Row],[Data]])</f>
        <v>10</v>
      </c>
      <c r="J24" t="str">
        <f>CONCATENATE(TabelaAportes[[#This Row],[Ano]],"/",IF(TabelaAportes[[#This Row],[Mês]]&lt;10,"0",""),TabelaAportes[[#This Row],[Mês]])</f>
        <v>2023/10</v>
      </c>
    </row>
    <row r="25" spans="1:10" ht="15" customHeight="1" x14ac:dyDescent="0.3">
      <c r="A25" s="4">
        <v>45240</v>
      </c>
      <c r="B25" t="s">
        <v>5</v>
      </c>
      <c r="C25" s="6">
        <v>3</v>
      </c>
      <c r="D25" s="2">
        <f ca="1">VLOOKUP(TabelaAportes[[#This Row],[Ativo]],TabelaAtivos[[Sigla]:[Preço]],3,FALSE)</f>
        <v>150.69999999999999</v>
      </c>
      <c r="E25" s="7">
        <v>0</v>
      </c>
      <c r="F25" s="2">
        <f ca="1">(TabelaAportes[[#This Row],[Quantidade]]*TabelaAportes[[#This Row],[Valor unitário]])+TabelaAportes[[#This Row],[Custo]]</f>
        <v>452.09999999999997</v>
      </c>
      <c r="G25" t="str">
        <f>VLOOKUP(TabelaAportes[[#This Row],[Ativo]],TabelaAtivos[[Sigla]:[Preço]],2,FALSE)</f>
        <v>FII</v>
      </c>
      <c r="H25">
        <f>YEAR(TabelaAportes[[#This Row],[Data]])</f>
        <v>2023</v>
      </c>
      <c r="I25">
        <f>MONTH(TabelaAportes[[#This Row],[Data]])</f>
        <v>11</v>
      </c>
      <c r="J25" t="str">
        <f>CONCATENATE(TabelaAportes[[#This Row],[Ano]],"/",IF(TabelaAportes[[#This Row],[Mês]]&lt;10,"0",""),TabelaAportes[[#This Row],[Mês]])</f>
        <v>2023/11</v>
      </c>
    </row>
    <row r="26" spans="1:10" ht="15" customHeight="1" x14ac:dyDescent="0.3">
      <c r="A26" s="4">
        <v>45270</v>
      </c>
      <c r="B26" t="s">
        <v>22</v>
      </c>
      <c r="C26" s="6">
        <v>5</v>
      </c>
      <c r="D26" s="2">
        <f ca="1">VLOOKUP(TabelaAportes[[#This Row],[Ativo]],TabelaAtivos[[Sigla]:[Preço]],3,FALSE)</f>
        <v>97.72</v>
      </c>
      <c r="E26" s="7">
        <v>0</v>
      </c>
      <c r="F26" s="2">
        <f ca="1">(TabelaAportes[[#This Row],[Quantidade]]*TabelaAportes[[#This Row],[Valor unitário]])+TabelaAportes[[#This Row],[Custo]]</f>
        <v>488.6</v>
      </c>
      <c r="G26" t="str">
        <f>VLOOKUP(TabelaAportes[[#This Row],[Ativo]],TabelaAtivos[[Sigla]:[Preço]],2,FALSE)</f>
        <v>FII</v>
      </c>
      <c r="H26">
        <f>YEAR(TabelaAportes[[#This Row],[Data]])</f>
        <v>2023</v>
      </c>
      <c r="I26">
        <f>MONTH(TabelaAportes[[#This Row],[Data]])</f>
        <v>12</v>
      </c>
      <c r="J26" t="str">
        <f>CONCATENATE(TabelaAportes[[#This Row],[Ano]],"/",IF(TabelaAportes[[#This Row],[Mês]]&lt;10,"0",""),TabelaAportes[[#This Row],[Mês]])</f>
        <v>2023/12</v>
      </c>
    </row>
    <row r="27" spans="1:10" ht="15" customHeight="1" x14ac:dyDescent="0.3">
      <c r="A27" s="4">
        <v>45301</v>
      </c>
      <c r="B27" t="s">
        <v>23</v>
      </c>
      <c r="C27" s="6">
        <v>100</v>
      </c>
      <c r="D27" s="2">
        <f ca="1">VLOOKUP(TabelaAportes[[#This Row],[Ativo]],TabelaAtivos[[Sigla]:[Preço]],3,FALSE)</f>
        <v>57.11</v>
      </c>
      <c r="E27" s="7">
        <v>10</v>
      </c>
      <c r="F27" s="2">
        <f ca="1">(TabelaAportes[[#This Row],[Quantidade]]*TabelaAportes[[#This Row],[Valor unitário]])+TabelaAportes[[#This Row],[Custo]]</f>
        <v>5721</v>
      </c>
      <c r="G27" t="str">
        <f>VLOOKUP(TabelaAportes[[#This Row],[Ativo]],TabelaAtivos[[Sigla]:[Preço]],2,FALSE)</f>
        <v>Empresa</v>
      </c>
      <c r="H27">
        <f>YEAR(TabelaAportes[[#This Row],[Data]])</f>
        <v>2024</v>
      </c>
      <c r="I27">
        <f>MONTH(TabelaAportes[[#This Row],[Data]])</f>
        <v>1</v>
      </c>
      <c r="J27" t="str">
        <f>CONCATENATE(TabelaAportes[[#This Row],[Ano]],"/",IF(TabelaAportes[[#This Row],[Mês]]&lt;10,"0",""),TabelaAportes[[#This Row],[Mês]])</f>
        <v>2024/01</v>
      </c>
    </row>
    <row r="28" spans="1:10" ht="15" customHeight="1" x14ac:dyDescent="0.3">
      <c r="A28" s="4">
        <v>45332</v>
      </c>
      <c r="B28" t="s">
        <v>22</v>
      </c>
      <c r="C28" s="6">
        <v>10</v>
      </c>
      <c r="D28" s="2">
        <f ca="1">VLOOKUP(TabelaAportes[[#This Row],[Ativo]],TabelaAtivos[[Sigla]:[Preço]],3,FALSE)</f>
        <v>97.72</v>
      </c>
      <c r="E28" s="7">
        <v>0</v>
      </c>
      <c r="F28" s="2">
        <f ca="1">(TabelaAportes[[#This Row],[Quantidade]]*TabelaAportes[[#This Row],[Valor unitário]])+TabelaAportes[[#This Row],[Custo]]</f>
        <v>977.2</v>
      </c>
      <c r="G28" t="str">
        <f>VLOOKUP(TabelaAportes[[#This Row],[Ativo]],TabelaAtivos[[Sigla]:[Preço]],2,FALSE)</f>
        <v>FII</v>
      </c>
      <c r="H28">
        <f>YEAR(TabelaAportes[[#This Row],[Data]])</f>
        <v>2024</v>
      </c>
      <c r="I28">
        <f>MONTH(TabelaAportes[[#This Row],[Data]])</f>
        <v>2</v>
      </c>
      <c r="J28" t="str">
        <f>CONCATENATE(TabelaAportes[[#This Row],[Ano]],"/",IF(TabelaAportes[[#This Row],[Mês]]&lt;10,"0",""),TabelaAportes[[#This Row],[Mês]])</f>
        <v>2024/02</v>
      </c>
    </row>
    <row r="29" spans="1:10" ht="15" customHeight="1" x14ac:dyDescent="0.3">
      <c r="A29" s="4">
        <v>45361</v>
      </c>
      <c r="B29" t="s">
        <v>16</v>
      </c>
      <c r="C29" s="6">
        <v>4</v>
      </c>
      <c r="D29" s="2">
        <f ca="1">VLOOKUP(TabelaAportes[[#This Row],[Ativo]],TabelaAtivos[[Sigla]:[Preço]],3,FALSE)</f>
        <v>98.5</v>
      </c>
      <c r="E29" s="7">
        <v>0</v>
      </c>
      <c r="F29" s="2">
        <f ca="1">(TabelaAportes[[#This Row],[Quantidade]]*TabelaAportes[[#This Row],[Valor unitário]])+TabelaAportes[[#This Row],[Custo]]</f>
        <v>394</v>
      </c>
      <c r="G29" t="str">
        <f>VLOOKUP(TabelaAportes[[#This Row],[Ativo]],TabelaAtivos[[Sigla]:[Preço]],2,FALSE)</f>
        <v>FII</v>
      </c>
      <c r="H29">
        <f>YEAR(TabelaAportes[[#This Row],[Data]])</f>
        <v>2024</v>
      </c>
      <c r="I29">
        <f>MONTH(TabelaAportes[[#This Row],[Data]])</f>
        <v>3</v>
      </c>
      <c r="J29" t="str">
        <f>CONCATENATE(TabelaAportes[[#This Row],[Ano]],"/",IF(TabelaAportes[[#This Row],[Mês]]&lt;10,"0",""),TabelaAportes[[#This Row],[Mês]])</f>
        <v>2024/03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5920-BB7B-4AD0-B7E7-8107128F2C55}">
  <sheetPr codeName="Planilha8"/>
  <dimension ref="A1:I71"/>
  <sheetViews>
    <sheetView workbookViewId="0">
      <selection activeCell="G2" sqref="G2"/>
    </sheetView>
  </sheetViews>
  <sheetFormatPr defaultColWidth="20.77734375" defaultRowHeight="15" customHeight="1" x14ac:dyDescent="0.3"/>
  <cols>
    <col min="2" max="2" width="20.77734375" style="1"/>
    <col min="4" max="6" width="20.77734375" style="2"/>
    <col min="7" max="7" width="20.77734375" style="4"/>
  </cols>
  <sheetData>
    <row r="1" spans="1:9" ht="15" customHeight="1" x14ac:dyDescent="0.3">
      <c r="A1" t="s">
        <v>25</v>
      </c>
      <c r="B1" s="1" t="s">
        <v>0</v>
      </c>
      <c r="C1" t="s">
        <v>26</v>
      </c>
      <c r="D1" s="2" t="s">
        <v>27</v>
      </c>
      <c r="E1" s="2" t="s">
        <v>28</v>
      </c>
      <c r="F1" s="2" t="s">
        <v>29</v>
      </c>
      <c r="G1" s="4" t="s">
        <v>8</v>
      </c>
      <c r="H1" t="s">
        <v>17</v>
      </c>
      <c r="I1" t="s">
        <v>1</v>
      </c>
    </row>
    <row r="2" spans="1:9" ht="15" customHeight="1" x14ac:dyDescent="0.3">
      <c r="A2">
        <v>13</v>
      </c>
      <c r="B2" s="1" t="s">
        <v>14</v>
      </c>
      <c r="C2">
        <v>100</v>
      </c>
      <c r="D2" s="2">
        <v>39.479999999999997</v>
      </c>
      <c r="E2" s="2" t="s">
        <v>18</v>
      </c>
      <c r="F2" s="2">
        <v>39.479999999999997</v>
      </c>
      <c r="G2" s="4">
        <v>44571</v>
      </c>
      <c r="H2" s="2" t="str">
        <f>CONCATENATE(YEAR(TabelaProventos[[#This Row],[Data]]),"/",IF(MONTH(TabelaProventos[[#This Row],[Data]])&lt;10,"0",""),MONTH(TabelaProventos[[#This Row],[Data]]))</f>
        <v>2022/01</v>
      </c>
      <c r="I2" s="2" t="str">
        <f>VLOOKUP(TabelaProventos[[#This Row],[Ativo]],TabelaAtivos[[Sigla]:[Preço]],2,FALSE)</f>
        <v>Empresa</v>
      </c>
    </row>
    <row r="3" spans="1:9" ht="15" customHeight="1" x14ac:dyDescent="0.3">
      <c r="A3">
        <v>14</v>
      </c>
      <c r="B3" s="1" t="s">
        <v>5</v>
      </c>
      <c r="C3">
        <v>100</v>
      </c>
      <c r="D3" s="2">
        <v>63</v>
      </c>
      <c r="E3" s="2" t="s">
        <v>18</v>
      </c>
      <c r="F3" s="2">
        <v>63</v>
      </c>
      <c r="G3" s="4">
        <v>44602</v>
      </c>
      <c r="H3" s="2" t="str">
        <f>CONCATENATE(YEAR(TabelaProventos[[#This Row],[Data]]),"/",IF(MONTH(TabelaProventos[[#This Row],[Data]])&lt;10,"0",""),MONTH(TabelaProventos[[#This Row],[Data]]))</f>
        <v>2022/02</v>
      </c>
      <c r="I3" s="2" t="str">
        <f>VLOOKUP(TabelaProventos[[#This Row],[Ativo]],TabelaAtivos[[Sigla]:[Preço]],2,FALSE)</f>
        <v>FII</v>
      </c>
    </row>
    <row r="4" spans="1:9" ht="15" customHeight="1" x14ac:dyDescent="0.3">
      <c r="A4">
        <v>14</v>
      </c>
      <c r="B4" s="1" t="s">
        <v>5</v>
      </c>
      <c r="C4">
        <v>100</v>
      </c>
      <c r="D4" s="2">
        <v>81</v>
      </c>
      <c r="E4" s="2" t="s">
        <v>18</v>
      </c>
      <c r="F4" s="2">
        <v>81</v>
      </c>
      <c r="G4" s="4">
        <v>44630</v>
      </c>
      <c r="H4" s="2" t="str">
        <f>CONCATENATE(YEAR(TabelaProventos[[#This Row],[Data]]),"/",IF(MONTH(TabelaProventos[[#This Row],[Data]])&lt;10,"0",""),MONTH(TabelaProventos[[#This Row],[Data]]))</f>
        <v>2022/03</v>
      </c>
      <c r="I4" s="2" t="str">
        <f>VLOOKUP(TabelaProventos[[#This Row],[Ativo]],TabelaAtivos[[Sigla]:[Preço]],2,FALSE)</f>
        <v>FII</v>
      </c>
    </row>
    <row r="5" spans="1:9" ht="15" customHeight="1" x14ac:dyDescent="0.3">
      <c r="A5">
        <v>14</v>
      </c>
      <c r="B5" s="1" t="s">
        <v>16</v>
      </c>
      <c r="C5">
        <v>100</v>
      </c>
      <c r="D5" s="2">
        <v>38.89</v>
      </c>
      <c r="E5" s="2" t="s">
        <v>18</v>
      </c>
      <c r="F5" s="2">
        <v>38.89</v>
      </c>
      <c r="G5" s="4">
        <v>44661</v>
      </c>
      <c r="H5" s="2" t="str">
        <f>CONCATENATE(YEAR(TabelaProventos[[#This Row],[Data]]),"/",IF(MONTH(TabelaProventos[[#This Row],[Data]])&lt;10,"0",""),MONTH(TabelaProventos[[#This Row],[Data]]))</f>
        <v>2022/04</v>
      </c>
      <c r="I5" s="2" t="str">
        <f>VLOOKUP(TabelaProventos[[#This Row],[Ativo]],TabelaAtivos[[Sigla]:[Preço]],2,FALSE)</f>
        <v>FII</v>
      </c>
    </row>
    <row r="6" spans="1:9" ht="15" customHeight="1" x14ac:dyDescent="0.3">
      <c r="A6">
        <v>14</v>
      </c>
      <c r="B6" s="1" t="s">
        <v>22</v>
      </c>
      <c r="C6">
        <v>100</v>
      </c>
      <c r="D6" s="2">
        <v>34.770000000000003</v>
      </c>
      <c r="E6" s="2" t="s">
        <v>18</v>
      </c>
      <c r="F6" s="2">
        <v>34.770000000000003</v>
      </c>
      <c r="G6" s="4">
        <v>44691</v>
      </c>
      <c r="H6" s="2" t="str">
        <f>CONCATENATE(YEAR(TabelaProventos[[#This Row],[Data]]),"/",IF(MONTH(TabelaProventos[[#This Row],[Data]])&lt;10,"0",""),MONTH(TabelaProventos[[#This Row],[Data]]))</f>
        <v>2022/05</v>
      </c>
      <c r="I6" s="2" t="str">
        <f>VLOOKUP(TabelaProventos[[#This Row],[Ativo]],TabelaAtivos[[Sigla]:[Preço]],2,FALSE)</f>
        <v>FII</v>
      </c>
    </row>
    <row r="7" spans="1:9" ht="15" customHeight="1" x14ac:dyDescent="0.3">
      <c r="A7">
        <v>13</v>
      </c>
      <c r="B7" s="1" t="s">
        <v>3</v>
      </c>
      <c r="C7">
        <v>100</v>
      </c>
      <c r="D7" s="2">
        <v>67</v>
      </c>
      <c r="E7" s="2">
        <v>6</v>
      </c>
      <c r="F7" s="2">
        <v>61</v>
      </c>
      <c r="G7" s="4">
        <v>44722</v>
      </c>
      <c r="H7" s="2" t="str">
        <f>CONCATENATE(YEAR(TabelaProventos[[#This Row],[Data]]),"/",IF(MONTH(TabelaProventos[[#This Row],[Data]])&lt;10,"0",""),MONTH(TabelaProventos[[#This Row],[Data]]))</f>
        <v>2022/06</v>
      </c>
      <c r="I7" s="2" t="str">
        <f>VLOOKUP(TabelaProventos[[#This Row],[Ativo]],TabelaAtivos[[Sigla]:[Preço]],2,FALSE)</f>
        <v>Empresa</v>
      </c>
    </row>
    <row r="8" spans="1:9" ht="15" customHeight="1" x14ac:dyDescent="0.3">
      <c r="A8">
        <v>14</v>
      </c>
      <c r="B8" s="1" t="s">
        <v>5</v>
      </c>
      <c r="C8">
        <v>100</v>
      </c>
      <c r="D8" s="2">
        <v>75.709999999999994</v>
      </c>
      <c r="E8" s="2" t="s">
        <v>18</v>
      </c>
      <c r="F8" s="2">
        <v>75.709999999999994</v>
      </c>
      <c r="G8" s="4">
        <v>44752</v>
      </c>
      <c r="H8" s="2" t="str">
        <f>CONCATENATE(YEAR(TabelaProventos[[#This Row],[Data]]),"/",IF(MONTH(TabelaProventos[[#This Row],[Data]])&lt;10,"0",""),MONTH(TabelaProventos[[#This Row],[Data]]))</f>
        <v>2022/07</v>
      </c>
      <c r="I8" s="2" t="str">
        <f>VLOOKUP(TabelaProventos[[#This Row],[Ativo]],TabelaAtivos[[Sigla]:[Preço]],2,FALSE)</f>
        <v>FII</v>
      </c>
    </row>
    <row r="9" spans="1:9" ht="15" customHeight="1" x14ac:dyDescent="0.3">
      <c r="A9">
        <v>14</v>
      </c>
      <c r="B9" s="1" t="s">
        <v>5</v>
      </c>
      <c r="C9">
        <v>100</v>
      </c>
      <c r="D9" s="2">
        <v>39.36</v>
      </c>
      <c r="E9" s="2" t="s">
        <v>18</v>
      </c>
      <c r="F9" s="2">
        <v>39.36</v>
      </c>
      <c r="G9" s="4">
        <v>44783</v>
      </c>
      <c r="H9" s="2" t="str">
        <f>CONCATENATE(YEAR(TabelaProventos[[#This Row],[Data]]),"/",IF(MONTH(TabelaProventos[[#This Row],[Data]])&lt;10,"0",""),MONTH(TabelaProventos[[#This Row],[Data]]))</f>
        <v>2022/08</v>
      </c>
      <c r="I9" s="2" t="str">
        <f>VLOOKUP(TabelaProventos[[#This Row],[Ativo]],TabelaAtivos[[Sigla]:[Preço]],2,FALSE)</f>
        <v>FII</v>
      </c>
    </row>
    <row r="10" spans="1:9" ht="15" customHeight="1" x14ac:dyDescent="0.3">
      <c r="A10">
        <v>14</v>
      </c>
      <c r="B10" s="1" t="s">
        <v>16</v>
      </c>
      <c r="C10">
        <v>100</v>
      </c>
      <c r="D10" s="2">
        <v>51.8</v>
      </c>
      <c r="E10" s="2" t="s">
        <v>18</v>
      </c>
      <c r="F10" s="2">
        <v>51.8</v>
      </c>
      <c r="G10" s="4">
        <v>44814</v>
      </c>
      <c r="H10" s="2" t="str">
        <f>CONCATENATE(YEAR(TabelaProventos[[#This Row],[Data]]),"/",IF(MONTH(TabelaProventos[[#This Row],[Data]])&lt;10,"0",""),MONTH(TabelaProventos[[#This Row],[Data]]))</f>
        <v>2022/09</v>
      </c>
      <c r="I10" s="2" t="str">
        <f>VLOOKUP(TabelaProventos[[#This Row],[Ativo]],TabelaAtivos[[Sigla]:[Preço]],2,FALSE)</f>
        <v>FII</v>
      </c>
    </row>
    <row r="11" spans="1:9" ht="15" customHeight="1" x14ac:dyDescent="0.3">
      <c r="A11">
        <v>14</v>
      </c>
      <c r="B11" s="1" t="s">
        <v>22</v>
      </c>
      <c r="C11">
        <v>100</v>
      </c>
      <c r="D11" s="2">
        <v>61.75</v>
      </c>
      <c r="E11" s="2" t="s">
        <v>18</v>
      </c>
      <c r="F11" s="2">
        <v>61.75</v>
      </c>
      <c r="G11" s="4">
        <v>44844</v>
      </c>
      <c r="H11" s="2" t="str">
        <f>CONCATENATE(YEAR(TabelaProventos[[#This Row],[Data]]),"/",IF(MONTH(TabelaProventos[[#This Row],[Data]])&lt;10,"0",""),MONTH(TabelaProventos[[#This Row],[Data]]))</f>
        <v>2022/10</v>
      </c>
      <c r="I11" s="2" t="str">
        <f>VLOOKUP(TabelaProventos[[#This Row],[Ativo]],TabelaAtivos[[Sigla]:[Preço]],2,FALSE)</f>
        <v>FII</v>
      </c>
    </row>
    <row r="12" spans="1:9" ht="15" customHeight="1" x14ac:dyDescent="0.3">
      <c r="A12">
        <v>13</v>
      </c>
      <c r="B12" s="1" t="s">
        <v>14</v>
      </c>
      <c r="C12">
        <v>100</v>
      </c>
      <c r="D12" s="2">
        <v>65.430000000000007</v>
      </c>
      <c r="E12" s="2" t="s">
        <v>18</v>
      </c>
      <c r="F12" s="2">
        <v>65.430000000000007</v>
      </c>
      <c r="G12" s="4">
        <v>44875</v>
      </c>
      <c r="H12" s="2" t="str">
        <f>CONCATENATE(YEAR(TabelaProventos[[#This Row],[Data]]),"/",IF(MONTH(TabelaProventos[[#This Row],[Data]])&lt;10,"0",""),MONTH(TabelaProventos[[#This Row],[Data]]))</f>
        <v>2022/11</v>
      </c>
      <c r="I12" s="2" t="str">
        <f>VLOOKUP(TabelaProventos[[#This Row],[Ativo]],TabelaAtivos[[Sigla]:[Preço]],2,FALSE)</f>
        <v>Empresa</v>
      </c>
    </row>
    <row r="13" spans="1:9" ht="15" customHeight="1" x14ac:dyDescent="0.3">
      <c r="A13">
        <v>50</v>
      </c>
      <c r="B13" s="1" t="s">
        <v>20</v>
      </c>
      <c r="C13">
        <v>100</v>
      </c>
      <c r="D13" s="2" t="s">
        <v>30</v>
      </c>
      <c r="E13" s="2" t="s">
        <v>18</v>
      </c>
      <c r="F13" s="2" t="s">
        <v>31</v>
      </c>
      <c r="G13" s="4">
        <v>44905</v>
      </c>
      <c r="H13" s="2" t="str">
        <f>CONCATENATE(YEAR(TabelaProventos[[#This Row],[Data]]),"/",IF(MONTH(TabelaProventos[[#This Row],[Data]])&lt;10,"0",""),MONTH(TabelaProventos[[#This Row],[Data]]))</f>
        <v>2022/12</v>
      </c>
      <c r="I13" s="2" t="str">
        <f>VLOOKUP(TabelaProventos[[#This Row],[Ativo]],TabelaAtivos[[Sigla]:[Preço]],2,FALSE)</f>
        <v>Empresa</v>
      </c>
    </row>
    <row r="14" spans="1:9" ht="15" customHeight="1" x14ac:dyDescent="0.3">
      <c r="A14">
        <v>14</v>
      </c>
      <c r="B14" s="1" t="s">
        <v>5</v>
      </c>
      <c r="C14">
        <v>100</v>
      </c>
      <c r="D14" s="2">
        <v>61</v>
      </c>
      <c r="E14" s="2" t="s">
        <v>18</v>
      </c>
      <c r="F14" s="2">
        <v>61</v>
      </c>
      <c r="G14" s="4">
        <v>44936</v>
      </c>
      <c r="H14" s="2" t="str">
        <f>CONCATENATE(YEAR(TabelaProventos[[#This Row],[Data]]),"/",IF(MONTH(TabelaProventos[[#This Row],[Data]])&lt;10,"0",""),MONTH(TabelaProventos[[#This Row],[Data]]))</f>
        <v>2023/01</v>
      </c>
      <c r="I14" s="2" t="str">
        <f>VLOOKUP(TabelaProventos[[#This Row],[Ativo]],TabelaAtivos[[Sigla]:[Preço]],2,FALSE)</f>
        <v>FII</v>
      </c>
    </row>
    <row r="15" spans="1:9" ht="15" customHeight="1" x14ac:dyDescent="0.3">
      <c r="A15">
        <v>14</v>
      </c>
      <c r="B15" s="1" t="s">
        <v>5</v>
      </c>
      <c r="C15">
        <v>100</v>
      </c>
      <c r="D15" s="2">
        <v>99</v>
      </c>
      <c r="E15" s="2" t="s">
        <v>18</v>
      </c>
      <c r="F15" s="2">
        <v>99</v>
      </c>
      <c r="G15" s="4">
        <v>44967</v>
      </c>
      <c r="H15" s="2" t="str">
        <f>CONCATENATE(YEAR(TabelaProventos[[#This Row],[Data]]),"/",IF(MONTH(TabelaProventos[[#This Row],[Data]])&lt;10,"0",""),MONTH(TabelaProventos[[#This Row],[Data]]))</f>
        <v>2023/02</v>
      </c>
      <c r="I15" s="2" t="str">
        <f>VLOOKUP(TabelaProventos[[#This Row],[Ativo]],TabelaAtivos[[Sigla]:[Preço]],2,FALSE)</f>
        <v>FII</v>
      </c>
    </row>
    <row r="16" spans="1:9" ht="15" customHeight="1" x14ac:dyDescent="0.3">
      <c r="A16">
        <v>14</v>
      </c>
      <c r="B16" s="1" t="s">
        <v>16</v>
      </c>
      <c r="C16">
        <v>100</v>
      </c>
      <c r="D16" s="2">
        <v>99.9</v>
      </c>
      <c r="E16" s="2" t="s">
        <v>18</v>
      </c>
      <c r="F16" s="2">
        <v>99.9</v>
      </c>
      <c r="G16" s="4">
        <v>44995</v>
      </c>
      <c r="H16" s="2" t="str">
        <f>CONCATENATE(YEAR(TabelaProventos[[#This Row],[Data]]),"/",IF(MONTH(TabelaProventos[[#This Row],[Data]])&lt;10,"0",""),MONTH(TabelaProventos[[#This Row],[Data]]))</f>
        <v>2023/03</v>
      </c>
      <c r="I16" s="2" t="str">
        <f>VLOOKUP(TabelaProventos[[#This Row],[Ativo]],TabelaAtivos[[Sigla]:[Preço]],2,FALSE)</f>
        <v>FII</v>
      </c>
    </row>
    <row r="17" spans="1:9" ht="15" customHeight="1" x14ac:dyDescent="0.3">
      <c r="A17">
        <v>14</v>
      </c>
      <c r="B17" s="1" t="s">
        <v>22</v>
      </c>
      <c r="C17">
        <v>100</v>
      </c>
      <c r="D17" s="2">
        <v>98.42</v>
      </c>
      <c r="E17" s="2" t="s">
        <v>18</v>
      </c>
      <c r="F17" s="2">
        <v>98.42</v>
      </c>
      <c r="G17" s="4">
        <v>45026</v>
      </c>
      <c r="H17" s="2" t="str">
        <f>CONCATENATE(YEAR(TabelaProventos[[#This Row],[Data]]),"/",IF(MONTH(TabelaProventos[[#This Row],[Data]])&lt;10,"0",""),MONTH(TabelaProventos[[#This Row],[Data]]))</f>
        <v>2023/04</v>
      </c>
      <c r="I17" s="2" t="str">
        <f>VLOOKUP(TabelaProventos[[#This Row],[Ativo]],TabelaAtivos[[Sigla]:[Preço]],2,FALSE)</f>
        <v>FII</v>
      </c>
    </row>
    <row r="18" spans="1:9" ht="15" customHeight="1" x14ac:dyDescent="0.3">
      <c r="A18">
        <v>13</v>
      </c>
      <c r="B18" s="1" t="s">
        <v>24</v>
      </c>
      <c r="C18">
        <v>100</v>
      </c>
      <c r="D18" s="2">
        <v>166</v>
      </c>
      <c r="E18" s="2">
        <v>2.34</v>
      </c>
      <c r="F18" s="2">
        <v>163.66</v>
      </c>
      <c r="G18" s="4">
        <v>45056</v>
      </c>
      <c r="H18" s="2" t="str">
        <f>CONCATENATE(YEAR(TabelaProventos[[#This Row],[Data]]),"/",IF(MONTH(TabelaProventos[[#This Row],[Data]])&lt;10,"0",""),MONTH(TabelaProventos[[#This Row],[Data]]))</f>
        <v>2023/05</v>
      </c>
      <c r="I18" s="2" t="str">
        <f>VLOOKUP(TabelaProventos[[#This Row],[Ativo]],TabelaAtivos[[Sigla]:[Preço]],2,FALSE)</f>
        <v>FII</v>
      </c>
    </row>
    <row r="19" spans="1:9" ht="15" customHeight="1" x14ac:dyDescent="0.3">
      <c r="A19">
        <v>14</v>
      </c>
      <c r="B19" s="1" t="s">
        <v>5</v>
      </c>
      <c r="C19">
        <v>100</v>
      </c>
      <c r="D19" s="2">
        <v>37.44</v>
      </c>
      <c r="E19" s="2" t="s">
        <v>18</v>
      </c>
      <c r="F19" s="2">
        <v>37.44</v>
      </c>
      <c r="G19" s="4">
        <v>45087</v>
      </c>
      <c r="H19" s="2" t="str">
        <f>CONCATENATE(YEAR(TabelaProventos[[#This Row],[Data]]),"/",IF(MONTH(TabelaProventos[[#This Row],[Data]])&lt;10,"0",""),MONTH(TabelaProventos[[#This Row],[Data]]))</f>
        <v>2023/06</v>
      </c>
      <c r="I19" s="2" t="str">
        <f>VLOOKUP(TabelaProventos[[#This Row],[Ativo]],TabelaAtivos[[Sigla]:[Preço]],2,FALSE)</f>
        <v>FII</v>
      </c>
    </row>
    <row r="20" spans="1:9" ht="15" customHeight="1" x14ac:dyDescent="0.3">
      <c r="A20">
        <v>14</v>
      </c>
      <c r="B20" s="1" t="s">
        <v>5</v>
      </c>
      <c r="C20">
        <v>100</v>
      </c>
      <c r="D20" s="2">
        <v>52.02</v>
      </c>
      <c r="E20" s="2" t="s">
        <v>18</v>
      </c>
      <c r="F20" s="2">
        <v>52.02</v>
      </c>
      <c r="G20" s="4">
        <v>45117</v>
      </c>
      <c r="H20" s="2" t="str">
        <f>CONCATENATE(YEAR(TabelaProventos[[#This Row],[Data]]),"/",IF(MONTH(TabelaProventos[[#This Row],[Data]])&lt;10,"0",""),MONTH(TabelaProventos[[#This Row],[Data]]))</f>
        <v>2023/07</v>
      </c>
      <c r="I20" s="2" t="str">
        <f>VLOOKUP(TabelaProventos[[#This Row],[Ativo]],TabelaAtivos[[Sigla]:[Preço]],2,FALSE)</f>
        <v>FII</v>
      </c>
    </row>
    <row r="21" spans="1:9" ht="15" customHeight="1" x14ac:dyDescent="0.3">
      <c r="A21">
        <v>14</v>
      </c>
      <c r="B21" s="1" t="s">
        <v>16</v>
      </c>
      <c r="C21">
        <v>100</v>
      </c>
      <c r="D21" s="2">
        <v>42.14</v>
      </c>
      <c r="E21" s="2" t="s">
        <v>18</v>
      </c>
      <c r="F21" s="2">
        <v>42.14</v>
      </c>
      <c r="G21" s="4">
        <v>45148</v>
      </c>
      <c r="H21" s="2" t="str">
        <f>CONCATENATE(YEAR(TabelaProventos[[#This Row],[Data]]),"/",IF(MONTH(TabelaProventos[[#This Row],[Data]])&lt;10,"0",""),MONTH(TabelaProventos[[#This Row],[Data]]))</f>
        <v>2023/08</v>
      </c>
      <c r="I21" s="2" t="str">
        <f>VLOOKUP(TabelaProventos[[#This Row],[Ativo]],TabelaAtivos[[Sigla]:[Preço]],2,FALSE)</f>
        <v>FII</v>
      </c>
    </row>
    <row r="22" spans="1:9" ht="15" customHeight="1" x14ac:dyDescent="0.3">
      <c r="A22">
        <v>14</v>
      </c>
      <c r="B22" s="1" t="s">
        <v>22</v>
      </c>
      <c r="C22">
        <v>100</v>
      </c>
      <c r="D22" s="2">
        <v>177.12</v>
      </c>
      <c r="E22" s="2" t="s">
        <v>18</v>
      </c>
      <c r="F22" s="2">
        <v>177.12</v>
      </c>
      <c r="G22" s="4">
        <v>45179</v>
      </c>
      <c r="H22" s="2" t="str">
        <f>CONCATENATE(YEAR(TabelaProventos[[#This Row],[Data]]),"/",IF(MONTH(TabelaProventos[[#This Row],[Data]])&lt;10,"0",""),MONTH(TabelaProventos[[#This Row],[Data]]))</f>
        <v>2023/09</v>
      </c>
      <c r="I22" s="2" t="str">
        <f>VLOOKUP(TabelaProventos[[#This Row],[Ativo]],TabelaAtivos[[Sigla]:[Preço]],2,FALSE)</f>
        <v>FII</v>
      </c>
    </row>
    <row r="23" spans="1:9" ht="15" customHeight="1" x14ac:dyDescent="0.3">
      <c r="A23">
        <v>13</v>
      </c>
      <c r="B23" s="1" t="s">
        <v>14</v>
      </c>
      <c r="C23">
        <v>100</v>
      </c>
      <c r="D23" s="2">
        <v>162.75</v>
      </c>
      <c r="E23" s="2" t="s">
        <v>18</v>
      </c>
      <c r="F23" s="2">
        <v>162.75</v>
      </c>
      <c r="G23" s="4">
        <v>45209</v>
      </c>
      <c r="H23" s="2" t="str">
        <f>CONCATENATE(YEAR(TabelaProventos[[#This Row],[Data]]),"/",IF(MONTH(TabelaProventos[[#This Row],[Data]])&lt;10,"0",""),MONTH(TabelaProventos[[#This Row],[Data]]))</f>
        <v>2023/10</v>
      </c>
      <c r="I23" s="2" t="str">
        <f>VLOOKUP(TabelaProventos[[#This Row],[Ativo]],TabelaAtivos[[Sigla]:[Preço]],2,FALSE)</f>
        <v>Empresa</v>
      </c>
    </row>
    <row r="24" spans="1:9" ht="15" customHeight="1" x14ac:dyDescent="0.3">
      <c r="A24">
        <v>14</v>
      </c>
      <c r="B24" s="1" t="s">
        <v>5</v>
      </c>
      <c r="C24">
        <v>100</v>
      </c>
      <c r="D24" s="2">
        <v>61</v>
      </c>
      <c r="E24" s="2" t="s">
        <v>18</v>
      </c>
      <c r="F24" s="2">
        <v>61</v>
      </c>
      <c r="G24" s="4">
        <v>45240</v>
      </c>
      <c r="H24" s="2" t="str">
        <f>CONCATENATE(YEAR(TabelaProventos[[#This Row],[Data]]),"/",IF(MONTH(TabelaProventos[[#This Row],[Data]])&lt;10,"0",""),MONTH(TabelaProventos[[#This Row],[Data]]))</f>
        <v>2023/11</v>
      </c>
      <c r="I24" s="2" t="str">
        <f>VLOOKUP(TabelaProventos[[#This Row],[Ativo]],TabelaAtivos[[Sigla]:[Preço]],2,FALSE)</f>
        <v>FII</v>
      </c>
    </row>
    <row r="25" spans="1:9" ht="15" customHeight="1" x14ac:dyDescent="0.3">
      <c r="A25">
        <v>14</v>
      </c>
      <c r="B25" s="1" t="s">
        <v>5</v>
      </c>
      <c r="C25">
        <v>100</v>
      </c>
      <c r="D25" s="2">
        <v>180.6</v>
      </c>
      <c r="E25" s="2" t="s">
        <v>18</v>
      </c>
      <c r="F25" s="2">
        <v>180.6</v>
      </c>
      <c r="G25" s="4">
        <v>45270</v>
      </c>
      <c r="H25" s="2" t="str">
        <f>CONCATENATE(YEAR(TabelaProventos[[#This Row],[Data]]),"/",IF(MONTH(TabelaProventos[[#This Row],[Data]])&lt;10,"0",""),MONTH(TabelaProventos[[#This Row],[Data]]))</f>
        <v>2023/12</v>
      </c>
      <c r="I25" s="2" t="str">
        <f>VLOOKUP(TabelaProventos[[#This Row],[Ativo]],TabelaAtivos[[Sigla]:[Preço]],2,FALSE)</f>
        <v>FII</v>
      </c>
    </row>
    <row r="26" spans="1:9" ht="15" customHeight="1" x14ac:dyDescent="0.3">
      <c r="A26">
        <v>14</v>
      </c>
      <c r="B26" s="1" t="s">
        <v>16</v>
      </c>
      <c r="C26">
        <v>100</v>
      </c>
      <c r="D26" s="2">
        <v>38.4</v>
      </c>
      <c r="E26" s="2" t="s">
        <v>18</v>
      </c>
      <c r="F26" s="2">
        <v>38.4</v>
      </c>
      <c r="G26" s="4">
        <v>45301</v>
      </c>
      <c r="H26" s="2" t="str">
        <f>CONCATENATE(YEAR(TabelaProventos[[#This Row],[Data]]),"/",IF(MONTH(TabelaProventos[[#This Row],[Data]])&lt;10,"0",""),MONTH(TabelaProventos[[#This Row],[Data]]))</f>
        <v>2024/01</v>
      </c>
      <c r="I26" s="2" t="str">
        <f>VLOOKUP(TabelaProventos[[#This Row],[Ativo]],TabelaAtivos[[Sigla]:[Preço]],2,FALSE)</f>
        <v>FII</v>
      </c>
    </row>
    <row r="27" spans="1:9" ht="15" customHeight="1" x14ac:dyDescent="0.3">
      <c r="A27">
        <v>14</v>
      </c>
      <c r="B27" s="1" t="s">
        <v>22</v>
      </c>
      <c r="C27">
        <v>100</v>
      </c>
      <c r="D27" s="2">
        <v>153.18</v>
      </c>
      <c r="E27" s="2" t="s">
        <v>18</v>
      </c>
      <c r="F27" s="2">
        <v>153.18</v>
      </c>
      <c r="G27" s="4">
        <v>45332</v>
      </c>
      <c r="H27" s="2" t="str">
        <f>CONCATENATE(YEAR(TabelaProventos[[#This Row],[Data]]),"/",IF(MONTH(TabelaProventos[[#This Row],[Data]])&lt;10,"0",""),MONTH(TabelaProventos[[#This Row],[Data]]))</f>
        <v>2024/02</v>
      </c>
      <c r="I27" s="2" t="str">
        <f>VLOOKUP(TabelaProventos[[#This Row],[Ativo]],TabelaAtivos[[Sigla]:[Preço]],2,FALSE)</f>
        <v>FII</v>
      </c>
    </row>
    <row r="28" spans="1:9" ht="15" customHeight="1" x14ac:dyDescent="0.3">
      <c r="A28">
        <v>13</v>
      </c>
      <c r="B28" s="1" t="s">
        <v>23</v>
      </c>
      <c r="C28">
        <v>100</v>
      </c>
      <c r="D28" s="2">
        <v>156.13999999999999</v>
      </c>
      <c r="E28" s="2" t="s">
        <v>18</v>
      </c>
      <c r="F28" s="2">
        <v>156.13999999999999</v>
      </c>
      <c r="G28" s="4">
        <v>45361</v>
      </c>
      <c r="H28" s="2" t="str">
        <f>CONCATENATE(YEAR(TabelaProventos[[#This Row],[Data]]),"/",IF(MONTH(TabelaProventos[[#This Row],[Data]])&lt;10,"0",""),MONTH(TabelaProventos[[#This Row],[Data]]))</f>
        <v>2024/03</v>
      </c>
      <c r="I28" s="2" t="str">
        <f>VLOOKUP(TabelaProventos[[#This Row],[Ativo]],TabelaAtivos[[Sigla]:[Preço]],2,FALSE)</f>
        <v>Empresa</v>
      </c>
    </row>
    <row r="29" spans="1:9" ht="15" customHeight="1" x14ac:dyDescent="0.3">
      <c r="A29">
        <v>14</v>
      </c>
      <c r="B29" s="1" t="s">
        <v>5</v>
      </c>
      <c r="C29">
        <v>100</v>
      </c>
      <c r="D29" s="2">
        <v>61</v>
      </c>
      <c r="E29" s="2" t="s">
        <v>18</v>
      </c>
      <c r="F29" s="2">
        <v>61</v>
      </c>
      <c r="G29" s="4">
        <v>45392</v>
      </c>
      <c r="H29" s="2" t="str">
        <f>CONCATENATE(YEAR(TabelaProventos[[#This Row],[Data]]),"/",IF(MONTH(TabelaProventos[[#This Row],[Data]])&lt;10,"0",""),MONTH(TabelaProventos[[#This Row],[Data]]))</f>
        <v>2024/04</v>
      </c>
      <c r="I29" s="2" t="str">
        <f>VLOOKUP(TabelaProventos[[#This Row],[Ativo]],TabelaAtivos[[Sigla]:[Preço]],2,FALSE)</f>
        <v>FII</v>
      </c>
    </row>
    <row r="30" spans="1:9" ht="15" customHeight="1" x14ac:dyDescent="0.3">
      <c r="A30">
        <v>14</v>
      </c>
      <c r="B30" s="1" t="s">
        <v>5</v>
      </c>
      <c r="C30">
        <v>100</v>
      </c>
      <c r="D30" s="2">
        <v>99</v>
      </c>
      <c r="E30" s="2" t="s">
        <v>18</v>
      </c>
      <c r="F30" s="2">
        <v>99</v>
      </c>
      <c r="G30" s="4">
        <v>45422</v>
      </c>
      <c r="H30" s="2" t="str">
        <f>CONCATENATE(YEAR(TabelaProventos[[#This Row],[Data]]),"/",IF(MONTH(TabelaProventos[[#This Row],[Data]])&lt;10,"0",""),MONTH(TabelaProventos[[#This Row],[Data]]))</f>
        <v>2024/05</v>
      </c>
      <c r="I30" s="2" t="str">
        <f>VLOOKUP(TabelaProventos[[#This Row],[Ativo]],TabelaAtivos[[Sigla]:[Preço]],2,FALSE)</f>
        <v>FII</v>
      </c>
    </row>
    <row r="31" spans="1:9" ht="15" customHeight="1" x14ac:dyDescent="0.3">
      <c r="A31">
        <v>14</v>
      </c>
      <c r="B31" s="1" t="s">
        <v>16</v>
      </c>
      <c r="C31">
        <v>100</v>
      </c>
      <c r="D31" s="2">
        <v>99.9</v>
      </c>
      <c r="E31" s="2" t="s">
        <v>18</v>
      </c>
      <c r="F31" s="2">
        <v>99.9</v>
      </c>
      <c r="G31" s="4">
        <v>45453</v>
      </c>
      <c r="H31" s="2" t="str">
        <f>CONCATENATE(YEAR(TabelaProventos[[#This Row],[Data]]),"/",IF(MONTH(TabelaProventos[[#This Row],[Data]])&lt;10,"0",""),MONTH(TabelaProventos[[#This Row],[Data]]))</f>
        <v>2024/06</v>
      </c>
      <c r="I31" s="2" t="str">
        <f>VLOOKUP(TabelaProventos[[#This Row],[Ativo]],TabelaAtivos[[Sigla]:[Preço]],2,FALSE)</f>
        <v>FII</v>
      </c>
    </row>
    <row r="32" spans="1:9" ht="15" customHeight="1" x14ac:dyDescent="0.3">
      <c r="A32">
        <v>14</v>
      </c>
      <c r="B32" s="1" t="s">
        <v>22</v>
      </c>
      <c r="C32">
        <v>100</v>
      </c>
      <c r="D32" s="2">
        <v>98.42</v>
      </c>
      <c r="E32" s="2" t="s">
        <v>18</v>
      </c>
      <c r="F32" s="2">
        <v>98.42</v>
      </c>
      <c r="G32" s="4">
        <v>45483</v>
      </c>
      <c r="H32" s="2" t="str">
        <f>CONCATENATE(YEAR(TabelaProventos[[#This Row],[Data]]),"/",IF(MONTH(TabelaProventos[[#This Row],[Data]])&lt;10,"0",""),MONTH(TabelaProventos[[#This Row],[Data]]))</f>
        <v>2024/07</v>
      </c>
      <c r="I32" s="2" t="str">
        <f>VLOOKUP(TabelaProventos[[#This Row],[Ativo]],TabelaAtivos[[Sigla]:[Preço]],2,FALSE)</f>
        <v>FII</v>
      </c>
    </row>
    <row r="33" spans="1:9" ht="15" customHeight="1" x14ac:dyDescent="0.3">
      <c r="A33">
        <v>13</v>
      </c>
      <c r="B33" s="1" t="s">
        <v>14</v>
      </c>
      <c r="C33">
        <v>100</v>
      </c>
      <c r="D33" s="2">
        <v>166</v>
      </c>
      <c r="E33" s="2" t="s">
        <v>18</v>
      </c>
      <c r="F33" s="2">
        <v>166</v>
      </c>
      <c r="G33" s="4">
        <v>45514</v>
      </c>
      <c r="H33" s="2" t="str">
        <f>CONCATENATE(YEAR(TabelaProventos[[#This Row],[Data]]),"/",IF(MONTH(TabelaProventos[[#This Row],[Data]])&lt;10,"0",""),MONTH(TabelaProventos[[#This Row],[Data]]))</f>
        <v>2024/08</v>
      </c>
      <c r="I33" s="2" t="str">
        <f>VLOOKUP(TabelaProventos[[#This Row],[Ativo]],TabelaAtivos[[Sigla]:[Preço]],2,FALSE)</f>
        <v>Empresa</v>
      </c>
    </row>
    <row r="34" spans="1:9" ht="15" customHeight="1" x14ac:dyDescent="0.3">
      <c r="A34">
        <v>14</v>
      </c>
      <c r="B34" s="1" t="s">
        <v>5</v>
      </c>
      <c r="C34">
        <v>100</v>
      </c>
      <c r="D34" s="2">
        <v>37.44</v>
      </c>
      <c r="E34" s="2" t="s">
        <v>18</v>
      </c>
      <c r="F34" s="2">
        <v>37.44</v>
      </c>
      <c r="G34" s="4">
        <v>45545</v>
      </c>
      <c r="H34" s="2" t="str">
        <f>CONCATENATE(YEAR(TabelaProventos[[#This Row],[Data]]),"/",IF(MONTH(TabelaProventos[[#This Row],[Data]])&lt;10,"0",""),MONTH(TabelaProventos[[#This Row],[Data]]))</f>
        <v>2024/09</v>
      </c>
      <c r="I34" s="2" t="str">
        <f>VLOOKUP(TabelaProventos[[#This Row],[Ativo]],TabelaAtivos[[Sigla]:[Preço]],2,FALSE)</f>
        <v>FII</v>
      </c>
    </row>
    <row r="35" spans="1:9" ht="15" customHeight="1" x14ac:dyDescent="0.3">
      <c r="A35">
        <v>14</v>
      </c>
      <c r="B35" s="1" t="s">
        <v>5</v>
      </c>
      <c r="C35">
        <v>100</v>
      </c>
      <c r="D35" s="2">
        <v>52.02</v>
      </c>
      <c r="E35" s="2" t="s">
        <v>18</v>
      </c>
      <c r="F35" s="2">
        <v>52.02</v>
      </c>
      <c r="G35" s="4">
        <v>45575</v>
      </c>
      <c r="H35" s="2" t="str">
        <f>CONCATENATE(YEAR(TabelaProventos[[#This Row],[Data]]),"/",IF(MONTH(TabelaProventos[[#This Row],[Data]])&lt;10,"0",""),MONTH(TabelaProventos[[#This Row],[Data]]))</f>
        <v>2024/10</v>
      </c>
      <c r="I35" s="2" t="str">
        <f>VLOOKUP(TabelaProventos[[#This Row],[Ativo]],TabelaAtivos[[Sigla]:[Preço]],2,FALSE)</f>
        <v>FII</v>
      </c>
    </row>
    <row r="36" spans="1:9" ht="15" customHeight="1" x14ac:dyDescent="0.3">
      <c r="A36">
        <v>14</v>
      </c>
      <c r="B36" s="1" t="s">
        <v>16</v>
      </c>
      <c r="C36">
        <v>100</v>
      </c>
      <c r="D36" s="2">
        <v>42.14</v>
      </c>
      <c r="E36" s="2" t="s">
        <v>18</v>
      </c>
      <c r="F36" s="2">
        <v>42.14</v>
      </c>
      <c r="G36" s="4">
        <v>45606</v>
      </c>
      <c r="H36" s="2" t="str">
        <f>CONCATENATE(YEAR(TabelaProventos[[#This Row],[Data]]),"/",IF(MONTH(TabelaProventos[[#This Row],[Data]])&lt;10,"0",""),MONTH(TabelaProventos[[#This Row],[Data]]))</f>
        <v>2024/11</v>
      </c>
      <c r="I36" s="2" t="str">
        <f>VLOOKUP(TabelaProventos[[#This Row],[Ativo]],TabelaAtivos[[Sigla]:[Preço]],2,FALSE)</f>
        <v>FII</v>
      </c>
    </row>
    <row r="37" spans="1:9" ht="15" customHeight="1" x14ac:dyDescent="0.3">
      <c r="A37">
        <v>14</v>
      </c>
      <c r="B37" s="1" t="s">
        <v>22</v>
      </c>
      <c r="C37">
        <v>100</v>
      </c>
      <c r="D37" s="2">
        <v>177.12</v>
      </c>
      <c r="E37" s="2" t="s">
        <v>18</v>
      </c>
      <c r="F37" s="2">
        <v>177.12</v>
      </c>
      <c r="G37" s="4">
        <v>45636</v>
      </c>
      <c r="H37" s="2" t="str">
        <f>CONCATENATE(YEAR(TabelaProventos[[#This Row],[Data]]),"/",IF(MONTH(TabelaProventos[[#This Row],[Data]])&lt;10,"0",""),MONTH(TabelaProventos[[#This Row],[Data]]))</f>
        <v>2024/12</v>
      </c>
      <c r="I37" s="2" t="str">
        <f>VLOOKUP(TabelaProventos[[#This Row],[Ativo]],TabelaAtivos[[Sigla]:[Preço]],2,FALSE)</f>
        <v>FII</v>
      </c>
    </row>
    <row r="38" spans="1:9" ht="15" customHeight="1" x14ac:dyDescent="0.3">
      <c r="A38">
        <v>13</v>
      </c>
      <c r="B38" s="1" t="s">
        <v>3</v>
      </c>
      <c r="C38">
        <v>100</v>
      </c>
      <c r="D38" s="2">
        <v>162.75</v>
      </c>
      <c r="E38" s="2" t="s">
        <v>18</v>
      </c>
      <c r="F38" s="2">
        <v>162.75</v>
      </c>
      <c r="G38" s="4">
        <v>45667</v>
      </c>
      <c r="H38" s="2" t="str">
        <f>CONCATENATE(YEAR(TabelaProventos[[#This Row],[Data]]),"/",IF(MONTH(TabelaProventos[[#This Row],[Data]])&lt;10,"0",""),MONTH(TabelaProventos[[#This Row],[Data]]))</f>
        <v>2025/01</v>
      </c>
      <c r="I38" s="2" t="str">
        <f>VLOOKUP(TabelaProventos[[#This Row],[Ativo]],TabelaAtivos[[Sigla]:[Preço]],2,FALSE)</f>
        <v>Empresa</v>
      </c>
    </row>
    <row r="39" spans="1:9" ht="15" customHeight="1" x14ac:dyDescent="0.3">
      <c r="A39">
        <v>14</v>
      </c>
      <c r="B39" s="1" t="s">
        <v>5</v>
      </c>
      <c r="C39">
        <v>100</v>
      </c>
      <c r="D39" s="2">
        <v>61</v>
      </c>
      <c r="E39" s="2" t="s">
        <v>18</v>
      </c>
      <c r="F39" s="2">
        <v>61</v>
      </c>
      <c r="G39" s="4">
        <v>45698</v>
      </c>
      <c r="H39" s="2" t="str">
        <f>CONCATENATE(YEAR(TabelaProventos[[#This Row],[Data]]),"/",IF(MONTH(TabelaProventos[[#This Row],[Data]])&lt;10,"0",""),MONTH(TabelaProventos[[#This Row],[Data]]))</f>
        <v>2025/02</v>
      </c>
      <c r="I39" s="2" t="str">
        <f>VLOOKUP(TabelaProventos[[#This Row],[Ativo]],TabelaAtivos[[Sigla]:[Preço]],2,FALSE)</f>
        <v>FII</v>
      </c>
    </row>
    <row r="40" spans="1:9" ht="15" customHeight="1" x14ac:dyDescent="0.3">
      <c r="A40">
        <v>14</v>
      </c>
      <c r="B40" s="1" t="s">
        <v>5</v>
      </c>
      <c r="C40">
        <v>100</v>
      </c>
      <c r="D40" s="2">
        <v>180.6</v>
      </c>
      <c r="E40" s="2" t="s">
        <v>18</v>
      </c>
      <c r="F40" s="2">
        <v>180.6</v>
      </c>
      <c r="G40" s="4">
        <v>45726</v>
      </c>
      <c r="H40" s="2" t="str">
        <f>CONCATENATE(YEAR(TabelaProventos[[#This Row],[Data]]),"/",IF(MONTH(TabelaProventos[[#This Row],[Data]])&lt;10,"0",""),MONTH(TabelaProventos[[#This Row],[Data]]))</f>
        <v>2025/03</v>
      </c>
      <c r="I40" s="2" t="str">
        <f>VLOOKUP(TabelaProventos[[#This Row],[Ativo]],TabelaAtivos[[Sigla]:[Preço]],2,FALSE)</f>
        <v>FII</v>
      </c>
    </row>
    <row r="41" spans="1:9" ht="15" customHeight="1" x14ac:dyDescent="0.3">
      <c r="A41">
        <v>14</v>
      </c>
      <c r="B41" s="1" t="s">
        <v>16</v>
      </c>
      <c r="C41">
        <v>100</v>
      </c>
      <c r="D41" s="2">
        <v>38.4</v>
      </c>
      <c r="E41" s="2" t="s">
        <v>18</v>
      </c>
      <c r="F41" s="2">
        <v>38.4</v>
      </c>
      <c r="G41" s="4">
        <v>45757</v>
      </c>
      <c r="H41" s="2" t="str">
        <f>CONCATENATE(YEAR(TabelaProventos[[#This Row],[Data]]),"/",IF(MONTH(TabelaProventos[[#This Row],[Data]])&lt;10,"0",""),MONTH(TabelaProventos[[#This Row],[Data]]))</f>
        <v>2025/04</v>
      </c>
      <c r="I41" s="2" t="str">
        <f>VLOOKUP(TabelaProventos[[#This Row],[Ativo]],TabelaAtivos[[Sigla]:[Preço]],2,FALSE)</f>
        <v>FII</v>
      </c>
    </row>
    <row r="42" spans="1:9" ht="15" customHeight="1" x14ac:dyDescent="0.3">
      <c r="A42">
        <v>14</v>
      </c>
      <c r="B42" s="1" t="s">
        <v>22</v>
      </c>
      <c r="C42">
        <v>100</v>
      </c>
      <c r="D42" s="2">
        <v>153.18</v>
      </c>
      <c r="E42" s="2" t="s">
        <v>18</v>
      </c>
      <c r="F42" s="2">
        <v>153.18</v>
      </c>
      <c r="G42" s="4">
        <v>45787</v>
      </c>
      <c r="H42" s="2" t="str">
        <f>CONCATENATE(YEAR(TabelaProventos[[#This Row],[Data]]),"/",IF(MONTH(TabelaProventos[[#This Row],[Data]])&lt;10,"0",""),MONTH(TabelaProventos[[#This Row],[Data]]))</f>
        <v>2025/05</v>
      </c>
      <c r="I42" s="2" t="str">
        <f>VLOOKUP(TabelaProventos[[#This Row],[Ativo]],TabelaAtivos[[Sigla]:[Preço]],2,FALSE)</f>
        <v>FII</v>
      </c>
    </row>
    <row r="43" spans="1:9" ht="15" customHeight="1" x14ac:dyDescent="0.3">
      <c r="A43">
        <v>13</v>
      </c>
      <c r="B43" s="1" t="s">
        <v>24</v>
      </c>
      <c r="C43">
        <v>100</v>
      </c>
      <c r="D43" s="2">
        <v>156.13999999999999</v>
      </c>
      <c r="E43" s="2" t="s">
        <v>18</v>
      </c>
      <c r="F43" s="2">
        <v>156.13999999999999</v>
      </c>
      <c r="G43" s="4">
        <v>45818</v>
      </c>
      <c r="H43" s="2" t="str">
        <f>CONCATENATE(YEAR(TabelaProventos[[#This Row],[Data]]),"/",IF(MONTH(TabelaProventos[[#This Row],[Data]])&lt;10,"0",""),MONTH(TabelaProventos[[#This Row],[Data]]))</f>
        <v>2025/06</v>
      </c>
      <c r="I43" s="2" t="str">
        <f>VLOOKUP(TabelaProventos[[#This Row],[Ativo]],TabelaAtivos[[Sigla]:[Preço]],2,FALSE)</f>
        <v>FII</v>
      </c>
    </row>
    <row r="44" spans="1:9" ht="15" customHeight="1" x14ac:dyDescent="0.3">
      <c r="A44">
        <v>14</v>
      </c>
      <c r="B44" s="1" t="s">
        <v>5</v>
      </c>
      <c r="C44">
        <v>100</v>
      </c>
      <c r="D44" s="2">
        <v>61</v>
      </c>
      <c r="E44" s="2">
        <v>1.03</v>
      </c>
      <c r="F44" s="2">
        <v>59.97</v>
      </c>
      <c r="G44" s="4">
        <v>45848</v>
      </c>
      <c r="H44" s="2" t="str">
        <f>CONCATENATE(YEAR(TabelaProventos[[#This Row],[Data]]),"/",IF(MONTH(TabelaProventos[[#This Row],[Data]])&lt;10,"0",""),MONTH(TabelaProventos[[#This Row],[Data]]))</f>
        <v>2025/07</v>
      </c>
      <c r="I44" s="2" t="str">
        <f>VLOOKUP(TabelaProventos[[#This Row],[Ativo]],TabelaAtivos[[Sigla]:[Preço]],2,FALSE)</f>
        <v>FII</v>
      </c>
    </row>
    <row r="45" spans="1:9" ht="15" customHeight="1" x14ac:dyDescent="0.3">
      <c r="A45">
        <v>14</v>
      </c>
      <c r="B45" s="1" t="s">
        <v>5</v>
      </c>
      <c r="C45">
        <v>100</v>
      </c>
      <c r="D45" s="2">
        <v>99</v>
      </c>
      <c r="E45" s="2" t="s">
        <v>18</v>
      </c>
      <c r="F45" s="2">
        <v>99</v>
      </c>
      <c r="G45" s="4">
        <v>45879</v>
      </c>
      <c r="H45" s="2" t="str">
        <f>CONCATENATE(YEAR(TabelaProventos[[#This Row],[Data]]),"/",IF(MONTH(TabelaProventos[[#This Row],[Data]])&lt;10,"0",""),MONTH(TabelaProventos[[#This Row],[Data]]))</f>
        <v>2025/08</v>
      </c>
      <c r="I45" s="2" t="str">
        <f>VLOOKUP(TabelaProventos[[#This Row],[Ativo]],TabelaAtivos[[Sigla]:[Preço]],2,FALSE)</f>
        <v>FII</v>
      </c>
    </row>
    <row r="46" spans="1:9" ht="15" customHeight="1" x14ac:dyDescent="0.3">
      <c r="A46">
        <v>14</v>
      </c>
      <c r="B46" s="1" t="s">
        <v>16</v>
      </c>
      <c r="C46">
        <v>100</v>
      </c>
      <c r="D46" s="2">
        <v>99.9</v>
      </c>
      <c r="E46" s="2" t="s">
        <v>18</v>
      </c>
      <c r="F46" s="2">
        <v>99.9</v>
      </c>
      <c r="G46" s="4">
        <v>45910</v>
      </c>
      <c r="H46" s="2" t="str">
        <f>CONCATENATE(YEAR(TabelaProventos[[#This Row],[Data]]),"/",IF(MONTH(TabelaProventos[[#This Row],[Data]])&lt;10,"0",""),MONTH(TabelaProventos[[#This Row],[Data]]))</f>
        <v>2025/09</v>
      </c>
      <c r="I46" s="2" t="str">
        <f>VLOOKUP(TabelaProventos[[#This Row],[Ativo]],TabelaAtivos[[Sigla]:[Preço]],2,FALSE)</f>
        <v>FII</v>
      </c>
    </row>
    <row r="47" spans="1:9" ht="15" customHeight="1" x14ac:dyDescent="0.3">
      <c r="A47">
        <v>14</v>
      </c>
      <c r="B47" s="1" t="s">
        <v>22</v>
      </c>
      <c r="C47">
        <v>100</v>
      </c>
      <c r="D47" s="2">
        <v>98.42</v>
      </c>
      <c r="E47" s="2" t="s">
        <v>18</v>
      </c>
      <c r="F47" s="2">
        <v>98.42</v>
      </c>
      <c r="G47" s="4">
        <v>45940</v>
      </c>
      <c r="H47" s="2" t="str">
        <f>CONCATENATE(YEAR(TabelaProventos[[#This Row],[Data]]),"/",IF(MONTH(TabelaProventos[[#This Row],[Data]])&lt;10,"0",""),MONTH(TabelaProventos[[#This Row],[Data]]))</f>
        <v>2025/10</v>
      </c>
      <c r="I47" s="2" t="str">
        <f>VLOOKUP(TabelaProventos[[#This Row],[Ativo]],TabelaAtivos[[Sigla]:[Preço]],2,FALSE)</f>
        <v>FII</v>
      </c>
    </row>
    <row r="48" spans="1:9" ht="15" customHeight="1" x14ac:dyDescent="0.3">
      <c r="A48">
        <v>14</v>
      </c>
      <c r="B48" s="1" t="s">
        <v>5</v>
      </c>
      <c r="C48">
        <v>100</v>
      </c>
      <c r="D48" s="2">
        <v>37.44</v>
      </c>
      <c r="E48" s="2" t="s">
        <v>18</v>
      </c>
      <c r="F48" s="2">
        <v>37.44</v>
      </c>
      <c r="G48" s="4">
        <v>45971</v>
      </c>
      <c r="H48" s="2" t="str">
        <f>CONCATENATE(YEAR(TabelaProventos[[#This Row],[Data]]),"/",IF(MONTH(TabelaProventos[[#This Row],[Data]])&lt;10,"0",""),MONTH(TabelaProventos[[#This Row],[Data]]))</f>
        <v>2025/11</v>
      </c>
      <c r="I48" s="2" t="str">
        <f>VLOOKUP(TabelaProventos[[#This Row],[Ativo]],TabelaAtivos[[Sigla]:[Preço]],2,FALSE)</f>
        <v>FII</v>
      </c>
    </row>
    <row r="49" spans="1:9" ht="15" customHeight="1" x14ac:dyDescent="0.3">
      <c r="A49">
        <v>14</v>
      </c>
      <c r="B49" s="1" t="s">
        <v>5</v>
      </c>
      <c r="C49">
        <v>100</v>
      </c>
      <c r="D49" s="2">
        <v>52.02</v>
      </c>
      <c r="E49" s="2" t="s">
        <v>18</v>
      </c>
      <c r="F49" s="2">
        <v>52.02</v>
      </c>
      <c r="G49" s="4">
        <v>46001</v>
      </c>
      <c r="H49" s="2" t="str">
        <f>CONCATENATE(YEAR(TabelaProventos[[#This Row],[Data]]),"/",IF(MONTH(TabelaProventos[[#This Row],[Data]])&lt;10,"0",""),MONTH(TabelaProventos[[#This Row],[Data]]))</f>
        <v>2025/12</v>
      </c>
      <c r="I49" s="2" t="str">
        <f>VLOOKUP(TabelaProventos[[#This Row],[Ativo]],TabelaAtivos[[Sigla]:[Preço]],2,FALSE)</f>
        <v>FII</v>
      </c>
    </row>
    <row r="50" spans="1:9" ht="15" customHeight="1" x14ac:dyDescent="0.3">
      <c r="A50">
        <v>14</v>
      </c>
      <c r="B50" s="1" t="s">
        <v>16</v>
      </c>
      <c r="C50">
        <v>100</v>
      </c>
      <c r="D50" s="2">
        <v>42.14</v>
      </c>
      <c r="E50" s="2" t="s">
        <v>18</v>
      </c>
      <c r="F50" s="2">
        <v>42.14</v>
      </c>
      <c r="G50" s="4">
        <v>46032</v>
      </c>
      <c r="H50" s="2" t="str">
        <f>CONCATENATE(YEAR(TabelaProventos[[#This Row],[Data]]),"/",IF(MONTH(TabelaProventos[[#This Row],[Data]])&lt;10,"0",""),MONTH(TabelaProventos[[#This Row],[Data]]))</f>
        <v>2026/01</v>
      </c>
      <c r="I50" s="2" t="str">
        <f>VLOOKUP(TabelaProventos[[#This Row],[Ativo]],TabelaAtivos[[Sigla]:[Preço]],2,FALSE)</f>
        <v>FII</v>
      </c>
    </row>
    <row r="51" spans="1:9" ht="15" customHeight="1" x14ac:dyDescent="0.3">
      <c r="A51">
        <v>14</v>
      </c>
      <c r="B51" s="1" t="s">
        <v>22</v>
      </c>
      <c r="C51">
        <v>100</v>
      </c>
      <c r="D51" s="2">
        <v>177.12</v>
      </c>
      <c r="E51" s="2" t="s">
        <v>18</v>
      </c>
      <c r="F51" s="2">
        <v>177.12</v>
      </c>
      <c r="G51" s="4">
        <v>46063</v>
      </c>
      <c r="H51" s="2" t="str">
        <f>CONCATENATE(YEAR(TabelaProventos[[#This Row],[Data]]),"/",IF(MONTH(TabelaProventos[[#This Row],[Data]])&lt;10,"0",""),MONTH(TabelaProventos[[#This Row],[Data]]))</f>
        <v>2026/02</v>
      </c>
      <c r="I51" s="2" t="str">
        <f>VLOOKUP(TabelaProventos[[#This Row],[Ativo]],TabelaAtivos[[Sigla]:[Preço]],2,FALSE)</f>
        <v>FII</v>
      </c>
    </row>
    <row r="52" spans="1:9" ht="15" customHeight="1" x14ac:dyDescent="0.3">
      <c r="A52">
        <v>13</v>
      </c>
      <c r="B52" s="1" t="s">
        <v>14</v>
      </c>
      <c r="C52">
        <v>100</v>
      </c>
      <c r="D52" s="2">
        <v>162.75</v>
      </c>
      <c r="E52" s="2" t="s">
        <v>18</v>
      </c>
      <c r="F52" s="2">
        <v>162.75</v>
      </c>
      <c r="G52" s="4">
        <v>46091</v>
      </c>
      <c r="H52" s="2" t="str">
        <f>CONCATENATE(YEAR(TabelaProventos[[#This Row],[Data]]),"/",IF(MONTH(TabelaProventos[[#This Row],[Data]])&lt;10,"0",""),MONTH(TabelaProventos[[#This Row],[Data]]))</f>
        <v>2026/03</v>
      </c>
      <c r="I52" s="2" t="str">
        <f>VLOOKUP(TabelaProventos[[#This Row],[Ativo]],TabelaAtivos[[Sigla]:[Preço]],2,FALSE)</f>
        <v>Empresa</v>
      </c>
    </row>
    <row r="53" spans="1:9" ht="15" customHeight="1" x14ac:dyDescent="0.3">
      <c r="A53">
        <v>14</v>
      </c>
      <c r="B53" s="1" t="s">
        <v>5</v>
      </c>
      <c r="C53">
        <v>100</v>
      </c>
      <c r="D53" s="2">
        <v>61</v>
      </c>
      <c r="E53" s="2" t="s">
        <v>18</v>
      </c>
      <c r="F53" s="2">
        <v>61</v>
      </c>
      <c r="G53" s="4">
        <v>46122</v>
      </c>
      <c r="H53" s="2" t="str">
        <f>CONCATENATE(YEAR(TabelaProventos[[#This Row],[Data]]),"/",IF(MONTH(TabelaProventos[[#This Row],[Data]])&lt;10,"0",""),MONTH(TabelaProventos[[#This Row],[Data]]))</f>
        <v>2026/04</v>
      </c>
      <c r="I53" s="2" t="str">
        <f>VLOOKUP(TabelaProventos[[#This Row],[Ativo]],TabelaAtivos[[Sigla]:[Preço]],2,FALSE)</f>
        <v>FII</v>
      </c>
    </row>
    <row r="54" spans="1:9" ht="15" customHeight="1" x14ac:dyDescent="0.3">
      <c r="A54">
        <v>14</v>
      </c>
      <c r="B54" s="1" t="s">
        <v>5</v>
      </c>
      <c r="C54">
        <v>100</v>
      </c>
      <c r="D54" s="2">
        <v>180.6</v>
      </c>
      <c r="E54" s="2" t="s">
        <v>18</v>
      </c>
      <c r="F54" s="2">
        <v>180.6</v>
      </c>
      <c r="G54" s="4">
        <v>46152</v>
      </c>
      <c r="H54" s="2" t="str">
        <f>CONCATENATE(YEAR(TabelaProventos[[#This Row],[Data]]),"/",IF(MONTH(TabelaProventos[[#This Row],[Data]])&lt;10,"0",""),MONTH(TabelaProventos[[#This Row],[Data]]))</f>
        <v>2026/05</v>
      </c>
      <c r="I54" s="2" t="str">
        <f>VLOOKUP(TabelaProventos[[#This Row],[Ativo]],TabelaAtivos[[Sigla]:[Preço]],2,FALSE)</f>
        <v>FII</v>
      </c>
    </row>
    <row r="55" spans="1:9" ht="15" customHeight="1" x14ac:dyDescent="0.3">
      <c r="A55">
        <v>14</v>
      </c>
      <c r="B55" s="1" t="s">
        <v>16</v>
      </c>
      <c r="C55">
        <v>100</v>
      </c>
      <c r="D55" s="2">
        <v>38.4</v>
      </c>
      <c r="E55" s="2" t="s">
        <v>18</v>
      </c>
      <c r="F55" s="2">
        <v>38.4</v>
      </c>
      <c r="G55" s="4">
        <v>46183</v>
      </c>
      <c r="H55" s="2" t="str">
        <f>CONCATENATE(YEAR(TabelaProventos[[#This Row],[Data]]),"/",IF(MONTH(TabelaProventos[[#This Row],[Data]])&lt;10,"0",""),MONTH(TabelaProventos[[#This Row],[Data]]))</f>
        <v>2026/06</v>
      </c>
      <c r="I55" s="2" t="str">
        <f>VLOOKUP(TabelaProventos[[#This Row],[Ativo]],TabelaAtivos[[Sigla]:[Preço]],2,FALSE)</f>
        <v>FII</v>
      </c>
    </row>
    <row r="56" spans="1:9" ht="15" customHeight="1" x14ac:dyDescent="0.3">
      <c r="A56">
        <v>14</v>
      </c>
      <c r="B56" s="1" t="s">
        <v>22</v>
      </c>
      <c r="C56">
        <v>100</v>
      </c>
      <c r="D56" s="2">
        <v>153.18</v>
      </c>
      <c r="E56" s="2" t="s">
        <v>18</v>
      </c>
      <c r="F56" s="2">
        <v>153.18</v>
      </c>
      <c r="G56" s="4">
        <v>46213</v>
      </c>
      <c r="H56" s="2" t="str">
        <f>CONCATENATE(YEAR(TabelaProventos[[#This Row],[Data]]),"/",IF(MONTH(TabelaProventos[[#This Row],[Data]])&lt;10,"0",""),MONTH(TabelaProventos[[#This Row],[Data]]))</f>
        <v>2026/07</v>
      </c>
      <c r="I56" s="2" t="str">
        <f>VLOOKUP(TabelaProventos[[#This Row],[Ativo]],TabelaAtivos[[Sigla]:[Preço]],2,FALSE)</f>
        <v>FII</v>
      </c>
    </row>
    <row r="57" spans="1:9" ht="15" customHeight="1" x14ac:dyDescent="0.3">
      <c r="A57">
        <v>13</v>
      </c>
      <c r="B57" s="1" t="s">
        <v>23</v>
      </c>
      <c r="C57">
        <v>100</v>
      </c>
      <c r="D57" s="2">
        <v>156.13999999999999</v>
      </c>
      <c r="E57" s="2" t="s">
        <v>18</v>
      </c>
      <c r="F57" s="2">
        <v>156.13999999999999</v>
      </c>
      <c r="G57" s="4">
        <v>46244</v>
      </c>
      <c r="H57" s="2" t="str">
        <f>CONCATENATE(YEAR(TabelaProventos[[#This Row],[Data]]),"/",IF(MONTH(TabelaProventos[[#This Row],[Data]])&lt;10,"0",""),MONTH(TabelaProventos[[#This Row],[Data]]))</f>
        <v>2026/08</v>
      </c>
      <c r="I57" s="2" t="str">
        <f>VLOOKUP(TabelaProventos[[#This Row],[Ativo]],TabelaAtivos[[Sigla]:[Preço]],2,FALSE)</f>
        <v>Empresa</v>
      </c>
    </row>
    <row r="58" spans="1:9" ht="15" customHeight="1" x14ac:dyDescent="0.3">
      <c r="A58">
        <v>14</v>
      </c>
      <c r="B58" s="1" t="s">
        <v>5</v>
      </c>
      <c r="C58">
        <v>100</v>
      </c>
      <c r="D58" s="2">
        <v>61</v>
      </c>
      <c r="E58" s="2" t="s">
        <v>18</v>
      </c>
      <c r="F58" s="2">
        <v>61</v>
      </c>
      <c r="G58" s="4">
        <v>46275</v>
      </c>
      <c r="H58" s="2" t="str">
        <f>CONCATENATE(YEAR(TabelaProventos[[#This Row],[Data]]),"/",IF(MONTH(TabelaProventos[[#This Row],[Data]])&lt;10,"0",""),MONTH(TabelaProventos[[#This Row],[Data]]))</f>
        <v>2026/09</v>
      </c>
      <c r="I58" s="2" t="str">
        <f>VLOOKUP(TabelaProventos[[#This Row],[Ativo]],TabelaAtivos[[Sigla]:[Preço]],2,FALSE)</f>
        <v>FII</v>
      </c>
    </row>
    <row r="59" spans="1:9" ht="15" customHeight="1" x14ac:dyDescent="0.3">
      <c r="A59">
        <v>14</v>
      </c>
      <c r="B59" s="1" t="s">
        <v>5</v>
      </c>
      <c r="C59">
        <v>100</v>
      </c>
      <c r="D59" s="2">
        <v>99</v>
      </c>
      <c r="E59" s="2" t="s">
        <v>18</v>
      </c>
      <c r="F59" s="2">
        <v>99</v>
      </c>
      <c r="G59" s="4">
        <v>46305</v>
      </c>
      <c r="H59" s="2" t="str">
        <f>CONCATENATE(YEAR(TabelaProventos[[#This Row],[Data]]),"/",IF(MONTH(TabelaProventos[[#This Row],[Data]])&lt;10,"0",""),MONTH(TabelaProventos[[#This Row],[Data]]))</f>
        <v>2026/10</v>
      </c>
      <c r="I59" s="2" t="str">
        <f>VLOOKUP(TabelaProventos[[#This Row],[Ativo]],TabelaAtivos[[Sigla]:[Preço]],2,FALSE)</f>
        <v>FII</v>
      </c>
    </row>
    <row r="60" spans="1:9" ht="15" customHeight="1" x14ac:dyDescent="0.3">
      <c r="A60">
        <v>14</v>
      </c>
      <c r="B60" s="1" t="s">
        <v>16</v>
      </c>
      <c r="C60">
        <v>100</v>
      </c>
      <c r="D60" s="2">
        <v>99.9</v>
      </c>
      <c r="E60" s="2" t="s">
        <v>18</v>
      </c>
      <c r="F60" s="2">
        <v>99.9</v>
      </c>
      <c r="G60" s="4">
        <v>46336</v>
      </c>
      <c r="H60" s="2" t="str">
        <f>CONCATENATE(YEAR(TabelaProventos[[#This Row],[Data]]),"/",IF(MONTH(TabelaProventos[[#This Row],[Data]])&lt;10,"0",""),MONTH(TabelaProventos[[#This Row],[Data]]))</f>
        <v>2026/11</v>
      </c>
      <c r="I60" s="2" t="str">
        <f>VLOOKUP(TabelaProventos[[#This Row],[Ativo]],TabelaAtivos[[Sigla]:[Preço]],2,FALSE)</f>
        <v>FII</v>
      </c>
    </row>
    <row r="61" spans="1:9" ht="15" customHeight="1" x14ac:dyDescent="0.3">
      <c r="A61">
        <v>14</v>
      </c>
      <c r="B61" s="1" t="s">
        <v>22</v>
      </c>
      <c r="C61">
        <v>100</v>
      </c>
      <c r="D61" s="2">
        <v>98.42</v>
      </c>
      <c r="E61" s="2" t="s">
        <v>18</v>
      </c>
      <c r="F61" s="2">
        <v>98.42</v>
      </c>
      <c r="G61" s="4">
        <v>46366</v>
      </c>
      <c r="H61" s="2" t="str">
        <f>CONCATENATE(YEAR(TabelaProventos[[#This Row],[Data]]),"/",IF(MONTH(TabelaProventos[[#This Row],[Data]])&lt;10,"0",""),MONTH(TabelaProventos[[#This Row],[Data]]))</f>
        <v>2026/12</v>
      </c>
      <c r="I61" s="2" t="str">
        <f>VLOOKUP(TabelaProventos[[#This Row],[Ativo]],TabelaAtivos[[Sigla]:[Preço]],2,FALSE)</f>
        <v>FII</v>
      </c>
    </row>
    <row r="62" spans="1:9" ht="15" customHeight="1" x14ac:dyDescent="0.3">
      <c r="A62">
        <v>13</v>
      </c>
      <c r="B62" s="1" t="s">
        <v>14</v>
      </c>
      <c r="C62">
        <v>100</v>
      </c>
      <c r="D62" s="2">
        <v>166</v>
      </c>
      <c r="E62" s="2" t="s">
        <v>18</v>
      </c>
      <c r="F62" s="2">
        <v>166</v>
      </c>
      <c r="G62" s="4">
        <v>46397</v>
      </c>
      <c r="H62" s="2" t="str">
        <f>CONCATENATE(YEAR(TabelaProventos[[#This Row],[Data]]),"/",IF(MONTH(TabelaProventos[[#This Row],[Data]])&lt;10,"0",""),MONTH(TabelaProventos[[#This Row],[Data]]))</f>
        <v>2027/01</v>
      </c>
      <c r="I62" s="2" t="str">
        <f>VLOOKUP(TabelaProventos[[#This Row],[Ativo]],TabelaAtivos[[Sigla]:[Preço]],2,FALSE)</f>
        <v>Empresa</v>
      </c>
    </row>
    <row r="63" spans="1:9" ht="15" customHeight="1" x14ac:dyDescent="0.3">
      <c r="A63">
        <v>14</v>
      </c>
      <c r="B63" s="1" t="s">
        <v>5</v>
      </c>
      <c r="C63">
        <v>100</v>
      </c>
      <c r="D63" s="2">
        <v>37.44</v>
      </c>
      <c r="E63" s="2" t="s">
        <v>18</v>
      </c>
      <c r="F63" s="2">
        <v>37.44</v>
      </c>
      <c r="G63" s="4">
        <v>46428</v>
      </c>
      <c r="H63" s="2" t="str">
        <f>CONCATENATE(YEAR(TabelaProventos[[#This Row],[Data]]),"/",IF(MONTH(TabelaProventos[[#This Row],[Data]])&lt;10,"0",""),MONTH(TabelaProventos[[#This Row],[Data]]))</f>
        <v>2027/02</v>
      </c>
      <c r="I63" s="2" t="str">
        <f>VLOOKUP(TabelaProventos[[#This Row],[Ativo]],TabelaAtivos[[Sigla]:[Preço]],2,FALSE)</f>
        <v>FII</v>
      </c>
    </row>
    <row r="64" spans="1:9" ht="15" customHeight="1" x14ac:dyDescent="0.3">
      <c r="A64">
        <v>14</v>
      </c>
      <c r="B64" s="1" t="s">
        <v>5</v>
      </c>
      <c r="C64">
        <v>100</v>
      </c>
      <c r="D64" s="2">
        <v>52.02</v>
      </c>
      <c r="E64" s="2" t="s">
        <v>18</v>
      </c>
      <c r="F64" s="2">
        <v>52.02</v>
      </c>
      <c r="G64" s="4">
        <v>46456</v>
      </c>
      <c r="H64" s="2" t="str">
        <f>CONCATENATE(YEAR(TabelaProventos[[#This Row],[Data]]),"/",IF(MONTH(TabelaProventos[[#This Row],[Data]])&lt;10,"0",""),MONTH(TabelaProventos[[#This Row],[Data]]))</f>
        <v>2027/03</v>
      </c>
      <c r="I64" s="2" t="str">
        <f>VLOOKUP(TabelaProventos[[#This Row],[Ativo]],TabelaAtivos[[Sigla]:[Preço]],2,FALSE)</f>
        <v>FII</v>
      </c>
    </row>
    <row r="65" spans="1:9" ht="15" customHeight="1" x14ac:dyDescent="0.3">
      <c r="A65">
        <v>14</v>
      </c>
      <c r="B65" s="1" t="s">
        <v>16</v>
      </c>
      <c r="C65">
        <v>100</v>
      </c>
      <c r="D65" s="2">
        <v>42.14</v>
      </c>
      <c r="E65" s="2" t="s">
        <v>18</v>
      </c>
      <c r="F65" s="2">
        <v>42.14</v>
      </c>
      <c r="G65" s="4">
        <v>46487</v>
      </c>
      <c r="H65" s="2" t="str">
        <f>CONCATENATE(YEAR(TabelaProventos[[#This Row],[Data]]),"/",IF(MONTH(TabelaProventos[[#This Row],[Data]])&lt;10,"0",""),MONTH(TabelaProventos[[#This Row],[Data]]))</f>
        <v>2027/04</v>
      </c>
      <c r="I65" s="2" t="str">
        <f>VLOOKUP(TabelaProventos[[#This Row],[Ativo]],TabelaAtivos[[Sigla]:[Preço]],2,FALSE)</f>
        <v>FII</v>
      </c>
    </row>
    <row r="66" spans="1:9" ht="15" customHeight="1" x14ac:dyDescent="0.3">
      <c r="A66">
        <v>14</v>
      </c>
      <c r="B66" s="1" t="s">
        <v>22</v>
      </c>
      <c r="C66">
        <v>100</v>
      </c>
      <c r="D66" s="2">
        <v>177.12</v>
      </c>
      <c r="E66" s="2" t="s">
        <v>18</v>
      </c>
      <c r="F66" s="2">
        <v>177.12</v>
      </c>
      <c r="G66" s="4">
        <v>46517</v>
      </c>
      <c r="H66" s="2" t="str">
        <f>CONCATENATE(YEAR(TabelaProventos[[#This Row],[Data]]),"/",IF(MONTH(TabelaProventos[[#This Row],[Data]])&lt;10,"0",""),MONTH(TabelaProventos[[#This Row],[Data]]))</f>
        <v>2027/05</v>
      </c>
      <c r="I66" s="2" t="str">
        <f>VLOOKUP(TabelaProventos[[#This Row],[Ativo]],TabelaAtivos[[Sigla]:[Preço]],2,FALSE)</f>
        <v>FII</v>
      </c>
    </row>
    <row r="67" spans="1:9" ht="15" customHeight="1" x14ac:dyDescent="0.3">
      <c r="A67">
        <v>14</v>
      </c>
      <c r="B67" s="1" t="s">
        <v>23</v>
      </c>
      <c r="C67">
        <v>100</v>
      </c>
      <c r="D67" s="2">
        <v>162.75</v>
      </c>
      <c r="E67" s="2" t="s">
        <v>18</v>
      </c>
      <c r="F67" s="2">
        <v>162.75</v>
      </c>
      <c r="G67" s="4">
        <v>46548</v>
      </c>
      <c r="H67" s="2" t="str">
        <f>CONCATENATE(YEAR(TabelaProventos[[#This Row],[Data]]),"/",IF(MONTH(TabelaProventos[[#This Row],[Data]])&lt;10,"0",""),MONTH(TabelaProventos[[#This Row],[Data]]))</f>
        <v>2027/06</v>
      </c>
      <c r="I67" s="2" t="str">
        <f>VLOOKUP(TabelaProventos[[#This Row],[Ativo]],TabelaAtivos[[Sigla]:[Preço]],2,FALSE)</f>
        <v>Empresa</v>
      </c>
    </row>
    <row r="68" spans="1:9" ht="15" customHeight="1" x14ac:dyDescent="0.3">
      <c r="A68">
        <v>14</v>
      </c>
      <c r="B68" s="1" t="s">
        <v>5</v>
      </c>
      <c r="C68">
        <v>100</v>
      </c>
      <c r="D68" s="2">
        <v>61</v>
      </c>
      <c r="E68" s="2" t="s">
        <v>18</v>
      </c>
      <c r="F68" s="2">
        <v>61</v>
      </c>
      <c r="G68" s="4">
        <v>46578</v>
      </c>
      <c r="H68" s="2" t="str">
        <f>CONCATENATE(YEAR(TabelaProventos[[#This Row],[Data]]),"/",IF(MONTH(TabelaProventos[[#This Row],[Data]])&lt;10,"0",""),MONTH(TabelaProventos[[#This Row],[Data]]))</f>
        <v>2027/07</v>
      </c>
      <c r="I68" s="2" t="str">
        <f>VLOOKUP(TabelaProventos[[#This Row],[Ativo]],TabelaAtivos[[Sigla]:[Preço]],2,FALSE)</f>
        <v>FII</v>
      </c>
    </row>
    <row r="69" spans="1:9" ht="15" customHeight="1" x14ac:dyDescent="0.3">
      <c r="A69">
        <v>14</v>
      </c>
      <c r="B69" s="1" t="s">
        <v>5</v>
      </c>
      <c r="C69">
        <v>100</v>
      </c>
      <c r="D69" s="2">
        <v>180.6</v>
      </c>
      <c r="E69" s="2" t="s">
        <v>18</v>
      </c>
      <c r="F69" s="2">
        <v>180.6</v>
      </c>
      <c r="G69" s="4">
        <v>46609</v>
      </c>
      <c r="H69" s="2" t="str">
        <f>CONCATENATE(YEAR(TabelaProventos[[#This Row],[Data]]),"/",IF(MONTH(TabelaProventos[[#This Row],[Data]])&lt;10,"0",""),MONTH(TabelaProventos[[#This Row],[Data]]))</f>
        <v>2027/08</v>
      </c>
      <c r="I69" s="2" t="str">
        <f>VLOOKUP(TabelaProventos[[#This Row],[Ativo]],TabelaAtivos[[Sigla]:[Preço]],2,FALSE)</f>
        <v>FII</v>
      </c>
    </row>
    <row r="70" spans="1:9" ht="15" customHeight="1" x14ac:dyDescent="0.3">
      <c r="A70">
        <v>14</v>
      </c>
      <c r="B70" s="1" t="s">
        <v>16</v>
      </c>
      <c r="C70">
        <v>100</v>
      </c>
      <c r="D70" s="2">
        <v>38.4</v>
      </c>
      <c r="E70" s="2" t="s">
        <v>18</v>
      </c>
      <c r="F70" s="2">
        <v>38.4</v>
      </c>
      <c r="G70" s="4">
        <v>46640</v>
      </c>
      <c r="H70" s="2" t="str">
        <f>CONCATENATE(YEAR(TabelaProventos[[#This Row],[Data]]),"/",IF(MONTH(TabelaProventos[[#This Row],[Data]])&lt;10,"0",""),MONTH(TabelaProventos[[#This Row],[Data]]))</f>
        <v>2027/09</v>
      </c>
      <c r="I70" s="2" t="str">
        <f>VLOOKUP(TabelaProventos[[#This Row],[Ativo]],TabelaAtivos[[Sigla]:[Preço]],2,FALSE)</f>
        <v>FII</v>
      </c>
    </row>
    <row r="71" spans="1:9" ht="15" customHeight="1" x14ac:dyDescent="0.3">
      <c r="A71">
        <v>14</v>
      </c>
      <c r="B71" s="1" t="s">
        <v>22</v>
      </c>
      <c r="C71">
        <v>100</v>
      </c>
      <c r="D71" s="2">
        <v>153.18</v>
      </c>
      <c r="E71" s="2" t="s">
        <v>18</v>
      </c>
      <c r="F71" s="2">
        <v>153.18</v>
      </c>
      <c r="G71" s="4">
        <v>46670</v>
      </c>
      <c r="H71" s="2" t="str">
        <f>CONCATENATE(YEAR(TabelaProventos[[#This Row],[Data]]),"/",IF(MONTH(TabelaProventos[[#This Row],[Data]])&lt;10,"0",""),MONTH(TabelaProventos[[#This Row],[Data]]))</f>
        <v>2027/10</v>
      </c>
      <c r="I71" s="2" t="str">
        <f>VLOOKUP(TabelaProventos[[#This Row],[Ativo]],TabelaAtivos[[Sigla]:[Preço]],2,FALSE)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Dashboard</vt:lpstr>
      <vt:lpstr>Dashboard auxiliar</vt:lpstr>
      <vt:lpstr>RelatórioCarteira</vt:lpstr>
      <vt:lpstr>RelatórioCarteiraAções</vt:lpstr>
      <vt:lpstr>RelatórioCarteiraFII</vt:lpstr>
      <vt:lpstr>RelatórioCarteiraCriptomoedas</vt:lpstr>
      <vt:lpstr>RelatórioAportes</vt:lpstr>
      <vt:lpstr>RelatórioProventos</vt:lpstr>
      <vt:lpstr>Ativos</vt:lpstr>
      <vt:lpstr>Aportes</vt:lpstr>
      <vt:lpstr>Proventos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Leander Vieira</dc:creator>
  <cp:lastModifiedBy>Samuel Leander Vieira</cp:lastModifiedBy>
  <dcterms:created xsi:type="dcterms:W3CDTF">2024-12-15T12:24:08Z</dcterms:created>
  <dcterms:modified xsi:type="dcterms:W3CDTF">2024-12-17T00:57:56Z</dcterms:modified>
</cp:coreProperties>
</file>