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BIWS)\BIWS-All-Courses\10-Fundamentals-2021-Revision\08-More-Complex-Valuation-DCF-2021\08-14-ALXN-MA-Comp-Example\"/>
    </mc:Choice>
  </mc:AlternateContent>
  <xr:revisionPtr revIDLastSave="0" documentId="13_ncr:1_{FC7C588C-ED1F-4323-84B3-A4E2F7D7F6A9}" xr6:coauthVersionLast="47" xr6:coauthVersionMax="47" xr10:uidLastSave="{00000000-0000-0000-0000-000000000000}"/>
  <bookViews>
    <workbookView xWindow="-120" yWindow="-120" windowWidth="29040" windowHeight="15840" xr2:uid="{9F9D4E16-F3D7-4335-BEA0-F0620D42685A}"/>
  </bookViews>
  <sheets>
    <sheet name="MA_Comp_Example" sheetId="1" r:id="rId1"/>
  </sheets>
  <externalReferences>
    <externalReference r:id="rId2"/>
  </externalReferences>
  <definedNames>
    <definedName name="Basic_Shares">MA_Comp_Example!#REF!</definedName>
    <definedName name="Company_Name">[1]JAZZ_DCF!$D$7</definedName>
    <definedName name="Cost_of_Debt">[1]WACC!$F$8</definedName>
    <definedName name="Cost_of_Preferred">[1]WACC!$F$9</definedName>
    <definedName name="Epidiolex_Price_Increase">[1]JAZZ_DCF!$K$16</definedName>
    <definedName name="Equity_Risk_Premium">[1]WACC!$F$7</definedName>
    <definedName name="Final_Discount_Rate">[1]JAZZ_DCF!$D$219</definedName>
    <definedName name="Hist_Year">[1]JAZZ_DCF!$K$7</definedName>
    <definedName name="Initial_Discount_Rate">[1]JAZZ_DCF!$D$217</definedName>
    <definedName name="Next_Year">[1]JAZZ_DCF!$K$8</definedName>
    <definedName name="Num_Years">[1]JAZZ_DCF!$D$221</definedName>
    <definedName name="Phase_2_Risk_Adjustment_Factor">[1]JAZZ_DCF!$D$21</definedName>
    <definedName name="_xlnm.Print_Area" localSheetId="0">MA_Comp_Example!$A$1:$H$111</definedName>
    <definedName name="_xlnm.Print_Titles" localSheetId="0">MA_Comp_Example!$A:$C,MA_Comp_Example!$1:$6</definedName>
    <definedName name="Pub_Comps_Params">MA_Comp_Example!$B$1:$B$110</definedName>
    <definedName name="Pub_Comps_Range">MA_Comp_Example!$B$1:$H$110</definedName>
    <definedName name="Pub_Comps_Tickers">MA_Comp_Example!$B$1:$H$1</definedName>
    <definedName name="Risk_Free_Rate">[1]WACC!$F$6</definedName>
    <definedName name="Scenario">[1]JAZZ_DCF!$D$14</definedName>
    <definedName name="Share_Price">[1]JAZZ_DCF!$D$11</definedName>
    <definedName name="Stub_Period">[1]JAZZ_DCF!$D$223</definedName>
    <definedName name="Tax_Rate">[1]JAZZ_DCF!$D$12</definedName>
    <definedName name="Terminal_Growth_Rate">[1]JAZZ_DCF!$O$218</definedName>
    <definedName name="Terminal_Multiple">[1]JAZZ_DCF!$J$218</definedName>
    <definedName name="Ticker">[1]JAZZ_DCF!$D$8</definedName>
    <definedName name="Units">[1]JAZZ_DCF!$D$9</definedName>
    <definedName name="US_Pop_Growth">[1]JAZZ_DCF!$D$16</definedName>
    <definedName name="Valuation_Date">[1]JAZZ_DCF!$K$10</definedName>
    <definedName name="WACC">[1]WACC!$L$42</definedName>
    <definedName name="Xyrem_Generics_Decrease">[1]JAZZ_DCF!$D$18</definedName>
    <definedName name="Xyrem_Post_Gen_Incr">[1]JAZZ_DCF!$D$19</definedName>
    <definedName name="Xyrem_Price_Increases">[1]JAZZ_DCF!$D$17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20" i="1"/>
  <c r="G18" i="1"/>
  <c r="G21" i="1"/>
  <c r="F62" i="1"/>
  <c r="G98" i="1" l="1"/>
  <c r="G91" i="1"/>
  <c r="G89" i="1"/>
  <c r="G88" i="1"/>
  <c r="G86" i="1"/>
  <c r="G99" i="1" s="1"/>
  <c r="G85" i="1"/>
  <c r="G83" i="1"/>
  <c r="G82" i="1"/>
  <c r="G62" i="1"/>
  <c r="G11" i="1"/>
  <c r="G10" i="1"/>
  <c r="G9" i="1"/>
  <c r="G7" i="1"/>
  <c r="G97" i="1" s="1"/>
  <c r="G80" i="1"/>
  <c r="G79" i="1"/>
  <c r="G78" i="1"/>
  <c r="B108" i="1"/>
  <c r="B107" i="1"/>
  <c r="B105" i="1"/>
  <c r="B104" i="1"/>
  <c r="B102" i="1"/>
  <c r="B101" i="1"/>
  <c r="D29" i="1"/>
  <c r="E10" i="1"/>
  <c r="E12" i="1" s="1"/>
  <c r="D12" i="1"/>
  <c r="G17" i="1"/>
  <c r="F12" i="1"/>
  <c r="G54" i="1"/>
  <c r="G53" i="1"/>
  <c r="G52" i="1"/>
  <c r="G49" i="1"/>
  <c r="G48" i="1"/>
  <c r="G47" i="1"/>
  <c r="G46" i="1"/>
  <c r="G45" i="1"/>
  <c r="G44" i="1"/>
  <c r="G43" i="1"/>
  <c r="G42" i="1"/>
  <c r="G41" i="1"/>
  <c r="F72" i="1"/>
  <c r="D72" i="1"/>
  <c r="G5" i="1"/>
  <c r="G92" i="1" l="1"/>
  <c r="G64" i="1"/>
  <c r="G68" i="1" s="1"/>
  <c r="G69" i="1" s="1"/>
  <c r="G12" i="1"/>
  <c r="G94" i="1"/>
  <c r="G95" i="1"/>
  <c r="G72" i="1"/>
  <c r="E72" i="1"/>
  <c r="D73" i="1" l="1"/>
  <c r="G101" i="1" s="1"/>
  <c r="F73" i="1" l="1"/>
  <c r="G107" i="1" s="1"/>
  <c r="G73" i="1"/>
  <c r="D74" i="1"/>
  <c r="G102" i="1" s="1"/>
  <c r="E74" i="1"/>
  <c r="G105" i="1" s="1"/>
  <c r="E73" i="1"/>
  <c r="G104" i="1" s="1"/>
  <c r="G74" i="1"/>
  <c r="F74" i="1"/>
  <c r="G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D10" authorId="0" shapeId="0" xr:uid="{CF8A0C16-CEC9-4C55-90F9-31C12155EE8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Acquired IPR&amp;D.</t>
        </r>
      </text>
    </comment>
    <comment ref="E10" authorId="0" shapeId="0" xr:uid="{E6166023-CC32-4403-9E67-B5EB08A2179A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Acquisition costs + impairment of intangibles + gain on sale of asset + legal settlement fees. Counting restructuring and change in FV of contingent consideration as recurring.</t>
        </r>
      </text>
    </comment>
    <comment ref="F10" authorId="0" shapeId="0" xr:uid="{621B3826-C02C-4C75-851F-C257247D2E1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Acquired IPR&amp;D.</t>
        </r>
      </text>
    </comment>
    <comment ref="G14" authorId="0" shapeId="0" xr:uid="{07ED3A75-7F07-4C42-877B-2CA9001D285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Federal statutory + state/local + permanent differences in 10-K pg. 141.</t>
        </r>
      </text>
    </comment>
    <comment ref="G18" authorId="0" shapeId="0" xr:uid="{EC4FC304-6E30-4E34-9FAC-49A6F403C4A7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Including everything not yet sold on pages 26-28 of the 10-Q.</t>
        </r>
      </text>
    </comment>
    <comment ref="G20" authorId="0" shapeId="0" xr:uid="{6D837029-6B4D-4F8A-B9B2-5C1BF09C06D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the NOL balance from pg. 144 of the 10-K and reducing by Valuation Allowance / Gross DTA, as usual.</t>
        </r>
      </text>
    </comment>
    <comment ref="G21" authorId="0" shapeId="0" xr:uid="{47CB5A9C-9BE3-4AE5-BD9E-FC446EFF4AC7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Book value approximates fair value according to pg. 133 of 10-K, so just using book value from 10-Q. Simple Term Loan. Taking total Lease Liabilities and subtracting Op. Lease Liabilities.</t>
        </r>
      </text>
    </comment>
    <comment ref="G23" authorId="0" shapeId="0" xr:uid="{9F781B72-F84B-423B-AFA7-C295D8B12D6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Always set to 0 for U.S. GAAP-based companies.</t>
        </r>
      </text>
    </comment>
    <comment ref="D29" authorId="0" shapeId="0" xr:uid="{4124728A-8503-49CF-BA4C-6E2ABF9B6A4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Q1-Q3 numbers and adding estimated Q4 from FO on pg. 78.</t>
        </r>
      </text>
    </comment>
    <comment ref="E29" authorId="0" shapeId="0" xr:uid="{FFAE9011-5697-4F1C-A10D-71B590456BA5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Fairness Opinion for CY 21 on pg. 78.</t>
        </r>
      </text>
    </comment>
    <comment ref="F29" authorId="0" shapeId="0" xr:uid="{44C75BD2-532C-4DA8-9CA3-FBBEEEDB582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Fairness Opinion for CY 22 on pg. 78.</t>
        </r>
      </text>
    </comment>
    <comment ref="D30" authorId="0" shapeId="0" xr:uid="{18BC47C2-86A0-4310-913D-A3CE3A0CB2E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FO calculates EBITDA differently; also could not find projections from right before the deal announcement.</t>
        </r>
      </text>
    </comment>
    <comment ref="E30" authorId="0" shapeId="0" xr:uid="{1AF803D5-4C9D-49AB-8F6D-ADBD17236DF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the NTM estimate from Capital IQ.</t>
        </r>
      </text>
    </comment>
    <comment ref="G33" authorId="0" shapeId="0" xr:uid="{06863B57-3F02-46EB-AE0E-5E1E4EB0D03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65% stock and 35% cash. Per the Fairness Opinion - https://www.sec.gov/Archives/edgar/data/0000899866/000104746921000931/a2243190zdefm14a.htm#dg48804_opinion_of_alexion_s_financial_advisor</t>
        </r>
      </text>
    </comment>
    <comment ref="G38" authorId="0" shapeId="0" xr:uid="{FF32E08E-9367-4CD2-8538-EEFDB1F8C00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more recent number from the deal press release.</t>
        </r>
      </text>
    </comment>
    <comment ref="E41" authorId="0" shapeId="0" xr:uid="{F072AF89-FB73-42A0-87EE-8910858C847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number from Section 4.05 here:
https://www.sec.gov/Archives/edgar/data/899866/000114036120028237/nc10017928x1_ex2-1.htm</t>
        </r>
      </text>
    </comment>
    <comment ref="F62" authorId="0" shapeId="0" xr:uid="{6733E0F9-7B6D-4241-930D-3B3C8AB3B7C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RSUs + PSUs per Section 4.05 here:
https://www.sec.gov/Archives/edgar/data/899866/000114036120028237/nc10017928x1_ex2-1.htm</t>
        </r>
      </text>
    </comment>
  </commentList>
</comments>
</file>

<file path=xl/sharedStrings.xml><?xml version="1.0" encoding="utf-8"?>
<sst xmlns="http://schemas.openxmlformats.org/spreadsheetml/2006/main" count="104" uniqueCount="101">
  <si>
    <t>Ticker:</t>
  </si>
  <si>
    <t>Company Name:</t>
  </si>
  <si>
    <t>Calendarization:</t>
  </si>
  <si>
    <t>Old Partial</t>
  </si>
  <si>
    <t>New Partial</t>
  </si>
  <si>
    <t>FY</t>
  </si>
  <si>
    <t>LTM</t>
  </si>
  <si>
    <t>LTM Revenue:</t>
  </si>
  <si>
    <t>(+) Non-Recurring Items in EBIT:</t>
  </si>
  <si>
    <t>(+) Depreciation &amp; Amortization:</t>
  </si>
  <si>
    <t>LTM EBITDA:</t>
  </si>
  <si>
    <t>Effective Tax Rate:</t>
  </si>
  <si>
    <t>Balance Sheet Data:</t>
  </si>
  <si>
    <t>(-) Cash &amp; Investments:</t>
  </si>
  <si>
    <t>(-) Equity Investments:</t>
  </si>
  <si>
    <t>(-) Other Non-Core Assets, Net:</t>
  </si>
  <si>
    <t>(-) Net Operating Losses:</t>
  </si>
  <si>
    <t>(+) Debt &amp; Finance Leases:</t>
  </si>
  <si>
    <t>(+) Preferred Stock:</t>
  </si>
  <si>
    <t>(+) Operating Leases:</t>
  </si>
  <si>
    <t>(+) Noncontrolling Interests:</t>
  </si>
  <si>
    <t>(+) Unfunded Pensions:</t>
  </si>
  <si>
    <t>Projected Financials:</t>
  </si>
  <si>
    <t>Revenue:</t>
  </si>
  <si>
    <t>EBITDA:</t>
  </si>
  <si>
    <t>Diluted Shares Calculations:</t>
  </si>
  <si>
    <t>Common Shares Outstanding:</t>
  </si>
  <si>
    <t>Options and Warrants:</t>
  </si>
  <si>
    <t>Total</t>
  </si>
  <si>
    <t>Strike</t>
  </si>
  <si>
    <t>Dilution</t>
  </si>
  <si>
    <t>Convertible Bonds:</t>
  </si>
  <si>
    <t>$ Amount</t>
  </si>
  <si>
    <t>Par Value</t>
  </si>
  <si>
    <t>Conv. Price</t>
  </si>
  <si>
    <t>Market Val.</t>
  </si>
  <si>
    <t>Coup. Rate</t>
  </si>
  <si>
    <t># RSUs</t>
  </si>
  <si>
    <t>Restricted Stock Units (RSUs):</t>
  </si>
  <si>
    <t>Total Diluted Shares:</t>
  </si>
  <si>
    <t>Valuation Metrics:</t>
  </si>
  <si>
    <t>Valuation Multiples:</t>
  </si>
  <si>
    <t>TEV / Revenue:</t>
  </si>
  <si>
    <t>TEV / EBITDA:</t>
  </si>
  <si>
    <t>Lookup Variables:</t>
  </si>
  <si>
    <t>LTM EBITDA Margin:</t>
  </si>
  <si>
    <t>Corporate Website:</t>
  </si>
  <si>
    <t>ALXN</t>
  </si>
  <si>
    <t>Offer Price per Share:</t>
  </si>
  <si>
    <t>Announcement Date:</t>
  </si>
  <si>
    <t>Share Price - 1-Day Prior:</t>
  </si>
  <si>
    <t>Share Price - 1-Week Prior:</t>
  </si>
  <si>
    <t>Share Price - 1-Month Prior:</t>
  </si>
  <si>
    <t>N/A</t>
  </si>
  <si>
    <t>Operating Income (EBIT):</t>
  </si>
  <si>
    <t>Projected Revenue:</t>
  </si>
  <si>
    <t>Projected EBITDA:</t>
  </si>
  <si>
    <t>Projected Year 1 Revenue:</t>
  </si>
  <si>
    <t>Projected Year 1 EBITDA:</t>
  </si>
  <si>
    <t>Projected Year 2 Revenue:</t>
  </si>
  <si>
    <t>Projected Year 2 EBITDA:</t>
  </si>
  <si>
    <t>Projected Year 1 Revenue Growth:</t>
  </si>
  <si>
    <t>Projected Year 1 EBITDA Growth:</t>
  </si>
  <si>
    <t>Projected Year 2 Revenue Growth:</t>
  </si>
  <si>
    <t>Projected Year 2 EBITDA Growth:</t>
  </si>
  <si>
    <t>Projected Year 1 EBITDA Margin:</t>
  </si>
  <si>
    <t>Projected Year 2 EBITDA Margin:</t>
  </si>
  <si>
    <t>1-Day Premium:</t>
  </si>
  <si>
    <t>1-Week Premium:</t>
  </si>
  <si>
    <t>1-Month Premium:</t>
  </si>
  <si>
    <t>https://ir.alexion.com/</t>
  </si>
  <si>
    <t>Purchase Equity Value:</t>
  </si>
  <si>
    <t>Purchase Enterprise Value:</t>
  </si>
  <si>
    <t>Fw. Year 1</t>
  </si>
  <si>
    <t>Fw. Year 2</t>
  </si>
  <si>
    <t>Fw. Year 3</t>
  </si>
  <si>
    <r>
      <t>Step 1:</t>
    </r>
    <r>
      <rPr>
        <sz val="12"/>
        <color theme="1"/>
        <rFont val="Calibri"/>
        <family val="2"/>
        <scheme val="minor"/>
      </rPr>
      <t xml:space="preserve"> Find the Offer Price per Share, ideally from the Fairness Opinion. If that doesn't work, look in press releases.</t>
    </r>
  </si>
  <si>
    <t>You can also gather data on prior share prices at this time, which should be available via free sources for recent deals.</t>
  </si>
  <si>
    <r>
      <t>Step 2:</t>
    </r>
    <r>
      <rPr>
        <sz val="12"/>
        <color theme="1"/>
        <rFont val="Calibri"/>
        <family val="2"/>
        <scheme val="minor"/>
      </rPr>
      <t xml:space="preserve"> Gather information on the diluted shares - ideally from the deal documents used to calculate the total price,</t>
    </r>
  </si>
  <si>
    <t>but the 10-Q, 10-K (or interim and annual reports outside the U.S.) are also fine.</t>
  </si>
  <si>
    <r>
      <t>TIP:</t>
    </r>
    <r>
      <rPr>
        <sz val="12"/>
        <color theme="1"/>
        <rFont val="Calibri"/>
        <family val="2"/>
        <scheme val="minor"/>
      </rPr>
      <t xml:space="preserve"> Search for terms like "Capitalization" in the deal filings or "authorized capital stock."</t>
    </r>
  </si>
  <si>
    <t>No convertible bonds here, so that makes things easier.</t>
  </si>
  <si>
    <r>
      <t>Step 3:</t>
    </r>
    <r>
      <rPr>
        <sz val="12"/>
        <color theme="1"/>
        <rFont val="Calibri"/>
        <family val="2"/>
        <scheme val="minor"/>
      </rPr>
      <t xml:space="preserve"> Enter the TEV bridge line items, using the most recent 10-Q (or 10-K if that is more recent).</t>
    </r>
  </si>
  <si>
    <t>Ideally, use the fair value of Debt and Leases if possible (and Equity Investments, etc.), but it's not the end of the world</t>
  </si>
  <si>
    <t>if you can't find it.</t>
  </si>
  <si>
    <t>by subtracting just the Operating Lease Liability.</t>
  </si>
  <si>
    <t>Leases are a bit tricky because the company discloses Total Leases, so we have to back into Finance Lease Liabilities</t>
  </si>
  <si>
    <t>Company discloses in the 10-K on pg. 133 that "fair value approximates book value."</t>
  </si>
  <si>
    <r>
      <t>Step 4:</t>
    </r>
    <r>
      <rPr>
        <sz val="12"/>
        <color theme="1"/>
        <rFont val="Calibri"/>
        <family val="2"/>
        <scheme val="minor"/>
      </rPr>
      <t xml:space="preserve"> Calculate LTM Revenue and EBITDA. No, we're not bothering with LTM Net Income here - it's just too tedious</t>
    </r>
  </si>
  <si>
    <t>and not worth the time and effort.</t>
  </si>
  <si>
    <t xml:space="preserve">Main non-recurring items to adjust for: acquired in-process R&amp;D, acquisition costs, impairments, gain on asset sale, and </t>
  </si>
  <si>
    <t>legal settlement fees.</t>
  </si>
  <si>
    <t xml:space="preserve">"Restructuring" here seems to be recurring, and we're not adding back the Change in the FV of Contingent Consideration, </t>
  </si>
  <si>
    <t>just like we did not add it back in the Public Comps.</t>
  </si>
  <si>
    <r>
      <t xml:space="preserve">forecasts </t>
    </r>
    <r>
      <rPr>
        <i/>
        <sz val="12"/>
        <color theme="1"/>
        <rFont val="Calibri"/>
        <family val="2"/>
        <scheme val="minor"/>
      </rPr>
      <t>as of the deal announcement date</t>
    </r>
    <r>
      <rPr>
        <sz val="12"/>
        <color theme="1"/>
        <rFont val="Calibri"/>
        <family val="2"/>
        <scheme val="minor"/>
      </rPr>
      <t>.</t>
    </r>
  </si>
  <si>
    <t>Alexion Pharmaceuticals, Inc.</t>
  </si>
  <si>
    <t>That's why these are usually viewed as "optional" - very tough to find unless you happen to have consistent data collected</t>
  </si>
  <si>
    <t>from many years. We can use the revenue estimates in the Fairness Opinion here (unfortunately, nothing on EBITDA - just</t>
  </si>
  <si>
    <t>EBIT). But we're not even using projected multiples anyway, so…</t>
  </si>
  <si>
    <t>The #s differ a bit here due to a different AstraZeneca ADR reference price, so we'll use the FO.</t>
  </si>
  <si>
    <r>
      <t>Step 5:</t>
    </r>
    <r>
      <rPr>
        <sz val="12"/>
        <color theme="1"/>
        <rFont val="Calibri"/>
        <family val="2"/>
        <scheme val="minor"/>
      </rPr>
      <t xml:space="preserve"> Fill in the projected financials if you can find them. Difficult for M&amp;A comps because you need the consensus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</si>
</sst>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_(&quot;$&quot;* #,##0.0_);_(&quot;$&quot;* \(#,##0.0\);_(&quot;$&quot;* &quot;-&quot;_);_(@_)"/>
    <numFmt numFmtId="166" formatCode="_(* #,##0_);_(* \(#,##0\);_(* &quot;-&quot;?_);_(@_)"/>
    <numFmt numFmtId="167" formatCode="_(* #,##0.0_);_(* \(#,##0.0\);_(* &quot;-&quot;?_);_(@_)"/>
    <numFmt numFmtId="168" formatCode="_(* #,##0.0_);_(* \(#,##0.0\);_(* &quot;-&quot;_);_(@_)"/>
    <numFmt numFmtId="169" formatCode="_(0.0%_);\(0.0%\);_(&quot;–&quot;_)_%;_(@_)_%"/>
    <numFmt numFmtId="170" formatCode="0.0%"/>
    <numFmt numFmtId="171" formatCode="#,##0.000"/>
    <numFmt numFmtId="172" formatCode="_(&quot;$&quot;* #,##0.0_);_(&quot;$&quot;* \(#,##0.0\);_(&quot;$&quot;* &quot;-&quot;?_);_(@_)"/>
    <numFmt numFmtId="173" formatCode="_(0.000%_);\(0.000%\);_(&quot;–&quot;_)_%;_(@_)_%"/>
    <numFmt numFmtId="174" formatCode="0.0\ \x;[Red]\ 0.0\ \x"/>
  </numFmts>
  <fonts count="26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u/>
      <sz val="12"/>
      <color indexed="9"/>
      <name val="Calibri"/>
      <family val="2"/>
      <scheme val="minor"/>
    </font>
    <font>
      <u/>
      <sz val="12"/>
      <color indexed="9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10" fillId="0" borderId="0"/>
  </cellStyleXfs>
  <cellXfs count="135">
    <xf numFmtId="0" fontId="0" fillId="0" borderId="0" xfId="0"/>
    <xf numFmtId="0" fontId="7" fillId="0" borderId="0" xfId="2" applyFont="1" applyAlignment="1">
      <alignment horizontal="center"/>
    </xf>
    <xf numFmtId="0" fontId="11" fillId="0" borderId="0" xfId="2" applyFont="1"/>
    <xf numFmtId="0" fontId="7" fillId="0" borderId="0" xfId="2" applyFont="1"/>
    <xf numFmtId="0" fontId="5" fillId="0" borderId="0" xfId="2" applyFont="1"/>
    <xf numFmtId="0" fontId="4" fillId="0" borderId="0" xfId="2" applyFont="1"/>
    <xf numFmtId="164" fontId="11" fillId="0" borderId="6" xfId="0" applyNumberFormat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5" fontId="16" fillId="0" borderId="0" xfId="2" applyNumberFormat="1" applyFont="1"/>
    <xf numFmtId="165" fontId="15" fillId="0" borderId="5" xfId="2" applyNumberFormat="1" applyFont="1" applyBorder="1"/>
    <xf numFmtId="165" fontId="16" fillId="0" borderId="4" xfId="2" applyNumberFormat="1" applyFont="1" applyBorder="1"/>
    <xf numFmtId="166" fontId="16" fillId="0" borderId="4" xfId="2" applyNumberFormat="1" applyFont="1" applyBorder="1"/>
    <xf numFmtId="166" fontId="16" fillId="0" borderId="0" xfId="2" applyNumberFormat="1" applyFont="1"/>
    <xf numFmtId="166" fontId="15" fillId="0" borderId="5" xfId="2" applyNumberFormat="1" applyFont="1" applyBorder="1"/>
    <xf numFmtId="167" fontId="16" fillId="0" borderId="0" xfId="2" applyNumberFormat="1" applyFont="1"/>
    <xf numFmtId="168" fontId="16" fillId="0" borderId="4" xfId="2" applyNumberFormat="1" applyFont="1" applyBorder="1"/>
    <xf numFmtId="168" fontId="15" fillId="0" borderId="0" xfId="2" applyNumberFormat="1" applyFont="1"/>
    <xf numFmtId="168" fontId="16" fillId="0" borderId="0" xfId="2" applyNumberFormat="1" applyFont="1"/>
    <xf numFmtId="168" fontId="15" fillId="0" borderId="5" xfId="2" applyNumberFormat="1" applyFont="1" applyBorder="1"/>
    <xf numFmtId="167" fontId="15" fillId="0" borderId="5" xfId="2" applyNumberFormat="1" applyFont="1" applyBorder="1"/>
    <xf numFmtId="0" fontId="11" fillId="0" borderId="0" xfId="2" applyFont="1" applyAlignment="1">
      <alignment horizontal="left" indent="1"/>
    </xf>
    <xf numFmtId="0" fontId="7" fillId="0" borderId="0" xfId="2" applyFont="1" applyAlignment="1">
      <alignment horizontal="left" indent="1"/>
    </xf>
    <xf numFmtId="0" fontId="17" fillId="0" borderId="2" xfId="2" applyFont="1" applyBorder="1" applyAlignment="1">
      <alignment horizontal="left"/>
    </xf>
    <xf numFmtId="0" fontId="7" fillId="0" borderId="2" xfId="2" applyFont="1" applyBorder="1" applyAlignment="1">
      <alignment horizontal="left" indent="1"/>
    </xf>
    <xf numFmtId="168" fontId="18" fillId="0" borderId="2" xfId="2" applyNumberFormat="1" applyFont="1" applyBorder="1"/>
    <xf numFmtId="168" fontId="18" fillId="0" borderId="1" xfId="2" applyNumberFormat="1" applyFont="1" applyBorder="1"/>
    <xf numFmtId="165" fontId="18" fillId="0" borderId="3" xfId="2" applyNumberFormat="1" applyFont="1" applyBorder="1"/>
    <xf numFmtId="0" fontId="7" fillId="0" borderId="0" xfId="2" applyFont="1" applyAlignment="1">
      <alignment horizontal="left"/>
    </xf>
    <xf numFmtId="167" fontId="16" fillId="0" borderId="4" xfId="2" applyNumberFormat="1" applyFont="1" applyBorder="1"/>
    <xf numFmtId="9" fontId="19" fillId="0" borderId="4" xfId="2" applyNumberFormat="1" applyFont="1" applyBorder="1"/>
    <xf numFmtId="9" fontId="19" fillId="0" borderId="0" xfId="2" applyNumberFormat="1" applyFont="1"/>
    <xf numFmtId="170" fontId="4" fillId="0" borderId="0" xfId="2" applyNumberFormat="1" applyFont="1"/>
    <xf numFmtId="0" fontId="4" fillId="0" borderId="4" xfId="2" applyFont="1" applyBorder="1"/>
    <xf numFmtId="6" fontId="4" fillId="0" borderId="0" xfId="2" applyNumberFormat="1" applyFont="1"/>
    <xf numFmtId="0" fontId="4" fillId="0" borderId="10" xfId="2" applyFont="1" applyBorder="1"/>
    <xf numFmtId="9" fontId="4" fillId="0" borderId="5" xfId="2" applyNumberFormat="1" applyFont="1" applyBorder="1"/>
    <xf numFmtId="0" fontId="11" fillId="0" borderId="0" xfId="2" applyFont="1" applyAlignment="1">
      <alignment horizontal="left"/>
    </xf>
    <xf numFmtId="165" fontId="15" fillId="0" borderId="9" xfId="2" applyNumberFormat="1" applyFont="1" applyBorder="1"/>
    <xf numFmtId="0" fontId="8" fillId="2" borderId="4" xfId="2" applyFont="1" applyFill="1" applyBorder="1" applyAlignment="1">
      <alignment horizontal="centerContinuous"/>
    </xf>
    <xf numFmtId="0" fontId="4" fillId="2" borderId="0" xfId="2" applyFont="1" applyFill="1" applyAlignment="1">
      <alignment horizontal="centerContinuous"/>
    </xf>
    <xf numFmtId="165" fontId="16" fillId="0" borderId="9" xfId="2" applyNumberFormat="1" applyFont="1" applyBorder="1"/>
    <xf numFmtId="168" fontId="16" fillId="0" borderId="9" xfId="2" applyNumberFormat="1" applyFont="1" applyBorder="1"/>
    <xf numFmtId="168" fontId="15" fillId="0" borderId="9" xfId="2" applyNumberFormat="1" applyFont="1" applyBorder="1"/>
    <xf numFmtId="0" fontId="4" fillId="2" borderId="5" xfId="2" applyFont="1" applyFill="1" applyBorder="1" applyAlignment="1">
      <alignment horizontal="centerContinuous"/>
    </xf>
    <xf numFmtId="0" fontId="8" fillId="2" borderId="10" xfId="2" applyFont="1" applyFill="1" applyBorder="1" applyAlignment="1">
      <alignment horizontal="centerContinuous"/>
    </xf>
    <xf numFmtId="0" fontId="4" fillId="2" borderId="11" xfId="2" applyFont="1" applyFill="1" applyBorder="1" applyAlignment="1">
      <alignment horizontal="centerContinuous"/>
    </xf>
    <xf numFmtId="0" fontId="4" fillId="0" borderId="5" xfId="2" applyFont="1" applyBorder="1"/>
    <xf numFmtId="0" fontId="4" fillId="2" borderId="12" xfId="2" applyFont="1" applyFill="1" applyBorder="1" applyAlignment="1">
      <alignment horizontal="centerContinuous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indent="1"/>
    </xf>
    <xf numFmtId="0" fontId="8" fillId="2" borderId="1" xfId="2" applyFont="1" applyFill="1" applyBorder="1" applyAlignment="1">
      <alignment horizontal="centerContinuous"/>
    </xf>
    <xf numFmtId="0" fontId="4" fillId="2" borderId="2" xfId="2" applyFont="1" applyFill="1" applyBorder="1" applyAlignment="1">
      <alignment horizontal="centerContinuous"/>
    </xf>
    <xf numFmtId="44" fontId="16" fillId="0" borderId="9" xfId="2" applyNumberFormat="1" applyFont="1" applyBorder="1"/>
    <xf numFmtId="4" fontId="16" fillId="0" borderId="9" xfId="2" applyNumberFormat="1" applyFont="1" applyBorder="1" applyAlignment="1">
      <alignment horizontal="right"/>
    </xf>
    <xf numFmtId="0" fontId="4" fillId="2" borderId="4" xfId="2" applyFont="1" applyFill="1" applyBorder="1"/>
    <xf numFmtId="0" fontId="4" fillId="2" borderId="0" xfId="2" applyFont="1" applyFill="1"/>
    <xf numFmtId="0" fontId="4" fillId="2" borderId="5" xfId="2" applyFont="1" applyFill="1" applyBorder="1"/>
    <xf numFmtId="171" fontId="16" fillId="0" borderId="9" xfId="2" applyNumberFormat="1" applyFont="1" applyBorder="1"/>
    <xf numFmtId="44" fontId="16" fillId="0" borderId="9" xfId="2" applyNumberFormat="1" applyFont="1" applyBorder="1" applyAlignment="1">
      <alignment horizontal="right"/>
    </xf>
    <xf numFmtId="171" fontId="4" fillId="0" borderId="9" xfId="2" applyNumberFormat="1" applyFont="1" applyBorder="1"/>
    <xf numFmtId="0" fontId="4" fillId="3" borderId="4" xfId="2" applyFont="1" applyFill="1" applyBorder="1"/>
    <xf numFmtId="171" fontId="16" fillId="3" borderId="7" xfId="2" applyNumberFormat="1" applyFont="1" applyFill="1" applyBorder="1"/>
    <xf numFmtId="44" fontId="16" fillId="3" borderId="7" xfId="2" applyNumberFormat="1" applyFont="1" applyFill="1" applyBorder="1" applyAlignment="1">
      <alignment horizontal="right"/>
    </xf>
    <xf numFmtId="4" fontId="4" fillId="3" borderId="8" xfId="2" applyNumberFormat="1" applyFont="1" applyFill="1" applyBorder="1"/>
    <xf numFmtId="172" fontId="16" fillId="0" borderId="9" xfId="2" applyNumberFormat="1" applyFont="1" applyBorder="1"/>
    <xf numFmtId="172" fontId="16" fillId="0" borderId="7" xfId="2" applyNumberFormat="1" applyFont="1" applyBorder="1"/>
    <xf numFmtId="167" fontId="16" fillId="0" borderId="9" xfId="2" applyNumberFormat="1" applyFont="1" applyBorder="1"/>
    <xf numFmtId="167" fontId="16" fillId="0" borderId="7" xfId="2" applyNumberFormat="1" applyFont="1" applyBorder="1"/>
    <xf numFmtId="171" fontId="16" fillId="3" borderId="2" xfId="2" applyNumberFormat="1" applyFont="1" applyFill="1" applyBorder="1"/>
    <xf numFmtId="44" fontId="16" fillId="3" borderId="2" xfId="2" applyNumberFormat="1" applyFont="1" applyFill="1" applyBorder="1" applyAlignment="1">
      <alignment horizontal="right"/>
    </xf>
    <xf numFmtId="4" fontId="4" fillId="3" borderId="3" xfId="2" applyNumberFormat="1" applyFont="1" applyFill="1" applyBorder="1"/>
    <xf numFmtId="44" fontId="16" fillId="3" borderId="0" xfId="2" applyNumberFormat="1" applyFont="1" applyFill="1" applyAlignment="1">
      <alignment horizontal="right"/>
    </xf>
    <xf numFmtId="4" fontId="4" fillId="3" borderId="5" xfId="2" applyNumberFormat="1" applyFont="1" applyFill="1" applyBorder="1"/>
    <xf numFmtId="173" fontId="16" fillId="0" borderId="9" xfId="2" applyNumberFormat="1" applyFont="1" applyBorder="1"/>
    <xf numFmtId="44" fontId="16" fillId="3" borderId="4" xfId="2" applyNumberFormat="1" applyFont="1" applyFill="1" applyBorder="1" applyAlignment="1">
      <alignment horizontal="right"/>
    </xf>
    <xf numFmtId="171" fontId="16" fillId="3" borderId="0" xfId="2" applyNumberFormat="1" applyFont="1" applyFill="1"/>
    <xf numFmtId="171" fontId="16" fillId="3" borderId="5" xfId="2" applyNumberFormat="1" applyFont="1" applyFill="1" applyBorder="1"/>
    <xf numFmtId="171" fontId="16" fillId="3" borderId="8" xfId="2" applyNumberFormat="1" applyFont="1" applyFill="1" applyBorder="1"/>
    <xf numFmtId="0" fontId="4" fillId="2" borderId="10" xfId="2" applyFont="1" applyFill="1" applyBorder="1"/>
    <xf numFmtId="0" fontId="4" fillId="2" borderId="11" xfId="2" applyFont="1" applyFill="1" applyBorder="1"/>
    <xf numFmtId="4" fontId="8" fillId="0" borderId="9" xfId="2" applyNumberFormat="1" applyFont="1" applyBorder="1"/>
    <xf numFmtId="0" fontId="4" fillId="0" borderId="1" xfId="2" applyFont="1" applyBorder="1"/>
    <xf numFmtId="0" fontId="4" fillId="0" borderId="3" xfId="2" applyFont="1" applyBorder="1"/>
    <xf numFmtId="0" fontId="4" fillId="2" borderId="3" xfId="2" applyFont="1" applyFill="1" applyBorder="1" applyAlignment="1">
      <alignment horizontal="centerContinuous"/>
    </xf>
    <xf numFmtId="165" fontId="4" fillId="0" borderId="9" xfId="2" applyNumberFormat="1" applyFont="1" applyBorder="1"/>
    <xf numFmtId="168" fontId="4" fillId="0" borderId="9" xfId="2" applyNumberFormat="1" applyFont="1" applyBorder="1"/>
    <xf numFmtId="174" fontId="15" fillId="0" borderId="1" xfId="2" applyNumberFormat="1" applyFont="1" applyBorder="1"/>
    <xf numFmtId="174" fontId="15" fillId="0" borderId="2" xfId="2" applyNumberFormat="1" applyFont="1" applyBorder="1"/>
    <xf numFmtId="174" fontId="15" fillId="0" borderId="3" xfId="2" applyNumberFormat="1" applyFont="1" applyBorder="1"/>
    <xf numFmtId="174" fontId="15" fillId="0" borderId="10" xfId="2" applyNumberFormat="1" applyFont="1" applyBorder="1"/>
    <xf numFmtId="174" fontId="15" fillId="0" borderId="11" xfId="2" applyNumberFormat="1" applyFont="1" applyBorder="1"/>
    <xf numFmtId="174" fontId="15" fillId="0" borderId="13" xfId="2" applyNumberFormat="1" applyFont="1" applyBorder="1"/>
    <xf numFmtId="0" fontId="4" fillId="2" borderId="3" xfId="2" applyFont="1" applyFill="1" applyBorder="1"/>
    <xf numFmtId="167" fontId="15" fillId="0" borderId="9" xfId="2" applyNumberFormat="1" applyFont="1" applyBorder="1"/>
    <xf numFmtId="169" fontId="15" fillId="0" borderId="9" xfId="2" applyNumberFormat="1" applyFont="1" applyBorder="1"/>
    <xf numFmtId="174" fontId="15" fillId="0" borderId="9" xfId="2" applyNumberFormat="1" applyFont="1" applyBorder="1"/>
    <xf numFmtId="0" fontId="20" fillId="0" borderId="0" xfId="0" applyFont="1"/>
    <xf numFmtId="0" fontId="22" fillId="0" borderId="0" xfId="1" applyFont="1"/>
    <xf numFmtId="0" fontId="22" fillId="0" borderId="0" xfId="1" applyFont="1" applyAlignment="1">
      <alignment horizontal="right"/>
    </xf>
    <xf numFmtId="0" fontId="12" fillId="4" borderId="1" xfId="2" applyFont="1" applyFill="1" applyBorder="1" applyAlignment="1">
      <alignment horizontal="left"/>
    </xf>
    <xf numFmtId="0" fontId="13" fillId="4" borderId="2" xfId="2" applyFont="1" applyFill="1" applyBorder="1" applyAlignment="1">
      <alignment horizontal="left"/>
    </xf>
    <xf numFmtId="0" fontId="14" fillId="4" borderId="2" xfId="2" applyFont="1" applyFill="1" applyBorder="1" applyAlignment="1">
      <alignment horizontal="left"/>
    </xf>
    <xf numFmtId="0" fontId="12" fillId="4" borderId="3" xfId="2" applyFont="1" applyFill="1" applyBorder="1" applyAlignment="1">
      <alignment horizontal="right"/>
    </xf>
    <xf numFmtId="0" fontId="12" fillId="4" borderId="4" xfId="2" applyFont="1" applyFill="1" applyBorder="1" applyAlignment="1">
      <alignment horizontal="left"/>
    </xf>
    <xf numFmtId="0" fontId="13" fillId="4" borderId="0" xfId="2" applyFont="1" applyFill="1" applyAlignment="1">
      <alignment horizontal="left"/>
    </xf>
    <xf numFmtId="0" fontId="14" fillId="4" borderId="0" xfId="2" applyFont="1" applyFill="1" applyAlignment="1">
      <alignment horizontal="left"/>
    </xf>
    <xf numFmtId="0" fontId="12" fillId="4" borderId="5" xfId="2" applyFont="1" applyFill="1" applyBorder="1" applyAlignment="1">
      <alignment horizontal="right"/>
    </xf>
    <xf numFmtId="0" fontId="6" fillId="4" borderId="6" xfId="2" applyFont="1" applyFill="1" applyBorder="1" applyAlignment="1">
      <alignment horizontal="centerContinuous"/>
    </xf>
    <xf numFmtId="0" fontId="9" fillId="4" borderId="7" xfId="2" applyFont="1" applyFill="1" applyBorder="1" applyAlignment="1">
      <alignment horizontal="centerContinuous"/>
    </xf>
    <xf numFmtId="0" fontId="9" fillId="4" borderId="8" xfId="2" applyFont="1" applyFill="1" applyBorder="1" applyAlignment="1">
      <alignment horizontal="centerContinuous"/>
    </xf>
    <xf numFmtId="0" fontId="8" fillId="5" borderId="4" xfId="2" applyFont="1" applyFill="1" applyBorder="1" applyAlignment="1">
      <alignment horizontal="centerContinuous"/>
    </xf>
    <xf numFmtId="0" fontId="5" fillId="5" borderId="0" xfId="2" applyFont="1" applyFill="1" applyAlignment="1">
      <alignment horizontal="centerContinuous"/>
    </xf>
    <xf numFmtId="0" fontId="5" fillId="5" borderId="5" xfId="2" applyFont="1" applyFill="1" applyBorder="1" applyAlignment="1">
      <alignment horizontal="centerContinuous"/>
    </xf>
    <xf numFmtId="164" fontId="15" fillId="5" borderId="6" xfId="0" applyNumberFormat="1" applyFont="1" applyFill="1" applyBorder="1" applyAlignment="1">
      <alignment horizontal="center"/>
    </xf>
    <xf numFmtId="164" fontId="15" fillId="5" borderId="7" xfId="0" applyNumberFormat="1" applyFont="1" applyFill="1" applyBorder="1" applyAlignment="1">
      <alignment horizontal="center"/>
    </xf>
    <xf numFmtId="164" fontId="15" fillId="5" borderId="8" xfId="0" applyNumberFormat="1" applyFont="1" applyFill="1" applyBorder="1" applyAlignment="1">
      <alignment horizontal="center"/>
    </xf>
    <xf numFmtId="164" fontId="15" fillId="5" borderId="9" xfId="0" applyNumberFormat="1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0" fontId="8" fillId="5" borderId="8" xfId="2" applyFont="1" applyFill="1" applyBorder="1" applyAlignment="1">
      <alignment horizontal="center"/>
    </xf>
    <xf numFmtId="0" fontId="8" fillId="5" borderId="9" xfId="2" applyFont="1" applyFill="1" applyBorder="1" applyAlignment="1">
      <alignment horizontal="center"/>
    </xf>
    <xf numFmtId="164" fontId="12" fillId="4" borderId="5" xfId="2" applyNumberFormat="1" applyFont="1" applyFill="1" applyBorder="1" applyAlignment="1">
      <alignment horizontal="right"/>
    </xf>
    <xf numFmtId="0" fontId="4" fillId="2" borderId="13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Continuous"/>
    </xf>
    <xf numFmtId="0" fontId="3" fillId="0" borderId="0" xfId="2" applyFont="1" applyAlignment="1">
      <alignment horizontal="left" indent="1"/>
    </xf>
    <xf numFmtId="0" fontId="4" fillId="2" borderId="8" xfId="2" applyFont="1" applyFill="1" applyBorder="1" applyAlignment="1">
      <alignment horizontal="centerContinuous"/>
    </xf>
    <xf numFmtId="43" fontId="16" fillId="0" borderId="9" xfId="2" applyNumberFormat="1" applyFont="1" applyBorder="1"/>
    <xf numFmtId="0" fontId="2" fillId="0" borderId="0" xfId="2" applyFont="1"/>
    <xf numFmtId="171" fontId="15" fillId="0" borderId="9" xfId="2" applyNumberFormat="1" applyFont="1" applyBorder="1"/>
    <xf numFmtId="44" fontId="4" fillId="0" borderId="0" xfId="2" applyNumberFormat="1" applyFont="1"/>
    <xf numFmtId="169" fontId="15" fillId="0" borderId="5" xfId="2" applyNumberFormat="1" applyFont="1" applyBorder="1"/>
    <xf numFmtId="0" fontId="8" fillId="0" borderId="0" xfId="2" applyFont="1"/>
    <xf numFmtId="0" fontId="1" fillId="0" borderId="0" xfId="2" applyFont="1"/>
  </cellXfs>
  <cellStyles count="3">
    <cellStyle name="Hyperlink" xfId="1" builtinId="8"/>
    <cellStyle name="Normal" xfId="0" builtinId="0"/>
    <cellStyle name="Normal 3 2 2" xfId="2" xr:uid="{9688E4AC-D933-4E4B-B256-9092B33DFD7D}"/>
  </cellStyles>
  <dxfs count="0"/>
  <tableStyles count="0" defaultTableStyle="TableStyleMedium2" defaultPivotStyle="PivotStyleLight16"/>
  <colors>
    <mruColors>
      <color rgb="FF0000FF"/>
      <color rgb="FF1F497D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BIWS)/BIWS-All-Courses/10-Fundamentals-2021-Revision/08-More-Complex-Valuation-DCF-2021/08-JAZZ-Valuation-DCF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JAZZ_DCF"/>
      <sheetName val="H1_Results"/>
      <sheetName val="ValGraph"/>
      <sheetName val="ValSum"/>
      <sheetName val="Public_Comps_Data"/>
      <sheetName val="Public_Comps"/>
      <sheetName val="WACC"/>
      <sheetName val="MA_Comps"/>
    </sheetNames>
    <sheetDataSet>
      <sheetData sheetId="0" refreshError="1"/>
      <sheetData sheetId="1" refreshError="1"/>
      <sheetData sheetId="2">
        <row r="7">
          <cell r="D7" t="str">
            <v>Jazz Pharmaceuticals plc</v>
          </cell>
          <cell r="K7">
            <v>44196</v>
          </cell>
        </row>
        <row r="8">
          <cell r="D8" t="str">
            <v>JAZZ</v>
          </cell>
          <cell r="K8">
            <v>44561</v>
          </cell>
        </row>
        <row r="9">
          <cell r="D9">
            <v>1000000</v>
          </cell>
        </row>
        <row r="10">
          <cell r="K10">
            <v>44439</v>
          </cell>
        </row>
        <row r="11">
          <cell r="D11">
            <v>131.71</v>
          </cell>
        </row>
        <row r="12">
          <cell r="D12">
            <v>0.15</v>
          </cell>
        </row>
        <row r="14">
          <cell r="D14" t="str">
            <v>Base</v>
          </cell>
        </row>
        <row r="16">
          <cell r="D16">
            <v>5.0000000000000001E-3</v>
          </cell>
        </row>
        <row r="17">
          <cell r="D17">
            <v>0.26520900000000003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F6">
            <v>1.2999999999999999E-2</v>
          </cell>
        </row>
        <row r="7">
          <cell r="F7">
            <v>5.5E-2</v>
          </cell>
        </row>
        <row r="8">
          <cell r="F8">
            <v>3.0862272413914382E-2</v>
          </cell>
        </row>
        <row r="9">
          <cell r="F9">
            <v>0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alexion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F4DF-1CAA-41D9-BBAA-7430D4E19B11}">
  <sheetPr>
    <tabColor rgb="FF0000FF"/>
    <pageSetUpPr autoPageBreaks="0"/>
  </sheetPr>
  <dimension ref="A1:AW110"/>
  <sheetViews>
    <sheetView showGridLines="0" tabSelected="1" topLeftCell="B1" zoomScaleNormal="100" zoomScaleSheetLayoutView="55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G7" sqref="D7:G12"/>
    </sheetView>
  </sheetViews>
  <sheetFormatPr defaultColWidth="8.85546875" defaultRowHeight="15.75" x14ac:dyDescent="0.25"/>
  <cols>
    <col min="1" max="1" width="2.7109375" style="5" customWidth="1"/>
    <col min="2" max="2" width="26.140625" style="5" bestFit="1" customWidth="1"/>
    <col min="3" max="3" width="11.85546875" style="5" customWidth="1"/>
    <col min="4" max="8" width="12.7109375" style="5" customWidth="1"/>
    <col min="9" max="9" width="11.5703125" style="5" bestFit="1" customWidth="1"/>
    <col min="10" max="16384" width="8.85546875" style="5"/>
  </cols>
  <sheetData>
    <row r="1" spans="1:49" x14ac:dyDescent="0.25">
      <c r="A1" s="1"/>
      <c r="B1" s="2" t="s">
        <v>0</v>
      </c>
      <c r="C1" s="3"/>
      <c r="D1" s="101"/>
      <c r="E1" s="102"/>
      <c r="F1" s="103"/>
      <c r="G1" s="104" t="s">
        <v>47</v>
      </c>
      <c r="H1" s="4"/>
    </row>
    <row r="2" spans="1:49" s="4" customFormat="1" x14ac:dyDescent="0.25">
      <c r="A2" s="1"/>
      <c r="B2" s="2" t="s">
        <v>1</v>
      </c>
      <c r="C2" s="3"/>
      <c r="D2" s="105"/>
      <c r="E2" s="106"/>
      <c r="F2" s="107"/>
      <c r="G2" s="108" t="s">
        <v>95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s="4" customFormat="1" x14ac:dyDescent="0.25">
      <c r="A3" s="1"/>
      <c r="B3" s="2" t="s">
        <v>49</v>
      </c>
      <c r="C3" s="3"/>
      <c r="D3" s="105"/>
      <c r="E3" s="106"/>
      <c r="F3" s="107"/>
      <c r="G3" s="123">
        <v>44177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s="4" customFormat="1" x14ac:dyDescent="0.25">
      <c r="A4" s="1"/>
      <c r="B4" s="3"/>
      <c r="C4" s="3"/>
      <c r="D4" s="112" t="s">
        <v>2</v>
      </c>
      <c r="E4" s="113"/>
      <c r="F4" s="113"/>
      <c r="G4" s="11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1"/>
      <c r="B5" s="3"/>
      <c r="C5" s="3"/>
      <c r="D5" s="115">
        <v>43738</v>
      </c>
      <c r="E5" s="116">
        <v>44104</v>
      </c>
      <c r="F5" s="117">
        <v>43830</v>
      </c>
      <c r="G5" s="118">
        <f>E5</f>
        <v>44104</v>
      </c>
    </row>
    <row r="6" spans="1:49" x14ac:dyDescent="0.25">
      <c r="A6" s="1"/>
      <c r="B6" s="3"/>
      <c r="C6" s="3"/>
      <c r="D6" s="6" t="s">
        <v>3</v>
      </c>
      <c r="E6" s="7" t="s">
        <v>4</v>
      </c>
      <c r="F6" s="8" t="s">
        <v>5</v>
      </c>
      <c r="G6" s="9" t="s">
        <v>6</v>
      </c>
    </row>
    <row r="7" spans="1:49" x14ac:dyDescent="0.25">
      <c r="A7" s="1"/>
      <c r="B7" s="2" t="s">
        <v>23</v>
      </c>
      <c r="C7" s="3"/>
      <c r="D7" s="12">
        <v>3606.8</v>
      </c>
      <c r="E7" s="10">
        <v>4478.1000000000004</v>
      </c>
      <c r="F7" s="10">
        <v>4991.1000000000004</v>
      </c>
      <c r="G7" s="11">
        <f>F7+E7-D7</f>
        <v>5862.4000000000005</v>
      </c>
    </row>
    <row r="8" spans="1:49" x14ac:dyDescent="0.25">
      <c r="A8" s="1"/>
      <c r="B8" s="3"/>
      <c r="C8" s="3"/>
      <c r="D8" s="13"/>
      <c r="E8" s="14"/>
      <c r="F8" s="14"/>
      <c r="G8" s="15"/>
      <c r="I8" s="133" t="s">
        <v>76</v>
      </c>
    </row>
    <row r="9" spans="1:49" x14ac:dyDescent="0.25">
      <c r="A9" s="1"/>
      <c r="B9" s="2" t="s">
        <v>54</v>
      </c>
      <c r="C9" s="3"/>
      <c r="D9" s="19">
        <v>1579.4</v>
      </c>
      <c r="E9" s="19">
        <v>10.199999999999999</v>
      </c>
      <c r="F9" s="19">
        <v>2120.4</v>
      </c>
      <c r="G9" s="20">
        <f>F9+E9-D9</f>
        <v>551.19999999999982</v>
      </c>
      <c r="I9" s="134" t="s">
        <v>99</v>
      </c>
    </row>
    <row r="10" spans="1:49" x14ac:dyDescent="0.25">
      <c r="A10" s="1"/>
      <c r="B10" s="22" t="s">
        <v>8</v>
      </c>
      <c r="C10" s="23"/>
      <c r="D10" s="17">
        <v>-4.0999999999999996</v>
      </c>
      <c r="E10" s="18">
        <f>105.7+2053.3-14.8+21.5</f>
        <v>2165.6999999999998</v>
      </c>
      <c r="F10" s="19">
        <v>-4.0999999999999996</v>
      </c>
      <c r="G10" s="20">
        <f>F10+E10-D10</f>
        <v>2165.6999999999998</v>
      </c>
    </row>
    <row r="11" spans="1:49" x14ac:dyDescent="0.25">
      <c r="A11" s="1"/>
      <c r="B11" s="22" t="s">
        <v>9</v>
      </c>
      <c r="C11" s="23"/>
      <c r="D11" s="17">
        <v>286.2</v>
      </c>
      <c r="E11" s="19">
        <v>254.3</v>
      </c>
      <c r="F11" s="19">
        <v>376.8</v>
      </c>
      <c r="G11" s="20">
        <f>F11+E11-D11</f>
        <v>344.90000000000003</v>
      </c>
      <c r="I11" s="134" t="s">
        <v>77</v>
      </c>
    </row>
    <row r="12" spans="1:49" x14ac:dyDescent="0.25">
      <c r="A12" s="1"/>
      <c r="B12" s="24" t="s">
        <v>24</v>
      </c>
      <c r="C12" s="25"/>
      <c r="D12" s="27">
        <f>SUM(D9:D11)</f>
        <v>1861.5000000000002</v>
      </c>
      <c r="E12" s="26">
        <f>SUM(E9:E11)</f>
        <v>2430.1999999999998</v>
      </c>
      <c r="F12" s="26">
        <f>SUM(F9:F11)</f>
        <v>2493.1000000000004</v>
      </c>
      <c r="G12" s="28">
        <f>SUM(G9:G11)</f>
        <v>3061.7999999999997</v>
      </c>
    </row>
    <row r="13" spans="1:49" x14ac:dyDescent="0.25">
      <c r="A13" s="1"/>
      <c r="B13" s="29"/>
      <c r="C13" s="23"/>
      <c r="D13" s="30"/>
      <c r="E13" s="16"/>
      <c r="F13" s="16"/>
      <c r="G13" s="21"/>
      <c r="I13" s="133" t="s">
        <v>78</v>
      </c>
    </row>
    <row r="14" spans="1:49" x14ac:dyDescent="0.25">
      <c r="A14" s="1"/>
      <c r="B14" s="2" t="s">
        <v>11</v>
      </c>
      <c r="C14" s="3"/>
      <c r="D14" s="31"/>
      <c r="E14" s="32"/>
      <c r="F14" s="32"/>
      <c r="G14" s="132">
        <f>21%+0.7%+0.5%</f>
        <v>0.222</v>
      </c>
      <c r="H14" s="33"/>
      <c r="I14" s="134" t="s">
        <v>79</v>
      </c>
    </row>
    <row r="15" spans="1:49" x14ac:dyDescent="0.25">
      <c r="A15" s="1"/>
      <c r="B15" s="3"/>
      <c r="C15" s="3"/>
      <c r="D15" s="36"/>
      <c r="F15" s="35"/>
      <c r="G15" s="37"/>
    </row>
    <row r="16" spans="1:49" x14ac:dyDescent="0.25">
      <c r="A16" s="1"/>
      <c r="B16" s="23"/>
      <c r="C16" s="23"/>
      <c r="D16" s="109" t="s">
        <v>12</v>
      </c>
      <c r="E16" s="110"/>
      <c r="F16" s="110"/>
      <c r="G16" s="111"/>
      <c r="I16" s="133" t="s">
        <v>80</v>
      </c>
    </row>
    <row r="17" spans="1:9" x14ac:dyDescent="0.25">
      <c r="A17" s="1"/>
      <c r="B17" s="38" t="s">
        <v>13</v>
      </c>
      <c r="C17" s="29"/>
      <c r="D17" s="40"/>
      <c r="E17" s="41"/>
      <c r="F17" s="41"/>
      <c r="G17" s="39">
        <f>-2268-28.9</f>
        <v>-2296.9</v>
      </c>
    </row>
    <row r="18" spans="1:9" x14ac:dyDescent="0.25">
      <c r="A18" s="1"/>
      <c r="B18" s="38" t="s">
        <v>14</v>
      </c>
      <c r="C18" s="29"/>
      <c r="D18" s="40"/>
      <c r="E18" s="41"/>
      <c r="F18" s="41"/>
      <c r="G18" s="44">
        <f>-15-41-64-30.5-28.1-1.8-25</f>
        <v>-205.4</v>
      </c>
      <c r="I18" s="134" t="s">
        <v>81</v>
      </c>
    </row>
    <row r="19" spans="1:9" x14ac:dyDescent="0.25">
      <c r="A19" s="1"/>
      <c r="B19" s="38" t="s">
        <v>15</v>
      </c>
      <c r="C19" s="29"/>
      <c r="D19" s="40"/>
      <c r="E19" s="41"/>
      <c r="F19" s="41"/>
      <c r="G19" s="43">
        <v>0</v>
      </c>
    </row>
    <row r="20" spans="1:9" x14ac:dyDescent="0.25">
      <c r="A20" s="1"/>
      <c r="B20" s="38" t="s">
        <v>16</v>
      </c>
      <c r="C20" s="29"/>
      <c r="D20" s="40"/>
      <c r="E20" s="41"/>
      <c r="F20" s="41"/>
      <c r="G20" s="44">
        <f>-102.9*(1-72.6/2589.9)</f>
        <v>-100.01551025136106</v>
      </c>
      <c r="I20" s="133" t="s">
        <v>82</v>
      </c>
    </row>
    <row r="21" spans="1:9" x14ac:dyDescent="0.25">
      <c r="A21" s="1"/>
      <c r="B21" s="38" t="s">
        <v>17</v>
      </c>
      <c r="C21" s="29"/>
      <c r="D21" s="40"/>
      <c r="E21" s="41"/>
      <c r="F21" s="41"/>
      <c r="G21" s="44">
        <f>2453.3+138.6+(275.5-175.8)</f>
        <v>2691.6</v>
      </c>
    </row>
    <row r="22" spans="1:9" x14ac:dyDescent="0.25">
      <c r="A22" s="1"/>
      <c r="B22" s="38" t="s">
        <v>18</v>
      </c>
      <c r="C22" s="29"/>
      <c r="D22" s="40"/>
      <c r="E22" s="41"/>
      <c r="F22" s="41"/>
      <c r="G22" s="43">
        <v>0</v>
      </c>
      <c r="I22" s="134" t="s">
        <v>83</v>
      </c>
    </row>
    <row r="23" spans="1:9" x14ac:dyDescent="0.25">
      <c r="A23" s="1"/>
      <c r="B23" s="38" t="s">
        <v>19</v>
      </c>
      <c r="C23" s="29"/>
      <c r="D23" s="40"/>
      <c r="E23" s="41"/>
      <c r="F23" s="41"/>
      <c r="G23" s="43">
        <v>0</v>
      </c>
      <c r="I23" s="134" t="s">
        <v>84</v>
      </c>
    </row>
    <row r="24" spans="1:9" x14ac:dyDescent="0.25">
      <c r="A24" s="1"/>
      <c r="B24" s="38" t="s">
        <v>20</v>
      </c>
      <c r="C24" s="29"/>
      <c r="D24" s="40"/>
      <c r="E24" s="41"/>
      <c r="F24" s="45"/>
      <c r="G24" s="43">
        <v>0</v>
      </c>
    </row>
    <row r="25" spans="1:9" x14ac:dyDescent="0.25">
      <c r="A25" s="1"/>
      <c r="B25" s="38" t="s">
        <v>21</v>
      </c>
      <c r="C25" s="29"/>
      <c r="D25" s="46"/>
      <c r="E25" s="47"/>
      <c r="F25" s="47"/>
      <c r="G25" s="43">
        <v>0</v>
      </c>
      <c r="I25" s="134" t="s">
        <v>87</v>
      </c>
    </row>
    <row r="26" spans="1:9" x14ac:dyDescent="0.25">
      <c r="A26" s="1"/>
      <c r="B26" s="3"/>
      <c r="C26" s="3"/>
      <c r="D26" s="34"/>
      <c r="G26" s="48"/>
    </row>
    <row r="27" spans="1:9" x14ac:dyDescent="0.25">
      <c r="A27" s="1"/>
      <c r="B27" s="3"/>
      <c r="C27" s="3"/>
      <c r="D27" s="109" t="s">
        <v>22</v>
      </c>
      <c r="E27" s="110"/>
      <c r="F27" s="110"/>
      <c r="G27" s="111"/>
      <c r="I27" s="134" t="s">
        <v>86</v>
      </c>
    </row>
    <row r="28" spans="1:9" x14ac:dyDescent="0.25">
      <c r="A28" s="1"/>
      <c r="B28" s="3"/>
      <c r="C28" s="3"/>
      <c r="D28" s="115" t="s">
        <v>73</v>
      </c>
      <c r="E28" s="116" t="s">
        <v>74</v>
      </c>
      <c r="F28" s="116" t="s">
        <v>75</v>
      </c>
      <c r="G28" s="49"/>
      <c r="I28" s="134" t="s">
        <v>85</v>
      </c>
    </row>
    <row r="29" spans="1:9" x14ac:dyDescent="0.25">
      <c r="A29" s="1"/>
      <c r="B29" s="22" t="s">
        <v>55</v>
      </c>
      <c r="C29" s="23"/>
      <c r="D29" s="39">
        <f>E7+1472</f>
        <v>5950.1</v>
      </c>
      <c r="E29" s="42">
        <v>6250</v>
      </c>
      <c r="F29" s="42">
        <v>7187</v>
      </c>
      <c r="G29" s="45"/>
    </row>
    <row r="30" spans="1:9" x14ac:dyDescent="0.25">
      <c r="A30" s="1"/>
      <c r="B30" s="22" t="s">
        <v>56</v>
      </c>
      <c r="C30" s="23"/>
      <c r="D30" s="43" t="s">
        <v>53</v>
      </c>
      <c r="E30" s="43">
        <v>3745.86</v>
      </c>
      <c r="F30" s="43" t="s">
        <v>53</v>
      </c>
      <c r="G30" s="124"/>
      <c r="I30" s="133" t="s">
        <v>88</v>
      </c>
    </row>
    <row r="31" spans="1:9" x14ac:dyDescent="0.25">
      <c r="A31" s="50"/>
      <c r="D31" s="34"/>
      <c r="G31" s="48"/>
      <c r="I31" s="134" t="s">
        <v>89</v>
      </c>
    </row>
    <row r="32" spans="1:9" x14ac:dyDescent="0.25">
      <c r="A32" s="50"/>
      <c r="D32" s="109" t="s">
        <v>25</v>
      </c>
      <c r="E32" s="110"/>
      <c r="F32" s="110"/>
      <c r="G32" s="111"/>
    </row>
    <row r="33" spans="1:9" x14ac:dyDescent="0.25">
      <c r="A33" s="50"/>
      <c r="B33" s="51" t="s">
        <v>48</v>
      </c>
      <c r="C33" s="51"/>
      <c r="D33" s="52"/>
      <c r="E33" s="53"/>
      <c r="F33" s="53"/>
      <c r="G33" s="54">
        <v>175.29</v>
      </c>
      <c r="I33" s="134" t="s">
        <v>90</v>
      </c>
    </row>
    <row r="34" spans="1:9" x14ac:dyDescent="0.25">
      <c r="A34" s="50"/>
      <c r="B34" s="126" t="s">
        <v>50</v>
      </c>
      <c r="C34" s="51"/>
      <c r="D34" s="40"/>
      <c r="E34" s="125"/>
      <c r="F34" s="125"/>
      <c r="G34" s="128">
        <v>120.98</v>
      </c>
      <c r="I34" s="134" t="s">
        <v>91</v>
      </c>
    </row>
    <row r="35" spans="1:9" x14ac:dyDescent="0.25">
      <c r="A35" s="50"/>
      <c r="B35" s="126" t="s">
        <v>51</v>
      </c>
      <c r="C35" s="51"/>
      <c r="D35" s="40"/>
      <c r="E35" s="125"/>
      <c r="F35" s="125"/>
      <c r="G35" s="128">
        <v>120.51</v>
      </c>
    </row>
    <row r="36" spans="1:9" x14ac:dyDescent="0.25">
      <c r="A36" s="50"/>
      <c r="B36" s="126" t="s">
        <v>52</v>
      </c>
      <c r="C36" s="51"/>
      <c r="D36" s="40"/>
      <c r="E36" s="125"/>
      <c r="F36" s="125"/>
      <c r="G36" s="128">
        <v>127.62</v>
      </c>
      <c r="I36" s="134" t="s">
        <v>92</v>
      </c>
    </row>
    <row r="37" spans="1:9" x14ac:dyDescent="0.25">
      <c r="A37" s="50"/>
      <c r="B37" s="51"/>
      <c r="C37" s="51"/>
      <c r="D37" s="40"/>
      <c r="E37" s="125"/>
      <c r="F37" s="125"/>
      <c r="G37" s="127"/>
      <c r="I37" s="134" t="s">
        <v>93</v>
      </c>
    </row>
    <row r="38" spans="1:9" x14ac:dyDescent="0.25">
      <c r="A38" s="50"/>
      <c r="B38" s="51" t="s">
        <v>26</v>
      </c>
      <c r="C38" s="51"/>
      <c r="D38" s="40"/>
      <c r="E38" s="41"/>
      <c r="F38" s="41"/>
      <c r="G38" s="55">
        <v>218.72056699999999</v>
      </c>
    </row>
    <row r="39" spans="1:9" x14ac:dyDescent="0.25">
      <c r="A39" s="50"/>
      <c r="B39" s="51" t="s">
        <v>27</v>
      </c>
      <c r="C39" s="51"/>
      <c r="D39" s="56"/>
      <c r="E39" s="57"/>
      <c r="F39" s="57"/>
      <c r="G39" s="58"/>
      <c r="I39" s="133" t="s">
        <v>100</v>
      </c>
    </row>
    <row r="40" spans="1:9" x14ac:dyDescent="0.25">
      <c r="A40" s="50"/>
      <c r="D40" s="56"/>
      <c r="E40" s="119" t="s">
        <v>28</v>
      </c>
      <c r="F40" s="120" t="s">
        <v>29</v>
      </c>
      <c r="G40" s="121" t="s">
        <v>30</v>
      </c>
      <c r="I40" s="134" t="s">
        <v>94</v>
      </c>
    </row>
    <row r="41" spans="1:9" x14ac:dyDescent="0.25">
      <c r="A41" s="50"/>
      <c r="D41" s="56"/>
      <c r="E41" s="59">
        <v>2.3726340000000001</v>
      </c>
      <c r="F41" s="60">
        <v>119.51</v>
      </c>
      <c r="G41" s="61">
        <f>IF(F41&lt;G$33,E41-((E41*F41)/G$33),0)</f>
        <v>0.75500898237206893</v>
      </c>
    </row>
    <row r="42" spans="1:9" x14ac:dyDescent="0.25">
      <c r="A42" s="50"/>
      <c r="D42" s="56"/>
      <c r="E42" s="59"/>
      <c r="F42" s="60"/>
      <c r="G42" s="61">
        <f t="shared" ref="G42:G46" si="0">IF(F42&lt;G$33,E42-((E42*F42)/G$33),0)</f>
        <v>0</v>
      </c>
      <c r="I42" s="134" t="s">
        <v>96</v>
      </c>
    </row>
    <row r="43" spans="1:9" x14ac:dyDescent="0.25">
      <c r="A43" s="50"/>
      <c r="D43" s="56"/>
      <c r="E43" s="59"/>
      <c r="F43" s="60"/>
      <c r="G43" s="61">
        <f t="shared" si="0"/>
        <v>0</v>
      </c>
      <c r="I43" s="134" t="s">
        <v>97</v>
      </c>
    </row>
    <row r="44" spans="1:9" x14ac:dyDescent="0.25">
      <c r="A44" s="50"/>
      <c r="D44" s="56"/>
      <c r="E44" s="59"/>
      <c r="F44" s="60"/>
      <c r="G44" s="61">
        <f t="shared" si="0"/>
        <v>0</v>
      </c>
      <c r="I44" s="134" t="s">
        <v>98</v>
      </c>
    </row>
    <row r="45" spans="1:9" x14ac:dyDescent="0.25">
      <c r="A45" s="50"/>
      <c r="D45" s="56"/>
      <c r="E45" s="59"/>
      <c r="F45" s="60"/>
      <c r="G45" s="61">
        <f t="shared" si="0"/>
        <v>0</v>
      </c>
    </row>
    <row r="46" spans="1:9" x14ac:dyDescent="0.25">
      <c r="A46" s="50"/>
      <c r="D46" s="56"/>
      <c r="E46" s="59"/>
      <c r="F46" s="60"/>
      <c r="G46" s="61">
        <f t="shared" si="0"/>
        <v>0</v>
      </c>
    </row>
    <row r="47" spans="1:9" x14ac:dyDescent="0.25">
      <c r="A47" s="50"/>
      <c r="D47" s="56"/>
      <c r="E47" s="59"/>
      <c r="F47" s="60"/>
      <c r="G47" s="61">
        <f>IF(F47&lt;G$33,E47-((E47*F47)/G$33),0)</f>
        <v>0</v>
      </c>
    </row>
    <row r="48" spans="1:9" x14ac:dyDescent="0.25">
      <c r="A48" s="50"/>
      <c r="D48" s="56"/>
      <c r="E48" s="59"/>
      <c r="F48" s="60"/>
      <c r="G48" s="61">
        <f t="shared" ref="G48:G49" si="1">IF(F48&lt;G$33,E48-((E48*F48)/G$33),0)</f>
        <v>0</v>
      </c>
    </row>
    <row r="49" spans="1:9" x14ac:dyDescent="0.25">
      <c r="A49" s="50"/>
      <c r="D49" s="56"/>
      <c r="E49" s="59"/>
      <c r="F49" s="60"/>
      <c r="G49" s="61">
        <f t="shared" si="1"/>
        <v>0</v>
      </c>
    </row>
    <row r="50" spans="1:9" x14ac:dyDescent="0.25">
      <c r="A50" s="50"/>
      <c r="D50" s="62"/>
      <c r="E50" s="63"/>
      <c r="F50" s="64"/>
      <c r="G50" s="65"/>
    </row>
    <row r="51" spans="1:9" x14ac:dyDescent="0.25">
      <c r="A51" s="50"/>
      <c r="B51" s="51" t="s">
        <v>31</v>
      </c>
      <c r="D51" s="119" t="s">
        <v>32</v>
      </c>
      <c r="E51" s="120" t="s">
        <v>33</v>
      </c>
      <c r="F51" s="120" t="s">
        <v>34</v>
      </c>
      <c r="G51" s="121" t="s">
        <v>30</v>
      </c>
    </row>
    <row r="52" spans="1:9" x14ac:dyDescent="0.25">
      <c r="A52" s="50"/>
      <c r="D52" s="66"/>
      <c r="E52" s="66"/>
      <c r="F52" s="67"/>
      <c r="G52" s="61">
        <f>IFERROR(IF(F52&gt;G$33,0,(+E52/F52)*D52/E52),0)</f>
        <v>0</v>
      </c>
    </row>
    <row r="53" spans="1:9" x14ac:dyDescent="0.25">
      <c r="A53" s="50"/>
      <c r="D53" s="68"/>
      <c r="E53" s="68"/>
      <c r="F53" s="69"/>
      <c r="G53" s="61">
        <f>IFERROR(IF(F53&gt;G$33,0,(+E53/F53)*D53/E53),0)</f>
        <v>0</v>
      </c>
    </row>
    <row r="54" spans="1:9" x14ac:dyDescent="0.25">
      <c r="A54" s="50"/>
      <c r="D54" s="68"/>
      <c r="E54" s="68"/>
      <c r="F54" s="69"/>
      <c r="G54" s="61">
        <f>IFERROR(IF(F54&gt;G$33,0,(+E54/F54)*D54/E54),0)</f>
        <v>0</v>
      </c>
    </row>
    <row r="55" spans="1:9" x14ac:dyDescent="0.25">
      <c r="A55" s="50"/>
      <c r="D55" s="62"/>
      <c r="E55" s="70"/>
      <c r="F55" s="71"/>
      <c r="G55" s="72"/>
    </row>
    <row r="56" spans="1:9" x14ac:dyDescent="0.25">
      <c r="A56" s="50"/>
      <c r="D56" s="119" t="s">
        <v>35</v>
      </c>
      <c r="E56" s="121" t="s">
        <v>36</v>
      </c>
      <c r="F56" s="73"/>
      <c r="G56" s="74"/>
    </row>
    <row r="57" spans="1:9" x14ac:dyDescent="0.25">
      <c r="A57" s="50"/>
      <c r="D57" s="66"/>
      <c r="E57" s="75"/>
      <c r="F57" s="73"/>
      <c r="G57" s="74"/>
    </row>
    <row r="58" spans="1:9" x14ac:dyDescent="0.25">
      <c r="A58" s="50"/>
      <c r="D58" s="68"/>
      <c r="E58" s="75"/>
      <c r="F58" s="76"/>
      <c r="G58" s="74"/>
    </row>
    <row r="59" spans="1:9" x14ac:dyDescent="0.25">
      <c r="A59" s="50"/>
      <c r="D59" s="68"/>
      <c r="E59" s="75"/>
      <c r="F59" s="73"/>
      <c r="G59" s="74"/>
    </row>
    <row r="60" spans="1:9" x14ac:dyDescent="0.25">
      <c r="A60" s="50"/>
      <c r="D60" s="62"/>
      <c r="E60" s="77"/>
      <c r="F60" s="73"/>
      <c r="G60" s="74"/>
    </row>
    <row r="61" spans="1:9" x14ac:dyDescent="0.25">
      <c r="A61" s="50"/>
      <c r="D61" s="62"/>
      <c r="E61" s="78"/>
      <c r="F61" s="122" t="s">
        <v>37</v>
      </c>
      <c r="G61" s="121" t="s">
        <v>30</v>
      </c>
    </row>
    <row r="62" spans="1:9" x14ac:dyDescent="0.25">
      <c r="A62" s="50"/>
      <c r="B62" s="51" t="s">
        <v>38</v>
      </c>
      <c r="D62" s="56"/>
      <c r="E62" s="78"/>
      <c r="F62" s="130">
        <f>4.56875+1.056176+2.703746</f>
        <v>8.3286719999999992</v>
      </c>
      <c r="G62" s="61">
        <f>F62</f>
        <v>8.3286719999999992</v>
      </c>
      <c r="I62" s="131"/>
    </row>
    <row r="63" spans="1:9" x14ac:dyDescent="0.25">
      <c r="A63" s="50"/>
      <c r="B63" s="51"/>
      <c r="D63" s="56"/>
      <c r="E63" s="77"/>
      <c r="F63" s="70"/>
      <c r="G63" s="79"/>
    </row>
    <row r="64" spans="1:9" x14ac:dyDescent="0.25">
      <c r="A64" s="50"/>
      <c r="B64" s="51" t="s">
        <v>39</v>
      </c>
      <c r="C64" s="51"/>
      <c r="D64" s="80"/>
      <c r="E64" s="81"/>
      <c r="F64" s="81"/>
      <c r="G64" s="82">
        <f>G62+SUM(G41:G49)+SUM(G52:G53)+G38</f>
        <v>227.80424798237206</v>
      </c>
    </row>
    <row r="65" spans="1:7" x14ac:dyDescent="0.25">
      <c r="A65" s="50"/>
      <c r="D65" s="83"/>
      <c r="G65" s="84"/>
    </row>
    <row r="66" spans="1:7" x14ac:dyDescent="0.25">
      <c r="A66" s="50"/>
      <c r="D66" s="109" t="s">
        <v>40</v>
      </c>
      <c r="E66" s="110"/>
      <c r="F66" s="110"/>
      <c r="G66" s="111"/>
    </row>
    <row r="67" spans="1:7" x14ac:dyDescent="0.25">
      <c r="A67" s="50"/>
      <c r="D67" s="52"/>
      <c r="E67" s="53"/>
      <c r="F67" s="53"/>
      <c r="G67" s="85"/>
    </row>
    <row r="68" spans="1:7" x14ac:dyDescent="0.25">
      <c r="A68" s="50"/>
      <c r="B68" s="129" t="s">
        <v>71</v>
      </c>
      <c r="D68" s="40"/>
      <c r="E68" s="41"/>
      <c r="F68" s="41"/>
      <c r="G68" s="86">
        <f>G64*G33</f>
        <v>39931.806628829996</v>
      </c>
    </row>
    <row r="69" spans="1:7" x14ac:dyDescent="0.25">
      <c r="A69" s="50"/>
      <c r="B69" s="129" t="s">
        <v>72</v>
      </c>
      <c r="D69" s="80"/>
      <c r="E69" s="81"/>
      <c r="F69" s="81"/>
      <c r="G69" s="87">
        <f>G68+SUM(G17:G25)</f>
        <v>40021.091118578632</v>
      </c>
    </row>
    <row r="70" spans="1:7" x14ac:dyDescent="0.25">
      <c r="A70" s="50"/>
      <c r="D70" s="34"/>
      <c r="G70" s="48"/>
    </row>
    <row r="71" spans="1:7" x14ac:dyDescent="0.25">
      <c r="A71" s="50"/>
      <c r="D71" s="109" t="s">
        <v>41</v>
      </c>
      <c r="E71" s="110"/>
      <c r="F71" s="110"/>
      <c r="G71" s="111"/>
    </row>
    <row r="72" spans="1:7" x14ac:dyDescent="0.25">
      <c r="A72" s="50"/>
      <c r="D72" s="115" t="str">
        <f>G6</f>
        <v>LTM</v>
      </c>
      <c r="E72" s="116" t="str">
        <f>D28</f>
        <v>Fw. Year 1</v>
      </c>
      <c r="F72" s="116" t="str">
        <f>E28</f>
        <v>Fw. Year 2</v>
      </c>
      <c r="G72" s="117" t="str">
        <f>F28</f>
        <v>Fw. Year 3</v>
      </c>
    </row>
    <row r="73" spans="1:7" x14ac:dyDescent="0.25">
      <c r="A73" s="50"/>
      <c r="B73" s="5" t="s">
        <v>42</v>
      </c>
      <c r="D73" s="88">
        <f>IFERROR(IF(OR(+G$69/G7&lt;0,+G$69/G7&gt;=100),"NM",+G$69/G7),"N/A")</f>
        <v>6.8267417983383307</v>
      </c>
      <c r="E73" s="89">
        <f>IFERROR(IF(OR(+G$69/D29&lt;0,+G$69/D29&gt;=100),"NM",+G$69/D29),"N/A")</f>
        <v>6.726120757395444</v>
      </c>
      <c r="F73" s="89">
        <f>IFERROR(IF(OR(+G$69/E29&lt;0,+G$69/E29&gt;=100),"NM",+G$69/E29),"N/A")</f>
        <v>6.4033745789725813</v>
      </c>
      <c r="G73" s="90">
        <f>IFERROR(IF(OR(+G$69/F29&lt;0,+G$69/F29&gt;=100),"NM",+G$69/F29),"N/A")</f>
        <v>5.5685391844411622</v>
      </c>
    </row>
    <row r="74" spans="1:7" x14ac:dyDescent="0.25">
      <c r="A74" s="50"/>
      <c r="B74" s="5" t="s">
        <v>43</v>
      </c>
      <c r="D74" s="91">
        <f>IFERROR(IF(OR(+G$69/G12&lt;0,+G$69/G12&gt;=100),"NM",+G$69/G12),"N/A")</f>
        <v>13.071099065444717</v>
      </c>
      <c r="E74" s="92" t="str">
        <f>IFERROR(IF(OR(+G$69/D30&lt;0,+G$69/D30&gt;=100),"NM",+G$69/D30),"N/A")</f>
        <v>N/A</v>
      </c>
      <c r="F74" s="92">
        <f>IFERROR(IF(OR(+G$69/E30&lt;0,+G$69/E30&gt;=100),"NM",+G$69/E30),"N/A")</f>
        <v>10.684086196114812</v>
      </c>
      <c r="G74" s="93" t="str">
        <f>IFERROR(IF(OR(+G$69/F30&lt;0,+G$69/F30&gt;=100),"NM",+G$69/F30),"N/A")</f>
        <v>N/A</v>
      </c>
    </row>
    <row r="75" spans="1:7" x14ac:dyDescent="0.25">
      <c r="A75" s="50"/>
      <c r="D75" s="34"/>
      <c r="G75" s="48"/>
    </row>
    <row r="76" spans="1:7" x14ac:dyDescent="0.25">
      <c r="A76" s="50"/>
      <c r="D76" s="109" t="s">
        <v>44</v>
      </c>
      <c r="E76" s="110"/>
      <c r="F76" s="110"/>
      <c r="G76" s="111"/>
    </row>
    <row r="77" spans="1:7" x14ac:dyDescent="0.25">
      <c r="A77" s="50"/>
      <c r="D77" s="56"/>
      <c r="E77" s="57"/>
      <c r="F77" s="57"/>
      <c r="G77" s="94"/>
    </row>
    <row r="78" spans="1:7" x14ac:dyDescent="0.25">
      <c r="A78" s="50"/>
      <c r="B78" s="129" t="s">
        <v>67</v>
      </c>
      <c r="D78" s="56"/>
      <c r="E78" s="57"/>
      <c r="F78" s="57"/>
      <c r="G78" s="96">
        <f>IFERROR($G$33/G34-1,"N/A")</f>
        <v>0.44891717639279216</v>
      </c>
    </row>
    <row r="79" spans="1:7" x14ac:dyDescent="0.25">
      <c r="A79" s="50"/>
      <c r="B79" s="129" t="s">
        <v>68</v>
      </c>
      <c r="D79" s="56"/>
      <c r="E79" s="57"/>
      <c r="F79" s="57"/>
      <c r="G79" s="96">
        <f t="shared" ref="G79:G80" si="2">IFERROR($G$33/G35-1,"N/A")</f>
        <v>0.45456808563604678</v>
      </c>
    </row>
    <row r="80" spans="1:7" x14ac:dyDescent="0.25">
      <c r="A80" s="50"/>
      <c r="B80" s="129" t="s">
        <v>69</v>
      </c>
      <c r="D80" s="56"/>
      <c r="E80" s="57"/>
      <c r="F80" s="57"/>
      <c r="G80" s="96">
        <f t="shared" si="2"/>
        <v>0.37353079454630933</v>
      </c>
    </row>
    <row r="81" spans="1:7" x14ac:dyDescent="0.25">
      <c r="A81" s="50"/>
      <c r="D81" s="56"/>
      <c r="E81" s="57"/>
      <c r="F81" s="57"/>
      <c r="G81" s="94"/>
    </row>
    <row r="82" spans="1:7" x14ac:dyDescent="0.25">
      <c r="A82" s="50"/>
      <c r="B82" s="129" t="s">
        <v>7</v>
      </c>
      <c r="D82" s="56"/>
      <c r="E82" s="57"/>
      <c r="F82" s="57"/>
      <c r="G82" s="39">
        <f>D29</f>
        <v>5950.1</v>
      </c>
    </row>
    <row r="83" spans="1:7" x14ac:dyDescent="0.25">
      <c r="A83" s="50"/>
      <c r="B83" s="129" t="s">
        <v>10</v>
      </c>
      <c r="D83" s="56"/>
      <c r="E83" s="57"/>
      <c r="F83" s="57"/>
      <c r="G83" s="44" t="str">
        <f>D30</f>
        <v>N/A</v>
      </c>
    </row>
    <row r="84" spans="1:7" x14ac:dyDescent="0.25">
      <c r="A84" s="50"/>
      <c r="D84" s="56"/>
      <c r="E84" s="57"/>
      <c r="F84" s="57"/>
      <c r="G84" s="58"/>
    </row>
    <row r="85" spans="1:7" x14ac:dyDescent="0.25">
      <c r="A85" s="50"/>
      <c r="B85" s="129" t="s">
        <v>57</v>
      </c>
      <c r="D85" s="56"/>
      <c r="E85" s="57"/>
      <c r="F85" s="57"/>
      <c r="G85" s="44">
        <f>E29</f>
        <v>6250</v>
      </c>
    </row>
    <row r="86" spans="1:7" x14ac:dyDescent="0.25">
      <c r="A86" s="50"/>
      <c r="B86" s="129" t="s">
        <v>58</v>
      </c>
      <c r="D86" s="56"/>
      <c r="E86" s="57"/>
      <c r="F86" s="57"/>
      <c r="G86" s="95">
        <f>E30</f>
        <v>3745.86</v>
      </c>
    </row>
    <row r="87" spans="1:7" x14ac:dyDescent="0.25">
      <c r="A87" s="50"/>
      <c r="D87" s="56"/>
      <c r="E87" s="57"/>
      <c r="F87" s="57"/>
      <c r="G87" s="58"/>
    </row>
    <row r="88" spans="1:7" x14ac:dyDescent="0.25">
      <c r="A88" s="50"/>
      <c r="B88" s="129" t="s">
        <v>59</v>
      </c>
      <c r="D88" s="56"/>
      <c r="E88" s="57"/>
      <c r="F88" s="57"/>
      <c r="G88" s="95">
        <f>F29</f>
        <v>7187</v>
      </c>
    </row>
    <row r="89" spans="1:7" x14ac:dyDescent="0.25">
      <c r="A89" s="50"/>
      <c r="B89" s="129" t="s">
        <v>60</v>
      </c>
      <c r="D89" s="56"/>
      <c r="E89" s="57"/>
      <c r="F89" s="57"/>
      <c r="G89" s="95" t="str">
        <f>F30</f>
        <v>N/A</v>
      </c>
    </row>
    <row r="90" spans="1:7" x14ac:dyDescent="0.25">
      <c r="A90" s="50"/>
      <c r="D90" s="56"/>
      <c r="E90" s="57"/>
      <c r="F90" s="57"/>
      <c r="G90" s="58"/>
    </row>
    <row r="91" spans="1:7" x14ac:dyDescent="0.25">
      <c r="A91" s="50"/>
      <c r="B91" s="129" t="s">
        <v>61</v>
      </c>
      <c r="D91" s="56"/>
      <c r="E91" s="57"/>
      <c r="F91" s="57"/>
      <c r="G91" s="96">
        <f>IFERROR(G85/G82-1,"N/A")</f>
        <v>5.0402514243458096E-2</v>
      </c>
    </row>
    <row r="92" spans="1:7" x14ac:dyDescent="0.25">
      <c r="A92" s="50"/>
      <c r="B92" s="129" t="s">
        <v>62</v>
      </c>
      <c r="D92" s="56"/>
      <c r="E92" s="57"/>
      <c r="F92" s="57"/>
      <c r="G92" s="96" t="str">
        <f>IFERROR(G86/G83-1,"N/A")</f>
        <v>N/A</v>
      </c>
    </row>
    <row r="93" spans="1:7" x14ac:dyDescent="0.25">
      <c r="A93" s="50"/>
      <c r="D93" s="56"/>
      <c r="E93" s="57"/>
      <c r="F93" s="57"/>
      <c r="G93" s="58"/>
    </row>
    <row r="94" spans="1:7" x14ac:dyDescent="0.25">
      <c r="A94" s="50"/>
      <c r="B94" s="129" t="s">
        <v>63</v>
      </c>
      <c r="D94" s="56"/>
      <c r="E94" s="57"/>
      <c r="F94" s="57"/>
      <c r="G94" s="96">
        <f>IFERROR(G88/G85-1,"N/A")</f>
        <v>0.14992000000000005</v>
      </c>
    </row>
    <row r="95" spans="1:7" x14ac:dyDescent="0.25">
      <c r="A95" s="50"/>
      <c r="B95" s="129" t="s">
        <v>64</v>
      </c>
      <c r="D95" s="56"/>
      <c r="E95" s="57"/>
      <c r="F95" s="57"/>
      <c r="G95" s="96" t="str">
        <f>IFERROR(G89/G86-1,"N/A")</f>
        <v>N/A</v>
      </c>
    </row>
    <row r="96" spans="1:7" x14ac:dyDescent="0.25">
      <c r="A96" s="50"/>
      <c r="D96" s="56"/>
      <c r="E96" s="57"/>
      <c r="F96" s="57"/>
      <c r="G96" s="58"/>
    </row>
    <row r="97" spans="1:7" x14ac:dyDescent="0.25">
      <c r="A97" s="50"/>
      <c r="B97" s="5" t="s">
        <v>45</v>
      </c>
      <c r="D97" s="56"/>
      <c r="E97" s="57"/>
      <c r="F97" s="57"/>
      <c r="G97" s="96">
        <f>IFERROR(G12/G7,"N/A")</f>
        <v>0.52227756550218329</v>
      </c>
    </row>
    <row r="98" spans="1:7" x14ac:dyDescent="0.25">
      <c r="A98" s="50"/>
      <c r="B98" s="129" t="s">
        <v>65</v>
      </c>
      <c r="D98" s="56"/>
      <c r="E98" s="57"/>
      <c r="F98" s="57"/>
      <c r="G98" s="96" t="str">
        <f>IFERROR(G83/G82,"N/A")</f>
        <v>N/A</v>
      </c>
    </row>
    <row r="99" spans="1:7" x14ac:dyDescent="0.25">
      <c r="A99" s="50"/>
      <c r="B99" s="129" t="s">
        <v>66</v>
      </c>
      <c r="D99" s="56"/>
      <c r="E99" s="57"/>
      <c r="F99" s="57"/>
      <c r="G99" s="96">
        <f>IFERROR(G86/G85,"N/A")</f>
        <v>0.59933760000000003</v>
      </c>
    </row>
    <row r="100" spans="1:7" x14ac:dyDescent="0.25">
      <c r="A100" s="50"/>
      <c r="D100" s="56"/>
      <c r="E100" s="57"/>
      <c r="F100" s="57"/>
      <c r="G100" s="58"/>
    </row>
    <row r="101" spans="1:7" x14ac:dyDescent="0.25">
      <c r="A101" s="50"/>
      <c r="B101" s="5" t="str">
        <f>"LTM "&amp;B73</f>
        <v>LTM TEV / Revenue:</v>
      </c>
      <c r="D101" s="56"/>
      <c r="E101" s="57"/>
      <c r="F101" s="57"/>
      <c r="G101" s="97">
        <f>D73</f>
        <v>6.8267417983383307</v>
      </c>
    </row>
    <row r="102" spans="1:7" x14ac:dyDescent="0.25">
      <c r="A102" s="50"/>
      <c r="B102" s="5" t="str">
        <f>"LTM "&amp;B74</f>
        <v>LTM TEV / EBITDA:</v>
      </c>
      <c r="D102" s="56"/>
      <c r="E102" s="57"/>
      <c r="F102" s="57"/>
      <c r="G102" s="97">
        <f>D74</f>
        <v>13.071099065444717</v>
      </c>
    </row>
    <row r="103" spans="1:7" x14ac:dyDescent="0.25">
      <c r="A103" s="50"/>
      <c r="D103" s="56"/>
      <c r="E103" s="57"/>
      <c r="F103" s="57"/>
      <c r="G103" s="58"/>
    </row>
    <row r="104" spans="1:7" x14ac:dyDescent="0.25">
      <c r="A104" s="50"/>
      <c r="B104" s="5" t="str">
        <f>"Projected Year 1 "&amp;B73</f>
        <v>Projected Year 1 TEV / Revenue:</v>
      </c>
      <c r="D104" s="56"/>
      <c r="E104" s="57"/>
      <c r="F104" s="57"/>
      <c r="G104" s="97">
        <f>E73</f>
        <v>6.726120757395444</v>
      </c>
    </row>
    <row r="105" spans="1:7" x14ac:dyDescent="0.25">
      <c r="A105" s="50"/>
      <c r="B105" s="5" t="str">
        <f t="shared" ref="B105" si="3">"Projected Year 1 "&amp;B74</f>
        <v>Projected Year 1 TEV / EBITDA:</v>
      </c>
      <c r="D105" s="56"/>
      <c r="E105" s="57"/>
      <c r="F105" s="57"/>
      <c r="G105" s="97" t="str">
        <f>E74</f>
        <v>N/A</v>
      </c>
    </row>
    <row r="106" spans="1:7" x14ac:dyDescent="0.25">
      <c r="A106" s="50"/>
      <c r="D106" s="56"/>
      <c r="E106" s="57"/>
      <c r="F106" s="57"/>
      <c r="G106" s="58"/>
    </row>
    <row r="107" spans="1:7" x14ac:dyDescent="0.25">
      <c r="A107" s="50"/>
      <c r="B107" s="5" t="str">
        <f>"Projected Year 2 "&amp;B73</f>
        <v>Projected Year 2 TEV / Revenue:</v>
      </c>
      <c r="D107" s="56"/>
      <c r="E107" s="57"/>
      <c r="F107" s="57"/>
      <c r="G107" s="97">
        <f>F73</f>
        <v>6.4033745789725813</v>
      </c>
    </row>
    <row r="108" spans="1:7" x14ac:dyDescent="0.25">
      <c r="A108" s="50"/>
      <c r="B108" s="5" t="str">
        <f t="shared" ref="B108" si="4">"Projected Year 2 "&amp;B74</f>
        <v>Projected Year 2 TEV / EBITDA:</v>
      </c>
      <c r="D108" s="80"/>
      <c r="E108" s="81"/>
      <c r="F108" s="81"/>
      <c r="G108" s="97">
        <f>F74</f>
        <v>10.684086196114812</v>
      </c>
    </row>
    <row r="109" spans="1:7" x14ac:dyDescent="0.25">
      <c r="A109" s="50"/>
    </row>
    <row r="110" spans="1:7" x14ac:dyDescent="0.25">
      <c r="A110" s="50"/>
      <c r="B110" s="98" t="s">
        <v>46</v>
      </c>
      <c r="D110" s="99"/>
      <c r="G110" s="100" t="s">
        <v>70</v>
      </c>
    </row>
  </sheetData>
  <hyperlinks>
    <hyperlink ref="G110" r:id="rId1" xr:uid="{B8FD3FA0-0EC0-4F38-B29F-2C7563EE18A4}"/>
  </hyperlinks>
  <pageMargins left="0.7" right="0.7" top="0.75" bottom="0.75" header="0.3" footer="0.3"/>
  <pageSetup scale="53" fitToWidth="0" orientation="landscape" r:id="rId2"/>
  <headerFooter>
    <oddHeader>&amp;LWalmart Valuation - &amp;CData for Comparable Public Companies</oddHeader>
    <oddFooter>Page &amp;P of &amp;N</oddFooter>
  </headerFooter>
  <rowBreaks count="1" manualBreakCount="1">
    <brk id="65" max="31" man="1"/>
  </row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MA_Comp_Example</vt:lpstr>
      <vt:lpstr>MA_Comp_Example!Print_Area</vt:lpstr>
      <vt:lpstr>MA_Comp_Example!Print_Titles</vt:lpstr>
      <vt:lpstr>Pub_Comps_Params</vt:lpstr>
      <vt:lpstr>Pub_Comps_Range</vt:lpstr>
      <vt:lpstr>Pub_Comps_Tickers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dcterms:created xsi:type="dcterms:W3CDTF">2021-09-27T13:00:04Z</dcterms:created>
  <dcterms:modified xsi:type="dcterms:W3CDTF">2021-10-14T21:29:59Z</dcterms:modified>
</cp:coreProperties>
</file>