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BIWS)\BIWS-All-Courses\100-Bonus-Case-Studies\107-Valuation-Discounted-Cash-Flow\107-27-Precedent-Transaction-Analysis\"/>
    </mc:Choice>
  </mc:AlternateContent>
  <xr:revisionPtr revIDLastSave="0" documentId="13_ncr:1_{4C5CA807-57DA-4B48-915F-E7E53D610C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_Comps" sheetId="16" r:id="rId1"/>
    <sheet name="ValSum" sheetId="18" r:id="rId2"/>
    <sheet name="ValGraph" sheetId="19" r:id="rId3"/>
  </sheets>
  <definedNames>
    <definedName name="Company_Name">ValGraph!$Y$4</definedName>
    <definedName name="Hist_Year">ValGraph!$Y$5</definedName>
    <definedName name="_xlnm.Print_Area" localSheetId="0">MA_Comps!$A$1:$K$32</definedName>
    <definedName name="_xlnm.Print_Area" localSheetId="2">ValGraph!$A$1:$V$31</definedName>
    <definedName name="_xlnm.Print_Area" localSheetId="1">ValSum!$A$1:$N$43</definedName>
    <definedName name="Share_Price">ValGraph!$Y$6</definedName>
  </definedNames>
  <calcPr calcId="191029" iterate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9" i="19" l="1"/>
  <c r="Q49" i="19" s="1"/>
  <c r="R49" i="19" s="1"/>
  <c r="M49" i="19"/>
  <c r="L49" i="19"/>
  <c r="K49" i="19"/>
  <c r="J49" i="19"/>
  <c r="I49" i="19"/>
  <c r="W2" i="19"/>
  <c r="B36" i="19"/>
  <c r="B37" i="19"/>
  <c r="B41" i="19"/>
  <c r="B44" i="19"/>
  <c r="B47" i="19"/>
  <c r="M34" i="19" l="1"/>
  <c r="L34" i="19"/>
  <c r="K34" i="19"/>
  <c r="J34" i="19"/>
  <c r="I34" i="19"/>
  <c r="N34" i="19" s="1"/>
  <c r="P34" i="19" l="1"/>
  <c r="O34" i="19"/>
  <c r="Q34" i="19"/>
  <c r="R34" i="19"/>
  <c r="B34" i="19" l="1"/>
  <c r="B17" i="18" l="1"/>
  <c r="B42" i="19" s="1"/>
  <c r="B16" i="18"/>
  <c r="B43" i="19" s="1"/>
  <c r="B14" i="18"/>
  <c r="B45" i="19" s="1"/>
  <c r="B13" i="18"/>
  <c r="B46" i="19" s="1"/>
  <c r="B20" i="18"/>
  <c r="B39" i="19" s="1"/>
  <c r="B19" i="18"/>
  <c r="B40" i="19" s="1"/>
  <c r="J25" i="16" l="1"/>
  <c r="I25" i="16"/>
  <c r="J18" i="16"/>
  <c r="I18" i="16"/>
  <c r="J17" i="16"/>
  <c r="I17" i="16"/>
  <c r="G16" i="16"/>
  <c r="I16" i="16" s="1"/>
  <c r="J24" i="16"/>
  <c r="I24" i="16"/>
  <c r="J23" i="16"/>
  <c r="I23" i="16"/>
  <c r="J21" i="16"/>
  <c r="I21" i="16"/>
  <c r="J20" i="16"/>
  <c r="I20" i="16"/>
  <c r="J19" i="16"/>
  <c r="I19" i="16"/>
  <c r="J15" i="16"/>
  <c r="I15" i="16"/>
  <c r="J14" i="16"/>
  <c r="I14" i="16"/>
  <c r="F13" i="16"/>
  <c r="J13" i="16" s="1"/>
  <c r="I12" i="16"/>
  <c r="H12" i="16"/>
  <c r="J12" i="16" s="1"/>
  <c r="H11" i="16"/>
  <c r="J11" i="16" s="1"/>
  <c r="G11" i="16"/>
  <c r="I11" i="16" s="1"/>
  <c r="J22" i="16"/>
  <c r="I22" i="16"/>
  <c r="H16" i="16" l="1"/>
  <c r="J16" i="16" s="1"/>
  <c r="I13" i="16"/>
  <c r="H31" i="16" l="1"/>
  <c r="G31" i="16"/>
  <c r="H30" i="16"/>
  <c r="G30" i="16"/>
  <c r="H29" i="16"/>
  <c r="G29" i="16"/>
  <c r="H28" i="16"/>
  <c r="G28" i="16"/>
  <c r="H27" i="16"/>
  <c r="G27" i="16"/>
  <c r="F31" i="16"/>
  <c r="F30" i="16"/>
  <c r="F29" i="16"/>
  <c r="F28" i="16"/>
  <c r="F27" i="16"/>
  <c r="B2" i="18"/>
  <c r="B5" i="18" l="1"/>
  <c r="B7" i="16" l="1"/>
  <c r="I5" i="18" l="1"/>
  <c r="C5" i="18"/>
  <c r="J27" i="16" l="1"/>
  <c r="J28" i="16"/>
  <c r="J29" i="16"/>
  <c r="J30" i="16"/>
  <c r="J31" i="16"/>
  <c r="I31" i="16"/>
  <c r="I30" i="16"/>
  <c r="I29" i="16"/>
  <c r="I28" i="16"/>
  <c r="I27" i="16"/>
  <c r="C23" i="18" l="1" a="1"/>
  <c r="C23" i="18" l="1"/>
  <c r="M41" i="18" s="1"/>
  <c r="M23" i="18" s="1"/>
  <c r="M37" i="19" s="1"/>
  <c r="D23" i="18"/>
  <c r="L41" i="18" s="1"/>
  <c r="L23" i="18" s="1"/>
  <c r="L37" i="19" s="1"/>
  <c r="C24" i="18"/>
  <c r="M42" i="18" s="1"/>
  <c r="M24" i="18" s="1"/>
  <c r="M36" i="19" s="1"/>
  <c r="G24" i="18"/>
  <c r="I42" i="18" s="1"/>
  <c r="I24" i="18" s="1"/>
  <c r="I36" i="19" s="1"/>
  <c r="N36" i="19" s="1"/>
  <c r="F24" i="18"/>
  <c r="J42" i="18" s="1"/>
  <c r="J24" i="18" s="1"/>
  <c r="J36" i="19" s="1"/>
  <c r="D24" i="18"/>
  <c r="L42" i="18" s="1"/>
  <c r="L24" i="18" s="1"/>
  <c r="L36" i="19" s="1"/>
  <c r="G23" i="18"/>
  <c r="I41" i="18" s="1"/>
  <c r="I23" i="18" s="1"/>
  <c r="I37" i="19" s="1"/>
  <c r="N37" i="19" s="1"/>
  <c r="E24" i="18"/>
  <c r="K42" i="18" s="1"/>
  <c r="K24" i="18" s="1"/>
  <c r="K36" i="19" s="1"/>
  <c r="E23" i="18"/>
  <c r="K41" i="18" s="1"/>
  <c r="K23" i="18" s="1"/>
  <c r="K37" i="19" s="1"/>
  <c r="F23" i="18"/>
  <c r="J41" i="18" s="1"/>
  <c r="J23" i="18" s="1"/>
  <c r="J37" i="19" s="1"/>
  <c r="O36" i="19" l="1"/>
  <c r="Q36" i="19"/>
  <c r="Q37" i="19"/>
  <c r="O37" i="19"/>
  <c r="R36" i="19"/>
  <c r="P37" i="19"/>
  <c r="R37" i="19"/>
  <c r="P36" i="19"/>
  <c r="L32" i="18"/>
  <c r="L13" i="18" s="1"/>
  <c r="L46" i="19" s="1"/>
  <c r="K35" i="18"/>
  <c r="K16" i="18" s="1"/>
  <c r="K43" i="19" s="1"/>
  <c r="L36" i="18"/>
  <c r="L17" i="18" s="1"/>
  <c r="L42" i="19" s="1"/>
  <c r="I39" i="18"/>
  <c r="I20" i="18" s="1"/>
  <c r="I39" i="19" s="1"/>
  <c r="N39" i="19" s="1"/>
  <c r="M32" i="18"/>
  <c r="M13" i="18" s="1"/>
  <c r="M46" i="19" s="1"/>
  <c r="M36" i="18"/>
  <c r="M17" i="18" s="1"/>
  <c r="M42" i="19" s="1"/>
  <c r="L37" i="18"/>
  <c r="L18" i="18" s="1"/>
  <c r="L41" i="19" s="1"/>
  <c r="K33" i="18"/>
  <c r="K14" i="18" s="1"/>
  <c r="K45" i="19" s="1"/>
  <c r="M38" i="18"/>
  <c r="M19" i="18" s="1"/>
  <c r="M40" i="19" s="1"/>
  <c r="J35" i="18"/>
  <c r="J16" i="18" s="1"/>
  <c r="J43" i="19" s="1"/>
  <c r="L33" i="18"/>
  <c r="L14" i="18" s="1"/>
  <c r="L45" i="19" s="1"/>
  <c r="I38" i="18"/>
  <c r="I19" i="18" s="1"/>
  <c r="I40" i="19" s="1"/>
  <c r="N40" i="19" s="1"/>
  <c r="I33" i="18"/>
  <c r="I14" i="18" s="1"/>
  <c r="I45" i="19" s="1"/>
  <c r="N45" i="19" s="1"/>
  <c r="I37" i="18"/>
  <c r="I18" i="18" s="1"/>
  <c r="I41" i="19" s="1"/>
  <c r="N41" i="19" s="1"/>
  <c r="K31" i="18"/>
  <c r="K12" i="18" s="1"/>
  <c r="K47" i="19" s="1"/>
  <c r="M33" i="18"/>
  <c r="M14" i="18" s="1"/>
  <c r="M45" i="19" s="1"/>
  <c r="K38" i="18"/>
  <c r="K19" i="18" s="1"/>
  <c r="K40" i="19" s="1"/>
  <c r="K37" i="18"/>
  <c r="K18" i="18" s="1"/>
  <c r="K41" i="19" s="1"/>
  <c r="J36" i="18"/>
  <c r="J17" i="18" s="1"/>
  <c r="J42" i="19" s="1"/>
  <c r="L31" i="18"/>
  <c r="L12" i="18" s="1"/>
  <c r="L47" i="19" s="1"/>
  <c r="I34" i="18"/>
  <c r="I15" i="18" s="1"/>
  <c r="I44" i="19" s="1"/>
  <c r="N44" i="19" s="1"/>
  <c r="M39" i="18"/>
  <c r="M20" i="18" s="1"/>
  <c r="M39" i="19" s="1"/>
  <c r="J31" i="18"/>
  <c r="J12" i="18" s="1"/>
  <c r="J47" i="19" s="1"/>
  <c r="M34" i="18"/>
  <c r="M15" i="18" s="1"/>
  <c r="M44" i="19" s="1"/>
  <c r="M37" i="18"/>
  <c r="M18" i="18" s="1"/>
  <c r="M41" i="19" s="1"/>
  <c r="J33" i="18"/>
  <c r="J14" i="18" s="1"/>
  <c r="J45" i="19" s="1"/>
  <c r="M35" i="18"/>
  <c r="M16" i="18" s="1"/>
  <c r="M43" i="19" s="1"/>
  <c r="I31" i="18"/>
  <c r="I35" i="18"/>
  <c r="I16" i="18" s="1"/>
  <c r="I43" i="19" s="1"/>
  <c r="N43" i="19" s="1"/>
  <c r="K32" i="18"/>
  <c r="K13" i="18" s="1"/>
  <c r="K46" i="19" s="1"/>
  <c r="K39" i="18"/>
  <c r="K20" i="18" s="1"/>
  <c r="K39" i="19" s="1"/>
  <c r="L34" i="18"/>
  <c r="L15" i="18" s="1"/>
  <c r="L44" i="19" s="1"/>
  <c r="J34" i="18"/>
  <c r="J15" i="18" s="1"/>
  <c r="J44" i="19" s="1"/>
  <c r="J37" i="18"/>
  <c r="J18" i="18" s="1"/>
  <c r="J41" i="19" s="1"/>
  <c r="L35" i="18"/>
  <c r="L16" i="18" s="1"/>
  <c r="L43" i="19" s="1"/>
  <c r="K34" i="18"/>
  <c r="K15" i="18" s="1"/>
  <c r="K44" i="19" s="1"/>
  <c r="L39" i="18"/>
  <c r="L20" i="18" s="1"/>
  <c r="L39" i="19" s="1"/>
  <c r="L38" i="18"/>
  <c r="L19" i="18" s="1"/>
  <c r="L40" i="19" s="1"/>
  <c r="J32" i="18"/>
  <c r="J13" i="18" s="1"/>
  <c r="J46" i="19" s="1"/>
  <c r="K36" i="18"/>
  <c r="K17" i="18" s="1"/>
  <c r="K42" i="19" s="1"/>
  <c r="M31" i="18"/>
  <c r="M12" i="18" s="1"/>
  <c r="M47" i="19" s="1"/>
  <c r="J38" i="18"/>
  <c r="J19" i="18" s="1"/>
  <c r="J40" i="19" s="1"/>
  <c r="I36" i="18"/>
  <c r="I17" i="18" s="1"/>
  <c r="I42" i="19" s="1"/>
  <c r="N42" i="19" s="1"/>
  <c r="I32" i="18"/>
  <c r="I13" i="18" s="1"/>
  <c r="I46" i="19" s="1"/>
  <c r="N46" i="19" s="1"/>
  <c r="J39" i="18"/>
  <c r="J20" i="18" s="1"/>
  <c r="J39" i="19" s="1"/>
  <c r="O44" i="19" l="1"/>
  <c r="O40" i="19"/>
  <c r="Q45" i="19"/>
  <c r="O45" i="19"/>
  <c r="R43" i="19"/>
  <c r="R41" i="19"/>
  <c r="Q39" i="19"/>
  <c r="O41" i="19"/>
  <c r="O43" i="19"/>
  <c r="Q42" i="19"/>
  <c r="Q43" i="19"/>
  <c r="O39" i="19"/>
  <c r="P43" i="19"/>
  <c r="Q40" i="19"/>
  <c r="P44" i="19"/>
  <c r="Q47" i="19"/>
  <c r="O42" i="19"/>
  <c r="P41" i="19"/>
  <c r="P40" i="19"/>
  <c r="R40" i="19"/>
  <c r="Q46" i="19"/>
  <c r="R47" i="19"/>
  <c r="P42" i="19"/>
  <c r="Q44" i="19"/>
  <c r="R44" i="19"/>
  <c r="R45" i="19"/>
  <c r="P45" i="19"/>
  <c r="O46" i="19"/>
  <c r="P39" i="19"/>
  <c r="P47" i="19"/>
  <c r="Q41" i="19"/>
  <c r="I12" i="18"/>
  <c r="I47" i="19" s="1"/>
  <c r="N47" i="19" s="1"/>
  <c r="E29" i="18"/>
  <c r="E37" i="18" s="1"/>
  <c r="E41" i="18" s="1"/>
  <c r="E42" i="18" s="1"/>
  <c r="P46" i="19"/>
  <c r="R39" i="19"/>
  <c r="R42" i="19"/>
  <c r="R46" i="19"/>
  <c r="O47" i="1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DeChesare</author>
    <author>BIWS</author>
  </authors>
  <commentList>
    <comment ref="G11" authorId="0" shapeId="0" xr:uid="{246B8901-ED49-4FE5-8D99-3EA7E804C5F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Very rough estimate based on the 9-month results here:
https://sec.report/Document/0001104659-21-010548/</t>
        </r>
      </text>
    </comment>
    <comment ref="H11" authorId="0" shapeId="0" xr:uid="{804F6FA4-73B6-409B-88AF-5493966D57B2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Very rough estimate based on the 9-month results here:
https://sec.report/Document/0001104659-21-010548/</t>
        </r>
      </text>
    </comment>
    <comment ref="G12" authorId="0" shapeId="0" xr:uid="{E849B139-DB68-41D4-BE56-183EE7C7E17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Estimates based on:
https://sec.report/Document/0000764065-21-000045/</t>
        </r>
      </text>
    </comment>
    <comment ref="H12" authorId="0" shapeId="0" xr:uid="{583F9011-E18D-48B6-B740-B721A0097335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Estimates based on:
https://sec.report/Document/0000764065-21-000045/</t>
        </r>
      </text>
    </comment>
    <comment ref="F13" authorId="0" shapeId="0" xr:uid="{387E0BB6-0CFC-4A67-BF72-0787178E1830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Excluding Op. Lease Liabilities because it's U.S. GAAP.</t>
        </r>
      </text>
    </comment>
    <comment ref="G16" authorId="0" shapeId="0" xr:uid="{6C89CBD3-E19A-4696-9B46-A0529070594B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Per estimate here:
https://investors.forterrabp.com/node/6816/html</t>
        </r>
      </text>
    </comment>
    <comment ref="H16" authorId="0" shapeId="0" xr:uid="{08845573-4268-4A2C-A76F-B098D157ABF1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Per estimate here (and very rough estimate of 4% of Revenue for D&amp;A based on Parent):
https://investors.forterrabp.com/node/6816/html</t>
        </r>
      </text>
    </comment>
    <comment ref="H18" authorId="0" shapeId="0" xr:uid="{DD88766D-C4D3-4EAC-A114-320D76540C4E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Estimate based on:
https://www.rttnews.com/2383760/nucor-to-acquire-gallatin-steel-for-a-cash-purchase-price-of-770-mln.aspx</t>
        </r>
      </text>
    </comment>
    <comment ref="G22" authorId="1" shapeId="0" xr:uid="{41B37E28-8577-4551-8616-C2DA9E20206A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Estimated based on pro-forma results as if acquisitions had been included from the start of the year.</t>
        </r>
      </text>
    </comment>
    <comment ref="H22" authorId="1" shapeId="0" xr:uid="{F7EED1C3-F480-4FAE-91AE-2D1FD1AF2F73}">
      <text>
        <r>
          <rPr>
            <b/>
            <sz val="9"/>
            <color indexed="81"/>
            <rFont val="Tahoma"/>
            <family val="2"/>
          </rPr>
          <t>BIWS:</t>
        </r>
        <r>
          <rPr>
            <sz val="9"/>
            <color indexed="81"/>
            <rFont val="Tahoma"/>
            <family val="2"/>
          </rPr>
          <t xml:space="preserve">
Estimated based on pro-forma results as if acquisitions had been included from the start of the year.</t>
        </r>
      </text>
    </comment>
  </commentList>
</comments>
</file>

<file path=xl/sharedStrings.xml><?xml version="1.0" encoding="utf-8"?>
<sst xmlns="http://schemas.openxmlformats.org/spreadsheetml/2006/main" count="140" uniqueCount="95">
  <si>
    <t>Company Name:</t>
  </si>
  <si>
    <t>Current Share Price:</t>
  </si>
  <si>
    <t>Implied Enterprise Value:</t>
  </si>
  <si>
    <t>Diluted Shares Outstanding:</t>
  </si>
  <si>
    <t>Premium / (Discount) to Current:</t>
  </si>
  <si>
    <t>Enterprise</t>
  </si>
  <si>
    <t>Value</t>
  </si>
  <si>
    <t>LTM</t>
  </si>
  <si>
    <t>Revenue</t>
  </si>
  <si>
    <t>EBITDA</t>
  </si>
  <si>
    <t>Acquirer Name</t>
  </si>
  <si>
    <t>Target Name</t>
  </si>
  <si>
    <t>Date</t>
  </si>
  <si>
    <t>Valuation Multiples</t>
  </si>
  <si>
    <t>Transaction</t>
  </si>
  <si>
    <t>Nucor Corporation</t>
  </si>
  <si>
    <t>Reliance Steel &amp; Aluminum Co.</t>
  </si>
  <si>
    <t>Maximum</t>
  </si>
  <si>
    <t>75th Percentile</t>
  </si>
  <si>
    <t>Median</t>
  </si>
  <si>
    <t>25th Percentile</t>
  </si>
  <si>
    <t>Minimum</t>
  </si>
  <si>
    <t>Methodology Name</t>
  </si>
  <si>
    <t>75th</t>
  </si>
  <si>
    <t>25th</t>
  </si>
  <si>
    <t>Applicable</t>
  </si>
  <si>
    <t>Percentile</t>
  </si>
  <si>
    <t>Company</t>
  </si>
  <si>
    <t>Multiple</t>
  </si>
  <si>
    <t>Figure</t>
  </si>
  <si>
    <t>Public Company Comparables:</t>
  </si>
  <si>
    <t>LTM P / E:</t>
  </si>
  <si>
    <t>Precedent Transactions:</t>
  </si>
  <si>
    <t>Discounted Cash Flow Analysis:</t>
  </si>
  <si>
    <t>Implied Enterprise Value or Equity Value at a Range of Multiples:</t>
  </si>
  <si>
    <t>Enterprise Value --&gt;</t>
  </si>
  <si>
    <t>Equity Value --&gt;</t>
  </si>
  <si>
    <t>Steel Dynamics Inc.</t>
  </si>
  <si>
    <t>Severstal Columbus, LLC</t>
  </si>
  <si>
    <t>ThyssenKrupp Steel USA, LLC</t>
  </si>
  <si>
    <t>Waupaca Foundry, Inc.</t>
  </si>
  <si>
    <t>N/A</t>
  </si>
  <si>
    <t>North Star BlueScope Steel, LLC</t>
  </si>
  <si>
    <t>Severstal Dearborn, Inc.</t>
  </si>
  <si>
    <t>AK Steel Corporation</t>
  </si>
  <si>
    <t>Announcement</t>
  </si>
  <si>
    <t>Metals USA Holdings Corp.</t>
  </si>
  <si>
    <t>($ USD in Millions Except Per Share Amounts in USD as Stated)</t>
  </si>
  <si>
    <t>($ USD in Millions Except Per Share Amounts in USD as Stated and Per Unit Amounts)</t>
  </si>
  <si>
    <t>Last Fiscal Year:</t>
  </si>
  <si>
    <t>Cleveland-Cliffs Inc.</t>
  </si>
  <si>
    <t xml:space="preserve">TEV / </t>
  </si>
  <si>
    <t>Precedent Transactions - U.S.-Based Steel Manufacturer Sellers with Transaction Enterprise Values Above $500 Million USD</t>
  </si>
  <si>
    <t>Announced Between August 1st, 2011, and July 31st, 2021</t>
  </si>
  <si>
    <t>Big River Steel LLC</t>
  </si>
  <si>
    <t>ArcelorMittal USA LLC</t>
  </si>
  <si>
    <t>AK Steel Holding Corporation</t>
  </si>
  <si>
    <t>IPSCO Tubulars Inc.</t>
  </si>
  <si>
    <t>TAMCO Steel, Inc. and Gerdau Reinforcing Steel West and Rebar Steel Mill and Fabrication Business</t>
  </si>
  <si>
    <t>United States Pipe and Foundry Company, LLC</t>
  </si>
  <si>
    <t>Thomas &amp; Betts International, LLC, Meyer Steel Structures</t>
  </si>
  <si>
    <t>Skyline Steel, LLC</t>
  </si>
  <si>
    <t>Percentage</t>
  </si>
  <si>
    <t>Acquired</t>
  </si>
  <si>
    <t>Gallatin Steel Company</t>
  </si>
  <si>
    <t>United States Steel Corporation</t>
  </si>
  <si>
    <t>Tenaris S.A.</t>
  </si>
  <si>
    <t>CMC Steel Fabricators, Inc.</t>
  </si>
  <si>
    <t>Forterra, Inc.</t>
  </si>
  <si>
    <t>BlueScope Steel Limited</t>
  </si>
  <si>
    <t>Hitachi Metals, Ltd.</t>
  </si>
  <si>
    <t>Steel Dynamics, Inc.</t>
  </si>
  <si>
    <t>Trinity Industries, Inc.</t>
  </si>
  <si>
    <t>ArcelorMittal; Nippon Steel Corporation</t>
  </si>
  <si>
    <t>(Only &gt;= 50% Acquisitions; Asset Sales and Divestitures Also Included)</t>
  </si>
  <si>
    <t>LTM TEV / Revenue:</t>
  </si>
  <si>
    <t>LTM TEV / EBITDA:</t>
  </si>
  <si>
    <t>(+) Cash &amp; Investments:</t>
  </si>
  <si>
    <t>(+) Net Operating Losses:</t>
  </si>
  <si>
    <t>(-) Debt &amp; Finance Leases:</t>
  </si>
  <si>
    <t>(-) Preferred Stock:</t>
  </si>
  <si>
    <t>(-) Operating Leases:</t>
  </si>
  <si>
    <t>(-) Noncontrolling Interests:</t>
  </si>
  <si>
    <t>(-) Unfunded Pensions:</t>
  </si>
  <si>
    <t>Implied Equity Value:</t>
  </si>
  <si>
    <t>Min.</t>
  </si>
  <si>
    <t>Max</t>
  </si>
  <si>
    <t>Min Point</t>
  </si>
  <si>
    <t>25th Point</t>
  </si>
  <si>
    <t>Median Point</t>
  </si>
  <si>
    <t>75th Point</t>
  </si>
  <si>
    <t>Max Point</t>
  </si>
  <si>
    <t>Current Share Price</t>
  </si>
  <si>
    <t>Implied Share Price:</t>
  </si>
  <si>
    <t>$600 - $1000 Steel Price per Ton, 15.0% - 20.0% Gross Margin: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</si>
</sst>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_);_(@_)"/>
    <numFmt numFmtId="165" formatCode="0.0%;\(0.0%\)"/>
    <numFmt numFmtId="166" formatCode="_(* #,##0.0_);_(* \(#,##0.0\);_(* &quot;-&quot;?_);_(@_)"/>
    <numFmt numFmtId="169" formatCode="0.0\ \x"/>
    <numFmt numFmtId="170" formatCode="_(* #,##0.000_);_(* \(#,##0.000\);_(* &quot;-&quot;???_);_(@_)"/>
    <numFmt numFmtId="171" formatCode="_(#,##0.0%_);\(#,##0.0%\);_(&quot;–&quot;_)_%;_(@_)_%"/>
    <numFmt numFmtId="175" formatCode="_(&quot;$&quot;* #,##0.0_);_(&quot;$&quot;* \(#,##0.0\);_(&quot;$&quot;* &quot;-&quot;??_);_(@_)"/>
    <numFmt numFmtId="176" formatCode="_(* #,##0.0_);_(* \(#,##0.0\);_(* &quot;-&quot;??_);_(@_)"/>
    <numFmt numFmtId="184" formatCode="yyyy\-mm\-dd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u/>
      <sz val="12"/>
      <color indexed="9"/>
      <name val="Calibri"/>
      <family val="2"/>
      <scheme val="minor"/>
    </font>
    <font>
      <u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  <font>
      <sz val="8"/>
      <color indexed="8"/>
      <name val="Arial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0" borderId="0"/>
    <xf numFmtId="0" fontId="8" fillId="2" borderId="7" applyNumberFormat="0" applyFont="0" applyAlignment="0" applyProtection="0"/>
    <xf numFmtId="0" fontId="8" fillId="0" borderId="0"/>
    <xf numFmtId="0" fontId="8" fillId="0" borderId="0"/>
    <xf numFmtId="0" fontId="17" fillId="0" borderId="0" applyAlignment="0"/>
    <xf numFmtId="0" fontId="8" fillId="0" borderId="0"/>
    <xf numFmtId="0" fontId="25" fillId="0" borderId="0" applyNumberFormat="0" applyFill="0" applyBorder="0" applyAlignment="0" applyProtection="0"/>
  </cellStyleXfs>
  <cellXfs count="97">
    <xf numFmtId="0" fontId="0" fillId="0" borderId="0" xfId="0"/>
    <xf numFmtId="49" fontId="9" fillId="0" borderId="0" xfId="1" applyNumberFormat="1" applyFont="1"/>
    <xf numFmtId="0" fontId="9" fillId="0" borderId="0" xfId="4" applyFont="1"/>
    <xf numFmtId="164" fontId="0" fillId="0" borderId="0" xfId="0" applyNumberFormat="1"/>
    <xf numFmtId="0" fontId="10" fillId="0" borderId="0" xfId="1" applyFont="1"/>
    <xf numFmtId="0" fontId="14" fillId="4" borderId="0" xfId="1" applyFont="1" applyFill="1" applyBorder="1"/>
    <xf numFmtId="0" fontId="11" fillId="4" borderId="0" xfId="1" applyFont="1" applyFill="1" applyBorder="1" applyAlignment="1">
      <alignment horizontal="center"/>
    </xf>
    <xf numFmtId="0" fontId="12" fillId="4" borderId="0" xfId="1" applyFont="1" applyFill="1" applyBorder="1" applyAlignment="1">
      <alignment horizontal="centerContinuous"/>
    </xf>
    <xf numFmtId="0" fontId="11" fillId="4" borderId="5" xfId="1" applyFont="1" applyFill="1" applyBorder="1"/>
    <xf numFmtId="0" fontId="11" fillId="4" borderId="5" xfId="1" applyFont="1" applyFill="1" applyBorder="1" applyAlignment="1">
      <alignment horizontal="center"/>
    </xf>
    <xf numFmtId="0" fontId="13" fillId="4" borderId="0" xfId="1" applyFont="1" applyFill="1" applyBorder="1" applyAlignment="1">
      <alignment horizontal="centerContinuous"/>
    </xf>
    <xf numFmtId="175" fontId="10" fillId="0" borderId="2" xfId="1" applyNumberFormat="1" applyFont="1" applyFill="1" applyBorder="1"/>
    <xf numFmtId="0" fontId="10" fillId="0" borderId="0" xfId="1" applyFont="1" applyFill="1" applyBorder="1"/>
    <xf numFmtId="176" fontId="10" fillId="0" borderId="0" xfId="1" applyNumberFormat="1" applyFont="1"/>
    <xf numFmtId="176" fontId="10" fillId="0" borderId="5" xfId="1" applyNumberFormat="1" applyFont="1" applyBorder="1"/>
    <xf numFmtId="0" fontId="11" fillId="4" borderId="0" xfId="1" applyFont="1" applyFill="1" applyBorder="1"/>
    <xf numFmtId="169" fontId="10" fillId="0" borderId="0" xfId="1" applyNumberFormat="1" applyFont="1"/>
    <xf numFmtId="169" fontId="10" fillId="0" borderId="2" xfId="1" applyNumberFormat="1" applyFont="1" applyFill="1" applyBorder="1"/>
    <xf numFmtId="169" fontId="10" fillId="0" borderId="3" xfId="1" applyNumberFormat="1" applyFont="1" applyFill="1" applyBorder="1"/>
    <xf numFmtId="169" fontId="10" fillId="0" borderId="12" xfId="1" applyNumberFormat="1" applyFont="1" applyBorder="1"/>
    <xf numFmtId="169" fontId="16" fillId="7" borderId="14" xfId="1" applyNumberFormat="1" applyFont="1" applyFill="1" applyBorder="1"/>
    <xf numFmtId="169" fontId="16" fillId="7" borderId="15" xfId="1" applyNumberFormat="1" applyFont="1" applyFill="1" applyBorder="1"/>
    <xf numFmtId="169" fontId="10" fillId="0" borderId="5" xfId="1" applyNumberFormat="1" applyFont="1" applyBorder="1"/>
    <xf numFmtId="169" fontId="10" fillId="0" borderId="6" xfId="1" applyNumberFormat="1" applyFont="1" applyBorder="1"/>
    <xf numFmtId="0" fontId="10" fillId="0" borderId="1" xfId="1" applyFont="1" applyFill="1" applyBorder="1" applyAlignment="1"/>
    <xf numFmtId="0" fontId="10" fillId="0" borderId="2" xfId="1" applyFont="1" applyFill="1" applyBorder="1" applyAlignment="1">
      <alignment horizontal="right"/>
    </xf>
    <xf numFmtId="0" fontId="10" fillId="0" borderId="11" xfId="1" applyFont="1" applyFill="1" applyBorder="1" applyAlignment="1"/>
    <xf numFmtId="0" fontId="10" fillId="0" borderId="0" xfId="1" applyFont="1" applyFill="1" applyBorder="1" applyAlignment="1">
      <alignment horizontal="right"/>
    </xf>
    <xf numFmtId="0" fontId="16" fillId="7" borderId="13" xfId="1" applyFont="1" applyFill="1" applyBorder="1" applyAlignment="1"/>
    <xf numFmtId="0" fontId="16" fillId="7" borderId="14" xfId="1" applyFont="1" applyFill="1" applyBorder="1" applyAlignment="1">
      <alignment horizontal="right"/>
    </xf>
    <xf numFmtId="0" fontId="10" fillId="0" borderId="4" xfId="1" applyFont="1" applyFill="1" applyBorder="1" applyAlignment="1"/>
    <xf numFmtId="0" fontId="10" fillId="0" borderId="5" xfId="1" applyFont="1" applyFill="1" applyBorder="1" applyAlignment="1">
      <alignment horizontal="right"/>
    </xf>
    <xf numFmtId="184" fontId="18" fillId="0" borderId="0" xfId="5" applyNumberFormat="1" applyFont="1" applyFill="1" applyAlignment="1">
      <alignment horizontal="center" vertical="top"/>
    </xf>
    <xf numFmtId="0" fontId="19" fillId="0" borderId="0" xfId="0" applyFont="1"/>
    <xf numFmtId="0" fontId="10" fillId="0" borderId="0" xfId="0" applyFont="1"/>
    <xf numFmtId="166" fontId="15" fillId="0" borderId="0" xfId="0" applyNumberFormat="1" applyFont="1"/>
    <xf numFmtId="164" fontId="20" fillId="5" borderId="5" xfId="0" applyNumberFormat="1" applyFont="1" applyFill="1" applyBorder="1"/>
    <xf numFmtId="0" fontId="10" fillId="0" borderId="0" xfId="1" applyFont="1" applyAlignment="1">
      <alignment horizontal="left" indent="1"/>
    </xf>
    <xf numFmtId="0" fontId="16" fillId="5" borderId="2" xfId="1" applyFont="1" applyFill="1" applyBorder="1" applyAlignment="1">
      <alignment horizontal="left"/>
    </xf>
    <xf numFmtId="0" fontId="10" fillId="5" borderId="2" xfId="1" applyFont="1" applyFill="1" applyBorder="1"/>
    <xf numFmtId="166" fontId="16" fillId="5" borderId="0" xfId="1" applyNumberFormat="1" applyFont="1" applyFill="1" applyBorder="1"/>
    <xf numFmtId="0" fontId="16" fillId="6" borderId="1" xfId="1" applyFont="1" applyFill="1" applyBorder="1"/>
    <xf numFmtId="0" fontId="10" fillId="6" borderId="2" xfId="1" applyFont="1" applyFill="1" applyBorder="1"/>
    <xf numFmtId="44" fontId="16" fillId="6" borderId="3" xfId="1" applyNumberFormat="1" applyFont="1" applyFill="1" applyBorder="1"/>
    <xf numFmtId="0" fontId="16" fillId="6" borderId="4" xfId="1" applyFont="1" applyFill="1" applyBorder="1"/>
    <xf numFmtId="0" fontId="10" fillId="6" borderId="5" xfId="1" applyFont="1" applyFill="1" applyBorder="1"/>
    <xf numFmtId="165" fontId="16" fillId="6" borderId="6" xfId="1" applyNumberFormat="1" applyFont="1" applyFill="1" applyBorder="1"/>
    <xf numFmtId="44" fontId="21" fillId="0" borderId="0" xfId="6" applyNumberFormat="1" applyFont="1"/>
    <xf numFmtId="0" fontId="21" fillId="0" borderId="0" xfId="6" applyFont="1"/>
    <xf numFmtId="43" fontId="21" fillId="0" borderId="0" xfId="6" applyNumberFormat="1" applyFont="1"/>
    <xf numFmtId="43" fontId="10" fillId="0" borderId="0" xfId="6" applyNumberFormat="1" applyFont="1"/>
    <xf numFmtId="0" fontId="4" fillId="0" borderId="0" xfId="0" applyFont="1"/>
    <xf numFmtId="0" fontId="4" fillId="0" borderId="0" xfId="4" applyFont="1"/>
    <xf numFmtId="0" fontId="20" fillId="0" borderId="0" xfId="0" applyFont="1"/>
    <xf numFmtId="0" fontId="4" fillId="0" borderId="0" xfId="0" applyFont="1" applyAlignment="1">
      <alignment horizontal="left" indent="1"/>
    </xf>
    <xf numFmtId="169" fontId="21" fillId="0" borderId="0" xfId="0" applyNumberFormat="1" applyFont="1"/>
    <xf numFmtId="44" fontId="4" fillId="0" borderId="0" xfId="0" applyNumberFormat="1" applyFont="1"/>
    <xf numFmtId="43" fontId="4" fillId="0" borderId="0" xfId="0" applyNumberFormat="1" applyFont="1"/>
    <xf numFmtId="0" fontId="20" fillId="0" borderId="0" xfId="0" applyFont="1" applyAlignment="1">
      <alignment horizontal="left"/>
    </xf>
    <xf numFmtId="43" fontId="21" fillId="0" borderId="0" xfId="0" applyNumberFormat="1" applyFont="1"/>
    <xf numFmtId="0" fontId="16" fillId="5" borderId="5" xfId="1" applyFont="1" applyFill="1" applyBorder="1"/>
    <xf numFmtId="0" fontId="4" fillId="5" borderId="5" xfId="0" applyFont="1" applyFill="1" applyBorder="1"/>
    <xf numFmtId="0" fontId="20" fillId="5" borderId="5" xfId="4" applyFont="1" applyFill="1" applyBorder="1" applyAlignment="1">
      <alignment horizontal="centerContinuous"/>
    </xf>
    <xf numFmtId="0" fontId="4" fillId="5" borderId="5" xfId="4" applyFont="1" applyFill="1" applyBorder="1" applyAlignment="1">
      <alignment horizontal="centerContinuous"/>
    </xf>
    <xf numFmtId="164" fontId="4" fillId="0" borderId="0" xfId="0" applyNumberFormat="1" applyFont="1"/>
    <xf numFmtId="166" fontId="4" fillId="0" borderId="0" xfId="0" applyNumberFormat="1" applyFont="1"/>
    <xf numFmtId="0" fontId="22" fillId="0" borderId="0" xfId="0" applyFont="1"/>
    <xf numFmtId="0" fontId="4" fillId="0" borderId="0" xfId="6" applyFont="1"/>
    <xf numFmtId="44" fontId="4" fillId="0" borderId="0" xfId="6" applyNumberFormat="1" applyFont="1"/>
    <xf numFmtId="0" fontId="23" fillId="0" borderId="0" xfId="1" applyFont="1" applyFill="1" applyBorder="1"/>
    <xf numFmtId="0" fontId="24" fillId="0" borderId="0" xfId="1" applyFont="1" applyAlignment="1">
      <alignment horizontal="center"/>
    </xf>
    <xf numFmtId="171" fontId="15" fillId="0" borderId="0" xfId="1" applyNumberFormat="1" applyFont="1" applyAlignment="1">
      <alignment horizontal="center"/>
    </xf>
    <xf numFmtId="166" fontId="10" fillId="0" borderId="0" xfId="0" applyNumberFormat="1" applyFont="1"/>
    <xf numFmtId="166" fontId="16" fillId="7" borderId="14" xfId="1" applyNumberFormat="1" applyFont="1" applyFill="1" applyBorder="1"/>
    <xf numFmtId="0" fontId="3" fillId="0" borderId="0" xfId="0" applyFont="1"/>
    <xf numFmtId="0" fontId="23" fillId="0" borderId="0" xfId="0" applyFont="1" applyFill="1" applyBorder="1"/>
    <xf numFmtId="0" fontId="2" fillId="0" borderId="0" xfId="0" applyFont="1" applyFill="1" applyBorder="1"/>
    <xf numFmtId="0" fontId="2" fillId="0" borderId="0" xfId="0" quotePrefix="1" applyFont="1" applyFill="1" applyBorder="1"/>
    <xf numFmtId="9" fontId="0" fillId="0" borderId="0" xfId="0" applyNumberFormat="1"/>
    <xf numFmtId="0" fontId="0" fillId="0" borderId="0" xfId="0" applyFont="1" applyFill="1" applyBorder="1"/>
    <xf numFmtId="0" fontId="26" fillId="0" borderId="0" xfId="7" applyFont="1" applyFill="1" applyBorder="1"/>
    <xf numFmtId="0" fontId="2" fillId="0" borderId="0" xfId="0" applyFont="1" applyAlignment="1">
      <alignment horizontal="left" indent="1"/>
    </xf>
    <xf numFmtId="0" fontId="2" fillId="0" borderId="0" xfId="6" applyFont="1"/>
    <xf numFmtId="43" fontId="15" fillId="0" borderId="0" xfId="6" applyNumberFormat="1" applyFont="1"/>
    <xf numFmtId="44" fontId="2" fillId="0" borderId="0" xfId="0" applyNumberFormat="1" applyFont="1" applyFill="1" applyBorder="1"/>
    <xf numFmtId="169" fontId="15" fillId="0" borderId="0" xfId="0" applyNumberFormat="1" applyFont="1"/>
    <xf numFmtId="164" fontId="15" fillId="0" borderId="0" xfId="0" applyNumberFormat="1" applyFont="1"/>
    <xf numFmtId="169" fontId="15" fillId="0" borderId="0" xfId="0" applyNumberFormat="1" applyFont="1" applyBorder="1"/>
    <xf numFmtId="43" fontId="15" fillId="0" borderId="0" xfId="0" applyNumberFormat="1" applyFont="1"/>
    <xf numFmtId="166" fontId="15" fillId="0" borderId="0" xfId="0" applyNumberFormat="1" applyFont="1" applyFill="1" applyBorder="1"/>
    <xf numFmtId="166" fontId="15" fillId="0" borderId="5" xfId="0" applyNumberFormat="1" applyFont="1" applyFill="1" applyBorder="1"/>
    <xf numFmtId="170" fontId="15" fillId="0" borderId="0" xfId="0" applyNumberFormat="1" applyFont="1" applyFill="1" applyBorder="1"/>
    <xf numFmtId="0" fontId="1" fillId="0" borderId="0" xfId="0" applyFont="1"/>
    <xf numFmtId="0" fontId="15" fillId="3" borderId="9" xfId="2" applyFont="1" applyFill="1" applyBorder="1" applyAlignment="1">
      <alignment horizontal="centerContinuous"/>
    </xf>
    <xf numFmtId="0" fontId="15" fillId="3" borderId="10" xfId="2" applyFont="1" applyFill="1" applyBorder="1" applyAlignment="1">
      <alignment horizontal="centerContinuous"/>
    </xf>
    <xf numFmtId="184" fontId="15" fillId="3" borderId="7" xfId="0" applyNumberFormat="1" applyFont="1" applyFill="1" applyBorder="1" applyAlignment="1">
      <alignment horizontal="center"/>
    </xf>
    <xf numFmtId="44" fontId="15" fillId="3" borderId="8" xfId="0" applyNumberFormat="1" applyFont="1" applyFill="1" applyBorder="1"/>
  </cellXfs>
  <cellStyles count="8">
    <cellStyle name="Hyperlink" xfId="7" builtinId="8"/>
    <cellStyle name="Normal" xfId="0" builtinId="0"/>
    <cellStyle name="Normal 2" xfId="1" xr:uid="{00000000-0005-0000-0000-000001000000}"/>
    <cellStyle name="Normal 3 2" xfId="3" xr:uid="{00000000-0005-0000-0000-000002000000}"/>
    <cellStyle name="Normal 3 4" xfId="6" xr:uid="{00000000-0005-0000-0000-000003000000}"/>
    <cellStyle name="Normal 5 2" xfId="4" xr:uid="{00000000-0005-0000-0000-000004000000}"/>
    <cellStyle name="Note" xfId="2" builtinId="10"/>
    <cellStyle name="TextNormal" xfId="5" xr:uid="{00000000-0005-0000-0000-000006000000}"/>
  </cellStyles>
  <dxfs count="0"/>
  <tableStyles count="0" defaultTableStyle="TableStyleMedium9" defaultPivotStyle="PivotStyleLight16"/>
  <colors>
    <mruColors>
      <color rgb="FF0000FF"/>
      <color rgb="FFFFFF99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ValGraph!$W$2</c:f>
          <c:strCache>
            <c:ptCount val="1"/>
            <c:pt idx="0">
              <c:v>Steel Dynamics Inc. Valuation - Range of Implied Share Prices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1"/>
          <c:spPr>
            <a:noFill/>
            <a:ln>
              <a:noFill/>
            </a:ln>
            <a:effectLst/>
          </c:spPr>
          <c:invertIfNegative val="0"/>
          <c:cat>
            <c:strRef>
              <c:f>ValGraph!$B$34:$B$50</c:f>
              <c:strCache>
                <c:ptCount val="16"/>
                <c:pt idx="0">
                  <c:v>$600 - $1000 Steel Price per Ton, 15.0% - 20.0% Gross Margin:</c:v>
                </c:pt>
                <c:pt idx="2">
                  <c:v>LTM TEV / EBITDA:</c:v>
                </c:pt>
                <c:pt idx="3">
                  <c:v>LTM TEV / Revenue:</c:v>
                </c:pt>
                <c:pt idx="5">
                  <c:v>CY 22 P / E:</c:v>
                </c:pt>
                <c:pt idx="6">
                  <c:v>CY 21 P / E:</c:v>
                </c:pt>
                <c:pt idx="7">
                  <c:v>LTM P / E:</c:v>
                </c:pt>
                <c:pt idx="8">
                  <c:v>CY 22 TEV / EBITDA:</c:v>
                </c:pt>
                <c:pt idx="9">
                  <c:v>CY 21 TEV / EBITDA:</c:v>
                </c:pt>
                <c:pt idx="10">
                  <c:v>LTM TEV / EBITDA:</c:v>
                </c:pt>
                <c:pt idx="11">
                  <c:v>CY 22 TEV / Revenue:</c:v>
                </c:pt>
                <c:pt idx="12">
                  <c:v>CY 21 TEV / Revenue:</c:v>
                </c:pt>
                <c:pt idx="13">
                  <c:v>LTM TEV / Revenue:</c:v>
                </c:pt>
                <c:pt idx="15">
                  <c:v>Current Share Price</c:v>
                </c:pt>
              </c:strCache>
            </c:strRef>
          </c:cat>
          <c:val>
            <c:numRef>
              <c:f>ValGraph!$N$34:$N$48</c:f>
              <c:numCache>
                <c:formatCode>General</c:formatCode>
                <c:ptCount val="15"/>
                <c:pt idx="0" formatCode="_(&quot;$&quot;* #,##0.00_);_(&quot;$&quot;* \(#,##0.00\);_(&quot;$&quot;* &quot;-&quot;??_);_(@_)">
                  <c:v>27.321186637694819</c:v>
                </c:pt>
                <c:pt idx="2" formatCode="_(* #,##0.00_);_(* \(#,##0.00\);_(* &quot;-&quot;??_);_(@_)">
                  <c:v>50.78121653878231</c:v>
                </c:pt>
                <c:pt idx="3" formatCode="_(* #,##0.00_);_(* \(#,##0.00\);_(* &quot;-&quot;??_);_(@_)">
                  <c:v>9.0014895737863938</c:v>
                </c:pt>
                <c:pt idx="5" formatCode="_(* #,##0.00_);_(* \(#,##0.00\);_(* &quot;-&quot;??_);_(@_)">
                  <c:v>18.042734980969495</c:v>
                </c:pt>
                <c:pt idx="6" formatCode="_(* #,##0.00_);_(* \(#,##0.00\);_(* &quot;-&quot;??_);_(@_)">
                  <c:v>12.389332385118648</c:v>
                </c:pt>
                <c:pt idx="7" formatCode="_(* #,##0.00_);_(* \(#,##0.00\);_(* &quot;-&quot;??_);_(@_)">
                  <c:v>53.227837592582176</c:v>
                </c:pt>
                <c:pt idx="8" formatCode="_(* #,##0.00_);_(* \(#,##0.00\);_(* &quot;-&quot;??_);_(@_)">
                  <c:v>17.944796650334727</c:v>
                </c:pt>
                <c:pt idx="9" formatCode="_(* #,##0.00_);_(* \(#,##0.00\);_(* &quot;-&quot;??_);_(@_)">
                  <c:v>13.14635843428071</c:v>
                </c:pt>
                <c:pt idx="10" formatCode="_(* #,##0.00_);_(* \(#,##0.00\);_(* &quot;-&quot;??_);_(@_)">
                  <c:v>60.824405107385722</c:v>
                </c:pt>
                <c:pt idx="11" formatCode="_(* #,##0.00_);_(* \(#,##0.00\);_(* &quot;-&quot;??_);_(@_)">
                  <c:v>14.225498040835014</c:v>
                </c:pt>
                <c:pt idx="12" formatCode="_(* #,##0.00_);_(* \(#,##0.00\);_(* &quot;-&quot;??_);_(@_)">
                  <c:v>27.6603600130634</c:v>
                </c:pt>
                <c:pt idx="13" formatCode="_(* #,##0.00_);_(* \(#,##0.00\);_(* &quot;-&quot;??_);_(@_)">
                  <c:v>29.892597173445427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D-4279-9C95-AB6D8F49D674}"/>
            </c:ext>
          </c:extLst>
        </c:ser>
        <c:ser>
          <c:idx val="1"/>
          <c:order val="2"/>
          <c:spPr>
            <a:noFill/>
            <a:ln>
              <a:noFill/>
            </a:ln>
            <a:effectLst/>
          </c:spPr>
          <c:invertIfNegative val="0"/>
          <c:cat>
            <c:strRef>
              <c:f>ValGraph!$B$34:$B$50</c:f>
              <c:strCache>
                <c:ptCount val="16"/>
                <c:pt idx="0">
                  <c:v>$600 - $1000 Steel Price per Ton, 15.0% - 20.0% Gross Margin:</c:v>
                </c:pt>
                <c:pt idx="2">
                  <c:v>LTM TEV / EBITDA:</c:v>
                </c:pt>
                <c:pt idx="3">
                  <c:v>LTM TEV / Revenue:</c:v>
                </c:pt>
                <c:pt idx="5">
                  <c:v>CY 22 P / E:</c:v>
                </c:pt>
                <c:pt idx="6">
                  <c:v>CY 21 P / E:</c:v>
                </c:pt>
                <c:pt idx="7">
                  <c:v>LTM P / E:</c:v>
                </c:pt>
                <c:pt idx="8">
                  <c:v>CY 22 TEV / EBITDA:</c:v>
                </c:pt>
                <c:pt idx="9">
                  <c:v>CY 21 TEV / EBITDA:</c:v>
                </c:pt>
                <c:pt idx="10">
                  <c:v>LTM TEV / EBITDA:</c:v>
                </c:pt>
                <c:pt idx="11">
                  <c:v>CY 22 TEV / Revenue:</c:v>
                </c:pt>
                <c:pt idx="12">
                  <c:v>CY 21 TEV / Revenue:</c:v>
                </c:pt>
                <c:pt idx="13">
                  <c:v>LTM TEV / Revenue:</c:v>
                </c:pt>
                <c:pt idx="15">
                  <c:v>Current Share Price</c:v>
                </c:pt>
              </c:strCache>
            </c:strRef>
          </c:cat>
          <c:val>
            <c:numRef>
              <c:f>ValGraph!$O$34:$O$48</c:f>
              <c:numCache>
                <c:formatCode>General</c:formatCode>
                <c:ptCount val="15"/>
                <c:pt idx="0" formatCode="_(&quot;$&quot;* #,##0.00_);_(&quot;$&quot;* \(#,##0.00\);_(&quot;$&quot;* &quot;-&quot;??_);_(@_)">
                  <c:v>12.812123927895843</c:v>
                </c:pt>
                <c:pt idx="2" formatCode="_(* #,##0.00_);_(* \(#,##0.00\);_(* &quot;-&quot;??_);_(@_)">
                  <c:v>26.092341984198605</c:v>
                </c:pt>
                <c:pt idx="3" formatCode="_(* #,##0.00_);_(* \(#,##0.00\);_(* &quot;-&quot;??_);_(@_)">
                  <c:v>17.758292031760561</c:v>
                </c:pt>
                <c:pt idx="5" formatCode="_(* #,##0.00_);_(* \(#,##0.00\);_(* &quot;-&quot;??_);_(@_)">
                  <c:v>5.5319276971234999</c:v>
                </c:pt>
                <c:pt idx="6" formatCode="_(* #,##0.00_);_(* \(#,##0.00\);_(* &quot;-&quot;??_);_(@_)">
                  <c:v>12.301417325639568</c:v>
                </c:pt>
                <c:pt idx="7" formatCode="_(* #,##0.00_);_(* \(#,##0.00\);_(* &quot;-&quot;??_);_(@_)">
                  <c:v>15.208004569638263</c:v>
                </c:pt>
                <c:pt idx="8" formatCode="_(* #,##0.00_);_(* \(#,##0.00\);_(* &quot;-&quot;??_);_(@_)">
                  <c:v>7.1730100782007007</c:v>
                </c:pt>
                <c:pt idx="9" formatCode="_(* #,##0.00_);_(* \(#,##0.00\);_(* &quot;-&quot;??_);_(@_)">
                  <c:v>13.768331852417557</c:v>
                </c:pt>
                <c:pt idx="10" formatCode="_(* #,##0.00_);_(* \(#,##0.00\);_(* &quot;-&quot;??_);_(@_)">
                  <c:v>2.2393830775922794</c:v>
                </c:pt>
                <c:pt idx="11" formatCode="_(* #,##0.00_);_(* \(#,##0.00\);_(* &quot;-&quot;??_);_(@_)">
                  <c:v>12.13215270902468</c:v>
                </c:pt>
                <c:pt idx="12" formatCode="_(* #,##0.00_);_(* \(#,##0.00\);_(* &quot;-&quot;??_);_(@_)">
                  <c:v>7.7086923799820006</c:v>
                </c:pt>
                <c:pt idx="13" formatCode="_(* #,##0.00_);_(* \(#,##0.00\);_(* &quot;-&quot;??_);_(@_)">
                  <c:v>8.4542559860114714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FD-4279-9C95-AB6D8F49D674}"/>
            </c:ext>
          </c:extLst>
        </c:ser>
        <c:ser>
          <c:idx val="2"/>
          <c:order val="3"/>
          <c:tx>
            <c:v>25th to Median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ValGraph!$B$34:$B$50</c:f>
              <c:strCache>
                <c:ptCount val="16"/>
                <c:pt idx="0">
                  <c:v>$600 - $1000 Steel Price per Ton, 15.0% - 20.0% Gross Margin:</c:v>
                </c:pt>
                <c:pt idx="2">
                  <c:v>LTM TEV / EBITDA:</c:v>
                </c:pt>
                <c:pt idx="3">
                  <c:v>LTM TEV / Revenue:</c:v>
                </c:pt>
                <c:pt idx="5">
                  <c:v>CY 22 P / E:</c:v>
                </c:pt>
                <c:pt idx="6">
                  <c:v>CY 21 P / E:</c:v>
                </c:pt>
                <c:pt idx="7">
                  <c:v>LTM P / E:</c:v>
                </c:pt>
                <c:pt idx="8">
                  <c:v>CY 22 TEV / EBITDA:</c:v>
                </c:pt>
                <c:pt idx="9">
                  <c:v>CY 21 TEV / EBITDA:</c:v>
                </c:pt>
                <c:pt idx="10">
                  <c:v>LTM TEV / EBITDA:</c:v>
                </c:pt>
                <c:pt idx="11">
                  <c:v>CY 22 TEV / Revenue:</c:v>
                </c:pt>
                <c:pt idx="12">
                  <c:v>CY 21 TEV / Revenue:</c:v>
                </c:pt>
                <c:pt idx="13">
                  <c:v>LTM TEV / Revenue:</c:v>
                </c:pt>
                <c:pt idx="15">
                  <c:v>Current Share Price</c:v>
                </c:pt>
              </c:strCache>
            </c:strRef>
          </c:cat>
          <c:val>
            <c:numRef>
              <c:f>ValGraph!$P$34:$P$48</c:f>
              <c:numCache>
                <c:formatCode>General</c:formatCode>
                <c:ptCount val="15"/>
                <c:pt idx="0" formatCode="_(&quot;$&quot;* #,##0.00_);_(&quot;$&quot;* \(#,##0.00\);_(&quot;$&quot;* &quot;-&quot;??_);_(@_)">
                  <c:v>18.513847398355047</c:v>
                </c:pt>
                <c:pt idx="2" formatCode="_(* #,##0.00_);_(* \(#,##0.00\);_(* &quot;-&quot;??_);_(@_)">
                  <c:v>20.375531006130473</c:v>
                </c:pt>
                <c:pt idx="3" formatCode="_(* #,##0.00_);_(* \(#,##0.00\);_(* &quot;-&quot;??_);_(@_)">
                  <c:v>10.799973723793521</c:v>
                </c:pt>
                <c:pt idx="5" formatCode="_(* #,##0.00_);_(* \(#,##0.00\);_(* &quot;-&quot;??_);_(@_)">
                  <c:v>7.2748457205570851</c:v>
                </c:pt>
                <c:pt idx="6" formatCode="_(* #,##0.00_);_(* \(#,##0.00\);_(* &quot;-&quot;??_);_(@_)">
                  <c:v>7.6054903306109019</c:v>
                </c:pt>
                <c:pt idx="7" formatCode="_(* #,##0.00_);_(* \(#,##0.00\);_(* &quot;-&quot;??_);_(@_)">
                  <c:v>8.8097627593485299</c:v>
                </c:pt>
                <c:pt idx="8" formatCode="_(* #,##0.00_);_(* \(#,##0.00\);_(* &quot;-&quot;??_);_(@_)">
                  <c:v>8.4359088422111768</c:v>
                </c:pt>
                <c:pt idx="9" formatCode="_(* #,##0.00_);_(* \(#,##0.00\);_(* &quot;-&quot;??_);_(@_)">
                  <c:v>8.7010484117573057</c:v>
                </c:pt>
                <c:pt idx="10" formatCode="_(* #,##0.00_);_(* \(#,##0.00\);_(* &quot;-&quot;??_);_(@_)">
                  <c:v>3.2104734845084479</c:v>
                </c:pt>
                <c:pt idx="11" formatCode="_(* #,##0.00_);_(* \(#,##0.00\);_(* &quot;-&quot;??_);_(@_)">
                  <c:v>12.920931584931076</c:v>
                </c:pt>
                <c:pt idx="12" formatCode="_(* #,##0.00_);_(* \(#,##0.00\);_(* &quot;-&quot;??_);_(@_)">
                  <c:v>13.767349865457412</c:v>
                </c:pt>
                <c:pt idx="13" formatCode="_(* #,##0.00_);_(* \(#,##0.00\);_(* &quot;-&quot;??_);_(@_)">
                  <c:v>18.957327107925217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FD-4279-9C95-AB6D8F49D674}"/>
            </c:ext>
          </c:extLst>
        </c:ser>
        <c:ser>
          <c:idx val="3"/>
          <c:order val="4"/>
          <c:tx>
            <c:v>Median to 75th</c:v>
          </c:tx>
          <c:spPr>
            <a:solidFill>
              <a:schemeClr val="accent1">
                <a:tint val="77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ValGraph!$B$34:$B$50</c:f>
              <c:strCache>
                <c:ptCount val="16"/>
                <c:pt idx="0">
                  <c:v>$600 - $1000 Steel Price per Ton, 15.0% - 20.0% Gross Margin:</c:v>
                </c:pt>
                <c:pt idx="2">
                  <c:v>LTM TEV / EBITDA:</c:v>
                </c:pt>
                <c:pt idx="3">
                  <c:v>LTM TEV / Revenue:</c:v>
                </c:pt>
                <c:pt idx="5">
                  <c:v>CY 22 P / E:</c:v>
                </c:pt>
                <c:pt idx="6">
                  <c:v>CY 21 P / E:</c:v>
                </c:pt>
                <c:pt idx="7">
                  <c:v>LTM P / E:</c:v>
                </c:pt>
                <c:pt idx="8">
                  <c:v>CY 22 TEV / EBITDA:</c:v>
                </c:pt>
                <c:pt idx="9">
                  <c:v>CY 21 TEV / EBITDA:</c:v>
                </c:pt>
                <c:pt idx="10">
                  <c:v>LTM TEV / EBITDA:</c:v>
                </c:pt>
                <c:pt idx="11">
                  <c:v>CY 22 TEV / Revenue:</c:v>
                </c:pt>
                <c:pt idx="12">
                  <c:v>CY 21 TEV / Revenue:</c:v>
                </c:pt>
                <c:pt idx="13">
                  <c:v>LTM TEV / Revenue:</c:v>
                </c:pt>
                <c:pt idx="15">
                  <c:v>Current Share Price</c:v>
                </c:pt>
              </c:strCache>
            </c:strRef>
          </c:cat>
          <c:val>
            <c:numRef>
              <c:f>ValGraph!$Q$34:$Q$48</c:f>
              <c:numCache>
                <c:formatCode>General</c:formatCode>
                <c:ptCount val="15"/>
                <c:pt idx="0" formatCode="_(&quot;$&quot;* #,##0.00_);_(&quot;$&quot;* \(#,##0.00\);_(&quot;$&quot;* &quot;-&quot;??_);_(@_)">
                  <c:v>23.444216852775391</c:v>
                </c:pt>
                <c:pt idx="2" formatCode="_(* #,##0.00_);_(* \(#,##0.00\);_(* &quot;-&quot;??_);_(@_)">
                  <c:v>34.426934747097221</c:v>
                </c:pt>
                <c:pt idx="3" formatCode="_(* #,##0.00_);_(* \(#,##0.00\);_(* &quot;-&quot;??_);_(@_)">
                  <c:v>29.332149905293051</c:v>
                </c:pt>
                <c:pt idx="5" formatCode="_(* #,##0.00_);_(* \(#,##0.00\);_(* &quot;-&quot;??_);_(@_)">
                  <c:v>8.8828271626952073</c:v>
                </c:pt>
                <c:pt idx="6" formatCode="_(* #,##0.00_);_(* \(#,##0.00\);_(* &quot;-&quot;??_);_(@_)">
                  <c:v>15.148977608075086</c:v>
                </c:pt>
                <c:pt idx="7" formatCode="_(* #,##0.00_);_(* \(#,##0.00\);_(* &quot;-&quot;??_);_(@_)">
                  <c:v>4.8884919121466339</c:v>
                </c:pt>
                <c:pt idx="8" formatCode="_(* #,##0.00_);_(* \(#,##0.00\);_(* &quot;-&quot;??_);_(@_)">
                  <c:v>0.38872025201380467</c:v>
                </c:pt>
                <c:pt idx="9" formatCode="_(* #,##0.00_);_(* \(#,##0.00\);_(* &quot;-&quot;??_);_(@_)">
                  <c:v>9.6088272135972588</c:v>
                </c:pt>
                <c:pt idx="10" formatCode="_(* #,##0.00_);_(* \(#,##0.00\);_(* &quot;-&quot;??_);_(@_)">
                  <c:v>21.622738039321234</c:v>
                </c:pt>
                <c:pt idx="11" formatCode="_(* #,##0.00_);_(* \(#,##0.00\);_(* &quot;-&quot;??_);_(@_)">
                  <c:v>15.461874278733475</c:v>
                </c:pt>
                <c:pt idx="12" formatCode="_(* #,##0.00_);_(* \(#,##0.00\);_(* &quot;-&quot;??_);_(@_)">
                  <c:v>17.807105429161027</c:v>
                </c:pt>
                <c:pt idx="13" formatCode="_(* #,##0.00_);_(* \(#,##0.00\);_(* &quot;-&quot;??_);_(@_)">
                  <c:v>34.048993636498246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FD-4279-9C95-AB6D8F49D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1019000"/>
        <c:axId val="691017080"/>
      </c:barChart>
      <c:scatterChart>
        <c:scatterStyle val="smoothMarker"/>
        <c:varyColors val="0"/>
        <c:ser>
          <c:idx val="4"/>
          <c:order val="0"/>
          <c:tx>
            <c:strRef>
              <c:f>ValGraph!$B$49</c:f>
              <c:strCache>
                <c:ptCount val="1"/>
                <c:pt idx="0">
                  <c:v>Current Share Price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ValGraph!$I$49:$M$49</c:f>
              <c:numCache>
                <c:formatCode>_(* #,##0.00_);_(* \(#,##0.00\);_(* "-"??_);_(@_)</c:formatCode>
                <c:ptCount val="5"/>
                <c:pt idx="0">
                  <c:v>64.45</c:v>
                </c:pt>
                <c:pt idx="1">
                  <c:v>64.45</c:v>
                </c:pt>
                <c:pt idx="2">
                  <c:v>64.45</c:v>
                </c:pt>
                <c:pt idx="3">
                  <c:v>64.45</c:v>
                </c:pt>
                <c:pt idx="4">
                  <c:v>64.45</c:v>
                </c:pt>
              </c:numCache>
            </c:numRef>
          </c:xVal>
          <c:yVal>
            <c:numRef>
              <c:f>ValGraph!$N$49:$R$49</c:f>
              <c:numCache>
                <c:formatCode>_(* #,##0.00_);_(* \(#,##0.00\);_(* "-"??_);_(@_)</c:formatCode>
                <c:ptCount val="5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2FD-4279-9C95-AB6D8F49D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028920"/>
        <c:axId val="691028280"/>
      </c:scatterChart>
      <c:catAx>
        <c:axId val="691019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7080"/>
        <c:crosses val="autoZero"/>
        <c:auto val="1"/>
        <c:lblAlgn val="ctr"/>
        <c:lblOffset val="100"/>
        <c:noMultiLvlLbl val="0"/>
      </c:catAx>
      <c:valAx>
        <c:axId val="691017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19000"/>
        <c:crosses val="autoZero"/>
        <c:crossBetween val="between"/>
      </c:valAx>
      <c:valAx>
        <c:axId val="691028280"/>
        <c:scaling>
          <c:orientation val="minMax"/>
          <c:max val="1000"/>
          <c:min val="0"/>
        </c:scaling>
        <c:delete val="1"/>
        <c:axPos val="r"/>
        <c:numFmt formatCode="_(* #,##0.00_);_(* \(#,##0.00\);_(* &quot;-&quot;??_);_(@_)" sourceLinked="1"/>
        <c:majorTickMark val="out"/>
        <c:minorTickMark val="none"/>
        <c:tickLblPos val="nextTo"/>
        <c:crossAx val="691028920"/>
        <c:crosses val="max"/>
        <c:crossBetween val="midCat"/>
      </c:valAx>
      <c:valAx>
        <c:axId val="691028920"/>
        <c:scaling>
          <c:orientation val="minMax"/>
        </c:scaling>
        <c:delete val="1"/>
        <c:axPos val="b"/>
        <c:numFmt formatCode="_(* #,##0.00_);_(* \(#,##0.00\);_(* &quot;-&quot;??_);_(@_)" sourceLinked="1"/>
        <c:majorTickMark val="out"/>
        <c:minorTickMark val="none"/>
        <c:tickLblPos val="nextTo"/>
        <c:crossAx val="691028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214311</xdr:colOff>
      <xdr:row>0</xdr:row>
      <xdr:rowOff>152399</xdr:rowOff>
    </xdr:from>
    <xdr:to>
      <xdr:col>21</xdr:col>
      <xdr:colOff>47625</xdr:colOff>
      <xdr:row>30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00DDB3-427D-4DC6-B299-B5A6E17D7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0.16038</cdr:x>
      <cdr:y>0.09042</cdr:y>
    </cdr:from>
    <cdr:to>
      <cdr:x>0.36273</cdr:x>
      <cdr:y>0.15254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83D55E8-274E-4105-9CEA-A8D5278445EA}"/>
            </a:ext>
          </a:extLst>
        </cdr:cNvPr>
        <cdr:cNvSpPr txBox="1"/>
      </cdr:nvSpPr>
      <cdr:spPr>
        <a:xfrm xmlns:a="http://schemas.openxmlformats.org/drawingml/2006/main">
          <a:off x="1899580" y="536562"/>
          <a:ext cx="2396702" cy="36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tx2"/>
              </a:solidFill>
            </a:rPr>
            <a:t>Comparable</a:t>
          </a:r>
          <a:r>
            <a:rPr lang="en-US" sz="1200" b="1" baseline="0">
              <a:solidFill>
                <a:schemeClr val="tx2"/>
              </a:solidFill>
            </a:rPr>
            <a:t> Public Companies</a:t>
          </a:r>
          <a:r>
            <a:rPr lang="en-US" sz="1200" b="1">
              <a:solidFill>
                <a:schemeClr val="tx2"/>
              </a:solidFill>
            </a:rPr>
            <a:t>:</a:t>
          </a:r>
        </a:p>
      </cdr:txBody>
    </cdr:sp>
  </cdr:relSizeAnchor>
  <cdr:relSizeAnchor xmlns:cdr="http://schemas.openxmlformats.org/drawingml/2006/chartDrawing">
    <cdr:from>
      <cdr:x>0.19595</cdr:x>
      <cdr:y>0.65543</cdr:y>
    </cdr:from>
    <cdr:to>
      <cdr:x>0.34252</cdr:x>
      <cdr:y>0.7027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66EB48B4-7D73-4502-B607-21E9EAAEB6AF}"/>
            </a:ext>
          </a:extLst>
        </cdr:cNvPr>
        <cdr:cNvSpPr txBox="1"/>
      </cdr:nvSpPr>
      <cdr:spPr>
        <a:xfrm xmlns:a="http://schemas.openxmlformats.org/drawingml/2006/main">
          <a:off x="2320903" y="3889400"/>
          <a:ext cx="1736024" cy="2805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tx2"/>
              </a:solidFill>
            </a:rPr>
            <a:t>Precedent Transactions:</a:t>
          </a:r>
        </a:p>
      </cdr:txBody>
    </cdr:sp>
  </cdr:relSizeAnchor>
  <cdr:relSizeAnchor xmlns:cdr="http://schemas.openxmlformats.org/drawingml/2006/chartDrawing">
    <cdr:from>
      <cdr:x>0.15636</cdr:x>
      <cdr:y>0.8336</cdr:y>
    </cdr:from>
    <cdr:to>
      <cdr:x>0.34074</cdr:x>
      <cdr:y>0.89572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580F10D5-CCB8-4CE3-B0A2-824EBB3CC99C}"/>
            </a:ext>
          </a:extLst>
        </cdr:cNvPr>
        <cdr:cNvSpPr txBox="1"/>
      </cdr:nvSpPr>
      <cdr:spPr>
        <a:xfrm xmlns:a="http://schemas.openxmlformats.org/drawingml/2006/main">
          <a:off x="1852005" y="4946644"/>
          <a:ext cx="2183859" cy="36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>
              <a:solidFill>
                <a:schemeClr val="tx2"/>
              </a:solidFill>
            </a:rPr>
            <a:t>Discounted Cash Flow Analysis: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2:V69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2.7109375" customWidth="1"/>
    <col min="2" max="2" width="38.42578125" bestFit="1" customWidth="1"/>
    <col min="3" max="3" width="35.5703125" customWidth="1"/>
    <col min="4" max="10" width="16.7109375" customWidth="1"/>
    <col min="11" max="12" width="2.7109375" customWidth="1"/>
    <col min="13" max="21" width="12.28515625" customWidth="1"/>
  </cols>
  <sheetData>
    <row r="2" spans="2:22" ht="18.75" x14ac:dyDescent="0.3">
      <c r="B2" s="1" t="s">
        <v>52</v>
      </c>
    </row>
    <row r="3" spans="2:22" ht="18.75" x14ac:dyDescent="0.3">
      <c r="B3" s="1" t="s">
        <v>53</v>
      </c>
    </row>
    <row r="4" spans="2:22" ht="15.75" x14ac:dyDescent="0.25">
      <c r="B4" s="4" t="s">
        <v>47</v>
      </c>
    </row>
    <row r="5" spans="2:22" ht="15.75" x14ac:dyDescent="0.25">
      <c r="B5" s="74" t="s">
        <v>74</v>
      </c>
    </row>
    <row r="7" spans="2:22" ht="15.75" x14ac:dyDescent="0.25">
      <c r="B7" s="15" t="str">
        <f>Company_Name&amp;" - Comparable M&amp;A Transactions:"</f>
        <v>Steel Dynamics Inc. - Comparable M&amp;A Transactions:</v>
      </c>
      <c r="C7" s="15"/>
      <c r="D7" s="15"/>
      <c r="E7" s="15"/>
      <c r="F7" s="6"/>
      <c r="G7" s="6"/>
      <c r="H7" s="6"/>
      <c r="I7" s="7" t="s">
        <v>13</v>
      </c>
      <c r="J7" s="7"/>
      <c r="L7" s="76"/>
      <c r="M7" s="76"/>
      <c r="N7" s="76"/>
      <c r="O7" s="76"/>
      <c r="P7" s="76"/>
      <c r="Q7" s="76"/>
      <c r="R7" s="76"/>
      <c r="S7" s="76"/>
      <c r="T7" s="76"/>
      <c r="U7" s="76"/>
      <c r="V7" s="12"/>
    </row>
    <row r="8" spans="2:22" ht="15.75" x14ac:dyDescent="0.25">
      <c r="B8" s="15"/>
      <c r="C8" s="15"/>
      <c r="D8" s="15"/>
      <c r="E8" s="15"/>
      <c r="F8" s="6" t="s">
        <v>14</v>
      </c>
      <c r="G8" s="6"/>
      <c r="H8" s="6"/>
      <c r="I8" s="6" t="s">
        <v>51</v>
      </c>
      <c r="J8" s="6" t="s">
        <v>51</v>
      </c>
      <c r="L8" s="69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2:22" ht="15.75" x14ac:dyDescent="0.25">
      <c r="B9" s="5"/>
      <c r="C9" s="5"/>
      <c r="D9" s="6" t="s">
        <v>45</v>
      </c>
      <c r="E9" s="6" t="s">
        <v>62</v>
      </c>
      <c r="F9" s="6" t="s">
        <v>5</v>
      </c>
      <c r="G9" s="6" t="s">
        <v>7</v>
      </c>
      <c r="H9" s="6" t="s">
        <v>7</v>
      </c>
      <c r="I9" s="6" t="s">
        <v>7</v>
      </c>
      <c r="J9" s="6" t="s">
        <v>7</v>
      </c>
      <c r="L9" s="69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2:22" ht="15.75" x14ac:dyDescent="0.25">
      <c r="B10" s="9" t="s">
        <v>10</v>
      </c>
      <c r="C10" s="9" t="s">
        <v>11</v>
      </c>
      <c r="D10" s="9" t="s">
        <v>12</v>
      </c>
      <c r="E10" s="9" t="s">
        <v>63</v>
      </c>
      <c r="F10" s="9" t="s">
        <v>6</v>
      </c>
      <c r="G10" s="9" t="s">
        <v>8</v>
      </c>
      <c r="H10" s="9" t="s">
        <v>9</v>
      </c>
      <c r="I10" s="9" t="s">
        <v>8</v>
      </c>
      <c r="J10" s="9" t="s">
        <v>9</v>
      </c>
      <c r="L10" s="75"/>
      <c r="M10" s="76"/>
      <c r="N10" s="76"/>
      <c r="O10" s="76"/>
      <c r="P10" s="76"/>
      <c r="Q10" s="76"/>
      <c r="R10" s="76"/>
      <c r="S10" s="76"/>
      <c r="T10" s="76"/>
      <c r="U10" s="76"/>
      <c r="V10" s="76"/>
    </row>
    <row r="11" spans="2:22" ht="15.75" x14ac:dyDescent="0.25">
      <c r="B11" s="74" t="s">
        <v>65</v>
      </c>
      <c r="C11" s="34" t="s">
        <v>54</v>
      </c>
      <c r="D11" s="32">
        <v>44173</v>
      </c>
      <c r="E11" s="71">
        <v>0.501</v>
      </c>
      <c r="F11" s="35">
        <v>1395.11</v>
      </c>
      <c r="G11" s="72">
        <f>700.378/75%</f>
        <v>933.83733333333339</v>
      </c>
      <c r="H11" s="72">
        <f>(-65.44+102.85+3.695)/75%</f>
        <v>54.806666666666665</v>
      </c>
      <c r="I11" s="16">
        <f t="shared" ref="I11" si="0">IFERROR(IF(OR(+$F11/G11&lt;0,+$F11/G11&gt;=100),"NM",+$F11/G11),"N/A")</f>
        <v>1.49395397913698</v>
      </c>
      <c r="J11" s="16">
        <f t="shared" ref="J11" si="1">IFERROR(IF(OR(+$F11/H11&lt;0,+$F11/H11&gt;=100),"NM",+$F11/H11),"N/A")</f>
        <v>25.455114949519523</v>
      </c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</row>
    <row r="12" spans="2:22" ht="15.75" x14ac:dyDescent="0.25">
      <c r="B12" s="74" t="s">
        <v>50</v>
      </c>
      <c r="C12" s="34" t="s">
        <v>55</v>
      </c>
      <c r="D12" s="32">
        <v>44102</v>
      </c>
      <c r="E12" s="71">
        <v>1</v>
      </c>
      <c r="F12" s="35">
        <v>3288.74</v>
      </c>
      <c r="G12" s="35">
        <v>10169</v>
      </c>
      <c r="H12" s="72">
        <f>-126+359+21</f>
        <v>254</v>
      </c>
      <c r="I12" s="16">
        <f t="shared" ref="I12" si="2">IFERROR(IF(OR(+$F12/G12&lt;0,+$F12/G12&gt;=100),"NM",+$F12/G12),"N/A")</f>
        <v>0.32340839807257349</v>
      </c>
      <c r="J12" s="16">
        <f t="shared" ref="J12" si="3">IFERROR(IF(OR(+$F12/H12&lt;0,+$F12/H12&gt;=100),"NM",+$F12/H12),"N/A")</f>
        <v>12.947795275590551</v>
      </c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</row>
    <row r="13" spans="2:22" ht="15.75" x14ac:dyDescent="0.25">
      <c r="B13" s="74" t="s">
        <v>50</v>
      </c>
      <c r="C13" s="34" t="s">
        <v>56</v>
      </c>
      <c r="D13" s="32">
        <v>43802</v>
      </c>
      <c r="E13" s="71">
        <v>1</v>
      </c>
      <c r="F13" s="72">
        <f>1068.3+1969.7-30.8+324.1</f>
        <v>3331.2999999999997</v>
      </c>
      <c r="G13" s="35">
        <v>6590.8</v>
      </c>
      <c r="H13" s="35">
        <v>595.20000000000005</v>
      </c>
      <c r="I13" s="16">
        <f t="shared" ref="I13" si="4">IFERROR(IF(OR(+$F13/G13&lt;0,+$F13/G13&gt;=100),"NM",+$F13/G13),"N/A")</f>
        <v>0.50544698670874544</v>
      </c>
      <c r="J13" s="16">
        <f t="shared" ref="J13" si="5">IFERROR(IF(OR(+$F13/H13&lt;0,+$F13/H13&gt;=100),"NM",+$F13/H13),"N/A")</f>
        <v>5.5969422043010741</v>
      </c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</row>
    <row r="14" spans="2:22" ht="15.75" x14ac:dyDescent="0.25">
      <c r="B14" s="74" t="s">
        <v>66</v>
      </c>
      <c r="C14" s="34" t="s">
        <v>57</v>
      </c>
      <c r="D14" s="32">
        <v>43546</v>
      </c>
      <c r="E14" s="71">
        <v>1</v>
      </c>
      <c r="F14" s="35">
        <v>1106.6199999999999</v>
      </c>
      <c r="G14" s="35">
        <v>1401.58</v>
      </c>
      <c r="H14" s="35">
        <v>165.64</v>
      </c>
      <c r="I14" s="16">
        <f t="shared" ref="I14" si="6">IFERROR(IF(OR(+$F14/G14&lt;0,+$F14/G14&gt;=100),"NM",+$F14/G14),"N/A")</f>
        <v>0.78955179154953692</v>
      </c>
      <c r="J14" s="16">
        <f t="shared" ref="J14" si="7">IFERROR(IF(OR(+$F14/H14&lt;0,+$F14/H14&gt;=100),"NM",+$F14/H14),"N/A")</f>
        <v>6.6808741849794737</v>
      </c>
      <c r="L14" s="75"/>
      <c r="M14" s="77"/>
      <c r="N14" s="76"/>
      <c r="O14" s="76"/>
      <c r="P14" s="76"/>
      <c r="Q14" s="76"/>
      <c r="R14" s="76"/>
      <c r="S14" s="76"/>
      <c r="T14" s="76"/>
      <c r="U14" s="76"/>
      <c r="V14" s="76"/>
    </row>
    <row r="15" spans="2:22" ht="15.75" x14ac:dyDescent="0.25">
      <c r="B15" s="74" t="s">
        <v>67</v>
      </c>
      <c r="C15" s="34" t="s">
        <v>58</v>
      </c>
      <c r="D15" s="32">
        <v>43102</v>
      </c>
      <c r="E15" s="71">
        <v>1</v>
      </c>
      <c r="F15" s="35">
        <v>701.2</v>
      </c>
      <c r="G15" s="35" t="s">
        <v>41</v>
      </c>
      <c r="H15" s="35" t="s">
        <v>41</v>
      </c>
      <c r="I15" s="16" t="str">
        <f t="shared" ref="I15:I16" si="8">IFERROR(IF(OR(+$F15/G15&lt;0,+$F15/G15&gt;=100),"NM",+$F15/G15),"N/A")</f>
        <v>N/A</v>
      </c>
      <c r="J15" s="16" t="str">
        <f t="shared" ref="J15:J16" si="9">IFERROR(IF(OR(+$F15/H15&lt;0,+$F15/H15&gt;=100),"NM",+$F15/H15),"N/A")</f>
        <v>N/A</v>
      </c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9"/>
    </row>
    <row r="16" spans="2:22" ht="15.75" x14ac:dyDescent="0.25">
      <c r="B16" s="74" t="s">
        <v>68</v>
      </c>
      <c r="C16" s="34" t="s">
        <v>59</v>
      </c>
      <c r="D16" s="32">
        <v>42475</v>
      </c>
      <c r="E16" s="71">
        <v>1</v>
      </c>
      <c r="F16" s="35">
        <v>924.73</v>
      </c>
      <c r="G16" s="72">
        <f>618.1+173.4-282.9</f>
        <v>508.6</v>
      </c>
      <c r="H16" s="72">
        <f>(618.1-516.6-47.6)+(173.4-146.1-11.3)-(282.9-238.2-27.5)+G16*4%</f>
        <v>73.044000000000011</v>
      </c>
      <c r="I16" s="16">
        <f t="shared" si="8"/>
        <v>1.8181871804954777</v>
      </c>
      <c r="J16" s="16">
        <f t="shared" si="9"/>
        <v>12.659903619736047</v>
      </c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9"/>
    </row>
    <row r="17" spans="2:22" ht="15.75" x14ac:dyDescent="0.25">
      <c r="B17" s="74" t="s">
        <v>69</v>
      </c>
      <c r="C17" s="34" t="s">
        <v>42</v>
      </c>
      <c r="D17" s="32">
        <v>42303</v>
      </c>
      <c r="E17" s="71">
        <v>0.5</v>
      </c>
      <c r="F17" s="35">
        <v>1481</v>
      </c>
      <c r="G17" s="35">
        <v>1167.68</v>
      </c>
      <c r="H17" s="35">
        <v>185.87</v>
      </c>
      <c r="I17" s="16">
        <f t="shared" ref="I17" si="10">IFERROR(IF(OR(+$F17/G17&lt;0,+$F17/G17&gt;=100),"NM",+$F17/G17),"N/A")</f>
        <v>1.2683269388873664</v>
      </c>
      <c r="J17" s="16">
        <f t="shared" ref="J17" si="11">IFERROR(IF(OR(+$F17/H17&lt;0,+$F17/H17&gt;=100),"NM",+$F17/H17),"N/A")</f>
        <v>7.9679345779308113</v>
      </c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</row>
    <row r="18" spans="2:22" ht="15.75" x14ac:dyDescent="0.25">
      <c r="B18" s="74" t="s">
        <v>15</v>
      </c>
      <c r="C18" s="34" t="s">
        <v>64</v>
      </c>
      <c r="D18" s="32">
        <v>41897</v>
      </c>
      <c r="E18" s="71">
        <v>1</v>
      </c>
      <c r="F18" s="35">
        <v>770</v>
      </c>
      <c r="G18" s="35" t="s">
        <v>41</v>
      </c>
      <c r="H18" s="35">
        <v>120.3125</v>
      </c>
      <c r="I18" s="16" t="str">
        <f t="shared" ref="I18" si="12">IFERROR(IF(OR(+$F18/G18&lt;0,+$F18/G18&gt;=100),"NM",+$F18/G18),"N/A")</f>
        <v>N/A</v>
      </c>
      <c r="J18" s="16">
        <f t="shared" ref="J18" si="13">IFERROR(IF(OR(+$F18/H18&lt;0,+$F18/H18&gt;=100),"NM",+$F18/H18),"N/A")</f>
        <v>6.4</v>
      </c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</row>
    <row r="19" spans="2:22" ht="15.75" x14ac:dyDescent="0.25">
      <c r="B19" s="74" t="s">
        <v>70</v>
      </c>
      <c r="C19" s="34" t="s">
        <v>40</v>
      </c>
      <c r="D19" s="32">
        <v>41870</v>
      </c>
      <c r="E19" s="71">
        <v>1</v>
      </c>
      <c r="F19" s="35">
        <v>1337.8</v>
      </c>
      <c r="G19" s="35">
        <v>1735</v>
      </c>
      <c r="H19" s="35">
        <v>161.69999999999999</v>
      </c>
      <c r="I19" s="16">
        <f t="shared" ref="I19:I21" si="14">IFERROR(IF(OR(+$F19/G19&lt;0,+$F19/G19&gt;=100),"NM",+$F19/G19),"N/A")</f>
        <v>0.77106628242074926</v>
      </c>
      <c r="J19" s="16">
        <f t="shared" ref="J19:J21" si="15">IFERROR(IF(OR(+$F19/H19&lt;0,+$F19/H19&gt;=100),"NM",+$F19/H19),"N/A")</f>
        <v>8.2733457019171315</v>
      </c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</row>
    <row r="20" spans="2:22" ht="15.75" x14ac:dyDescent="0.25">
      <c r="B20" s="33" t="s">
        <v>44</v>
      </c>
      <c r="C20" s="34" t="s">
        <v>43</v>
      </c>
      <c r="D20" s="32">
        <v>41841</v>
      </c>
      <c r="E20" s="71">
        <v>1</v>
      </c>
      <c r="F20" s="35">
        <v>707</v>
      </c>
      <c r="G20" s="35">
        <v>2018.06</v>
      </c>
      <c r="H20" s="35">
        <v>72</v>
      </c>
      <c r="I20" s="16">
        <f t="shared" si="14"/>
        <v>0.35033646175039396</v>
      </c>
      <c r="J20" s="16">
        <f t="shared" si="15"/>
        <v>9.8194444444444446</v>
      </c>
      <c r="L20" s="76"/>
      <c r="M20" s="12"/>
      <c r="N20" s="12"/>
      <c r="O20" s="12"/>
      <c r="P20" s="12"/>
      <c r="Q20" s="12"/>
      <c r="R20" s="12"/>
      <c r="S20" s="12"/>
      <c r="T20" s="12"/>
      <c r="U20" s="12"/>
      <c r="V20" s="76"/>
    </row>
    <row r="21" spans="2:22" ht="15.75" x14ac:dyDescent="0.25">
      <c r="B21" s="74" t="s">
        <v>71</v>
      </c>
      <c r="C21" s="34" t="s">
        <v>38</v>
      </c>
      <c r="D21" s="32">
        <v>41841</v>
      </c>
      <c r="E21" s="71">
        <v>1</v>
      </c>
      <c r="F21" s="35">
        <v>1625</v>
      </c>
      <c r="G21" s="35">
        <v>1938.57</v>
      </c>
      <c r="H21" s="35">
        <v>144.68199999999999</v>
      </c>
      <c r="I21" s="16">
        <f t="shared" si="14"/>
        <v>0.83824674889222472</v>
      </c>
      <c r="J21" s="16">
        <f t="shared" si="15"/>
        <v>11.231528455509325</v>
      </c>
      <c r="L21" s="75"/>
      <c r="M21" s="79"/>
      <c r="N21" s="79"/>
      <c r="O21" s="79"/>
      <c r="P21" s="79"/>
      <c r="Q21" s="79"/>
      <c r="R21" s="79"/>
      <c r="S21" s="79"/>
      <c r="T21" s="79"/>
      <c r="U21" s="79"/>
      <c r="V21" s="79"/>
    </row>
    <row r="22" spans="2:22" ht="15.75" x14ac:dyDescent="0.25">
      <c r="B22" s="74" t="s">
        <v>72</v>
      </c>
      <c r="C22" s="34" t="s">
        <v>60</v>
      </c>
      <c r="D22" s="32">
        <v>41817</v>
      </c>
      <c r="E22" s="71">
        <v>1</v>
      </c>
      <c r="F22" s="35">
        <v>600</v>
      </c>
      <c r="G22" s="35">
        <v>199.80000000000018</v>
      </c>
      <c r="H22" s="35">
        <v>31.392000000000099</v>
      </c>
      <c r="I22" s="16">
        <f t="shared" ref="I22" si="16">IFERROR(IF(OR(+$F22/G22&lt;0,+$F22/G22&gt;=100),"NM",+$F22/G22),"N/A")</f>
        <v>3.0030030030030002</v>
      </c>
      <c r="J22" s="16">
        <f t="shared" ref="J22" si="17">IFERROR(IF(OR(+$F22/H22&lt;0,+$F22/H22&gt;=100),"NM",+$F22/H22),"N/A")</f>
        <v>19.113149847094743</v>
      </c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</row>
    <row r="23" spans="2:22" ht="15.75" x14ac:dyDescent="0.25">
      <c r="B23" s="74" t="s">
        <v>73</v>
      </c>
      <c r="C23" s="34" t="s">
        <v>39</v>
      </c>
      <c r="D23" s="32">
        <v>41607</v>
      </c>
      <c r="E23" s="71">
        <v>1</v>
      </c>
      <c r="F23" s="35">
        <v>1550</v>
      </c>
      <c r="G23" s="35">
        <v>1662.1364501223159</v>
      </c>
      <c r="H23" s="35">
        <v>80.184832835009516</v>
      </c>
      <c r="I23" s="16">
        <f t="shared" ref="I23:I24" si="18">IFERROR(IF(OR(+$F23/G23&lt;0,+$F23/G23&gt;=100),"NM",+$F23/G23),"N/A")</f>
        <v>0.93253475061324609</v>
      </c>
      <c r="J23" s="16">
        <f t="shared" ref="J23:J24" si="19">IFERROR(IF(OR(+$F23/H23&lt;0,+$F23/H23&gt;=100),"NM",+$F23/H23),"N/A")</f>
        <v>19.330338983050847</v>
      </c>
      <c r="L23" s="69"/>
      <c r="M23" s="12"/>
      <c r="N23" s="12"/>
      <c r="O23" s="12"/>
      <c r="P23" s="12"/>
      <c r="Q23" s="12"/>
      <c r="R23" s="12"/>
      <c r="S23" s="12"/>
      <c r="T23" s="12"/>
      <c r="U23" s="12"/>
      <c r="V23" s="76"/>
    </row>
    <row r="24" spans="2:22" ht="15.75" x14ac:dyDescent="0.25">
      <c r="B24" s="74" t="s">
        <v>16</v>
      </c>
      <c r="C24" s="34" t="s">
        <v>46</v>
      </c>
      <c r="D24" s="32">
        <v>41311</v>
      </c>
      <c r="E24" s="71">
        <v>1</v>
      </c>
      <c r="F24" s="35">
        <v>1216.48</v>
      </c>
      <c r="G24" s="35">
        <v>1983.6</v>
      </c>
      <c r="H24" s="35">
        <v>143.30000000000001</v>
      </c>
      <c r="I24" s="16">
        <f t="shared" si="18"/>
        <v>0.61326880419439411</v>
      </c>
      <c r="J24" s="16">
        <f t="shared" si="19"/>
        <v>8.4890439637124899</v>
      </c>
      <c r="L24" s="69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2:22" ht="15.75" x14ac:dyDescent="0.25">
      <c r="B25" s="74" t="s">
        <v>15</v>
      </c>
      <c r="C25" s="34" t="s">
        <v>61</v>
      </c>
      <c r="D25" s="32">
        <v>41046</v>
      </c>
      <c r="E25" s="71">
        <v>1</v>
      </c>
      <c r="F25" s="35">
        <v>684</v>
      </c>
      <c r="G25" s="35">
        <v>873</v>
      </c>
      <c r="H25" s="35" t="s">
        <v>41</v>
      </c>
      <c r="I25" s="16">
        <f t="shared" ref="I25" si="20">IFERROR(IF(OR(+$F25/G25&lt;0,+$F25/G25&gt;=100),"NM",+$F25/G25),"N/A")</f>
        <v>0.78350515463917525</v>
      </c>
      <c r="J25" s="16" t="str">
        <f t="shared" ref="J25" si="21">IFERROR(IF(OR(+$F25/H25&lt;0,+$F25/H25&gt;=100),"NM",+$F25/H25),"N/A")</f>
        <v>N/A</v>
      </c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9"/>
    </row>
    <row r="26" spans="2:22" ht="15.75" x14ac:dyDescent="0.25">
      <c r="F26" s="3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9"/>
    </row>
    <row r="27" spans="2:22" ht="15.75" x14ac:dyDescent="0.25">
      <c r="C27" s="24" t="s">
        <v>17</v>
      </c>
      <c r="D27" s="25"/>
      <c r="E27" s="25"/>
      <c r="F27" s="11">
        <f>MAX(F11:F25)</f>
        <v>3331.2999999999997</v>
      </c>
      <c r="G27" s="11">
        <f>MAX(G11:G25)</f>
        <v>10169</v>
      </c>
      <c r="H27" s="11">
        <f>MAX(H11:H25)</f>
        <v>595.20000000000005</v>
      </c>
      <c r="I27" s="17">
        <f>MAX(I11:I25)</f>
        <v>3.0030030030030002</v>
      </c>
      <c r="J27" s="18">
        <f>MAX(J11:J25)</f>
        <v>25.455114949519523</v>
      </c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9"/>
    </row>
    <row r="28" spans="2:22" ht="15.75" x14ac:dyDescent="0.25">
      <c r="C28" s="26" t="s">
        <v>18</v>
      </c>
      <c r="D28" s="27"/>
      <c r="E28" s="27"/>
      <c r="F28" s="13">
        <f>QUARTILE(F11:F25,3)</f>
        <v>1515.5</v>
      </c>
      <c r="G28" s="13">
        <f>QUARTILE(G11:G25,3)</f>
        <v>1983.6</v>
      </c>
      <c r="H28" s="13">
        <f>QUARTILE(H11:H25,3)</f>
        <v>165.64</v>
      </c>
      <c r="I28" s="16">
        <f>QUARTILE(I11:I25,3)</f>
        <v>1.2683269388873664</v>
      </c>
      <c r="J28" s="19">
        <f>QUARTILE(J11:J25,3)</f>
        <v>12.947795275590551</v>
      </c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9"/>
    </row>
    <row r="29" spans="2:22" ht="15.75" x14ac:dyDescent="0.25">
      <c r="C29" s="28" t="s">
        <v>19</v>
      </c>
      <c r="D29" s="29"/>
      <c r="E29" s="29"/>
      <c r="F29" s="73">
        <f>MEDIAN(F11:F25)</f>
        <v>1216.48</v>
      </c>
      <c r="G29" s="73">
        <f>MEDIAN(G11:G25)</f>
        <v>1662.1364501223159</v>
      </c>
      <c r="H29" s="73">
        <f>MEDIAN(H11:H25)</f>
        <v>143.30000000000001</v>
      </c>
      <c r="I29" s="20">
        <f>MEDIAN(I11:I25)</f>
        <v>0.78955179154953692</v>
      </c>
      <c r="J29" s="21">
        <f>MEDIAN(J11:J25)</f>
        <v>9.8194444444444446</v>
      </c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9"/>
    </row>
    <row r="30" spans="2:22" ht="15.75" x14ac:dyDescent="0.25">
      <c r="C30" s="26" t="s">
        <v>20</v>
      </c>
      <c r="D30" s="27"/>
      <c r="E30" s="27"/>
      <c r="F30" s="13">
        <f>QUARTILE(F11:F25,1)</f>
        <v>738.5</v>
      </c>
      <c r="G30" s="13">
        <f>QUARTILE(G11:G25,1)</f>
        <v>933.83733333333339</v>
      </c>
      <c r="H30" s="13">
        <f>QUARTILE(H11:H25,1)</f>
        <v>73.044000000000011</v>
      </c>
      <c r="I30" s="16">
        <f>QUARTILE(I11:I25,1)</f>
        <v>0.61326880419439411</v>
      </c>
      <c r="J30" s="19">
        <f>QUARTILE(J11:J25,1)</f>
        <v>7.9679345779308113</v>
      </c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9"/>
    </row>
    <row r="31" spans="2:22" ht="15.75" x14ac:dyDescent="0.25">
      <c r="C31" s="30" t="s">
        <v>21</v>
      </c>
      <c r="D31" s="31"/>
      <c r="E31" s="31"/>
      <c r="F31" s="14">
        <f>MIN(F11:F25)</f>
        <v>600</v>
      </c>
      <c r="G31" s="14">
        <f>MIN(G11:G25)</f>
        <v>199.80000000000018</v>
      </c>
      <c r="H31" s="14">
        <f>MIN(H11:H25)</f>
        <v>31.392000000000099</v>
      </c>
      <c r="I31" s="22">
        <f>MIN(I11:I25)</f>
        <v>0.32340839807257349</v>
      </c>
      <c r="J31" s="23">
        <f>MIN(J11:J25)</f>
        <v>5.5969422043010741</v>
      </c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9"/>
    </row>
    <row r="32" spans="2:22" ht="15.75" x14ac:dyDescent="0.25"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9"/>
    </row>
    <row r="33" spans="9:22" ht="15.75" x14ac:dyDescent="0.25">
      <c r="I33" s="78"/>
      <c r="J33" s="78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9"/>
    </row>
    <row r="34" spans="9:22" ht="15.75" x14ac:dyDescent="0.25"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9"/>
    </row>
    <row r="35" spans="9:22" ht="15.75" x14ac:dyDescent="0.25"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9"/>
    </row>
    <row r="36" spans="9:22" ht="15.75" x14ac:dyDescent="0.25">
      <c r="L36" s="69"/>
      <c r="M36" s="12"/>
      <c r="N36" s="12"/>
      <c r="O36" s="12"/>
      <c r="P36" s="12"/>
      <c r="Q36" s="12"/>
      <c r="R36" s="12"/>
      <c r="S36" s="12"/>
      <c r="T36" s="12"/>
      <c r="U36" s="12"/>
      <c r="V36" s="79"/>
    </row>
    <row r="37" spans="9:22" ht="15.75" x14ac:dyDescent="0.25">
      <c r="L37" s="76"/>
      <c r="M37" s="12"/>
      <c r="N37" s="12"/>
      <c r="O37" s="12"/>
      <c r="P37" s="12"/>
      <c r="Q37" s="12"/>
      <c r="R37" s="12"/>
      <c r="S37" s="12"/>
      <c r="T37" s="12"/>
      <c r="U37" s="12"/>
      <c r="V37" s="79"/>
    </row>
    <row r="38" spans="9:22" ht="15.75" x14ac:dyDescent="0.25">
      <c r="L38" s="76"/>
      <c r="M38" s="12"/>
      <c r="N38" s="12"/>
      <c r="O38" s="12"/>
      <c r="P38" s="12"/>
      <c r="Q38" s="12"/>
      <c r="R38" s="12"/>
      <c r="S38" s="12"/>
      <c r="T38" s="12"/>
      <c r="U38" s="12"/>
      <c r="V38" s="79"/>
    </row>
    <row r="39" spans="9:22" ht="15.75" x14ac:dyDescent="0.25"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9"/>
    </row>
    <row r="40" spans="9:22" ht="15.75" x14ac:dyDescent="0.25"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9"/>
    </row>
    <row r="41" spans="9:22" ht="15.75" x14ac:dyDescent="0.25"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9"/>
    </row>
    <row r="42" spans="9:22" ht="15.75" x14ac:dyDescent="0.25"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9"/>
    </row>
    <row r="43" spans="9:22" ht="15.75" x14ac:dyDescent="0.25"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9"/>
    </row>
    <row r="44" spans="9:22" ht="15.75" x14ac:dyDescent="0.25"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9"/>
    </row>
    <row r="45" spans="9:22" ht="15.75" x14ac:dyDescent="0.25"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9"/>
    </row>
    <row r="46" spans="9:22" ht="15.75" x14ac:dyDescent="0.25"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9"/>
    </row>
    <row r="47" spans="9:22" ht="15.75" x14ac:dyDescent="0.25"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9"/>
    </row>
    <row r="48" spans="9:22" ht="15.75" x14ac:dyDescent="0.25"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9"/>
    </row>
    <row r="49" spans="12:22" ht="15.75" x14ac:dyDescent="0.25"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9"/>
    </row>
    <row r="50" spans="12:22" ht="15.75" x14ac:dyDescent="0.25">
      <c r="L50" s="76"/>
      <c r="M50" s="80"/>
      <c r="N50" s="76"/>
      <c r="O50" s="76"/>
      <c r="P50" s="76"/>
      <c r="Q50" s="76"/>
      <c r="R50" s="76"/>
      <c r="S50" s="76"/>
      <c r="T50" s="76"/>
      <c r="U50" s="76"/>
      <c r="V50" s="79"/>
    </row>
    <row r="51" spans="12:22" ht="15.75" x14ac:dyDescent="0.25"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9"/>
    </row>
    <row r="52" spans="12:22" ht="15.75" x14ac:dyDescent="0.25"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9"/>
    </row>
    <row r="53" spans="12:22" ht="15.75" x14ac:dyDescent="0.25"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9"/>
    </row>
    <row r="54" spans="12:22" ht="15.75" x14ac:dyDescent="0.25"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9"/>
    </row>
    <row r="55" spans="12:22" ht="15.75" x14ac:dyDescent="0.25"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12"/>
    </row>
    <row r="56" spans="12:22" ht="15.75" x14ac:dyDescent="0.25">
      <c r="L56" s="69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2:22" ht="15.75" x14ac:dyDescent="0.25">
      <c r="L57" s="69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2:22" ht="15.75" x14ac:dyDescent="0.25">
      <c r="L58" s="69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2:22" ht="15.75" x14ac:dyDescent="0.25">
      <c r="L59" s="69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2:22" ht="15.75" x14ac:dyDescent="0.25">
      <c r="L60" s="69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2:22" ht="15.75" x14ac:dyDescent="0.25"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12"/>
    </row>
    <row r="62" spans="12:22" ht="15.75" x14ac:dyDescent="0.25">
      <c r="L62" s="69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2:22" ht="15.75" x14ac:dyDescent="0.25">
      <c r="L63" s="69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2:22" ht="15.75" x14ac:dyDescent="0.25">
      <c r="L64" s="69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2:22" ht="15.75" x14ac:dyDescent="0.25">
      <c r="L65" s="69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2:22" ht="15.75" x14ac:dyDescent="0.25"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</row>
    <row r="67" spans="12:22" ht="15.75" x14ac:dyDescent="0.25"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</row>
    <row r="68" spans="12:22" ht="15.75" x14ac:dyDescent="0.25"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</row>
    <row r="69" spans="12:22" ht="15.75" x14ac:dyDescent="0.25"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</row>
  </sheetData>
  <sortState xmlns:xlrd2="http://schemas.microsoft.com/office/spreadsheetml/2017/richdata2" ref="B11:J25">
    <sortCondition descending="1" ref="D11:D25"/>
  </sortState>
  <pageMargins left="0.7" right="0.7" top="0.75" bottom="0.75" header="0.3" footer="0.3"/>
  <pageSetup scale="42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1:Y46"/>
  <sheetViews>
    <sheetView showGridLines="0" zoomScaleNormal="100" workbookViewId="0">
      <selection activeCell="B2" sqref="B2"/>
    </sheetView>
  </sheetViews>
  <sheetFormatPr defaultRowHeight="15.75" x14ac:dyDescent="0.25"/>
  <cols>
    <col min="1" max="1" width="2.7109375" style="51" customWidth="1"/>
    <col min="2" max="2" width="42.5703125" style="51" bestFit="1" customWidth="1"/>
    <col min="3" max="7" width="10.7109375" style="51" customWidth="1"/>
    <col min="8" max="8" width="14" style="51" bestFit="1" customWidth="1"/>
    <col min="9" max="9" width="10.7109375" style="51" customWidth="1"/>
    <col min="10" max="10" width="14" style="51" bestFit="1" customWidth="1"/>
    <col min="11" max="11" width="13.42578125" style="51" bestFit="1" customWidth="1"/>
    <col min="12" max="13" width="14" style="51" bestFit="1" customWidth="1"/>
    <col min="14" max="15" width="2.7109375" style="51" customWidth="1"/>
    <col min="16" max="24" width="12.28515625" style="51" customWidth="1"/>
    <col min="25" max="16384" width="9.140625" style="51"/>
  </cols>
  <sheetData>
    <row r="1" spans="2:25" x14ac:dyDescent="0.25"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2:25" ht="18.75" x14ac:dyDescent="0.3">
      <c r="B2" s="2" t="str">
        <f>"Valuation Summary - "&amp;Company_Name</f>
        <v>Valuation Summary - Steel Dynamics Inc.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2:25" x14ac:dyDescent="0.25">
      <c r="B3" s="4" t="s">
        <v>48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2:25" x14ac:dyDescent="0.25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2:25" x14ac:dyDescent="0.25">
      <c r="B5" s="15" t="str">
        <f>"Valuation Summary - "&amp;TEXT(Company_Name,"")</f>
        <v>Valuation Summary - Steel Dynamics Inc.</v>
      </c>
      <c r="C5" s="7" t="str">
        <f>TEXT(Company_Name,"")&amp;" - Range of Valuation Multiples / Premiums"</f>
        <v>Steel Dynamics Inc. - Range of Valuation Multiples / Premiums</v>
      </c>
      <c r="D5" s="7"/>
      <c r="E5" s="7"/>
      <c r="F5" s="10"/>
      <c r="G5" s="10"/>
      <c r="H5" s="10"/>
      <c r="I5" s="7" t="str">
        <f>TEXT(Company_Name,"")&amp;" - Implied Per Share Value Range"</f>
        <v>Steel Dynamics Inc. - Implied Per Share Value Range</v>
      </c>
      <c r="J5" s="10"/>
      <c r="K5" s="10"/>
      <c r="L5" s="10"/>
      <c r="M5" s="10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</row>
    <row r="6" spans="2:25" x14ac:dyDescent="0.25">
      <c r="B6" s="5"/>
      <c r="C6" s="6"/>
      <c r="D6" s="7"/>
      <c r="E6" s="7"/>
      <c r="F6" s="10"/>
      <c r="G6" s="7"/>
      <c r="H6" s="7"/>
      <c r="I6" s="7"/>
      <c r="J6" s="7"/>
      <c r="K6" s="7"/>
      <c r="L6" s="7"/>
      <c r="M6" s="7"/>
      <c r="O6" s="69"/>
      <c r="P6" s="12"/>
      <c r="Q6" s="12"/>
      <c r="R6" s="12"/>
      <c r="S6" s="12"/>
      <c r="T6" s="12"/>
      <c r="U6" s="12"/>
      <c r="V6" s="12"/>
      <c r="W6" s="12"/>
      <c r="X6" s="12"/>
      <c r="Y6" s="76"/>
    </row>
    <row r="7" spans="2:25" x14ac:dyDescent="0.25">
      <c r="B7" s="5"/>
      <c r="C7" s="6"/>
      <c r="D7" s="6" t="s">
        <v>23</v>
      </c>
      <c r="E7" s="6"/>
      <c r="F7" s="6" t="s">
        <v>24</v>
      </c>
      <c r="G7" s="7"/>
      <c r="H7" s="6" t="s">
        <v>25</v>
      </c>
      <c r="I7" s="6"/>
      <c r="J7" s="6" t="s">
        <v>24</v>
      </c>
      <c r="K7" s="6"/>
      <c r="L7" s="6" t="s">
        <v>23</v>
      </c>
      <c r="M7" s="6"/>
      <c r="O7" s="69"/>
      <c r="P7" s="12"/>
      <c r="Q7" s="12"/>
      <c r="R7" s="12"/>
      <c r="S7" s="12"/>
      <c r="T7" s="12"/>
      <c r="U7" s="12"/>
      <c r="V7" s="12"/>
      <c r="W7" s="12"/>
      <c r="X7" s="12"/>
      <c r="Y7" s="76"/>
    </row>
    <row r="8" spans="2:25" x14ac:dyDescent="0.25">
      <c r="B8" s="5"/>
      <c r="C8" s="6" t="s">
        <v>17</v>
      </c>
      <c r="D8" s="6" t="s">
        <v>26</v>
      </c>
      <c r="E8" s="6" t="s">
        <v>19</v>
      </c>
      <c r="F8" s="6" t="s">
        <v>26</v>
      </c>
      <c r="G8" s="6" t="s">
        <v>21</v>
      </c>
      <c r="H8" s="6" t="s">
        <v>27</v>
      </c>
      <c r="I8" s="6" t="s">
        <v>21</v>
      </c>
      <c r="J8" s="6" t="s">
        <v>26</v>
      </c>
      <c r="K8" s="6" t="s">
        <v>19</v>
      </c>
      <c r="L8" s="6" t="s">
        <v>26</v>
      </c>
      <c r="M8" s="6" t="s">
        <v>17</v>
      </c>
      <c r="O8" s="75"/>
      <c r="P8" s="76"/>
      <c r="Q8" s="76"/>
      <c r="R8" s="76"/>
      <c r="S8" s="76"/>
      <c r="T8" s="76"/>
      <c r="U8" s="76"/>
      <c r="V8" s="76"/>
      <c r="W8" s="76"/>
      <c r="X8" s="76"/>
      <c r="Y8" s="76"/>
    </row>
    <row r="9" spans="2:25" x14ac:dyDescent="0.25">
      <c r="B9" s="8" t="s">
        <v>22</v>
      </c>
      <c r="C9" s="9" t="s">
        <v>28</v>
      </c>
      <c r="D9" s="9" t="s">
        <v>28</v>
      </c>
      <c r="E9" s="9" t="s">
        <v>28</v>
      </c>
      <c r="F9" s="9" t="s">
        <v>28</v>
      </c>
      <c r="G9" s="9" t="s">
        <v>28</v>
      </c>
      <c r="H9" s="9" t="s">
        <v>29</v>
      </c>
      <c r="I9" s="9" t="s">
        <v>28</v>
      </c>
      <c r="J9" s="9" t="s">
        <v>28</v>
      </c>
      <c r="K9" s="9" t="s">
        <v>28</v>
      </c>
      <c r="L9" s="9" t="s">
        <v>28</v>
      </c>
      <c r="M9" s="9" t="s">
        <v>28</v>
      </c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</row>
    <row r="10" spans="2:25" x14ac:dyDescent="0.25"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</row>
    <row r="11" spans="2:25" x14ac:dyDescent="0.25">
      <c r="B11" s="53" t="s">
        <v>30</v>
      </c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</row>
    <row r="12" spans="2:25" x14ac:dyDescent="0.25">
      <c r="B12" s="54" t="s">
        <v>75</v>
      </c>
      <c r="C12" s="85">
        <v>1.9743325536062379</v>
      </c>
      <c r="D12" s="85">
        <v>1.6675969395181598</v>
      </c>
      <c r="E12" s="85">
        <v>1.1118309285829173</v>
      </c>
      <c r="F12" s="85">
        <v>0.80239922621764048</v>
      </c>
      <c r="G12" s="85">
        <v>0.66440430704521558</v>
      </c>
      <c r="H12" s="86">
        <v>12941.982</v>
      </c>
      <c r="I12" s="56">
        <f>(I31+SUM($E$30:$E$36))/$E$39</f>
        <v>29.892597173445427</v>
      </c>
      <c r="J12" s="56">
        <f t="shared" ref="J12:M12" si="0">(J31+SUM($E$30:$E$36))/$E$39</f>
        <v>38.346853159456899</v>
      </c>
      <c r="K12" s="56">
        <f t="shared" si="0"/>
        <v>57.304180267382115</v>
      </c>
      <c r="L12" s="56">
        <f t="shared" si="0"/>
        <v>91.353173903880361</v>
      </c>
      <c r="M12" s="56">
        <f t="shared" si="0"/>
        <v>110.14532521697909</v>
      </c>
      <c r="O12" s="75"/>
      <c r="P12" s="56"/>
      <c r="Q12" s="56"/>
      <c r="R12" s="56"/>
      <c r="S12" s="56"/>
      <c r="T12" s="56"/>
      <c r="U12" s="76"/>
      <c r="V12" s="84"/>
      <c r="W12" s="76"/>
      <c r="X12" s="76"/>
      <c r="Y12" s="76"/>
    </row>
    <row r="13" spans="2:25" x14ac:dyDescent="0.25">
      <c r="B13" s="54" t="str">
        <f>"CY "&amp;TEXT(EOMONTH(Hist_Year,12),"YY")&amp;" TEV / Revenue:"</f>
        <v>CY 21 TEV / Revenue:</v>
      </c>
      <c r="C13" s="85">
        <v>1.8981120689655173</v>
      </c>
      <c r="D13" s="85">
        <v>1.1116661358427682</v>
      </c>
      <c r="E13" s="85">
        <v>0.85707933879644416</v>
      </c>
      <c r="F13" s="85">
        <v>0.66024861187082273</v>
      </c>
      <c r="G13" s="85">
        <v>0.55003803833082621</v>
      </c>
      <c r="H13" s="35">
        <v>14775.627947446475</v>
      </c>
      <c r="I13" s="57">
        <f t="shared" ref="I13:M13" si="1">(I32+SUM($E$30:$E$36))/$E$39</f>
        <v>27.6603600130634</v>
      </c>
      <c r="J13" s="57">
        <f t="shared" si="1"/>
        <v>35.369052393045401</v>
      </c>
      <c r="K13" s="57">
        <f t="shared" si="1"/>
        <v>49.136402258502812</v>
      </c>
      <c r="L13" s="57">
        <f t="shared" si="1"/>
        <v>66.943507687663839</v>
      </c>
      <c r="M13" s="57">
        <f t="shared" si="1"/>
        <v>121.95156705259436</v>
      </c>
      <c r="O13" s="75"/>
      <c r="P13" s="57"/>
      <c r="Q13" s="57"/>
      <c r="R13" s="57"/>
      <c r="S13" s="57"/>
      <c r="T13" s="57"/>
      <c r="U13" s="76"/>
      <c r="V13" s="76"/>
      <c r="W13" s="76"/>
      <c r="X13" s="76"/>
      <c r="Y13" s="76"/>
    </row>
    <row r="14" spans="2:25" x14ac:dyDescent="0.25">
      <c r="B14" s="54" t="str">
        <f>"CY "&amp;TEXT(EOMONTH(Hist_Year,24),"YY")&amp;" TEV / Revenue:"</f>
        <v>CY 22 TEV / Revenue:</v>
      </c>
      <c r="C14" s="85">
        <v>1.7157813601127556</v>
      </c>
      <c r="D14" s="85">
        <v>1.2629384506161094</v>
      </c>
      <c r="E14" s="85">
        <v>0.96504938664398976</v>
      </c>
      <c r="F14" s="85">
        <v>0.71611422224565402</v>
      </c>
      <c r="G14" s="85">
        <v>0.48237570197913071</v>
      </c>
      <c r="H14" s="35">
        <v>10964.68279275613</v>
      </c>
      <c r="I14" s="57">
        <f t="shared" ref="I14:M14" si="2">(I33+SUM($E$30:$E$36))/$E$39</f>
        <v>14.225498040835014</v>
      </c>
      <c r="J14" s="57">
        <f t="shared" si="2"/>
        <v>26.357650749859694</v>
      </c>
      <c r="K14" s="57">
        <f t="shared" si="2"/>
        <v>39.278582334790769</v>
      </c>
      <c r="L14" s="57">
        <f t="shared" si="2"/>
        <v>54.740456613524245</v>
      </c>
      <c r="M14" s="57">
        <f t="shared" si="2"/>
        <v>78.245180289141757</v>
      </c>
      <c r="O14" s="75"/>
      <c r="P14" s="57"/>
      <c r="Q14" s="57"/>
      <c r="R14" s="57"/>
      <c r="S14" s="57"/>
      <c r="T14" s="57"/>
      <c r="U14" s="76"/>
      <c r="V14" s="76"/>
      <c r="W14" s="76"/>
      <c r="X14" s="76"/>
      <c r="Y14" s="76"/>
    </row>
    <row r="15" spans="2:25" x14ac:dyDescent="0.25">
      <c r="B15" s="54" t="s">
        <v>76</v>
      </c>
      <c r="C15" s="85">
        <v>51.833807574206759</v>
      </c>
      <c r="D15" s="85">
        <v>8.9696267602032727</v>
      </c>
      <c r="E15" s="85">
        <v>7.0047840864689039</v>
      </c>
      <c r="F15" s="85">
        <v>6.7130506670571926</v>
      </c>
      <c r="G15" s="85">
        <v>6.5095595353748683</v>
      </c>
      <c r="H15" s="35">
        <v>2324.7239999999997</v>
      </c>
      <c r="I15" s="57">
        <f t="shared" ref="I15:M15" si="3">(I34+SUM($E$30:$E$36))/$E$39</f>
        <v>60.824405107385722</v>
      </c>
      <c r="J15" s="57">
        <f t="shared" si="3"/>
        <v>63.063788184978002</v>
      </c>
      <c r="K15" s="57">
        <f t="shared" si="3"/>
        <v>66.274261669486449</v>
      </c>
      <c r="L15" s="57">
        <f t="shared" si="3"/>
        <v>87.896999708807684</v>
      </c>
      <c r="M15" s="57">
        <f t="shared" si="3"/>
        <v>559.60955227147599</v>
      </c>
      <c r="O15" s="76"/>
      <c r="P15" s="57"/>
      <c r="Q15" s="57"/>
      <c r="R15" s="57"/>
      <c r="S15" s="57"/>
      <c r="T15" s="57"/>
      <c r="U15" s="76"/>
      <c r="V15" s="76"/>
      <c r="W15" s="76"/>
      <c r="X15" s="76"/>
      <c r="Y15" s="76"/>
    </row>
    <row r="16" spans="2:25" x14ac:dyDescent="0.25">
      <c r="B16" s="54" t="str">
        <f>"CY "&amp;TEXT(EOMONTH(Hist_Year,12),"YY")&amp;" TEV / EBITDA:"</f>
        <v>CY 21 TEV / EBITDA:</v>
      </c>
      <c r="C16" s="85">
        <v>19.812844287949925</v>
      </c>
      <c r="D16" s="85">
        <v>5.8910416905213259</v>
      </c>
      <c r="E16" s="85">
        <v>4.8808819839566358</v>
      </c>
      <c r="F16" s="85">
        <v>3.9661555230636614</v>
      </c>
      <c r="G16" s="85">
        <v>2.5187141491317671</v>
      </c>
      <c r="H16" s="35">
        <v>2009.4112845448144</v>
      </c>
      <c r="I16" s="57">
        <f t="shared" ref="I16:M16" si="4">(I35+SUM($E$30:$E$36))/$E$39</f>
        <v>13.14635843428071</v>
      </c>
      <c r="J16" s="57">
        <f t="shared" si="4"/>
        <v>26.914690286698267</v>
      </c>
      <c r="K16" s="57">
        <f t="shared" si="4"/>
        <v>35.615738698455573</v>
      </c>
      <c r="L16" s="57">
        <f t="shared" si="4"/>
        <v>45.224565912052832</v>
      </c>
      <c r="M16" s="57">
        <f t="shared" si="4"/>
        <v>177.6513443621931</v>
      </c>
      <c r="O16" s="69"/>
      <c r="P16" s="57"/>
      <c r="Q16" s="57"/>
      <c r="R16" s="57"/>
      <c r="S16" s="57"/>
      <c r="T16" s="57"/>
      <c r="U16" s="12"/>
      <c r="V16" s="12"/>
      <c r="W16" s="12"/>
      <c r="X16" s="12"/>
      <c r="Y16" s="76"/>
    </row>
    <row r="17" spans="2:25" x14ac:dyDescent="0.25">
      <c r="B17" s="54" t="str">
        <f>"CY "&amp;TEXT(EOMONTH(Hist_Year,24),"YY")&amp;" TEV / EBITDA:"</f>
        <v>CY 22 TEV / EBITDA:</v>
      </c>
      <c r="C17" s="85">
        <v>13.58777300778106</v>
      </c>
      <c r="D17" s="85">
        <v>6.6165714705837839</v>
      </c>
      <c r="E17" s="85">
        <v>6.5591025646847578</v>
      </c>
      <c r="F17" s="85">
        <v>5.3119268672153659</v>
      </c>
      <c r="G17" s="85">
        <v>4.2514597599285517</v>
      </c>
      <c r="H17" s="35">
        <v>1428.8700484604142</v>
      </c>
      <c r="I17" s="57">
        <f t="shared" ref="I17:M17" si="5">(I36+SUM($E$30:$E$36))/$E$39</f>
        <v>17.944796650334727</v>
      </c>
      <c r="J17" s="57">
        <f t="shared" si="5"/>
        <v>25.117806728535427</v>
      </c>
      <c r="K17" s="57">
        <f t="shared" si="5"/>
        <v>33.553715570746604</v>
      </c>
      <c r="L17" s="57">
        <f t="shared" si="5"/>
        <v>33.942435822760409</v>
      </c>
      <c r="M17" s="57">
        <f t="shared" si="5"/>
        <v>81.095712468388655</v>
      </c>
      <c r="O17" s="75"/>
      <c r="P17" s="57"/>
      <c r="Q17" s="57"/>
      <c r="R17" s="57"/>
      <c r="S17" s="57"/>
      <c r="T17" s="57"/>
      <c r="U17" s="76"/>
      <c r="V17" s="76"/>
      <c r="W17" s="76"/>
      <c r="X17" s="76"/>
      <c r="Y17" s="76"/>
    </row>
    <row r="18" spans="2:25" x14ac:dyDescent="0.25">
      <c r="B18" s="54" t="s">
        <v>31</v>
      </c>
      <c r="C18" s="85">
        <v>14.428571428571429</v>
      </c>
      <c r="D18" s="85">
        <v>12.211919207800122</v>
      </c>
      <c r="E18" s="85">
        <v>11.485085035629455</v>
      </c>
      <c r="F18" s="85">
        <v>10.175225729879012</v>
      </c>
      <c r="G18" s="85">
        <v>7.9140585620915038</v>
      </c>
      <c r="H18" s="35">
        <v>1420.7839999999999</v>
      </c>
      <c r="I18" s="57">
        <f>I37/$E$39</f>
        <v>53.227837592582176</v>
      </c>
      <c r="J18" s="57">
        <f t="shared" ref="J18:M18" si="6">J37/$E$39</f>
        <v>68.435842162220439</v>
      </c>
      <c r="K18" s="57">
        <f t="shared" si="6"/>
        <v>77.245604921568969</v>
      </c>
      <c r="L18" s="57">
        <f t="shared" si="6"/>
        <v>82.134096833715603</v>
      </c>
      <c r="M18" s="57">
        <f t="shared" si="6"/>
        <v>97.042705795950809</v>
      </c>
      <c r="O18" s="75"/>
      <c r="P18" s="57"/>
      <c r="Q18" s="57"/>
      <c r="R18" s="57"/>
      <c r="S18" s="57"/>
      <c r="T18" s="57"/>
      <c r="U18" s="76"/>
      <c r="V18" s="76"/>
      <c r="W18" s="76"/>
      <c r="X18" s="76"/>
      <c r="Y18" s="76"/>
    </row>
    <row r="19" spans="2:25" ht="14.45" customHeight="1" x14ac:dyDescent="0.25">
      <c r="B19" s="54" t="str">
        <f>"CY "&amp;TEXT(EOMONTH(Hist_Year,12),"YY")&amp;" P / E:"</f>
        <v>CY 21 P / E:</v>
      </c>
      <c r="C19" s="87">
        <v>10.071664853454848</v>
      </c>
      <c r="D19" s="87">
        <v>8.0800986315613574</v>
      </c>
      <c r="E19" s="87">
        <v>5.5001708895290671</v>
      </c>
      <c r="F19" s="87">
        <v>4.2049273421861626</v>
      </c>
      <c r="G19" s="87">
        <v>2.1099498033840023</v>
      </c>
      <c r="H19" s="35">
        <v>1240.4071911233307</v>
      </c>
      <c r="I19" s="57">
        <f t="shared" ref="I19:M19" si="7">I38/$E$39</f>
        <v>12.389332385118648</v>
      </c>
      <c r="J19" s="57">
        <f t="shared" si="7"/>
        <v>24.690749710758215</v>
      </c>
      <c r="K19" s="57">
        <f t="shared" si="7"/>
        <v>32.296240041369117</v>
      </c>
      <c r="L19" s="57">
        <f t="shared" si="7"/>
        <v>47.445217649444203</v>
      </c>
      <c r="M19" s="57">
        <f t="shared" si="7"/>
        <v>59.139418075653495</v>
      </c>
      <c r="O19" s="75"/>
      <c r="P19" s="57"/>
      <c r="Q19" s="57"/>
      <c r="R19" s="57"/>
      <c r="S19" s="57"/>
      <c r="T19" s="57"/>
      <c r="U19" s="76"/>
      <c r="V19" s="76"/>
      <c r="W19" s="76"/>
      <c r="X19" s="76"/>
      <c r="Y19" s="76"/>
    </row>
    <row r="20" spans="2:25" x14ac:dyDescent="0.25">
      <c r="B20" s="54" t="str">
        <f>"CY "&amp;TEXT(EOMONTH(Hist_Year,24),"YY")&amp;" P / E:"</f>
        <v>CY 22 P / E:</v>
      </c>
      <c r="C20" s="87">
        <v>27.220561235134571</v>
      </c>
      <c r="D20" s="87">
        <v>11.480837653977316</v>
      </c>
      <c r="E20" s="87">
        <v>8.9141046612543828</v>
      </c>
      <c r="F20" s="87">
        <v>6.8120051623086528</v>
      </c>
      <c r="G20" s="87">
        <v>5.2135296912114013</v>
      </c>
      <c r="H20" s="35">
        <v>731.07008486303698</v>
      </c>
      <c r="I20" s="57">
        <f t="shared" ref="I20:M20" si="8">I39/$E$39</f>
        <v>18.042734980969495</v>
      </c>
      <c r="J20" s="57">
        <f t="shared" si="8"/>
        <v>23.574662678092995</v>
      </c>
      <c r="K20" s="57">
        <f t="shared" si="8"/>
        <v>30.84950839865008</v>
      </c>
      <c r="L20" s="57">
        <f t="shared" si="8"/>
        <v>39.732335561345288</v>
      </c>
      <c r="M20" s="57">
        <f t="shared" si="8"/>
        <v>94.203620481284034</v>
      </c>
      <c r="O20" s="76"/>
      <c r="P20" s="57"/>
      <c r="Q20" s="57"/>
      <c r="R20" s="57"/>
      <c r="S20" s="57"/>
      <c r="T20" s="57"/>
      <c r="U20" s="76"/>
      <c r="V20" s="76"/>
      <c r="W20" s="76"/>
      <c r="X20" s="76"/>
      <c r="Y20" s="76"/>
    </row>
    <row r="21" spans="2:25" x14ac:dyDescent="0.25">
      <c r="O21" s="76"/>
      <c r="U21" s="76"/>
      <c r="V21" s="76"/>
      <c r="W21" s="76"/>
      <c r="X21" s="76"/>
      <c r="Y21" s="76"/>
    </row>
    <row r="22" spans="2:25" x14ac:dyDescent="0.25">
      <c r="B22" s="58" t="s">
        <v>32</v>
      </c>
      <c r="O22" s="76"/>
      <c r="U22" s="76"/>
      <c r="V22" s="76"/>
      <c r="W22" s="76"/>
      <c r="X22" s="76"/>
      <c r="Y22" s="76"/>
    </row>
    <row r="23" spans="2:25" x14ac:dyDescent="0.25">
      <c r="B23" s="54" t="s">
        <v>75</v>
      </c>
      <c r="C23" s="55">
        <f t="array" ref="C23:G24">TRANSPOSE(MA_Comps!I27:J31)</f>
        <v>3.0030030030030002</v>
      </c>
      <c r="D23" s="55">
        <v>1.2683269388873664</v>
      </c>
      <c r="E23" s="55">
        <v>0.78955179154953692</v>
      </c>
      <c r="F23" s="55">
        <v>0.61326880419439411</v>
      </c>
      <c r="G23" s="55">
        <v>0.32340839807257349</v>
      </c>
      <c r="H23" s="35">
        <v>12941.982</v>
      </c>
      <c r="I23" s="57">
        <f>(I41+SUM($E$30:$E$36))/$E$39</f>
        <v>9.0014895737863938</v>
      </c>
      <c r="J23" s="57">
        <f t="shared" ref="J23:M23" si="9">(J41+SUM($E$30:$E$36))/$E$39</f>
        <v>26.759781605546955</v>
      </c>
      <c r="K23" s="57">
        <f t="shared" si="9"/>
        <v>37.559755329340476</v>
      </c>
      <c r="L23" s="57">
        <f t="shared" si="9"/>
        <v>66.891905234633526</v>
      </c>
      <c r="M23" s="57">
        <f t="shared" si="9"/>
        <v>173.16679989590702</v>
      </c>
      <c r="O23" s="76"/>
      <c r="P23" s="57"/>
      <c r="Q23" s="57"/>
      <c r="R23" s="57"/>
      <c r="S23" s="57"/>
      <c r="T23" s="57"/>
      <c r="U23" s="76"/>
      <c r="V23" s="76"/>
      <c r="W23" s="76"/>
      <c r="X23" s="76"/>
      <c r="Y23" s="76"/>
    </row>
    <row r="24" spans="2:25" x14ac:dyDescent="0.25">
      <c r="B24" s="54" t="s">
        <v>76</v>
      </c>
      <c r="C24" s="55">
        <v>25.455114949519523</v>
      </c>
      <c r="D24" s="55">
        <v>12.947795275590551</v>
      </c>
      <c r="E24" s="55">
        <v>9.8194444444444446</v>
      </c>
      <c r="F24" s="55">
        <v>7.9679345779308113</v>
      </c>
      <c r="G24" s="55">
        <v>5.5969422043010741</v>
      </c>
      <c r="H24" s="35">
        <v>2324.7239999999997</v>
      </c>
      <c r="I24" s="57">
        <f t="shared" ref="I24:M24" si="10">(I42+SUM($E$30:$E$36))/$E$39</f>
        <v>50.78121653878231</v>
      </c>
      <c r="J24" s="57">
        <f t="shared" si="10"/>
        <v>76.873558522980915</v>
      </c>
      <c r="K24" s="57">
        <f t="shared" si="10"/>
        <v>97.249089529111387</v>
      </c>
      <c r="L24" s="57">
        <f t="shared" si="10"/>
        <v>131.67602427620861</v>
      </c>
      <c r="M24" s="57">
        <f t="shared" si="10"/>
        <v>269.31681379011582</v>
      </c>
      <c r="O24" s="76"/>
      <c r="P24" s="57"/>
      <c r="Q24" s="57"/>
      <c r="R24" s="57"/>
      <c r="S24" s="57"/>
      <c r="T24" s="57"/>
      <c r="U24" s="76"/>
      <c r="V24" s="76"/>
      <c r="W24" s="76"/>
      <c r="X24" s="76"/>
      <c r="Y24" s="76"/>
    </row>
    <row r="25" spans="2:25" x14ac:dyDescent="0.25"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</row>
    <row r="26" spans="2:25" x14ac:dyDescent="0.25">
      <c r="B26" s="53" t="s">
        <v>33</v>
      </c>
      <c r="K26" s="57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</row>
    <row r="27" spans="2:25" x14ac:dyDescent="0.25">
      <c r="B27" s="81" t="s">
        <v>94</v>
      </c>
      <c r="I27" s="88">
        <v>27.321186637694819</v>
      </c>
      <c r="J27" s="88">
        <v>40.133310565590662</v>
      </c>
      <c r="K27" s="88">
        <v>58.647157963945709</v>
      </c>
      <c r="L27" s="88">
        <v>82.0913748167211</v>
      </c>
      <c r="M27" s="88">
        <v>102.65122217299168</v>
      </c>
      <c r="O27" s="76"/>
      <c r="P27" s="59"/>
      <c r="Q27" s="59"/>
      <c r="R27" s="59"/>
      <c r="S27" s="59"/>
      <c r="T27" s="59"/>
      <c r="U27" s="76"/>
      <c r="V27" s="76"/>
      <c r="W27" s="76"/>
      <c r="X27" s="76"/>
      <c r="Y27" s="76"/>
    </row>
    <row r="28" spans="2:25" x14ac:dyDescent="0.25">
      <c r="B28" s="54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</row>
    <row r="29" spans="2:25" x14ac:dyDescent="0.25">
      <c r="B29" s="60" t="s">
        <v>2</v>
      </c>
      <c r="C29" s="61"/>
      <c r="D29" s="61"/>
      <c r="E29" s="36">
        <f>I31</f>
        <v>8598.7085825016529</v>
      </c>
      <c r="G29" s="62" t="s">
        <v>34</v>
      </c>
      <c r="H29" s="62"/>
      <c r="I29" s="62"/>
      <c r="J29" s="63"/>
      <c r="K29" s="63"/>
      <c r="L29" s="63"/>
      <c r="M29" s="63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</row>
    <row r="30" spans="2:25" x14ac:dyDescent="0.25">
      <c r="B30" s="37" t="s">
        <v>77</v>
      </c>
      <c r="C30" s="4"/>
      <c r="D30" s="4"/>
      <c r="E30" s="89">
        <v>1113.7439999999999</v>
      </c>
      <c r="O30" s="69"/>
      <c r="P30" s="12"/>
      <c r="Q30" s="12"/>
      <c r="R30" s="12"/>
      <c r="S30" s="12"/>
      <c r="T30" s="12"/>
      <c r="U30" s="12"/>
      <c r="V30" s="12"/>
      <c r="W30" s="12"/>
      <c r="X30" s="12"/>
      <c r="Y30" s="76"/>
    </row>
    <row r="31" spans="2:25" x14ac:dyDescent="0.25">
      <c r="B31" s="54" t="s">
        <v>78</v>
      </c>
      <c r="E31" s="89">
        <v>25.088999999999999</v>
      </c>
      <c r="G31" s="52" t="s">
        <v>35</v>
      </c>
      <c r="I31" s="64">
        <f>G12*$H12</f>
        <v>8598.7085825016529</v>
      </c>
      <c r="J31" s="64">
        <f>F12*$H12</f>
        <v>10384.636342522632</v>
      </c>
      <c r="K31" s="64">
        <f>E12*$H12</f>
        <v>14389.295864763402</v>
      </c>
      <c r="L31" s="64">
        <f>D12*$H12</f>
        <v>21582.009574499112</v>
      </c>
      <c r="M31" s="64">
        <f>C12*$H12</f>
        <v>25551.776370785967</v>
      </c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</row>
    <row r="32" spans="2:25" x14ac:dyDescent="0.25">
      <c r="B32" s="54" t="s">
        <v>79</v>
      </c>
      <c r="E32" s="89">
        <v>-3412.6120000000001</v>
      </c>
      <c r="G32" s="52" t="s">
        <v>35</v>
      </c>
      <c r="I32" s="65">
        <f t="shared" ref="I32:I39" si="11">G13*$H13</f>
        <v>8127.1574113195911</v>
      </c>
      <c r="J32" s="65">
        <f t="shared" ref="J32:J39" si="12">F13*$H13</f>
        <v>9755.5878418212687</v>
      </c>
      <c r="K32" s="65">
        <f t="shared" ref="K32:K39" si="13">E13*$H13</f>
        <v>12663.885431499686</v>
      </c>
      <c r="L32" s="65">
        <f t="shared" ref="L32:L39" si="14">D13*$H13</f>
 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</row>
    <row r="33" spans="2:25" x14ac:dyDescent="0.25">
      <c r="B33" s="54" t="s">
        <v>80</v>
      </c>
      <c r="E33" s="89">
        <v>0</v>
      </c>
      <c r="G33" s="52" t="s">
        <v>35</v>
      </c>
      <c r="I33" s="65">
        <f t="shared" si="11"/>
        <v>5289.0965591342338</v>
      </c>
      <c r="J33" s="65">
        <f t="shared" si="12"/>
        <v>7851.9652903048618</v>
      </c>
      <c r="K33" s="65">
        <f t="shared" si="13"/>
        <v>10581.460403895211</v>
      </c>
      <c r="L33" s="65">
        <f t="shared" si="14"/>
        <v>13847.719497780543</v>
      </c>
      <c r="M33" s="65">
        <f t="shared" si="15"/>
        <v>18812.99835536004</v>
      </c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</row>
    <row r="34" spans="2:25" x14ac:dyDescent="0.25">
      <c r="B34" s="54" t="s">
        <v>81</v>
      </c>
      <c r="E34" s="89">
        <v>0</v>
      </c>
      <c r="G34" s="52" t="s">
        <v>35</v>
      </c>
      <c r="I34" s="65">
        <f t="shared" si="11"/>
        <v>15132.929281314804</v>
      </c>
      <c r="J34" s="65">
        <f t="shared" si="12"/>
        <v>15605.989998923864</v>
      </c>
      <c r="K34" s="65">
        <f t="shared" si="13"/>
        <v>16284.189680632335</v>
      </c>
      <c r="L34" s="65">
        <f t="shared" si="14"/>
        <v>20851.906600486789</v>
      </c>
      <c r="M34" s="65">
        <f t="shared" si="15"/>
        <v>120499.29647914022</v>
      </c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</row>
    <row r="35" spans="2:25" x14ac:dyDescent="0.25">
      <c r="B35" s="54" t="s">
        <v>82</v>
      </c>
      <c r="E35" s="89">
        <v>-10.238</v>
      </c>
      <c r="G35" s="52" t="s">
        <v>35</v>
      </c>
      <c r="I35" s="65">
        <f t="shared" si="11"/>
        <v>5061.1326338080635</v>
      </c>
      <c r="J35" s="65">
        <f t="shared" si="12"/>
        <v>7969.637664303862</v>
      </c>
      <c r="K35" s="65">
        <f t="shared" si="13"/>
        <v>9807.6993370939454</v>
      </c>
      <c r="L35" s="65">
        <f t="shared" si="14"/>
        <v>11837.525650657513</v>
      </c>
      <c r="M35" s="65">
        <f t="shared" si="15"/>
        <v>39812.152891135847</v>
      </c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</row>
    <row r="36" spans="2:25" x14ac:dyDescent="0.25">
      <c r="B36" s="54" t="s">
        <v>83</v>
      </c>
      <c r="E36" s="90">
        <v>0</v>
      </c>
      <c r="G36" s="52" t="s">
        <v>35</v>
      </c>
      <c r="I36" s="65">
        <f t="shared" si="11"/>
        <v>6074.7835131966103</v>
      </c>
      <c r="J36" s="65">
        <f t="shared" si="12"/>
        <v>7590.0532001761958</v>
      </c>
      <c r="K36" s="65">
        <f t="shared" si="13"/>
        <v>9372.1051994579375</v>
      </c>
      <c r="L36" s="65">
        <f t="shared" si="14"/>
        <v>9454.2207978148454</v>
      </c>
      <c r="M36" s="65">
        <f t="shared" si="15"/>
        <v>19415.161876097231</v>
      </c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</row>
    <row r="37" spans="2:25" x14ac:dyDescent="0.25">
      <c r="B37" s="38" t="s">
        <v>84</v>
      </c>
      <c r="C37" s="39"/>
      <c r="D37" s="39"/>
      <c r="E37" s="40">
        <f>SUM(E29:E36)</f>
        <v>6314.6915825016531</v>
      </c>
      <c r="G37" s="52" t="s">
        <v>36</v>
      </c>
      <c r="I37" s="65">
        <f t="shared" si="11"/>
        <v>11244.167780082615</v>
      </c>
      <c r="J37" s="65">
        <f t="shared" si="12"/>
        <v>14456.79791340042</v>
      </c>
      <c r="K37" s="65">
        <f t="shared" si="13"/>
        <v>16317.825057261758</v>
      </c>
      <c r="L37" s="65">
        <f t="shared" si="14"/>
        <v>17350.499419735086</v>
      </c>
      <c r="M37" s="65">
        <f t="shared" si="15"/>
        <v>20499.883428571426</v>
      </c>
    </row>
    <row r="38" spans="2:25" x14ac:dyDescent="0.25">
      <c r="G38" s="52" t="s">
        <v>36</v>
      </c>
      <c r="I38" s="65">
        <f t="shared" si="11"/>
        <v>2617.1969090267739</v>
      </c>
      <c r="J38" s="65">
        <f t="shared" si="12"/>
        <v>5215.82211339883</v>
      </c>
      <c r="K38" s="65">
        <f t="shared" si="13"/>
        <v>6822.4515237790611</v>
      </c>
      <c r="L38" s="65">
        <f t="shared" si="14"/>
        <v>10022.612447574491</v>
      </c>
      <c r="M38" s="65">
        <f t="shared" si="15"/>
        <v>12492.965510809499</v>
      </c>
    </row>
    <row r="39" spans="2:25" x14ac:dyDescent="0.25">
      <c r="B39" s="4" t="s">
        <v>3</v>
      </c>
      <c r="C39" s="4"/>
      <c r="D39" s="4"/>
      <c r="E39" s="91">
        <v>211.24600000000001</v>
      </c>
      <c r="G39" s="52" t="s">
        <v>36</v>
      </c>
      <c r="I39" s="65">
        <f t="shared" si="11"/>
        <v>3811.4555937898822</v>
      </c>
      <c r="J39" s="65">
        <f t="shared" si="12"/>
        <v>4980.0531920964331</v>
      </c>
      <c r="K39" s="65">
        <f t="shared" si="13"/>
        <v>6516.8352511812354</v>
      </c>
      <c r="L39" s="65">
        <f t="shared" si="14"/>
        <v>8393.2969579919463</v>
      </c>
      <c r="M39" s="65">
        <f t="shared" si="15"/>
        <v>19900.138012189327</v>
      </c>
    </row>
    <row r="40" spans="2:25" x14ac:dyDescent="0.25">
      <c r="B40" s="4"/>
      <c r="C40" s="4"/>
      <c r="D40" s="4"/>
      <c r="E40" s="4"/>
    </row>
    <row r="41" spans="2:25" x14ac:dyDescent="0.25">
      <c r="B41" s="41" t="s">
        <v>93</v>
      </c>
      <c r="C41" s="42"/>
      <c r="D41" s="42"/>
      <c r="E41" s="43">
        <f>E37/E39</f>
        <v>29.892597173445427</v>
      </c>
      <c r="G41" s="52" t="s">
        <v>35</v>
      </c>
      <c r="I41" s="65">
        <f>G23*$H23</f>
        <v>4185.5456665040811</v>
      </c>
      <c r="J41" s="65">
        <f>F23*$H23</f>
        <v>7936.9138250453734</v>
      </c>
      <c r="K41" s="65">
        <f>E23*$H23</f>
        <v>10218.365074301859</v>
      </c>
      <c r="L41" s="65">
        <f>D23*$H23</f>
        <v>16414.664413195394</v>
      </c>
      <c r="M41" s="65">
        <f>C23*$H23</f>
        <v>38864.810810810777</v>
      </c>
    </row>
    <row r="42" spans="2:25" x14ac:dyDescent="0.25">
      <c r="B42" s="44" t="s">
        <v>4</v>
      </c>
      <c r="C42" s="45"/>
      <c r="D42" s="45"/>
      <c r="E42" s="46">
        <f>E41/Share_Price-1</f>
        <v>-0.53618933788292589</v>
      </c>
      <c r="G42" s="52" t="s">
        <v>35</v>
      </c>
      <c r="I42" s="65">
        <f t="shared" ref="I42" si="16">G24*$H24</f>
        <v>13011.345868951608</v>
      </c>
      <c r="J42" s="65">
        <f t="shared" ref="J42" si="17">F24*$H24</f>
        <v>18523.248743745626</v>
      </c>
      <c r="K42" s="65">
        <f t="shared" ref="K42" si="18">E24*$H24</f>
        <v>22827.498166666664</v>
      </c>
      <c r="L42" s="65">
        <f t="shared" ref="L42" si="19">D24*$H24</f>
        <v>30100.050424251964</v>
      </c>
      <c r="M42" s="65">
        <f t="shared" ref="M42" si="20">C24*$H24</f>
        <v>59176.116645906812</v>
      </c>
    </row>
    <row r="43" spans="2:25" x14ac:dyDescent="0.25">
      <c r="G43" s="52"/>
    </row>
    <row r="46" spans="2:25" x14ac:dyDescent="0.25">
      <c r="B46" s="66"/>
      <c r="C46" s="66"/>
      <c r="D46" s="66"/>
      <c r="E46" s="66"/>
      <c r="G46" s="52"/>
    </row>
  </sheetData>
  <pageMargins left="0.7" right="0.7" top="0.75" bottom="0.75" header="0.3" footer="0.3"/>
  <pageSetup scale="49" orientation="portrait" horizontalDpi="1200" verticalDpi="1200" r:id="rId1"/>
  <ignoredErrors>
    <ignoredError sqref="I15:M1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2:AA49"/>
  <sheetViews>
    <sheetView showGridLines="0" zoomScaleNormal="100" workbookViewId="0"/>
  </sheetViews>
  <sheetFormatPr defaultColWidth="8.85546875" defaultRowHeight="15.75" x14ac:dyDescent="0.25"/>
  <cols>
    <col min="1" max="1" width="3.28515625" style="67" bestFit="1" customWidth="1"/>
    <col min="2" max="8" width="8.85546875" style="67"/>
    <col min="9" max="12" width="9.5703125" style="67" bestFit="1" customWidth="1"/>
    <col min="13" max="13" width="9.7109375" style="67" bestFit="1" customWidth="1"/>
    <col min="14" max="14" width="10.42578125" style="67" bestFit="1" customWidth="1"/>
    <col min="15" max="18" width="9" style="67" bestFit="1" customWidth="1"/>
    <col min="19" max="19" width="8.85546875" style="67"/>
    <col min="20" max="20" width="2.7109375" style="67" customWidth="1"/>
    <col min="21" max="22" width="8.85546875" style="67"/>
    <col min="23" max="25" width="15.7109375" style="67" customWidth="1"/>
    <col min="26" max="16384" width="8.85546875" style="67"/>
  </cols>
  <sheetData>
    <row r="2" spans="23:27" x14ac:dyDescent="0.25">
      <c r="W2" s="67" t="str">
        <f>Company_Name&amp;" Valuation - Range of Implied Share Prices"</f>
        <v>Steel Dynamics Inc. Valuation - Range of Implied Share Prices</v>
      </c>
    </row>
    <row r="4" spans="23:27" x14ac:dyDescent="0.25">
      <c r="W4" s="92" t="s">
        <v>0</v>
      </c>
      <c r="Y4" s="93" t="s">
        <v>37</v>
      </c>
      <c r="Z4" s="94"/>
      <c r="AA4" s="94"/>
    </row>
    <row r="5" spans="23:27" x14ac:dyDescent="0.25">
      <c r="W5" s="92" t="s">
        <v>49</v>
      </c>
      <c r="X5" s="4"/>
      <c r="Y5" s="95">
        <v>44196</v>
      </c>
    </row>
    <row r="6" spans="23:27" x14ac:dyDescent="0.25">
      <c r="W6" s="92" t="s">
        <v>1</v>
      </c>
      <c r="X6" s="4"/>
      <c r="Y6" s="96">
        <v>64.45</v>
      </c>
      <c r="Z6" s="70"/>
    </row>
    <row r="32" spans="9:18" x14ac:dyDescent="0.25">
      <c r="I32" s="82" t="s">
        <v>85</v>
      </c>
      <c r="J32" s="82" t="s">
        <v>24</v>
      </c>
      <c r="K32" s="82" t="s">
        <v>19</v>
      </c>
      <c r="L32" s="82" t="s">
        <v>23</v>
      </c>
      <c r="M32" s="82" t="s">
        <v>86</v>
      </c>
      <c r="N32" s="82" t="s">
        <v>87</v>
      </c>
      <c r="O32" s="82" t="s">
        <v>88</v>
      </c>
      <c r="P32" s="82" t="s">
        <v>89</v>
      </c>
      <c r="Q32" s="82" t="s">
        <v>90</v>
      </c>
      <c r="R32" s="82" t="s">
        <v>91</v>
      </c>
    </row>
    <row r="33" spans="2:18" x14ac:dyDescent="0.25">
      <c r="I33" s="47"/>
      <c r="J33" s="47"/>
      <c r="K33" s="47"/>
      <c r="L33" s="47"/>
      <c r="M33" s="47"/>
      <c r="N33" s="47"/>
      <c r="O33" s="47"/>
      <c r="P33" s="47"/>
      <c r="Q33" s="47"/>
      <c r="R33" s="47"/>
    </row>
    <row r="34" spans="2:18" x14ac:dyDescent="0.25">
      <c r="B34" s="48" t="str">
        <f>ValSum!B27</f>
        <v>$600 - $1000 Steel Price per Ton, 15.0% - 20.0% Gross Margin:</v>
      </c>
      <c r="I34" s="47">
        <f>ValSum!I27</f>
        <v>27.321186637694819</v>
      </c>
      <c r="J34" s="47">
        <f>ValSum!J27</f>
        <v>40.133310565590662</v>
      </c>
      <c r="K34" s="47">
        <f>ValSum!K27</f>
        <v>58.647157963945709</v>
      </c>
      <c r="L34" s="47">
        <f>ValSum!L27</f>
        <v>82.0913748167211</v>
      </c>
      <c r="M34" s="47">
        <f>ValSum!M27</f>
        <v>102.65122217299168</v>
      </c>
      <c r="N34" s="68">
        <f>I34</f>
        <v>27.321186637694819</v>
      </c>
      <c r="O34" s="68">
        <f>J34-I34</f>
        <v>12.812123927895843</v>
      </c>
      <c r="P34" s="68">
        <f t="shared" ref="P34:R34" si="0">K34-J34</f>
        <v>18.513847398355047</v>
      </c>
      <c r="Q34" s="68">
        <f t="shared" si="0"/>
        <v>23.444216852775391</v>
      </c>
      <c r="R34" s="68">
        <f t="shared" si="0"/>
        <v>20.559847356270581</v>
      </c>
    </row>
    <row r="35" spans="2:18" x14ac:dyDescent="0.25">
      <c r="B35" s="48"/>
    </row>
    <row r="36" spans="2:18" x14ac:dyDescent="0.25">
      <c r="B36" s="48" t="str">
        <f>ValSum!B24</f>
        <v>LTM TEV / EBITDA:</v>
      </c>
      <c r="I36" s="49">
        <f>ValSum!I24</f>
        <v>50.78121653878231</v>
      </c>
      <c r="J36" s="49">
        <f>ValSum!J24</f>
        <v>76.873558522980915</v>
      </c>
      <c r="K36" s="49">
        <f>ValSum!K24</f>
        <v>97.249089529111387</v>
      </c>
      <c r="L36" s="49">
        <f>ValSum!L24</f>
        <v>131.67602427620861</v>
      </c>
      <c r="M36" s="49">
        <f>ValSum!M24</f>
        <v>269.31681379011582</v>
      </c>
      <c r="N36" s="50">
        <f t="shared" ref="N36:N37" si="1">I36</f>
        <v>50.78121653878231</v>
      </c>
      <c r="O36" s="50">
        <f t="shared" ref="O36:O37" si="2">J36-I36</f>
        <v>26.092341984198605</v>
      </c>
      <c r="P36" s="50">
        <f t="shared" ref="P36:P37" si="3">K36-J36</f>
        <v>20.375531006130473</v>
      </c>
      <c r="Q36" s="50">
        <f t="shared" ref="Q36:Q37" si="4">L36-K36</f>
        <v>34.426934747097221</v>
      </c>
      <c r="R36" s="50">
        <f t="shared" ref="R36:R37" si="5">M36-L36</f>
        <v>137.64078951390721</v>
      </c>
    </row>
    <row r="37" spans="2:18" x14ac:dyDescent="0.25">
      <c r="B37" s="48" t="str">
        <f>ValSum!B23</f>
        <v>LTM TEV / Revenue:</v>
      </c>
      <c r="I37" s="49">
        <f>ValSum!I23</f>
        <v>9.0014895737863938</v>
      </c>
      <c r="J37" s="49">
        <f>ValSum!J23</f>
        <v>26.759781605546955</v>
      </c>
      <c r="K37" s="49">
        <f>ValSum!K23</f>
        <v>37.559755329340476</v>
      </c>
      <c r="L37" s="49">
        <f>ValSum!L23</f>
        <v>66.891905234633526</v>
      </c>
      <c r="M37" s="49">
        <f>ValSum!M23</f>
        <v>173.16679989590702</v>
      </c>
      <c r="N37" s="50">
        <f t="shared" si="1"/>
        <v>9.0014895737863938</v>
      </c>
      <c r="O37" s="50">
        <f t="shared" si="2"/>
        <v>17.758292031760561</v>
      </c>
      <c r="P37" s="50">
        <f t="shared" si="3"/>
        <v>10.799973723793521</v>
      </c>
      <c r="Q37" s="50">
        <f t="shared" si="4"/>
        <v>29.332149905293051</v>
      </c>
      <c r="R37" s="50">
        <f t="shared" si="5"/>
        <v>106.27489466127349</v>
      </c>
    </row>
    <row r="38" spans="2:18" x14ac:dyDescent="0.25">
      <c r="B38" s="48"/>
      <c r="I38" s="49"/>
      <c r="J38" s="49"/>
      <c r="K38" s="49"/>
      <c r="L38" s="49"/>
      <c r="M38" s="49"/>
      <c r="N38" s="50"/>
      <c r="O38" s="50"/>
      <c r="P38" s="50"/>
      <c r="Q38" s="50"/>
      <c r="R38" s="50"/>
    </row>
    <row r="39" spans="2:18" x14ac:dyDescent="0.25">
      <c r="B39" s="48" t="str">
        <f>ValSum!B20</f>
        <v>CY 22 P / E:</v>
      </c>
      <c r="I39" s="49">
        <f>ValSum!I20</f>
        <v>18.042734980969495</v>
      </c>
      <c r="J39" s="49">
        <f>ValSum!J20</f>
        <v>23.574662678092995</v>
      </c>
      <c r="K39" s="49">
        <f>ValSum!K20</f>
        <v>30.84950839865008</v>
      </c>
      <c r="L39" s="49">
        <f>ValSum!L20</f>
        <v>39.732335561345288</v>
      </c>
      <c r="M39" s="49">
        <f>ValSum!M20</f>
        <v>94.203620481284034</v>
      </c>
      <c r="N39" s="50">
        <f t="shared" ref="N39:N40" si="6">I39</f>
        <v>18.042734980969495</v>
      </c>
      <c r="O39" s="50">
        <f t="shared" ref="O39:O40" si="7">J39-I39</f>
        <v>5.5319276971234999</v>
      </c>
      <c r="P39" s="50">
        <f t="shared" ref="P39:P40" si="8">K39-J39</f>
        <v>7.2748457205570851</v>
      </c>
      <c r="Q39" s="50">
        <f t="shared" ref="Q39:Q40" si="9">L39-K39</f>
        <v>8.8828271626952073</v>
      </c>
      <c r="R39" s="50">
        <f t="shared" ref="R39:R40" si="10">M39-L39</f>
        <v>54.471284919938746</v>
      </c>
    </row>
    <row r="40" spans="2:18" x14ac:dyDescent="0.25">
      <c r="B40" s="48" t="str">
        <f>ValSum!B19</f>
        <v>CY 21 P / E:</v>
      </c>
      <c r="I40" s="49">
        <f>ValSum!I19</f>
        <v>12.389332385118648</v>
      </c>
      <c r="J40" s="49">
        <f>ValSum!J19</f>
        <v>24.690749710758215</v>
      </c>
      <c r="K40" s="49">
        <f>ValSum!K19</f>
        <v>32.296240041369117</v>
      </c>
      <c r="L40" s="49">
        <f>ValSum!L19</f>
        <v>47.445217649444203</v>
      </c>
      <c r="M40" s="49">
        <f>ValSum!M19</f>
        <v>59.139418075653495</v>
      </c>
      <c r="N40" s="50">
        <f t="shared" si="6"/>
        <v>12.389332385118648</v>
      </c>
      <c r="O40" s="50">
        <f t="shared" si="7"/>
        <v>12.301417325639568</v>
      </c>
      <c r="P40" s="50">
        <f t="shared" si="8"/>
        <v>7.6054903306109019</v>
      </c>
      <c r="Q40" s="50">
        <f t="shared" si="9"/>
        <v>15.148977608075086</v>
      </c>
      <c r="R40" s="50">
        <f t="shared" si="10"/>
        <v>11.694200426209292</v>
      </c>
    </row>
    <row r="41" spans="2:18" x14ac:dyDescent="0.25">
      <c r="B41" s="48" t="str">
        <f>ValSum!B18</f>
        <v>LTM P / E:</v>
      </c>
      <c r="I41" s="49">
        <f>ValSum!I18</f>
        <v>53.227837592582176</v>
      </c>
      <c r="J41" s="49">
        <f>ValSum!J18</f>
        <v>68.435842162220439</v>
      </c>
      <c r="K41" s="49">
        <f>ValSum!K18</f>
        <v>77.245604921568969</v>
      </c>
      <c r="L41" s="49">
        <f>ValSum!L18</f>
        <v>82.134096833715603</v>
      </c>
      <c r="M41" s="49">
        <f>ValSum!M18</f>
        <v>97.042705795950809</v>
      </c>
      <c r="N41" s="50">
        <f t="shared" ref="N41:N47" si="11">I41</f>
        <v>53.227837592582176</v>
      </c>
      <c r="O41" s="50">
        <f t="shared" ref="O41:O47" si="12">J41-I41</f>
        <v>15.208004569638263</v>
      </c>
      <c r="P41" s="50">
        <f t="shared" ref="P41:P47" si="13">K41-J41</f>
        <v>8.8097627593485299</v>
      </c>
      <c r="Q41" s="50">
        <f t="shared" ref="Q41:Q47" si="14">L41-K41</f>
        <v>4.8884919121466339</v>
      </c>
      <c r="R41" s="50">
        <f t="shared" ref="R41:R47" si="15">M41-L41</f>
        <v>14.908608962235206</v>
      </c>
    </row>
    <row r="42" spans="2:18" x14ac:dyDescent="0.25">
      <c r="B42" s="48" t="str">
        <f>ValSum!B17</f>
        <v>CY 22 TEV / EBITDA:</v>
      </c>
      <c r="I42" s="49">
        <f>ValSum!I17</f>
        <v>17.944796650334727</v>
      </c>
      <c r="J42" s="49">
        <f>ValSum!J17</f>
        <v>25.117806728535427</v>
      </c>
      <c r="K42" s="49">
        <f>ValSum!K17</f>
        <v>33.553715570746604</v>
      </c>
      <c r="L42" s="49">
        <f>ValSum!L17</f>
        <v>33.942435822760409</v>
      </c>
      <c r="M42" s="49">
        <f>ValSum!M17</f>
        <v>81.095712468388655</v>
      </c>
      <c r="N42" s="50">
        <f t="shared" si="11"/>
        <v>17.944796650334727</v>
      </c>
      <c r="O42" s="50">
        <f t="shared" si="12"/>
        <v>7.1730100782007007</v>
      </c>
      <c r="P42" s="50">
        <f t="shared" si="13"/>
        <v>8.4359088422111768</v>
      </c>
      <c r="Q42" s="50">
        <f t="shared" si="14"/>
        <v>0.38872025201380467</v>
      </c>
      <c r="R42" s="50">
        <f t="shared" si="15"/>
        <v>47.153276645628246</v>
      </c>
    </row>
    <row r="43" spans="2:18" x14ac:dyDescent="0.25">
      <c r="B43" s="48" t="str">
        <f>ValSum!B16</f>
        <v>CY 21 TEV / EBITDA:</v>
      </c>
      <c r="I43" s="49">
        <f>ValSum!I16</f>
        <v>13.14635843428071</v>
      </c>
      <c r="J43" s="49">
        <f>ValSum!J16</f>
        <v>26.914690286698267</v>
      </c>
      <c r="K43" s="49">
        <f>ValSum!K16</f>
        <v>35.615738698455573</v>
      </c>
      <c r="L43" s="49">
        <f>ValSum!L16</f>
        <v>45.224565912052832</v>
      </c>
      <c r="M43" s="49">
        <f>ValSum!M16</f>
        <v>177.6513443621931</v>
      </c>
      <c r="N43" s="50">
        <f t="shared" si="11"/>
        <v>13.14635843428071</v>
      </c>
      <c r="O43" s="50">
        <f t="shared" si="12"/>
        <v>13.768331852417557</v>
      </c>
      <c r="P43" s="50">
        <f t="shared" si="13"/>
        <v>8.7010484117573057</v>
      </c>
      <c r="Q43" s="50">
        <f t="shared" si="14"/>
        <v>9.6088272135972588</v>
      </c>
      <c r="R43" s="50">
        <f t="shared" si="15"/>
        <v>132.42677845014026</v>
      </c>
    </row>
    <row r="44" spans="2:18" x14ac:dyDescent="0.25">
      <c r="B44" s="48" t="str">
        <f>ValSum!B15</f>
        <v>LTM TEV / EBITDA:</v>
      </c>
      <c r="I44" s="49">
        <f>ValSum!I15</f>
        <v>60.824405107385722</v>
      </c>
      <c r="J44" s="49">
        <f>ValSum!J15</f>
        <v>63.063788184978002</v>
      </c>
      <c r="K44" s="49">
        <f>ValSum!K15</f>
        <v>66.274261669486449</v>
      </c>
      <c r="L44" s="49">
        <f>ValSum!L15</f>
        <v>87.896999708807684</v>
      </c>
      <c r="M44" s="49">
        <f>ValSum!M15</f>
        <v>559.60955227147599</v>
      </c>
      <c r="N44" s="50">
        <f t="shared" si="11"/>
        <v>60.824405107385722</v>
      </c>
      <c r="O44" s="50">
        <f t="shared" si="12"/>
        <v>2.2393830775922794</v>
      </c>
      <c r="P44" s="50">
        <f t="shared" si="13"/>
        <v>3.2104734845084479</v>
      </c>
      <c r="Q44" s="50">
        <f t="shared" si="14"/>
        <v>21.622738039321234</v>
      </c>
      <c r="R44" s="50">
        <f t="shared" si="15"/>
        <v>471.71255256266829</v>
      </c>
    </row>
    <row r="45" spans="2:18" x14ac:dyDescent="0.25">
      <c r="B45" s="48" t="str">
        <f>ValSum!B14</f>
        <v>CY 22 TEV / Revenue:</v>
      </c>
      <c r="I45" s="49">
        <f>ValSum!I14</f>
        <v>14.225498040835014</v>
      </c>
      <c r="J45" s="49">
        <f>ValSum!J14</f>
        <v>26.357650749859694</v>
      </c>
      <c r="K45" s="49">
        <f>ValSum!K14</f>
        <v>39.278582334790769</v>
      </c>
      <c r="L45" s="49">
        <f>ValSum!L14</f>
        <v>54.740456613524245</v>
      </c>
      <c r="M45" s="49">
        <f>ValSum!M14</f>
        <v>78.245180289141757</v>
      </c>
      <c r="N45" s="50">
        <f t="shared" si="11"/>
        <v>14.225498040835014</v>
      </c>
      <c r="O45" s="50">
        <f t="shared" si="12"/>
        <v>12.13215270902468</v>
      </c>
      <c r="P45" s="50">
        <f t="shared" si="13"/>
        <v>12.920931584931076</v>
      </c>
      <c r="Q45" s="50">
        <f t="shared" si="14"/>
        <v>15.461874278733475</v>
      </c>
      <c r="R45" s="50">
        <f t="shared" si="15"/>
        <v>23.504723675617512</v>
      </c>
    </row>
    <row r="46" spans="2:18" x14ac:dyDescent="0.25">
      <c r="B46" s="48" t="str">
        <f>ValSum!B13</f>
        <v>CY 21 TEV / Revenue:</v>
      </c>
      <c r="I46" s="49">
        <f>ValSum!I13</f>
        <v>27.6603600130634</v>
      </c>
      <c r="J46" s="49">
        <f>ValSum!J13</f>
        <v>35.369052393045401</v>
      </c>
      <c r="K46" s="49">
        <f>ValSum!K13</f>
        <v>49.136402258502812</v>
      </c>
      <c r="L46" s="49">
        <f>ValSum!L13</f>
        <v>66.943507687663839</v>
      </c>
      <c r="M46" s="49">
        <f>ValSum!M13</f>
        <v>121.95156705259436</v>
      </c>
      <c r="N46" s="50">
        <f t="shared" si="11"/>
        <v>27.6603600130634</v>
      </c>
      <c r="O46" s="50">
        <f t="shared" si="12"/>
        <v>7.7086923799820006</v>
      </c>
      <c r="P46" s="50">
        <f t="shared" si="13"/>
        <v>13.767349865457412</v>
      </c>
      <c r="Q46" s="50">
        <f t="shared" si="14"/>
        <v>17.807105429161027</v>
      </c>
      <c r="R46" s="50">
        <f t="shared" si="15"/>
        <v>55.008059364930517</v>
      </c>
    </row>
    <row r="47" spans="2:18" x14ac:dyDescent="0.25">
      <c r="B47" s="48" t="str">
        <f>ValSum!B12</f>
        <v>LTM TEV / Revenue:</v>
      </c>
      <c r="I47" s="49">
        <f>ValSum!I12</f>
        <v>29.892597173445427</v>
      </c>
      <c r="J47" s="49">
        <f>ValSum!J12</f>
        <v>38.346853159456899</v>
      </c>
      <c r="K47" s="49">
        <f>ValSum!K12</f>
        <v>57.304180267382115</v>
      </c>
      <c r="L47" s="49">
        <f>ValSum!L12</f>
        <v>91.353173903880361</v>
      </c>
      <c r="M47" s="49">
        <f>ValSum!M12</f>
        <v>110.14532521697909</v>
      </c>
      <c r="N47" s="50">
        <f t="shared" si="11"/>
        <v>29.892597173445427</v>
      </c>
      <c r="O47" s="50">
        <f t="shared" si="12"/>
        <v>8.4542559860114714</v>
      </c>
      <c r="P47" s="50">
        <f t="shared" si="13"/>
        <v>18.957327107925217</v>
      </c>
      <c r="Q47" s="50">
        <f t="shared" si="14"/>
        <v>34.048993636498246</v>
      </c>
      <c r="R47" s="50">
        <f t="shared" si="15"/>
        <v>18.792151313098728</v>
      </c>
    </row>
    <row r="49" spans="2:18" x14ac:dyDescent="0.25">
      <c r="B49" s="82" t="s">
        <v>92</v>
      </c>
      <c r="I49" s="49">
        <f>Share_Price</f>
        <v>64.45</v>
      </c>
      <c r="J49" s="49">
        <f>Share_Price</f>
        <v>64.45</v>
      </c>
      <c r="K49" s="49">
        <f>Share_Price</f>
        <v>64.45</v>
      </c>
      <c r="L49" s="49">
        <f>Share_Price</f>
        <v>64.45</v>
      </c>
      <c r="M49" s="49">
        <f>Share_Price</f>
        <v>64.45</v>
      </c>
      <c r="N49" s="83">
        <v>1000</v>
      </c>
      <c r="O49" s="83">
        <v>0</v>
      </c>
      <c r="P49" s="50">
        <f>O49</f>
        <v>0</v>
      </c>
      <c r="Q49" s="50">
        <f t="shared" ref="Q49:R49" si="16">P49</f>
        <v>0</v>
      </c>
      <c r="R49" s="50">
        <f t="shared" si="16"/>
        <v>0</v>
      </c>
    </row>
  </sheetData>
  <sortState xmlns:xlrd2="http://schemas.microsoft.com/office/spreadsheetml/2017/richdata2" ref="A34:R47">
    <sortCondition descending="1" ref="A34:A47"/>
  </sortState>
  <pageMargins left="0.7" right="0.7" top="0.75" bottom="0.75" header="0.3" footer="0.3"/>
  <pageSetup scale="4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783B9-BA0F-4C17-9A37-B49E95E6309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MA_Comps</vt:lpstr>
      <vt:lpstr>ValSum</vt:lpstr>
      <vt:lpstr>ValGraph</vt:lpstr>
      <vt:lpstr>Company_Name</vt:lpstr>
      <vt:lpstr>Hist_Year</vt:lpstr>
      <vt:lpstr>MA_Comps!Print_Area</vt:lpstr>
      <vt:lpstr>ValGraph!Print_Area</vt:lpstr>
      <vt:lpstr>ValSum!Print_Area</vt:lpstr>
      <vt:lpstr>Share_Price</vt:lpstr>
    </vt:vector>
  </TitlesOfParts>
  <Company>LENOVO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BIWS</cp:lastModifiedBy>
  <cp:lastPrinted>2021-08-05T17:06:17Z</cp:lastPrinted>
  <dcterms:created xsi:type="dcterms:W3CDTF">2009-06-26T05:31:17Z</dcterms:created>
  <dcterms:modified xsi:type="dcterms:W3CDTF">2021-11-22T14:42:13Z</dcterms:modified>
</cp:coreProperties>
</file>