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ml.chartshapes+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ml.chartshapes+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ml.chartshapes+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ml.chartshapes+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ml.chartshapes+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ml.chartshapes+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ml.chartshapes+xml"/>
  <Override PartName="/xl/drawings/drawing10.xml" ContentType="application/vnd.openxmlformats-officedocument.drawing+xml"/>
  <Override PartName="/xl/ctrlProps/ctrlProp2.xml" ContentType="application/vnd.ms-excel.controlproperties+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1.xml" ContentType="application/vnd.openxmlformats-officedocument.drawing+xml"/>
  <Override PartName="/xl/comments2.xml" ContentType="application/vnd.openxmlformats-officedocument.spreadsheetml.comments+xml"/>
  <Override PartName="/xl/charts/chart17.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2.xml" ContentType="application/vnd.openxmlformats-officedocument.drawingml.chartshapes+xml"/>
  <Override PartName="/xl/charts/chart18.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3.xml" ContentType="application/vnd.openxmlformats-officedocument.drawingml.chartshapes+xml"/>
  <Override PartName="/xl/charts/chart19.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4.xml" ContentType="application/vnd.openxmlformats-officedocument.drawingml.chartshapes+xml"/>
  <Override PartName="/xl/charts/chart20.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5.xml" ContentType="application/vnd.openxmlformats-officedocument.drawingml.chartshapes+xml"/>
  <Override PartName="/xl/charts/chart21.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6.xml" ContentType="application/vnd.openxmlformats-officedocument.drawingml.chartshapes+xml"/>
  <Override PartName="/xl/charts/chart22.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7.xml" ContentType="application/vnd.openxmlformats-officedocument.drawingml.chartshapes+xml"/>
  <Override PartName="/xl/charts/chart23.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8.xml" ContentType="application/vnd.openxmlformats-officedocument.drawingml.chartshapes+xml"/>
  <Override PartName="/xl/charts/chart24.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9.xml" ContentType="application/vnd.openxmlformats-officedocument.drawingml.chartshapes+xml"/>
  <Override PartName="/xl/charts/chart25.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0.xml" ContentType="application/vnd.openxmlformats-officedocument.drawingml.chartshapes+xml"/>
  <Override PartName="/xl/charts/chart26.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21.xml" ContentType="application/vnd.openxmlformats-officedocument.drawingml.chartshapes+xml"/>
  <Override PartName="/xl/charts/chart27.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22.xml" ContentType="application/vnd.openxmlformats-officedocument.drawingml.chartshapes+xml"/>
  <Override PartName="/xl/charts/chart28.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comments3.xml" ContentType="application/vnd.openxmlformats-officedocument.spreadsheetml.comment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629" codeName="{54D0D2CB-4C12-4D6E-6EDF-ACB5E8E520A3}"/>
  <workbookPr codeName="ThisWorkbook"/>
  <mc:AlternateContent xmlns:mc="http://schemas.openxmlformats.org/markup-compatibility/2006">
    <mc:Choice Requires="x15">
      <x15ac:absPath xmlns:x15ac="http://schemas.microsoft.com/office/spreadsheetml/2010/11/ac" url="P:\Technical Documents\Robot Plugins\"/>
    </mc:Choice>
  </mc:AlternateContent>
  <xr:revisionPtr revIDLastSave="0" documentId="13_ncr:1_{B390E238-DA7F-4FF7-A2E1-4FC65BD6A181}" xr6:coauthVersionLast="43" xr6:coauthVersionMax="43" xr10:uidLastSave="{00000000-0000-0000-0000-000000000000}"/>
  <bookViews>
    <workbookView xWindow="28680" yWindow="-120" windowWidth="29040" windowHeight="17790" activeTab="10" xr2:uid="{00000000-000D-0000-FFFF-FFFF00000000}"/>
  </bookViews>
  <sheets>
    <sheet name="MAIN" sheetId="1" r:id="rId1"/>
    <sheet name="CHARTS" sheetId="11" r:id="rId2"/>
    <sheet name="Calc" sheetId="19" r:id="rId3"/>
    <sheet name="Ycal" sheetId="12" r:id="rId4"/>
    <sheet name="Zcal" sheetId="13" r:id="rId5"/>
    <sheet name="Slen" sheetId="16" r:id="rId6"/>
    <sheet name="Cases" sheetId="8" r:id="rId7"/>
    <sheet name="Fire" sheetId="20" r:id="rId8"/>
    <sheet name="Refs" sheetId="17" r:id="rId9"/>
    <sheet name="Notes" sheetId="18" r:id="rId10"/>
    <sheet name="Paste Here" sheetId="21" r:id="rId11"/>
  </sheets>
  <functionGroups builtInGroupCount="19"/>
  <definedNames>
    <definedName name="bmin">Fire!$T$18</definedName>
    <definedName name="_xlnm.Print_Area" localSheetId="2">Calc!$B$2:$T$58</definedName>
    <definedName name="_xlnm.Print_Area" localSheetId="6">Cases!$B$2:$AK$74</definedName>
    <definedName name="_xlnm.Print_Area" localSheetId="1">CHARTS!$B$2:$G$55</definedName>
    <definedName name="_xlnm.Print_Area" localSheetId="0">MAIN!$B$2:$K$60</definedName>
    <definedName name="_xlnm.Print_Area" localSheetId="9">Notes!$A$1:$F$108</definedName>
    <definedName name="_xlnm.Print_Area" localSheetId="8">Refs!$A$1:$X$59</definedName>
    <definedName name="_xlnm.Print_Area" localSheetId="5">Slen!$B$2:$K$39</definedName>
    <definedName name="_xlnm.Print_Area" localSheetId="3">Ycal!$B$2:$BP$323</definedName>
    <definedName name="_xlnm.Print_Area" localSheetId="4">Zcal!$A$1:$BO$323</definedName>
    <definedName name="solver_adj" localSheetId="5" hidden="1">Slen!$L$7</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0</definedName>
    <definedName name="solver_nwt" localSheetId="5" hidden="1">1</definedName>
    <definedName name="solver_opt" localSheetId="5" hidden="1">Slen!$L$8</definedName>
    <definedName name="solver_pre" localSheetId="5" hidden="1">0.000001</definedName>
    <definedName name="solver_rbv" localSheetId="5" hidden="1">1</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1</definedName>
    <definedName name="solver_ver" localSheetId="5" hidden="1">3</definedName>
    <definedName name="Z_065FF312_67E2_4E5F_894A_2CE2F41260A3_.wvu.PrintArea" localSheetId="2" hidden="1">Calc!$B$2:$T$58</definedName>
    <definedName name="Z_065FF312_67E2_4E5F_894A_2CE2F41260A3_.wvu.PrintArea" localSheetId="6" hidden="1">Cases!$B$2:$AK$74</definedName>
    <definedName name="Z_065FF312_67E2_4E5F_894A_2CE2F41260A3_.wvu.PrintArea" localSheetId="1" hidden="1">CHARTS!$B$2:$G$55</definedName>
    <definedName name="Z_065FF312_67E2_4E5F_894A_2CE2F41260A3_.wvu.PrintArea" localSheetId="0" hidden="1">MAIN!$B$2:$K$57</definedName>
    <definedName name="Z_065FF312_67E2_4E5F_894A_2CE2F41260A3_.wvu.PrintArea" localSheetId="9" hidden="1">Notes!$A$1:$F$108</definedName>
    <definedName name="Z_065FF312_67E2_4E5F_894A_2CE2F41260A3_.wvu.PrintArea" localSheetId="8" hidden="1">Refs!$A$1:$X$59</definedName>
    <definedName name="Z_065FF312_67E2_4E5F_894A_2CE2F41260A3_.wvu.PrintArea" localSheetId="5" hidden="1">Slen!$B$2:$K$39</definedName>
    <definedName name="Z_065FF312_67E2_4E5F_894A_2CE2F41260A3_.wvu.PrintArea" localSheetId="3" hidden="1">Ycal!$B$2:$BP$323</definedName>
    <definedName name="Z_065FF312_67E2_4E5F_894A_2CE2F41260A3_.wvu.PrintArea" localSheetId="4" hidden="1">Zcal!$A$1:$BO$323</definedName>
  </definedNames>
  <calcPr calcId="191029"/>
  <customWorkbookViews>
    <customWorkbookView name="Charles Goodchild - Personal View" guid="{065FF312-67E2-4E5F-894A-2CE2F41260A3}" mergeInterval="0" personalView="1" xWindow="28" yWindow="28" windowWidth="1887" windowHeight="996" activeSheetId="18"/>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6" i="8" l="1"/>
  <c r="AO66" i="8" l="1"/>
  <c r="AN66" i="8"/>
  <c r="AO56" i="8"/>
  <c r="AN56" i="8"/>
  <c r="AO46" i="8"/>
  <c r="AN46" i="8"/>
  <c r="AO36" i="8"/>
  <c r="AN36" i="8"/>
  <c r="AO26" i="8"/>
  <c r="AN26" i="8"/>
  <c r="AM26" i="8"/>
  <c r="AP26" i="8"/>
  <c r="AO16" i="8"/>
  <c r="AN16" i="8"/>
  <c r="AP56" i="8" l="1"/>
  <c r="AM56" i="8"/>
  <c r="AP46" i="8"/>
  <c r="AM46" i="8"/>
  <c r="AP66" i="8"/>
  <c r="AM66" i="8"/>
  <c r="AP36" i="8"/>
  <c r="AM36" i="8"/>
  <c r="AP16" i="8"/>
  <c r="AM16" i="8"/>
  <c r="U14" i="1" l="1"/>
  <c r="U9" i="1" s="1"/>
  <c r="AM51" i="1"/>
  <c r="AN49" i="1"/>
  <c r="AN48" i="1"/>
  <c r="AM46" i="1"/>
  <c r="AN45" i="1"/>
  <c r="AN44" i="1"/>
  <c r="AM27" i="1"/>
  <c r="AN25" i="1"/>
  <c r="AN24" i="1"/>
  <c r="AN21" i="1"/>
  <c r="AN20" i="1"/>
  <c r="AN30" i="1" l="1"/>
  <c r="AN54" i="1"/>
  <c r="AN29" i="1"/>
  <c r="Q9" i="1"/>
  <c r="R9" i="1"/>
  <c r="S9" i="1"/>
  <c r="AM45" i="1"/>
  <c r="AN53" i="1"/>
  <c r="AO15" i="19"/>
  <c r="AN15" i="19" s="1"/>
  <c r="AO16" i="19"/>
  <c r="AN16" i="19" s="1"/>
  <c r="AR33" i="1" l="1"/>
  <c r="AN32" i="1"/>
  <c r="AN34" i="1" s="1"/>
  <c r="AN33" i="1"/>
  <c r="T9" i="1"/>
  <c r="AR57" i="1"/>
  <c r="AN56" i="1"/>
  <c r="AN58" i="1" s="1"/>
  <c r="AN57" i="1"/>
  <c r="AM44" i="1"/>
  <c r="BM19" i="19"/>
  <c r="AE17" i="19"/>
  <c r="AU44" i="1" l="1"/>
  <c r="AU33" i="1" s="1"/>
  <c r="AQ23" i="1" s="1"/>
  <c r="AM43" i="1"/>
  <c r="C26" i="1"/>
  <c r="C27" i="1"/>
  <c r="AQ22" i="1" l="1"/>
  <c r="AQ25" i="1"/>
  <c r="AU57" i="1"/>
  <c r="AQ47" i="1" s="1"/>
  <c r="AQ20" i="1"/>
  <c r="AQ24" i="1"/>
  <c r="AQ27" i="1"/>
  <c r="AQ26" i="1"/>
  <c r="AQ19" i="1"/>
  <c r="AQ21" i="1"/>
  <c r="AQ18" i="1"/>
  <c r="AM42" i="1"/>
  <c r="O10" i="1"/>
  <c r="AQ48" i="1" l="1"/>
  <c r="AQ50" i="1"/>
  <c r="AQ51" i="1"/>
  <c r="AQ42" i="1"/>
  <c r="AQ45" i="1"/>
  <c r="AQ43" i="1"/>
  <c r="AQ44" i="1"/>
  <c r="AQ46" i="1"/>
  <c r="AQ49" i="1"/>
  <c r="AM54" i="1"/>
  <c r="AM53" i="1"/>
  <c r="BV16" i="19"/>
  <c r="BU16" i="19" s="1"/>
  <c r="BV15" i="19"/>
  <c r="BU15" i="19" s="1"/>
  <c r="AM56" i="1" l="1"/>
  <c r="T29" i="1"/>
  <c r="AM61" i="1" l="1"/>
  <c r="AM58" i="1"/>
  <c r="AP49" i="1" s="1"/>
  <c r="DC23" i="8"/>
  <c r="DC22" i="8"/>
  <c r="DC21" i="8"/>
  <c r="DC20" i="8"/>
  <c r="DC19" i="8"/>
  <c r="DC18" i="8"/>
  <c r="DB23" i="8"/>
  <c r="DB22" i="8"/>
  <c r="DB21" i="8"/>
  <c r="DB20" i="8"/>
  <c r="DB19" i="8"/>
  <c r="DB18" i="8"/>
  <c r="AP43" i="1" l="1"/>
  <c r="AP51" i="1"/>
  <c r="AP48" i="1"/>
  <c r="AP42" i="1"/>
  <c r="AP45" i="1"/>
  <c r="AP47" i="1"/>
  <c r="AP46" i="1"/>
  <c r="AP50" i="1"/>
  <c r="AP44" i="1"/>
  <c r="Q30" i="1"/>
  <c r="Q29" i="1"/>
  <c r="Q28" i="1"/>
  <c r="Q27" i="1"/>
  <c r="Q26" i="1"/>
  <c r="Q25" i="1"/>
  <c r="Q24" i="1"/>
  <c r="Q23" i="1"/>
  <c r="R30" i="1"/>
  <c r="R29" i="1"/>
  <c r="R28" i="1"/>
  <c r="R27" i="1"/>
  <c r="R26" i="1"/>
  <c r="R25" i="1"/>
  <c r="R24" i="1"/>
  <c r="B56" i="1"/>
  <c r="B55" i="1"/>
  <c r="B54" i="1"/>
  <c r="B53" i="1"/>
  <c r="B52" i="1"/>
  <c r="BT21" i="19" l="1"/>
  <c r="BT22" i="19" s="1"/>
  <c r="AM21" i="19" l="1"/>
  <c r="AM22" i="19" s="1"/>
  <c r="C28" i="16" l="1"/>
  <c r="C27" i="16"/>
  <c r="C11" i="16"/>
  <c r="C10" i="16"/>
  <c r="F7" i="19" l="1"/>
  <c r="E7" i="19"/>
  <c r="P7" i="19" l="1"/>
  <c r="AE10" i="8"/>
  <c r="W6" i="17" l="1"/>
  <c r="W4" i="17"/>
  <c r="K4" i="17"/>
  <c r="T2" i="17"/>
  <c r="O5" i="17"/>
  <c r="O3" i="17"/>
  <c r="O2" i="17"/>
  <c r="O4" i="17"/>
  <c r="K6" i="17" l="1"/>
  <c r="I6" i="17"/>
  <c r="H6" i="17"/>
  <c r="C5" i="17"/>
  <c r="H4" i="17"/>
  <c r="C4" i="17"/>
  <c r="C3" i="17"/>
  <c r="H2" i="17"/>
  <c r="C2" i="17"/>
  <c r="N7" i="19" l="1"/>
  <c r="CN34" i="8" l="1"/>
  <c r="CN33" i="8"/>
  <c r="CN32" i="8"/>
  <c r="CN31" i="8"/>
  <c r="CN30" i="8"/>
  <c r="CN29" i="8"/>
  <c r="CN23" i="8"/>
  <c r="CN22" i="8"/>
  <c r="CN21" i="8"/>
  <c r="CN20" i="8"/>
  <c r="CN19" i="8"/>
  <c r="CN18" i="8"/>
  <c r="J8" i="16" l="1"/>
  <c r="C30" i="16" l="1"/>
  <c r="C29" i="16"/>
  <c r="C13" i="16" l="1"/>
  <c r="C12" i="16"/>
  <c r="Y15" i="16" l="1"/>
  <c r="Y16" i="16" s="1"/>
  <c r="AA15" i="16"/>
  <c r="AB29" i="16" l="1"/>
  <c r="AB25" i="16"/>
  <c r="AA30" i="16"/>
  <c r="Z30" i="16"/>
  <c r="Y30" i="16"/>
  <c r="X30" i="16"/>
  <c r="AA29" i="16"/>
  <c r="Z29" i="16"/>
  <c r="Y29" i="16"/>
  <c r="X29" i="16"/>
  <c r="AL30" i="16"/>
  <c r="AK30" i="16"/>
  <c r="AJ26" i="16"/>
  <c r="AH26" i="16"/>
  <c r="AH30" i="16" s="1"/>
  <c r="AI26" i="16"/>
  <c r="AI30" i="16" s="1"/>
  <c r="Z26" i="16"/>
  <c r="Z25" i="16"/>
  <c r="AC29" i="16" l="1"/>
  <c r="AE29" i="16" s="1"/>
  <c r="AM26" i="16"/>
  <c r="AJ30" i="16"/>
  <c r="AB30" i="16"/>
  <c r="AC30" i="16" s="1"/>
  <c r="AE30" i="16" s="1"/>
  <c r="AB26" i="16"/>
  <c r="AA26" i="16"/>
  <c r="Y26" i="16"/>
  <c r="X26" i="16"/>
  <c r="AA25" i="16"/>
  <c r="Y25" i="16"/>
  <c r="X25" i="16"/>
  <c r="AC25" i="16" l="1"/>
  <c r="AE25" i="16" s="1"/>
  <c r="AC26" i="16"/>
  <c r="AE26" i="16" s="1"/>
  <c r="AF30" i="16"/>
  <c r="AG30" i="16" s="1"/>
  <c r="AO26" i="16"/>
  <c r="AM30" i="16"/>
  <c r="AF26" i="16" l="1"/>
  <c r="AG26" i="16" s="1"/>
  <c r="AO30" i="16"/>
  <c r="AP26" i="16"/>
  <c r="AP30" i="16" s="1"/>
  <c r="AQ30" i="16" s="1"/>
  <c r="V5" i="19"/>
  <c r="V58" i="19" s="1"/>
  <c r="AQ26" i="16" l="1"/>
  <c r="AR28" i="16" s="1"/>
  <c r="BZ3" i="19" l="1"/>
  <c r="AS3" i="19" l="1"/>
  <c r="BO13" i="19" l="1"/>
  <c r="BO12" i="19" s="1"/>
  <c r="BO11" i="19" s="1"/>
  <c r="BO10" i="19" s="1"/>
  <c r="BO9" i="19" s="1"/>
  <c r="BO8" i="19" s="1"/>
  <c r="BO7" i="19" s="1"/>
  <c r="BO6" i="19" s="1"/>
  <c r="BO5" i="19" s="1"/>
  <c r="BO4" i="19" s="1"/>
  <c r="BO3" i="19" s="1"/>
  <c r="AH13" i="19" l="1"/>
  <c r="AH12" i="19" l="1"/>
  <c r="BM13" i="19"/>
  <c r="AF13" i="19"/>
  <c r="CO27" i="8"/>
  <c r="CP27" i="8" s="1"/>
  <c r="CQ27" i="8" s="1"/>
  <c r="CR27" i="8" s="1"/>
  <c r="CS27" i="8" s="1"/>
  <c r="CT27" i="8" s="1"/>
  <c r="CU27" i="8" s="1"/>
  <c r="CV27" i="8" s="1"/>
  <c r="CZ27" i="8" s="1"/>
  <c r="DA27" i="8" s="1"/>
  <c r="CO16" i="8"/>
  <c r="CP16" i="8" s="1"/>
  <c r="CQ16" i="8" s="1"/>
  <c r="CR16" i="8" s="1"/>
  <c r="CS16" i="8" s="1"/>
  <c r="CT16" i="8" s="1"/>
  <c r="CU16" i="8" s="1"/>
  <c r="CV16" i="8" s="1"/>
  <c r="CW16" i="8" s="1"/>
  <c r="CX16" i="8" s="1"/>
  <c r="CY16" i="8" s="1"/>
  <c r="CZ16" i="8" s="1"/>
  <c r="DA16" i="8" s="1"/>
  <c r="AH11" i="19" l="1"/>
  <c r="BL12" i="19"/>
  <c r="AE12" i="19"/>
  <c r="AF56" i="1"/>
  <c r="AC55" i="1" s="1"/>
  <c r="AC56" i="1"/>
  <c r="AF50" i="1"/>
  <c r="AC49" i="1" s="1"/>
  <c r="AC50" i="1"/>
  <c r="AD49" i="1" s="1"/>
  <c r="AI49" i="1" s="1"/>
  <c r="AH10" i="19" l="1"/>
  <c r="BK11" i="19"/>
  <c r="AD11" i="19"/>
  <c r="AI50" i="1"/>
  <c r="AD50" i="1" s="1"/>
  <c r="AD55" i="1"/>
  <c r="AI55" i="1" s="1"/>
  <c r="AI56" i="1"/>
  <c r="AD56" i="1" s="1"/>
  <c r="AF34" i="19"/>
  <c r="AH9" i="19" l="1"/>
  <c r="AH8" i="19" s="1"/>
  <c r="BJ10" i="19"/>
  <c r="AC10" i="19"/>
  <c r="AC58" i="1"/>
  <c r="AD54" i="1" s="1"/>
  <c r="AI54" i="1" s="1"/>
  <c r="AG50" i="1"/>
  <c r="AG56" i="1"/>
  <c r="AC33" i="19"/>
  <c r="BP14" i="19" s="1"/>
  <c r="CM17" i="8"/>
  <c r="AC27" i="19"/>
  <c r="AD26" i="19" s="1"/>
  <c r="AI4" i="19" s="1"/>
  <c r="AF27" i="19"/>
  <c r="AC34" i="19"/>
  <c r="AD33" i="19" s="1"/>
  <c r="C22" i="1"/>
  <c r="AM22" i="1" s="1"/>
  <c r="AM21" i="1" l="1"/>
  <c r="J25" i="16"/>
  <c r="AH7" i="19"/>
  <c r="BH8" i="19"/>
  <c r="AA8" i="19"/>
  <c r="G45" i="19"/>
  <c r="G12" i="19"/>
  <c r="G11" i="19"/>
  <c r="G10" i="19"/>
  <c r="AI33" i="19"/>
  <c r="BP4" i="19"/>
  <c r="CM28" i="8"/>
  <c r="AD48" i="1"/>
  <c r="AI48" i="1" s="1"/>
  <c r="AC48" i="1"/>
  <c r="AC54" i="1"/>
  <c r="AI26" i="19"/>
  <c r="AC26" i="19"/>
  <c r="AI14" i="19" s="1"/>
  <c r="AI9" i="19" s="1"/>
  <c r="E58" i="19"/>
  <c r="AM20" i="1" l="1"/>
  <c r="AH6" i="19"/>
  <c r="BG7" i="19"/>
  <c r="Z7" i="19"/>
  <c r="I11" i="19"/>
  <c r="BP9" i="19"/>
  <c r="I12" i="19"/>
  <c r="AI34" i="19"/>
  <c r="AD34" i="19" s="1"/>
  <c r="AI27" i="19"/>
  <c r="E34" i="16"/>
  <c r="E35" i="16" s="1"/>
  <c r="E36" i="16" s="1"/>
  <c r="E37" i="16" s="1"/>
  <c r="E38" i="16" s="1"/>
  <c r="E39" i="16" s="1"/>
  <c r="E17" i="16"/>
  <c r="E18" i="16" s="1"/>
  <c r="E19" i="16" s="1"/>
  <c r="E20" i="16" s="1"/>
  <c r="E21" i="16" s="1"/>
  <c r="E22" i="16" s="1"/>
  <c r="D17" i="16"/>
  <c r="D18" i="16" s="1"/>
  <c r="D19" i="16" s="1"/>
  <c r="D20" i="16" s="1"/>
  <c r="D21" i="16" s="1"/>
  <c r="D22" i="16" s="1"/>
  <c r="AM19" i="1" l="1"/>
  <c r="AH5" i="19"/>
  <c r="BF6" i="19"/>
  <c r="Y6" i="19"/>
  <c r="AG27" i="19"/>
  <c r="AC36" i="19"/>
  <c r="AD32" i="19" s="1"/>
  <c r="AI32" i="19" s="1"/>
  <c r="AG34" i="19"/>
  <c r="AD27" i="19"/>
  <c r="E6" i="1"/>
  <c r="AM18" i="1" l="1"/>
  <c r="AH4" i="19"/>
  <c r="AH3" i="19" s="1"/>
  <c r="BE5" i="19"/>
  <c r="X5" i="19"/>
  <c r="C6" i="17"/>
  <c r="AD25" i="19"/>
  <c r="AI25" i="19" s="1"/>
  <c r="AC32" i="19"/>
  <c r="AC25" i="19"/>
  <c r="BR66" i="8"/>
  <c r="BP66" i="8"/>
  <c r="BR36" i="8"/>
  <c r="BP36" i="8"/>
  <c r="AM29" i="1" l="1"/>
  <c r="AM30" i="1"/>
  <c r="BO36" i="8"/>
  <c r="BQ36" i="8"/>
  <c r="BQ66" i="8"/>
  <c r="BO16" i="8"/>
  <c r="AQ38" i="8"/>
  <c r="AR38" i="8"/>
  <c r="AT38" i="8"/>
  <c r="AS38" i="8"/>
  <c r="AT68" i="8"/>
  <c r="AS68" i="8"/>
  <c r="BR16" i="8"/>
  <c r="AM32" i="1" l="1"/>
  <c r="AM36" i="1" s="1"/>
  <c r="AU38" i="8"/>
  <c r="AV68" i="8"/>
  <c r="AV38" i="8"/>
  <c r="AZ68" i="8"/>
  <c r="AZ69" i="8" s="1"/>
  <c r="AZ70" i="8" s="1"/>
  <c r="AZ71" i="8" s="1"/>
  <c r="AZ72" i="8" s="1"/>
  <c r="AZ73" i="8" s="1"/>
  <c r="AT39" i="8"/>
  <c r="AT40" i="8" s="1"/>
  <c r="AT41" i="8" s="1"/>
  <c r="AT42" i="8" s="1"/>
  <c r="AT43" i="8" s="1"/>
  <c r="AZ38" i="8"/>
  <c r="AZ39" i="8" s="1"/>
  <c r="AZ40" i="8" s="1"/>
  <c r="AZ41" i="8" s="1"/>
  <c r="AZ42" i="8" s="1"/>
  <c r="AZ43" i="8" s="1"/>
  <c r="AR39" i="8"/>
  <c r="AR40" i="8" s="1"/>
  <c r="AR41" i="8" s="1"/>
  <c r="AR42" i="8" s="1"/>
  <c r="AR43" i="8" s="1"/>
  <c r="AY38" i="8"/>
  <c r="AY39" i="8" s="1"/>
  <c r="AY40" i="8" s="1"/>
  <c r="AY41" i="8" s="1"/>
  <c r="AY42" i="8" s="1"/>
  <c r="AY43" i="8" s="1"/>
  <c r="AX68" i="8"/>
  <c r="AX69" i="8" s="1"/>
  <c r="AX70" i="8" s="1"/>
  <c r="AX71" i="8" s="1"/>
  <c r="AX72" i="8" s="1"/>
  <c r="AX73" i="8" s="1"/>
  <c r="AX38" i="8"/>
  <c r="AX39" i="8" s="1"/>
  <c r="AX40" i="8" s="1"/>
  <c r="AX41" i="8" s="1"/>
  <c r="AX42" i="8" s="1"/>
  <c r="AX43" i="8" s="1"/>
  <c r="AW38" i="8"/>
  <c r="AW39" i="8" s="1"/>
  <c r="AW40" i="8" s="1"/>
  <c r="AW41" i="8" s="1"/>
  <c r="AW42" i="8" s="1"/>
  <c r="AW43" i="8" s="1"/>
  <c r="AQ18" i="8"/>
  <c r="BP16" i="8"/>
  <c r="BQ16" i="8"/>
  <c r="AS18" i="8"/>
  <c r="AS69" i="8"/>
  <c r="AS70" i="8" s="1"/>
  <c r="AS71" i="8" s="1"/>
  <c r="AS72" i="8" s="1"/>
  <c r="AS73" i="8" s="1"/>
  <c r="CZ34" i="8"/>
  <c r="AS39" i="8"/>
  <c r="AS40" i="8" s="1"/>
  <c r="AS41" i="8" s="1"/>
  <c r="AS42" i="8" s="1"/>
  <c r="AS43" i="8" s="1"/>
  <c r="AT69" i="8"/>
  <c r="AT70" i="8" s="1"/>
  <c r="AT71" i="8" s="1"/>
  <c r="AT72" i="8" s="1"/>
  <c r="AT73" i="8" s="1"/>
  <c r="DA34" i="8"/>
  <c r="AQ39" i="8"/>
  <c r="AQ40" i="8" s="1"/>
  <c r="AQ41" i="8" s="1"/>
  <c r="AQ42" i="8" s="1"/>
  <c r="AQ43" i="8" s="1"/>
  <c r="CZ20" i="8"/>
  <c r="DA20" i="8"/>
  <c r="AR18" i="8"/>
  <c r="AT18" i="8"/>
  <c r="CZ31" i="8"/>
  <c r="DA31" i="8"/>
  <c r="R10" i="1"/>
  <c r="S10" i="1" s="1"/>
  <c r="E13" i="1"/>
  <c r="E14" i="1"/>
  <c r="F32" i="1"/>
  <c r="E26" i="1"/>
  <c r="Q14" i="1"/>
  <c r="AA5" i="1"/>
  <c r="AM34" i="1" l="1"/>
  <c r="AP18" i="1" s="1"/>
  <c r="AZ18" i="8"/>
  <c r="AZ19" i="8" s="1"/>
  <c r="AZ20" i="8" s="1"/>
  <c r="AZ21" i="8" s="1"/>
  <c r="AZ22" i="8" s="1"/>
  <c r="AZ23" i="8" s="1"/>
  <c r="AU18" i="8"/>
  <c r="AV18" i="8"/>
  <c r="AY18" i="8"/>
  <c r="AY19" i="8" s="1"/>
  <c r="AY20" i="8" s="1"/>
  <c r="AY21" i="8" s="1"/>
  <c r="AY22" i="8" s="1"/>
  <c r="AY23" i="8" s="1"/>
  <c r="AW18" i="8"/>
  <c r="AW19" i="8" s="1"/>
  <c r="AW20" i="8" s="1"/>
  <c r="AW21" i="8" s="1"/>
  <c r="AW22" i="8" s="1"/>
  <c r="AW23" i="8" s="1"/>
  <c r="AX18" i="8"/>
  <c r="AX19" i="8" s="1"/>
  <c r="AX20" i="8" s="1"/>
  <c r="AX21" i="8" s="1"/>
  <c r="AX22" i="8" s="1"/>
  <c r="AX23" i="8" s="1"/>
  <c r="AV69" i="8"/>
  <c r="AU39" i="8"/>
  <c r="AV39" i="8"/>
  <c r="DA29" i="8"/>
  <c r="I21" i="19" s="1"/>
  <c r="AT19" i="8"/>
  <c r="AT20" i="8" s="1"/>
  <c r="AT21" i="8" s="1"/>
  <c r="AT22" i="8" s="1"/>
  <c r="AT23" i="8" s="1"/>
  <c r="CZ29" i="8"/>
  <c r="I20" i="19" s="1"/>
  <c r="AS19" i="8"/>
  <c r="AS20" i="8" s="1"/>
  <c r="AS21" i="8" s="1"/>
  <c r="AS22" i="8" s="1"/>
  <c r="AS23" i="8" s="1"/>
  <c r="DA18" i="8"/>
  <c r="AR19" i="8"/>
  <c r="AR20" i="8" s="1"/>
  <c r="AR21" i="8" s="1"/>
  <c r="AR22" i="8" s="1"/>
  <c r="AR23" i="8" s="1"/>
  <c r="CZ18" i="8"/>
  <c r="AQ19" i="8"/>
  <c r="BN17" i="13"/>
  <c r="BN17" i="12"/>
  <c r="BN225" i="12" s="1"/>
  <c r="AP21" i="1" l="1"/>
  <c r="AP26" i="1"/>
  <c r="AP20" i="1"/>
  <c r="AP22" i="1"/>
  <c r="AP25" i="1"/>
  <c r="AP24" i="1"/>
  <c r="AP19" i="1"/>
  <c r="AP27" i="1"/>
  <c r="AP23" i="1"/>
  <c r="I13" i="19"/>
  <c r="AV70" i="8"/>
  <c r="AV40" i="8"/>
  <c r="AU40" i="8"/>
  <c r="AU41" i="8" s="1"/>
  <c r="AU19" i="8"/>
  <c r="AQ20" i="8"/>
  <c r="BN277" i="12"/>
  <c r="BN173" i="12"/>
  <c r="BN69" i="12"/>
  <c r="BN121" i="12"/>
  <c r="BN225" i="13"/>
  <c r="BN277" i="13"/>
  <c r="BN121" i="13"/>
  <c r="BN69" i="13"/>
  <c r="BN173" i="13"/>
  <c r="AV41" i="8" l="1"/>
  <c r="AV42" i="8" s="1"/>
  <c r="AV71" i="8"/>
  <c r="AU42" i="8"/>
  <c r="AU43" i="8" s="1"/>
  <c r="AU20" i="8"/>
  <c r="AQ21" i="8"/>
  <c r="BP13" i="19"/>
  <c r="BP8" i="19"/>
  <c r="BP12" i="19"/>
  <c r="BP7" i="19"/>
  <c r="BP5" i="19"/>
  <c r="BP11" i="19"/>
  <c r="BP6" i="19"/>
  <c r="BP10" i="19"/>
  <c r="AI13" i="19"/>
  <c r="AI5" i="19"/>
  <c r="AI6" i="19"/>
  <c r="AI12" i="19"/>
  <c r="AI11" i="19"/>
  <c r="AI7" i="19"/>
  <c r="AI10" i="19"/>
  <c r="AI8" i="19"/>
  <c r="H59" i="1"/>
  <c r="AV72" i="8" l="1"/>
  <c r="AV43" i="8"/>
  <c r="AU21" i="8"/>
  <c r="AQ22" i="8"/>
  <c r="H58" i="1"/>
  <c r="D59" i="1"/>
  <c r="D58" i="1"/>
  <c r="T18" i="20"/>
  <c r="AV73" i="8" l="1"/>
  <c r="AU22" i="8"/>
  <c r="AQ23" i="8"/>
  <c r="D12" i="20"/>
  <c r="D13" i="20"/>
  <c r="D14" i="20"/>
  <c r="D15" i="20"/>
  <c r="D16" i="20"/>
  <c r="D11" i="20"/>
  <c r="C4" i="20"/>
  <c r="C3" i="20"/>
  <c r="C2" i="20"/>
  <c r="L7" i="20"/>
  <c r="W14" i="20" s="1"/>
  <c r="AU23" i="8" l="1"/>
  <c r="U3" i="20"/>
  <c r="U5" i="20"/>
  <c r="U7" i="20"/>
  <c r="U9" i="20"/>
  <c r="U11" i="20"/>
  <c r="U13" i="20"/>
  <c r="T3" i="20"/>
  <c r="T4" i="20"/>
  <c r="T5" i="20"/>
  <c r="T6" i="20"/>
  <c r="T7" i="20"/>
  <c r="T8" i="20"/>
  <c r="T9" i="20"/>
  <c r="T10" i="20"/>
  <c r="T11" i="20"/>
  <c r="T12" i="20"/>
  <c r="T13" i="20"/>
  <c r="T14" i="20"/>
  <c r="U4" i="20"/>
  <c r="U6" i="20"/>
  <c r="U8" i="20"/>
  <c r="U10" i="20"/>
  <c r="U12" i="20"/>
  <c r="U14" i="20"/>
  <c r="V3" i="20"/>
  <c r="V4" i="20"/>
  <c r="V5" i="20"/>
  <c r="V6" i="20"/>
  <c r="V7" i="20"/>
  <c r="V8" i="20"/>
  <c r="V9" i="20"/>
  <c r="V10" i="20"/>
  <c r="V11" i="20"/>
  <c r="V12" i="20"/>
  <c r="V13" i="20"/>
  <c r="V14" i="20"/>
  <c r="W3" i="20"/>
  <c r="W4" i="20"/>
  <c r="W5" i="20"/>
  <c r="W6" i="20"/>
  <c r="W7" i="20"/>
  <c r="W8" i="20"/>
  <c r="W9" i="20"/>
  <c r="W10" i="20"/>
  <c r="W11" i="20"/>
  <c r="W12" i="20"/>
  <c r="W13" i="20"/>
  <c r="G26" i="19" l="1"/>
  <c r="I26" i="19"/>
  <c r="F7" i="12"/>
  <c r="F7" i="13" s="1"/>
  <c r="F10" i="1"/>
  <c r="F9" i="12"/>
  <c r="BO131" i="12" s="1"/>
  <c r="BO132" i="12" s="1"/>
  <c r="BO141" i="12" s="1"/>
  <c r="F8" i="12"/>
  <c r="F9" i="1"/>
  <c r="C10" i="12" s="1"/>
  <c r="Z23" i="20" s="1"/>
  <c r="C8" i="12"/>
  <c r="L10" i="8"/>
  <c r="C14" i="16"/>
  <c r="E66" i="8"/>
  <c r="E56" i="8"/>
  <c r="E46" i="8"/>
  <c r="E36" i="8"/>
  <c r="E26" i="8"/>
  <c r="Q1" i="1"/>
  <c r="C33" i="1" s="1"/>
  <c r="F11" i="1"/>
  <c r="T16" i="8" s="1"/>
  <c r="C31" i="16"/>
  <c r="C6" i="19"/>
  <c r="M6" i="19" s="1"/>
  <c r="C5" i="19"/>
  <c r="M5" i="19" s="1"/>
  <c r="J4" i="19"/>
  <c r="T4" i="19" s="1"/>
  <c r="J6" i="19"/>
  <c r="T6" i="19" s="1"/>
  <c r="I6" i="19"/>
  <c r="S6" i="19" s="1"/>
  <c r="H6" i="19"/>
  <c r="R6" i="19" s="1"/>
  <c r="J4" i="1"/>
  <c r="C4" i="19"/>
  <c r="M4" i="19" s="1"/>
  <c r="C3" i="19"/>
  <c r="M3" i="19" s="1"/>
  <c r="H2" i="19"/>
  <c r="R2" i="19" s="1"/>
  <c r="C2" i="19"/>
  <c r="M2" i="19" s="1"/>
  <c r="V43" i="1"/>
  <c r="V42" i="1"/>
  <c r="V45" i="1"/>
  <c r="V44" i="1"/>
  <c r="L11" i="8"/>
  <c r="R1" i="1"/>
  <c r="B33" i="1" s="1"/>
  <c r="B34" i="1" s="1"/>
  <c r="B35" i="1" s="1"/>
  <c r="B36" i="1" s="1"/>
  <c r="B37" i="1" s="1"/>
  <c r="B38" i="1" s="1"/>
  <c r="D13" i="17"/>
  <c r="G15" i="19" s="1"/>
  <c r="C4" i="8"/>
  <c r="C3" i="8"/>
  <c r="C2" i="8"/>
  <c r="C4" i="16"/>
  <c r="C3" i="16"/>
  <c r="C2" i="16"/>
  <c r="B280" i="13"/>
  <c r="B281" i="13" s="1"/>
  <c r="B282" i="13" s="1"/>
  <c r="B283" i="13" s="1"/>
  <c r="B284" i="13" s="1"/>
  <c r="B285" i="13" s="1"/>
  <c r="B286" i="13" s="1"/>
  <c r="B228" i="13"/>
  <c r="B229" i="13" s="1"/>
  <c r="B230" i="13" s="1"/>
  <c r="B231" i="13" s="1"/>
  <c r="B232" i="13" s="1"/>
  <c r="B233" i="13" s="1"/>
  <c r="B234" i="13" s="1"/>
  <c r="B176" i="13"/>
  <c r="B177" i="13" s="1"/>
  <c r="B178" i="13" s="1"/>
  <c r="B179" i="13" s="1"/>
  <c r="B180" i="13" s="1"/>
  <c r="B181" i="13" s="1"/>
  <c r="B182" i="13" s="1"/>
  <c r="B124" i="13"/>
  <c r="B125" i="13" s="1"/>
  <c r="B126" i="13" s="1"/>
  <c r="B127" i="13" s="1"/>
  <c r="B128" i="13" s="1"/>
  <c r="B129" i="13" s="1"/>
  <c r="B130" i="13" s="1"/>
  <c r="B72" i="13"/>
  <c r="B73" i="13" s="1"/>
  <c r="B74" i="13" s="1"/>
  <c r="B75" i="13" s="1"/>
  <c r="B76" i="13" s="1"/>
  <c r="B77" i="13" s="1"/>
  <c r="B78" i="13" s="1"/>
  <c r="B20" i="13"/>
  <c r="B21" i="13" s="1"/>
  <c r="B22" i="13" s="1"/>
  <c r="B23" i="13" s="1"/>
  <c r="B24" i="13" s="1"/>
  <c r="B25" i="13" s="1"/>
  <c r="B26" i="13" s="1"/>
  <c r="B280" i="12"/>
  <c r="B281" i="12" s="1"/>
  <c r="B282" i="12" s="1"/>
  <c r="B283" i="12" s="1"/>
  <c r="B284" i="12" s="1"/>
  <c r="B285" i="12" s="1"/>
  <c r="B286" i="12" s="1"/>
  <c r="B228" i="12"/>
  <c r="B229" i="12" s="1"/>
  <c r="B230" i="12" s="1"/>
  <c r="B231" i="12" s="1"/>
  <c r="B232" i="12" s="1"/>
  <c r="B233" i="12" s="1"/>
  <c r="B234" i="12" s="1"/>
  <c r="B176" i="12"/>
  <c r="B177" i="12" s="1"/>
  <c r="B178" i="12" s="1"/>
  <c r="B179" i="12" s="1"/>
  <c r="B180" i="12" s="1"/>
  <c r="B181" i="12" s="1"/>
  <c r="B182" i="12" s="1"/>
  <c r="B124" i="12"/>
  <c r="B125" i="12" s="1"/>
  <c r="B126" i="12" s="1"/>
  <c r="B127" i="12" s="1"/>
  <c r="B128" i="12" s="1"/>
  <c r="B129" i="12" s="1"/>
  <c r="B130" i="12" s="1"/>
  <c r="B72" i="12"/>
  <c r="B73" i="12" s="1"/>
  <c r="B74" i="12" s="1"/>
  <c r="B75" i="12" s="1"/>
  <c r="B76" i="12" s="1"/>
  <c r="B77" i="12" s="1"/>
  <c r="B78" i="12" s="1"/>
  <c r="O11" i="1"/>
  <c r="N11" i="1"/>
  <c r="N10" i="1"/>
  <c r="N9" i="1"/>
  <c r="B16" i="8"/>
  <c r="B20" i="12"/>
  <c r="B21" i="12" s="1"/>
  <c r="B22" i="12" s="1"/>
  <c r="B23" i="12" s="1"/>
  <c r="B24" i="12" s="1"/>
  <c r="B25" i="12" s="1"/>
  <c r="B26" i="12" s="1"/>
  <c r="B26" i="8"/>
  <c r="I1" i="11"/>
  <c r="G31" i="11" s="1"/>
  <c r="I4" i="11"/>
  <c r="C4" i="11"/>
  <c r="E2" i="11"/>
  <c r="C2" i="11"/>
  <c r="G6" i="11"/>
  <c r="F6" i="11"/>
  <c r="E6" i="11"/>
  <c r="C5" i="11"/>
  <c r="G4" i="11"/>
  <c r="E4" i="11"/>
  <c r="C3" i="11"/>
  <c r="R33" i="1"/>
  <c r="B51" i="1"/>
  <c r="B11" i="20" s="1"/>
  <c r="R26" i="20" s="1"/>
  <c r="Z5" i="1"/>
  <c r="G32" i="1"/>
  <c r="Q18" i="1"/>
  <c r="R18" i="1"/>
  <c r="S18" i="1"/>
  <c r="T18" i="1"/>
  <c r="U18" i="1"/>
  <c r="V18" i="1"/>
  <c r="W18" i="1"/>
  <c r="X18" i="1"/>
  <c r="Y18" i="1"/>
  <c r="Q20" i="1"/>
  <c r="R20" i="1"/>
  <c r="S20" i="1"/>
  <c r="T20" i="1"/>
  <c r="U20" i="1"/>
  <c r="V20" i="1"/>
  <c r="W20" i="1"/>
  <c r="X20" i="1"/>
  <c r="Y20" i="1"/>
  <c r="Q19" i="1"/>
  <c r="R19" i="1"/>
  <c r="S19" i="1"/>
  <c r="T19" i="1"/>
  <c r="U19" i="1"/>
  <c r="V19" i="1"/>
  <c r="W19" i="1"/>
  <c r="X19" i="1"/>
  <c r="Y19" i="1"/>
  <c r="Q21" i="1"/>
  <c r="R21" i="1"/>
  <c r="S21" i="1"/>
  <c r="T21" i="1"/>
  <c r="U21" i="1"/>
  <c r="V21" i="1"/>
  <c r="W21" i="1"/>
  <c r="X21" i="1"/>
  <c r="Y21" i="1"/>
  <c r="D16" i="1"/>
  <c r="D15" i="1"/>
  <c r="J13" i="17"/>
  <c r="H13" i="17"/>
  <c r="B290" i="12"/>
  <c r="B291" i="12" s="1"/>
  <c r="B292" i="12" s="1"/>
  <c r="B293" i="12" s="1"/>
  <c r="B294" i="12" s="1"/>
  <c r="B295" i="12" s="1"/>
  <c r="B296" i="12" s="1"/>
  <c r="B238" i="12"/>
  <c r="B239" i="12" s="1"/>
  <c r="B240" i="12" s="1"/>
  <c r="B241" i="12" s="1"/>
  <c r="B242" i="12" s="1"/>
  <c r="B243" i="12" s="1"/>
  <c r="B244" i="12" s="1"/>
  <c r="B186" i="12"/>
  <c r="B187" i="12" s="1"/>
  <c r="B188" i="12" s="1"/>
  <c r="B189" i="12" s="1"/>
  <c r="B190" i="12" s="1"/>
  <c r="B191" i="12" s="1"/>
  <c r="B192" i="12" s="1"/>
  <c r="B134" i="12"/>
  <c r="B135" i="12" s="1"/>
  <c r="B136" i="12" s="1"/>
  <c r="B137" i="12" s="1"/>
  <c r="B138" i="12" s="1"/>
  <c r="B139" i="12" s="1"/>
  <c r="B140" i="12" s="1"/>
  <c r="B82" i="12"/>
  <c r="B83" i="12" s="1"/>
  <c r="B84" i="12" s="1"/>
  <c r="B85" i="12" s="1"/>
  <c r="B86" i="12" s="1"/>
  <c r="B87" i="12" s="1"/>
  <c r="B88" i="12" s="1"/>
  <c r="C4" i="12"/>
  <c r="C3" i="12"/>
  <c r="C2" i="12"/>
  <c r="B310" i="12"/>
  <c r="B311" i="12" s="1"/>
  <c r="B312" i="12" s="1"/>
  <c r="B313" i="12" s="1"/>
  <c r="B314" i="12" s="1"/>
  <c r="B315" i="12" s="1"/>
  <c r="B316" i="12" s="1"/>
  <c r="B300" i="12"/>
  <c r="B301" i="12" s="1"/>
  <c r="B302" i="12" s="1"/>
  <c r="B303" i="12" s="1"/>
  <c r="B304" i="12" s="1"/>
  <c r="B305" i="12" s="1"/>
  <c r="B306" i="12" s="1"/>
  <c r="J66" i="12"/>
  <c r="J118" i="12" s="1"/>
  <c r="J170" i="12" s="1"/>
  <c r="J222" i="12" s="1"/>
  <c r="J274" i="12" s="1"/>
  <c r="G66" i="12"/>
  <c r="G118" i="12" s="1"/>
  <c r="G170" i="12" s="1"/>
  <c r="G222" i="12" s="1"/>
  <c r="G274" i="12" s="1"/>
  <c r="E66" i="12"/>
  <c r="E118" i="12" s="1"/>
  <c r="E170" i="12" s="1"/>
  <c r="E222" i="12" s="1"/>
  <c r="E274" i="12" s="1"/>
  <c r="B66" i="12"/>
  <c r="B118" i="12" s="1"/>
  <c r="B170" i="12" s="1"/>
  <c r="B222" i="12" s="1"/>
  <c r="B274" i="12" s="1"/>
  <c r="B258" i="12"/>
  <c r="B259" i="12" s="1"/>
  <c r="B260" i="12" s="1"/>
  <c r="B261" i="12" s="1"/>
  <c r="B262" i="12" s="1"/>
  <c r="B263" i="12" s="1"/>
  <c r="B264" i="12" s="1"/>
  <c r="B248" i="12"/>
  <c r="B249" i="12" s="1"/>
  <c r="B250" i="12" s="1"/>
  <c r="B251" i="12" s="1"/>
  <c r="B252" i="12" s="1"/>
  <c r="B253" i="12" s="1"/>
  <c r="B254" i="12" s="1"/>
  <c r="B206" i="12"/>
  <c r="B207" i="12" s="1"/>
  <c r="B208" i="12" s="1"/>
  <c r="B209" i="12" s="1"/>
  <c r="B210" i="12" s="1"/>
  <c r="B211" i="12" s="1"/>
  <c r="B212" i="12" s="1"/>
  <c r="B196" i="12"/>
  <c r="B197" i="12" s="1"/>
  <c r="B198" i="12" s="1"/>
  <c r="B199" i="12" s="1"/>
  <c r="B200" i="12" s="1"/>
  <c r="B201" i="12" s="1"/>
  <c r="B202" i="12" s="1"/>
  <c r="B154" i="12"/>
  <c r="B155" i="12" s="1"/>
  <c r="B156" i="12" s="1"/>
  <c r="B157" i="12" s="1"/>
  <c r="B158" i="12" s="1"/>
  <c r="B159" i="12" s="1"/>
  <c r="B160" i="12" s="1"/>
  <c r="B144" i="12"/>
  <c r="B145" i="12" s="1"/>
  <c r="B146" i="12" s="1"/>
  <c r="B147" i="12" s="1"/>
  <c r="B148" i="12" s="1"/>
  <c r="B149" i="12" s="1"/>
  <c r="B150" i="12" s="1"/>
  <c r="H66" i="12"/>
  <c r="H118" i="12" s="1"/>
  <c r="D66" i="12"/>
  <c r="D118" i="12" s="1"/>
  <c r="B102" i="12"/>
  <c r="B103" i="12" s="1"/>
  <c r="B104" i="12" s="1"/>
  <c r="B105" i="12" s="1"/>
  <c r="B106" i="12" s="1"/>
  <c r="B107" i="12" s="1"/>
  <c r="B108" i="12" s="1"/>
  <c r="B92" i="12"/>
  <c r="B93" i="12" s="1"/>
  <c r="B94" i="12" s="1"/>
  <c r="B95" i="12" s="1"/>
  <c r="B96" i="12" s="1"/>
  <c r="B97" i="12" s="1"/>
  <c r="B98" i="12" s="1"/>
  <c r="B50" i="12"/>
  <c r="B51" i="12" s="1"/>
  <c r="B52" i="12" s="1"/>
  <c r="B53" i="12" s="1"/>
  <c r="B54" i="12" s="1"/>
  <c r="B55" i="12" s="1"/>
  <c r="B56" i="12" s="1"/>
  <c r="B40" i="12"/>
  <c r="B41" i="12" s="1"/>
  <c r="B42" i="12" s="1"/>
  <c r="B43" i="12" s="1"/>
  <c r="B44" i="12" s="1"/>
  <c r="B45" i="12" s="1"/>
  <c r="B46" i="12" s="1"/>
  <c r="B30" i="12"/>
  <c r="B31" i="12" s="1"/>
  <c r="B32" i="12" s="1"/>
  <c r="B33" i="12" s="1"/>
  <c r="B34" i="12" s="1"/>
  <c r="B35" i="12" s="1"/>
  <c r="B36" i="12" s="1"/>
  <c r="B290" i="13"/>
  <c r="B291" i="13" s="1"/>
  <c r="B292" i="13" s="1"/>
  <c r="B293" i="13" s="1"/>
  <c r="B294" i="13" s="1"/>
  <c r="B295" i="13" s="1"/>
  <c r="B296" i="13" s="1"/>
  <c r="B238" i="13"/>
  <c r="B239" i="13" s="1"/>
  <c r="B240" i="13" s="1"/>
  <c r="B241" i="13" s="1"/>
  <c r="B242" i="13" s="1"/>
  <c r="B243" i="13" s="1"/>
  <c r="B244" i="13" s="1"/>
  <c r="B186" i="13"/>
  <c r="B187" i="13" s="1"/>
  <c r="B188" i="13" s="1"/>
  <c r="B189" i="13" s="1"/>
  <c r="B190" i="13" s="1"/>
  <c r="B191" i="13" s="1"/>
  <c r="B192" i="13" s="1"/>
  <c r="B134" i="13"/>
  <c r="B135" i="13" s="1"/>
  <c r="B136" i="13" s="1"/>
  <c r="B137" i="13" s="1"/>
  <c r="B138" i="13" s="1"/>
  <c r="B139" i="13" s="1"/>
  <c r="B140" i="13" s="1"/>
  <c r="B82" i="13"/>
  <c r="B83" i="13" s="1"/>
  <c r="B84" i="13" s="1"/>
  <c r="B85" i="13" s="1"/>
  <c r="B86" i="13" s="1"/>
  <c r="B87" i="13" s="1"/>
  <c r="B88" i="13" s="1"/>
  <c r="B30" i="13"/>
  <c r="B31" i="13" s="1"/>
  <c r="B32" i="13" s="1"/>
  <c r="B33" i="13" s="1"/>
  <c r="B34" i="13" s="1"/>
  <c r="B35" i="13" s="1"/>
  <c r="B36" i="13" s="1"/>
  <c r="C2" i="13"/>
  <c r="AJ2" i="13" s="1"/>
  <c r="C3" i="13"/>
  <c r="AJ3" i="13" s="1"/>
  <c r="C4" i="13"/>
  <c r="AJ4" i="13" s="1"/>
  <c r="AF4" i="13"/>
  <c r="BK4" i="13" s="1"/>
  <c r="B40" i="13"/>
  <c r="B41" i="13" s="1"/>
  <c r="B42" i="13" s="1"/>
  <c r="B43" i="13" s="1"/>
  <c r="B44" i="13" s="1"/>
  <c r="B45" i="13" s="1"/>
  <c r="B46" i="13" s="1"/>
  <c r="B50" i="13"/>
  <c r="B51" i="13" s="1"/>
  <c r="B52" i="13" s="1"/>
  <c r="B53" i="13" s="1"/>
  <c r="B54" i="13" s="1"/>
  <c r="B55" i="13" s="1"/>
  <c r="B56" i="13" s="1"/>
  <c r="B66" i="13"/>
  <c r="B118" i="13" s="1"/>
  <c r="B170" i="13" s="1"/>
  <c r="B222" i="13" s="1"/>
  <c r="B274" i="13" s="1"/>
  <c r="D66" i="13"/>
  <c r="D118" i="13" s="1"/>
  <c r="E66" i="13"/>
  <c r="E118" i="13" s="1"/>
  <c r="E170" i="13" s="1"/>
  <c r="E222" i="13" s="1"/>
  <c r="E274" i="13" s="1"/>
  <c r="G66" i="13"/>
  <c r="G118" i="13" s="1"/>
  <c r="G170" i="13" s="1"/>
  <c r="G222" i="13" s="1"/>
  <c r="G274" i="13" s="1"/>
  <c r="H66" i="13"/>
  <c r="H118" i="13" s="1"/>
  <c r="J66" i="13"/>
  <c r="J118" i="13" s="1"/>
  <c r="J170" i="13" s="1"/>
  <c r="J222" i="13" s="1"/>
  <c r="J274" i="13" s="1"/>
  <c r="E67" i="13"/>
  <c r="E119" i="13" s="1"/>
  <c r="E171" i="13" s="1"/>
  <c r="B92" i="13"/>
  <c r="B93" i="13" s="1"/>
  <c r="B94" i="13" s="1"/>
  <c r="B95" i="13" s="1"/>
  <c r="B96" i="13" s="1"/>
  <c r="B97" i="13" s="1"/>
  <c r="B98" i="13" s="1"/>
  <c r="B102" i="13"/>
  <c r="B103" i="13" s="1"/>
  <c r="B104" i="13" s="1"/>
  <c r="B105" i="13" s="1"/>
  <c r="B106" i="13" s="1"/>
  <c r="B107" i="13" s="1"/>
  <c r="B108" i="13" s="1"/>
  <c r="B144" i="13"/>
  <c r="B145" i="13" s="1"/>
  <c r="B146" i="13" s="1"/>
  <c r="B147" i="13" s="1"/>
  <c r="B148" i="13" s="1"/>
  <c r="B149" i="13" s="1"/>
  <c r="B150" i="13" s="1"/>
  <c r="B154" i="13"/>
  <c r="B155" i="13" s="1"/>
  <c r="B156" i="13" s="1"/>
  <c r="B157" i="13" s="1"/>
  <c r="B158" i="13" s="1"/>
  <c r="B159" i="13" s="1"/>
  <c r="B160" i="13" s="1"/>
  <c r="B196" i="13"/>
  <c r="B197" i="13" s="1"/>
  <c r="B198" i="13" s="1"/>
  <c r="B199" i="13" s="1"/>
  <c r="B200" i="13" s="1"/>
  <c r="B201" i="13" s="1"/>
  <c r="B202" i="13" s="1"/>
  <c r="B206" i="13"/>
  <c r="B207" i="13" s="1"/>
  <c r="B208" i="13" s="1"/>
  <c r="B209" i="13" s="1"/>
  <c r="B210" i="13" s="1"/>
  <c r="B211" i="13" s="1"/>
  <c r="B212" i="13" s="1"/>
  <c r="B248" i="13"/>
  <c r="B249" i="13" s="1"/>
  <c r="B250" i="13" s="1"/>
  <c r="B251" i="13" s="1"/>
  <c r="B252" i="13" s="1"/>
  <c r="B253" i="13" s="1"/>
  <c r="B254" i="13" s="1"/>
  <c r="B258" i="13"/>
  <c r="B259" i="13" s="1"/>
  <c r="B260" i="13" s="1"/>
  <c r="B261" i="13" s="1"/>
  <c r="B262" i="13" s="1"/>
  <c r="B263" i="13" s="1"/>
  <c r="B264" i="13" s="1"/>
  <c r="B300" i="13"/>
  <c r="B301" i="13" s="1"/>
  <c r="B302" i="13" s="1"/>
  <c r="B303" i="13" s="1"/>
  <c r="B304" i="13" s="1"/>
  <c r="B305" i="13" s="1"/>
  <c r="B306" i="13" s="1"/>
  <c r="B310" i="13"/>
  <c r="B311" i="13" s="1"/>
  <c r="B312" i="13" s="1"/>
  <c r="B313" i="13" s="1"/>
  <c r="B314" i="13" s="1"/>
  <c r="B315" i="13" s="1"/>
  <c r="B316" i="13" s="1"/>
  <c r="U4" i="17" l="1"/>
  <c r="V44" i="19"/>
  <c r="DH19" i="8"/>
  <c r="DH22" i="8"/>
  <c r="DH18" i="8"/>
  <c r="DH21" i="8"/>
  <c r="DH23" i="8"/>
  <c r="DH20" i="8"/>
  <c r="E28" i="16"/>
  <c r="E27" i="16"/>
  <c r="M27" i="16" s="1"/>
  <c r="N27" i="16" s="1"/>
  <c r="E11" i="16"/>
  <c r="E10" i="16"/>
  <c r="I4" i="19"/>
  <c r="S4" i="19" s="1"/>
  <c r="I4" i="17"/>
  <c r="I10" i="19"/>
  <c r="I5" i="11"/>
  <c r="B17" i="16"/>
  <c r="B18" i="16" s="1"/>
  <c r="B19" i="16" s="1"/>
  <c r="B20" i="16" s="1"/>
  <c r="B21" i="16" s="1"/>
  <c r="B22" i="16" s="1"/>
  <c r="BO287" i="12"/>
  <c r="BO288" i="12" s="1"/>
  <c r="BO297" i="12" s="1"/>
  <c r="B13" i="12"/>
  <c r="AE61" i="12" s="1"/>
  <c r="G17" i="1"/>
  <c r="BO79" i="12"/>
  <c r="BO80" i="12" s="1"/>
  <c r="BO89" i="12" s="1"/>
  <c r="F56" i="8"/>
  <c r="F36" i="8"/>
  <c r="F26" i="8"/>
  <c r="F66" i="8"/>
  <c r="P45" i="8"/>
  <c r="P35" i="8"/>
  <c r="P25" i="8"/>
  <c r="P55" i="8"/>
  <c r="P65" i="8"/>
  <c r="BO27" i="12"/>
  <c r="BO28" i="12" s="1"/>
  <c r="BO37" i="12" s="1"/>
  <c r="R35" i="8"/>
  <c r="R65" i="8"/>
  <c r="R45" i="8"/>
  <c r="R25" i="8"/>
  <c r="R55" i="8"/>
  <c r="F46" i="8"/>
  <c r="BO183" i="12"/>
  <c r="BO184" i="12" s="1"/>
  <c r="BO193" i="12" s="1"/>
  <c r="C8" i="13"/>
  <c r="BK17" i="12"/>
  <c r="BL17" i="12" s="1"/>
  <c r="F16" i="8"/>
  <c r="P15" i="8"/>
  <c r="R15" i="8"/>
  <c r="F9" i="13"/>
  <c r="BO287" i="13" s="1"/>
  <c r="BO288" i="13" s="1"/>
  <c r="BO297" i="13" s="1"/>
  <c r="BO235" i="12"/>
  <c r="BO236" i="12" s="1"/>
  <c r="BO245" i="12" s="1"/>
  <c r="F10" i="12"/>
  <c r="T26" i="8"/>
  <c r="T36" i="8" s="1"/>
  <c r="T46" i="8" s="1"/>
  <c r="T56" i="8" s="1"/>
  <c r="T66" i="8" s="1"/>
  <c r="I27" i="19"/>
  <c r="F8" i="13"/>
  <c r="G8" i="11"/>
  <c r="G27" i="19"/>
  <c r="C9" i="12"/>
  <c r="O13" i="12" s="1"/>
  <c r="F54" i="19"/>
  <c r="AE5" i="13"/>
  <c r="BJ5" i="13" s="1"/>
  <c r="F4" i="11"/>
  <c r="C6" i="11"/>
  <c r="C5" i="20" s="1"/>
  <c r="E223" i="13"/>
  <c r="E275" i="13"/>
  <c r="B12" i="20"/>
  <c r="R30" i="20" s="1"/>
  <c r="L9" i="8"/>
  <c r="I15" i="19"/>
  <c r="L8" i="8"/>
  <c r="C17" i="16"/>
  <c r="C10" i="13"/>
  <c r="G28" i="19" l="1"/>
  <c r="I27" i="16"/>
  <c r="Y17" i="19"/>
  <c r="M10" i="16"/>
  <c r="N10" i="16" s="1"/>
  <c r="I28" i="19"/>
  <c r="G29" i="19"/>
  <c r="M28" i="16"/>
  <c r="N28" i="16" s="1"/>
  <c r="I29" i="19"/>
  <c r="M11" i="16"/>
  <c r="N11" i="16" s="1"/>
  <c r="B34" i="16"/>
  <c r="B35" i="16" s="1"/>
  <c r="B36" i="16" s="1"/>
  <c r="B37" i="16" s="1"/>
  <c r="B38" i="16" s="1"/>
  <c r="B39" i="16" s="1"/>
  <c r="D34" i="16"/>
  <c r="AI14" i="12"/>
  <c r="P32" i="1"/>
  <c r="D33" i="1" s="1"/>
  <c r="W13" i="8" s="1"/>
  <c r="C34" i="1"/>
  <c r="P33" i="1" s="1"/>
  <c r="D34" i="1" s="1"/>
  <c r="W12" i="8" s="1"/>
  <c r="E33" i="1"/>
  <c r="B13" i="13"/>
  <c r="AE61" i="13" s="1"/>
  <c r="BO79" i="13"/>
  <c r="BO80" i="13" s="1"/>
  <c r="BO89" i="13" s="1"/>
  <c r="BO27" i="13"/>
  <c r="BO28" i="13" s="1"/>
  <c r="BO37" i="13" s="1"/>
  <c r="BK27" i="12"/>
  <c r="F10" i="13"/>
  <c r="BN131" i="13" s="1"/>
  <c r="BL121" i="12"/>
  <c r="BL69" i="12"/>
  <c r="BL225" i="12"/>
  <c r="BL277" i="12"/>
  <c r="BM17" i="12"/>
  <c r="BL27" i="12"/>
  <c r="BL173" i="12"/>
  <c r="BN183" i="12"/>
  <c r="BN70" i="12"/>
  <c r="BN226" i="12"/>
  <c r="BK121" i="12"/>
  <c r="BK131" i="12" s="1"/>
  <c r="BK17" i="13"/>
  <c r="BK69" i="13" s="1"/>
  <c r="BN27" i="12"/>
  <c r="BL18" i="12"/>
  <c r="BN174" i="12"/>
  <c r="BN131" i="12"/>
  <c r="BN287" i="12"/>
  <c r="BN122" i="12"/>
  <c r="L7" i="8"/>
  <c r="BK225" i="12"/>
  <c r="BK235" i="12" s="1"/>
  <c r="BN79" i="12"/>
  <c r="BN235" i="12"/>
  <c r="BN278" i="12"/>
  <c r="BN18" i="12"/>
  <c r="BK69" i="12"/>
  <c r="BK79" i="12" s="1"/>
  <c r="BK173" i="12"/>
  <c r="BK183" i="12" s="1"/>
  <c r="BK277" i="12"/>
  <c r="BK287" i="12" s="1"/>
  <c r="G28" i="16"/>
  <c r="G27" i="16"/>
  <c r="BO131" i="13"/>
  <c r="BO132" i="13" s="1"/>
  <c r="BO141" i="13" s="1"/>
  <c r="BO235" i="13"/>
  <c r="BO236" i="13" s="1"/>
  <c r="BO245" i="13" s="1"/>
  <c r="BO183" i="13"/>
  <c r="BO184" i="13" s="1"/>
  <c r="BO193" i="13" s="1"/>
  <c r="BO246" i="12"/>
  <c r="BO255" i="12" s="1"/>
  <c r="Z22" i="20"/>
  <c r="BO142" i="12"/>
  <c r="BO151" i="12" s="1"/>
  <c r="O117" i="12"/>
  <c r="BO278" i="12"/>
  <c r="C9" i="13"/>
  <c r="BN18" i="13" s="1"/>
  <c r="O65" i="12"/>
  <c r="BO122" i="12"/>
  <c r="BO194" i="12"/>
  <c r="BO203" i="12" s="1"/>
  <c r="BK18" i="12"/>
  <c r="BO70" i="12"/>
  <c r="O169" i="12"/>
  <c r="O221" i="12"/>
  <c r="O273" i="12"/>
  <c r="C11" i="12"/>
  <c r="C11" i="13" s="1"/>
  <c r="BO174" i="12"/>
  <c r="BO226" i="12"/>
  <c r="BO18" i="12"/>
  <c r="BO298" i="12"/>
  <c r="BO307" i="12" s="1"/>
  <c r="BO90" i="12"/>
  <c r="BO99" i="12" s="1"/>
  <c r="BO38" i="12"/>
  <c r="BO47" i="12" s="1"/>
  <c r="C5" i="16"/>
  <c r="C5" i="8"/>
  <c r="C5" i="12"/>
  <c r="C5" i="13"/>
  <c r="AJ5" i="13" s="1"/>
  <c r="B36" i="8"/>
  <c r="C34" i="16"/>
  <c r="H17" i="16"/>
  <c r="O22" i="16"/>
  <c r="G10" i="16"/>
  <c r="G11" i="16"/>
  <c r="BK79" i="13" l="1"/>
  <c r="Q8" i="1"/>
  <c r="Z8" i="1" s="1"/>
  <c r="Q6" i="1"/>
  <c r="AI6" i="1"/>
  <c r="F33" i="1"/>
  <c r="Q12" i="1"/>
  <c r="Q11" i="1"/>
  <c r="U11" i="1" s="1"/>
  <c r="S11" i="1"/>
  <c r="G12" i="16"/>
  <c r="D27" i="1" s="1"/>
  <c r="G29" i="16"/>
  <c r="D26" i="1" s="1"/>
  <c r="I10" i="16"/>
  <c r="BF17" i="19"/>
  <c r="I11" i="16"/>
  <c r="BF18" i="19"/>
  <c r="I28" i="16"/>
  <c r="Y18" i="19"/>
  <c r="W1" i="19" s="1"/>
  <c r="BT56" i="8"/>
  <c r="BT66" i="8"/>
  <c r="BT46" i="8"/>
  <c r="BT26" i="8"/>
  <c r="BT36" i="8"/>
  <c r="H46" i="8"/>
  <c r="H16" i="8"/>
  <c r="BT16" i="8"/>
  <c r="B13" i="20"/>
  <c r="R34" i="20" s="1"/>
  <c r="C14" i="13"/>
  <c r="C14" i="12"/>
  <c r="F17" i="16" s="1"/>
  <c r="P22" i="16" s="1"/>
  <c r="B65" i="12"/>
  <c r="AI67" i="12" s="1"/>
  <c r="E34" i="1"/>
  <c r="F34" i="1" s="1"/>
  <c r="C18" i="16"/>
  <c r="H18" i="16" s="1"/>
  <c r="B65" i="13"/>
  <c r="AJ113" i="13" s="1"/>
  <c r="C35" i="1"/>
  <c r="P34" i="1" s="1"/>
  <c r="D35" i="1" s="1"/>
  <c r="W11" i="8" s="1"/>
  <c r="G33" i="1"/>
  <c r="BK27" i="13"/>
  <c r="BK277" i="13"/>
  <c r="BK287" i="13" s="1"/>
  <c r="BN183" i="13"/>
  <c r="BN79" i="13"/>
  <c r="H56" i="8"/>
  <c r="BN27" i="13"/>
  <c r="H66" i="8"/>
  <c r="BN235" i="13"/>
  <c r="BL17" i="13"/>
  <c r="BM17" i="13" s="1"/>
  <c r="BK278" i="12"/>
  <c r="BK173" i="13"/>
  <c r="BK183" i="13" s="1"/>
  <c r="BK225" i="13"/>
  <c r="BK235" i="13" s="1"/>
  <c r="BN287" i="13"/>
  <c r="BK226" i="12"/>
  <c r="BK70" i="12"/>
  <c r="BK121" i="13"/>
  <c r="BK131" i="13" s="1"/>
  <c r="BK174" i="12"/>
  <c r="H26" i="8"/>
  <c r="BK122" i="12"/>
  <c r="H36" i="8"/>
  <c r="BN122" i="13"/>
  <c r="BL278" i="12"/>
  <c r="BL287" i="12"/>
  <c r="BN174" i="13"/>
  <c r="BL174" i="12"/>
  <c r="BL183" i="12"/>
  <c r="BL235" i="12"/>
  <c r="BL226" i="12"/>
  <c r="BN70" i="13"/>
  <c r="BN226" i="13"/>
  <c r="BL70" i="12"/>
  <c r="BL79" i="12"/>
  <c r="BN278" i="13"/>
  <c r="BM173" i="12"/>
  <c r="BM121" i="12"/>
  <c r="BM69" i="12"/>
  <c r="BM277" i="12"/>
  <c r="BM225" i="12"/>
  <c r="BM27" i="12"/>
  <c r="BM18" i="12"/>
  <c r="BL122" i="12"/>
  <c r="BL131" i="12"/>
  <c r="AL9" i="8"/>
  <c r="K17" i="16"/>
  <c r="O13" i="13"/>
  <c r="BO70" i="13"/>
  <c r="BK18" i="13"/>
  <c r="O221" i="13"/>
  <c r="BO278" i="13"/>
  <c r="BO174" i="13"/>
  <c r="O117" i="13"/>
  <c r="O169" i="13"/>
  <c r="BK70" i="13"/>
  <c r="BO18" i="13"/>
  <c r="O273" i="13"/>
  <c r="BO122" i="13"/>
  <c r="BO226" i="13"/>
  <c r="BO90" i="13"/>
  <c r="BO99" i="13" s="1"/>
  <c r="BO194" i="13"/>
  <c r="BO203" i="13" s="1"/>
  <c r="BO38" i="13"/>
  <c r="BO47" i="13" s="1"/>
  <c r="O65" i="13"/>
  <c r="BO298" i="13"/>
  <c r="BO307" i="13" s="1"/>
  <c r="BO246" i="13"/>
  <c r="BO255" i="13" s="1"/>
  <c r="BO142" i="13"/>
  <c r="BO151" i="13" s="1"/>
  <c r="I17" i="16"/>
  <c r="H34" i="16"/>
  <c r="R22" i="16"/>
  <c r="O39" i="16"/>
  <c r="B46" i="8"/>
  <c r="B14" i="20"/>
  <c r="R38" i="20" s="1"/>
  <c r="N33" i="1" l="1"/>
  <c r="BF19" i="19"/>
  <c r="BF21" i="19" s="1"/>
  <c r="BF20" i="19"/>
  <c r="BD1" i="19"/>
  <c r="Y20" i="19"/>
  <c r="AC1" i="19" s="1"/>
  <c r="P16" i="8"/>
  <c r="BA18" i="8" s="1"/>
  <c r="P66" i="8"/>
  <c r="P46" i="8"/>
  <c r="P36" i="8"/>
  <c r="BA38" i="8" s="1"/>
  <c r="Y19" i="19"/>
  <c r="Y21" i="19" s="1"/>
  <c r="P56" i="8"/>
  <c r="G30" i="19"/>
  <c r="G16" i="19" s="1"/>
  <c r="P26" i="8"/>
  <c r="BN28" i="13"/>
  <c r="BN38" i="13" s="1"/>
  <c r="BX68" i="8"/>
  <c r="BX38" i="8"/>
  <c r="BX18" i="8"/>
  <c r="CT23" i="8"/>
  <c r="CT21" i="8"/>
  <c r="CT22" i="8"/>
  <c r="CT20" i="8"/>
  <c r="CT19" i="8"/>
  <c r="CT18" i="8"/>
  <c r="BK174" i="13"/>
  <c r="C35" i="16"/>
  <c r="O38" i="16" s="1"/>
  <c r="BL28" i="12"/>
  <c r="BL38" i="12" s="1"/>
  <c r="AR8" i="1"/>
  <c r="AS8" i="1" s="1"/>
  <c r="AT8" i="1" s="1"/>
  <c r="AU8" i="1" s="1"/>
  <c r="AV8" i="1" s="1"/>
  <c r="AW8" i="1" s="1"/>
  <c r="AX8" i="1" s="1"/>
  <c r="AY8" i="1" s="1"/>
  <c r="AZ8" i="1" s="1"/>
  <c r="BA8" i="1"/>
  <c r="R36" i="8"/>
  <c r="BB38" i="8" s="1"/>
  <c r="D35" i="16"/>
  <c r="I33" i="1"/>
  <c r="L14" i="11" s="1"/>
  <c r="L37" i="11" s="1"/>
  <c r="BK28" i="12"/>
  <c r="BK38" i="12" s="1"/>
  <c r="O21" i="16"/>
  <c r="BN28" i="12"/>
  <c r="BN38" i="12" s="1"/>
  <c r="BM28" i="12"/>
  <c r="BM38" i="12" s="1"/>
  <c r="F34" i="16"/>
  <c r="G34" i="16" s="1"/>
  <c r="BL225" i="13"/>
  <c r="BL226" i="13" s="1"/>
  <c r="C66" i="13"/>
  <c r="BN80" i="13" s="1"/>
  <c r="BN90" i="13" s="1"/>
  <c r="BK28" i="13"/>
  <c r="BK38" i="13" s="1"/>
  <c r="C36" i="1"/>
  <c r="B169" i="13" s="1"/>
  <c r="R26" i="8"/>
  <c r="AJ113" i="12"/>
  <c r="E35" i="1"/>
  <c r="F35" i="1" s="1"/>
  <c r="BL27" i="13"/>
  <c r="BL28" i="13" s="1"/>
  <c r="BL38" i="13" s="1"/>
  <c r="BL173" i="13"/>
  <c r="BL183" i="13" s="1"/>
  <c r="BK122" i="13"/>
  <c r="BL277" i="13"/>
  <c r="BL287" i="13" s="1"/>
  <c r="C66" i="12"/>
  <c r="BL80" i="12" s="1"/>
  <c r="BL90" i="12" s="1"/>
  <c r="G34" i="1"/>
  <c r="N34" i="1" s="1"/>
  <c r="U12" i="1"/>
  <c r="R16" i="8"/>
  <c r="R46" i="8"/>
  <c r="R66" i="8"/>
  <c r="BB68" i="8" s="1"/>
  <c r="R56" i="8"/>
  <c r="I30" i="19"/>
  <c r="I16" i="19" s="1"/>
  <c r="B117" i="12"/>
  <c r="AI119" i="12" s="1"/>
  <c r="C19" i="16"/>
  <c r="R11" i="1"/>
  <c r="T11" i="1" s="1"/>
  <c r="BL69" i="13"/>
  <c r="BL79" i="13" s="1"/>
  <c r="BL18" i="13"/>
  <c r="B117" i="13"/>
  <c r="AE165" i="13" s="1"/>
  <c r="BK278" i="13"/>
  <c r="BL121" i="13"/>
  <c r="BL122" i="13" s="1"/>
  <c r="BK226" i="13"/>
  <c r="BM131" i="12"/>
  <c r="BM122" i="12"/>
  <c r="BM235" i="12"/>
  <c r="BM226" i="12"/>
  <c r="BM183" i="12"/>
  <c r="BM174" i="12"/>
  <c r="BM287" i="12"/>
  <c r="BM278" i="12"/>
  <c r="BM70" i="12"/>
  <c r="BM79" i="12"/>
  <c r="BM173" i="13"/>
  <c r="BM27" i="13"/>
  <c r="BM225" i="13"/>
  <c r="BM277" i="13"/>
  <c r="BM121" i="13"/>
  <c r="BM69" i="13"/>
  <c r="BM18" i="13"/>
  <c r="AL8" i="8"/>
  <c r="K18" i="16"/>
  <c r="B56" i="8"/>
  <c r="I34" i="16"/>
  <c r="R39" i="16"/>
  <c r="H35" i="16"/>
  <c r="I18" i="16"/>
  <c r="R21" i="16"/>
  <c r="K34" i="16"/>
  <c r="G17" i="16"/>
  <c r="AA8" i="1"/>
  <c r="AB8" i="1" s="1"/>
  <c r="AC8" i="1" s="1"/>
  <c r="AD8" i="1" s="1"/>
  <c r="AE8" i="1" s="1"/>
  <c r="AF8" i="1" s="1"/>
  <c r="AG8" i="1" s="1"/>
  <c r="AH8" i="1" s="1"/>
  <c r="AI8" i="1"/>
  <c r="BP18" i="8" l="1"/>
  <c r="BP19" i="8" s="1"/>
  <c r="BP20" i="8" s="1"/>
  <c r="BP21" i="8" s="1"/>
  <c r="BP22" i="8" s="1"/>
  <c r="BP23" i="8" s="1"/>
  <c r="G34" i="19"/>
  <c r="I34" i="19" s="1"/>
  <c r="BF18" i="8"/>
  <c r="BF19" i="8" s="1"/>
  <c r="BF20" i="8" s="1"/>
  <c r="BF21" i="8" s="1"/>
  <c r="BF22" i="8" s="1"/>
  <c r="BF23" i="8" s="1"/>
  <c r="BB18" i="8"/>
  <c r="BC38" i="8"/>
  <c r="BC39" i="8" s="1"/>
  <c r="BC40" i="8" s="1"/>
  <c r="BC41" i="8" s="1"/>
  <c r="BC42" i="8" s="1"/>
  <c r="BC43" i="8" s="1"/>
  <c r="BE18" i="8"/>
  <c r="BE19" i="8" s="1"/>
  <c r="BE20" i="8" s="1"/>
  <c r="BE21" i="8" s="1"/>
  <c r="BE22" i="8" s="1"/>
  <c r="BE23" i="8" s="1"/>
  <c r="BM1" i="19"/>
  <c r="BF12" i="19" s="1"/>
  <c r="BG1" i="19"/>
  <c r="BJ1" i="19"/>
  <c r="BG4" i="19" s="1"/>
  <c r="AF1" i="19"/>
  <c r="AB14" i="19" s="1"/>
  <c r="Z1" i="19"/>
  <c r="BO18" i="8"/>
  <c r="BO19" i="8" s="1"/>
  <c r="BO20" i="8" s="1"/>
  <c r="BO21" i="8" s="1"/>
  <c r="BO22" i="8" s="1"/>
  <c r="BO23" i="8" s="1"/>
  <c r="BE38" i="8"/>
  <c r="BE39" i="8" s="1"/>
  <c r="BE40" i="8" s="1"/>
  <c r="BE41" i="8" s="1"/>
  <c r="BE42" i="8" s="1"/>
  <c r="BE43" i="8" s="1"/>
  <c r="BC18" i="8"/>
  <c r="BC19" i="8" s="1"/>
  <c r="BC20" i="8" s="1"/>
  <c r="BC21" i="8" s="1"/>
  <c r="BC22" i="8" s="1"/>
  <c r="BC23" i="8" s="1"/>
  <c r="BO38" i="8"/>
  <c r="BO39" i="8" s="1"/>
  <c r="BP38" i="8"/>
  <c r="BW38" i="8"/>
  <c r="BW18" i="8"/>
  <c r="BX69" i="8"/>
  <c r="BX39" i="8"/>
  <c r="BX19" i="8"/>
  <c r="BD38" i="8"/>
  <c r="BD39" i="8" s="1"/>
  <c r="BD40" i="8" s="1"/>
  <c r="BD41" i="8" s="1"/>
  <c r="BD42" i="8" s="1"/>
  <c r="BD43" i="8" s="1"/>
  <c r="BF38" i="8"/>
  <c r="BF39" i="8" s="1"/>
  <c r="BF40" i="8" s="1"/>
  <c r="BF41" i="8" s="1"/>
  <c r="BF42" i="8" s="1"/>
  <c r="BF43" i="8" s="1"/>
  <c r="BD68" i="8"/>
  <c r="BD69" i="8" s="1"/>
  <c r="BD70" i="8" s="1"/>
  <c r="BD71" i="8" s="1"/>
  <c r="BD72" i="8" s="1"/>
  <c r="BD73" i="8" s="1"/>
  <c r="BF68" i="8"/>
  <c r="BF69" i="8" s="1"/>
  <c r="BF70" i="8" s="1"/>
  <c r="BF71" i="8" s="1"/>
  <c r="BF72" i="8" s="1"/>
  <c r="BF73" i="8" s="1"/>
  <c r="BR18" i="8"/>
  <c r="BQ18" i="8"/>
  <c r="BQ19" i="8" s="1"/>
  <c r="BQ20" i="8" s="1"/>
  <c r="BQ21" i="8" s="1"/>
  <c r="BQ22" i="8" s="1"/>
  <c r="BQ23" i="8" s="1"/>
  <c r="BQ68" i="8"/>
  <c r="BR68" i="8"/>
  <c r="BQ38" i="8"/>
  <c r="BR38" i="8"/>
  <c r="BD18" i="8"/>
  <c r="AV19" i="8"/>
  <c r="BL278" i="13"/>
  <c r="B15" i="20"/>
  <c r="R42" i="20" s="1"/>
  <c r="BL235" i="13"/>
  <c r="Z6" i="1"/>
  <c r="V5" i="1" s="1"/>
  <c r="P39" i="16"/>
  <c r="BL174" i="13"/>
  <c r="B18" i="8"/>
  <c r="AJ9" i="8" s="1"/>
  <c r="I14" i="12"/>
  <c r="BK48" i="12" s="1"/>
  <c r="BA6" i="1"/>
  <c r="F18" i="16"/>
  <c r="G18" i="16" s="1"/>
  <c r="F35" i="16"/>
  <c r="G35" i="16" s="1"/>
  <c r="R6" i="1"/>
  <c r="S6" i="1" s="1"/>
  <c r="C20" i="16"/>
  <c r="H20" i="16" s="1"/>
  <c r="D36" i="16"/>
  <c r="R12" i="1"/>
  <c r="S12" i="1" s="1"/>
  <c r="C118" i="13"/>
  <c r="BN132" i="13" s="1"/>
  <c r="BN142" i="13" s="1"/>
  <c r="BL131" i="13"/>
  <c r="E36" i="1"/>
  <c r="F36" i="1" s="1"/>
  <c r="B169" i="12"/>
  <c r="AI171" i="12" s="1"/>
  <c r="BL70" i="13"/>
  <c r="C37" i="1"/>
  <c r="C38" i="1" s="1"/>
  <c r="P37" i="1" s="1"/>
  <c r="T12" i="1"/>
  <c r="G35" i="1"/>
  <c r="I35" i="1" s="1"/>
  <c r="L18" i="11" s="1"/>
  <c r="L41" i="11" s="1"/>
  <c r="C118" i="12"/>
  <c r="BL132" i="12" s="1"/>
  <c r="BL142" i="12" s="1"/>
  <c r="BN80" i="12"/>
  <c r="BN90" i="12" s="1"/>
  <c r="BM80" i="12"/>
  <c r="BM90" i="12" s="1"/>
  <c r="P35" i="1"/>
  <c r="D36" i="1" s="1"/>
  <c r="W10" i="8" s="1"/>
  <c r="BK80" i="13"/>
  <c r="BK90" i="13" s="1"/>
  <c r="AE165" i="12"/>
  <c r="H19" i="16"/>
  <c r="H36" i="16" s="1"/>
  <c r="BK80" i="12"/>
  <c r="BK90" i="12" s="1"/>
  <c r="I34" i="1"/>
  <c r="L16" i="11" s="1"/>
  <c r="L39" i="11" s="1"/>
  <c r="C36" i="16"/>
  <c r="O20" i="16"/>
  <c r="BM278" i="13"/>
  <c r="BM287" i="13"/>
  <c r="BL80" i="13"/>
  <c r="BL90" i="13" s="1"/>
  <c r="BM226" i="13"/>
  <c r="BM235" i="13"/>
  <c r="BM79" i="13"/>
  <c r="BM70" i="13"/>
  <c r="BM28" i="13"/>
  <c r="BM38" i="13" s="1"/>
  <c r="BM122" i="13"/>
  <c r="BM131" i="13"/>
  <c r="BM183" i="13"/>
  <c r="BM174" i="13"/>
  <c r="AK9" i="8"/>
  <c r="I35" i="16"/>
  <c r="R38" i="16"/>
  <c r="AJ6" i="1"/>
  <c r="AK6" i="1" s="1"/>
  <c r="AL6" i="1" s="1"/>
  <c r="AM6" i="1" s="1"/>
  <c r="AN6" i="1" s="1"/>
  <c r="AO6" i="1" s="1"/>
  <c r="AR6" i="1"/>
  <c r="W5" i="1"/>
  <c r="R8" i="1" s="1"/>
  <c r="S8" i="1" s="1"/>
  <c r="AI171" i="13"/>
  <c r="AJ217" i="13"/>
  <c r="K35" i="16"/>
  <c r="B66" i="8"/>
  <c r="B16" i="20"/>
  <c r="R46" i="20" s="1"/>
  <c r="G8" i="8"/>
  <c r="Q13" i="8" s="1"/>
  <c r="Q22" i="16"/>
  <c r="F8" i="8"/>
  <c r="Q39" i="16"/>
  <c r="AP6" i="1" l="1"/>
  <c r="AQ6" i="1" s="1"/>
  <c r="BG38" i="8"/>
  <c r="BG39" i="8" s="1"/>
  <c r="BG40" i="8" s="1"/>
  <c r="BG41" i="8" s="1"/>
  <c r="BG42" i="8" s="1"/>
  <c r="BG43" i="8" s="1"/>
  <c r="BA19" i="8"/>
  <c r="BA20" i="8" s="1"/>
  <c r="AF14" i="19"/>
  <c r="BE14" i="19"/>
  <c r="BH9" i="19"/>
  <c r="BI11" i="19"/>
  <c r="BE13" i="19"/>
  <c r="BJ11" i="19"/>
  <c r="BH10" i="19"/>
  <c r="BE8" i="19"/>
  <c r="BL14" i="19"/>
  <c r="BG9" i="19"/>
  <c r="BF11" i="19"/>
  <c r="BG8" i="19"/>
  <c r="BM14" i="19"/>
  <c r="BF10" i="19"/>
  <c r="BI13" i="19"/>
  <c r="BF14" i="19"/>
  <c r="BU38" i="8"/>
  <c r="BD10" i="19"/>
  <c r="BH12" i="19"/>
  <c r="BG10" i="19"/>
  <c r="BI14" i="19"/>
  <c r="BE6" i="19"/>
  <c r="BU18" i="8"/>
  <c r="X9" i="19"/>
  <c r="W10" i="19"/>
  <c r="BK14" i="19"/>
  <c r="BE7" i="19"/>
  <c r="BH13" i="19"/>
  <c r="BD6" i="19"/>
  <c r="BD8" i="19"/>
  <c r="BD13" i="19"/>
  <c r="BD9" i="19"/>
  <c r="BF7" i="19"/>
  <c r="BF13" i="19"/>
  <c r="BL9" i="19"/>
  <c r="BL13" i="19"/>
  <c r="BD11" i="19"/>
  <c r="BE12" i="19"/>
  <c r="BG13" i="19"/>
  <c r="BJ13" i="19"/>
  <c r="BF8" i="19"/>
  <c r="BI10" i="19"/>
  <c r="BD12" i="19"/>
  <c r="BJ14" i="19"/>
  <c r="BL11" i="19"/>
  <c r="BM5" i="19"/>
  <c r="BG6" i="19"/>
  <c r="BI4" i="19"/>
  <c r="BN9" i="19"/>
  <c r="BI7" i="19"/>
  <c r="BN8" i="19"/>
  <c r="Z12" i="19"/>
  <c r="Y11" i="19"/>
  <c r="AE13" i="19"/>
  <c r="AB12" i="19"/>
  <c r="BN7" i="19"/>
  <c r="AD13" i="19"/>
  <c r="Z11" i="19"/>
  <c r="Y14" i="19"/>
  <c r="BK7" i="19"/>
  <c r="BJ12" i="19"/>
  <c r="BH11" i="19"/>
  <c r="BI12" i="19"/>
  <c r="BK13" i="19"/>
  <c r="BF9" i="19"/>
  <c r="BH14" i="19"/>
  <c r="BG11" i="19"/>
  <c r="BK12" i="19"/>
  <c r="BD5" i="19"/>
  <c r="BN12" i="19"/>
  <c r="BH4" i="19"/>
  <c r="BH5" i="19"/>
  <c r="BF5" i="19"/>
  <c r="BK10" i="19"/>
  <c r="BD14" i="19"/>
  <c r="BG12" i="19"/>
  <c r="BG14" i="19"/>
  <c r="BD7" i="19"/>
  <c r="BE9" i="19"/>
  <c r="BE10" i="19"/>
  <c r="BE11" i="19"/>
  <c r="BN6" i="19"/>
  <c r="BM12" i="19"/>
  <c r="BJ8" i="19"/>
  <c r="BM9" i="19"/>
  <c r="BF4" i="19"/>
  <c r="BL7" i="19"/>
  <c r="BM6" i="19"/>
  <c r="W12" i="19"/>
  <c r="W5" i="19"/>
  <c r="X13" i="19"/>
  <c r="AA11" i="19"/>
  <c r="Z14" i="19"/>
  <c r="AC11" i="19"/>
  <c r="X6" i="19"/>
  <c r="Z9" i="19"/>
  <c r="AC13" i="19"/>
  <c r="W11" i="19"/>
  <c r="X8" i="19"/>
  <c r="W9" i="19"/>
  <c r="Y10" i="19"/>
  <c r="AB11" i="19"/>
  <c r="AD14" i="19"/>
  <c r="AC14" i="19"/>
  <c r="X10" i="19"/>
  <c r="Z13" i="19"/>
  <c r="AA14" i="19"/>
  <c r="Y12" i="19"/>
  <c r="AA10" i="19"/>
  <c r="W13" i="19"/>
  <c r="Z8" i="19"/>
  <c r="AC12" i="19"/>
  <c r="Y9" i="19"/>
  <c r="W6" i="19"/>
  <c r="Y7" i="19"/>
  <c r="AA12" i="19"/>
  <c r="Y13" i="19"/>
  <c r="AB13" i="19"/>
  <c r="BN5" i="19"/>
  <c r="BH6" i="19"/>
  <c r="BM11" i="19"/>
  <c r="BJ7" i="19"/>
  <c r="BM10" i="19"/>
  <c r="BM4" i="19"/>
  <c r="BM7" i="19"/>
  <c r="BI6" i="19"/>
  <c r="BK6" i="19"/>
  <c r="BN13" i="19"/>
  <c r="BJ9" i="19"/>
  <c r="BN11" i="19"/>
  <c r="BE4" i="19"/>
  <c r="BK8" i="19"/>
  <c r="BI5" i="19"/>
  <c r="BJ4" i="19"/>
  <c r="BL6" i="19"/>
  <c r="BG5" i="19"/>
  <c r="BL4" i="19"/>
  <c r="BL5" i="19"/>
  <c r="BN4" i="19"/>
  <c r="BJ6" i="19"/>
  <c r="BI8" i="19"/>
  <c r="BL10" i="19"/>
  <c r="BH7" i="19"/>
  <c r="BL8" i="19"/>
  <c r="BJ5" i="19"/>
  <c r="BK5" i="19"/>
  <c r="BN10" i="19"/>
  <c r="BM8" i="19"/>
  <c r="BK9" i="19"/>
  <c r="BK4" i="19"/>
  <c r="AA9" i="19"/>
  <c r="W8" i="19"/>
  <c r="X11" i="19"/>
  <c r="X14" i="19"/>
  <c r="AE14" i="19"/>
  <c r="AB10" i="19"/>
  <c r="X7" i="19"/>
  <c r="Z10" i="19"/>
  <c r="AD12" i="19"/>
  <c r="W14" i="19"/>
  <c r="X12" i="19"/>
  <c r="W7" i="19"/>
  <c r="Y8" i="19"/>
  <c r="AA13" i="19"/>
  <c r="BG18" i="8"/>
  <c r="BG19" i="8" s="1"/>
  <c r="BY38" i="8"/>
  <c r="BA39" i="8"/>
  <c r="BA40" i="8" s="1"/>
  <c r="AG13" i="19"/>
  <c r="AG9" i="19"/>
  <c r="AG5" i="19"/>
  <c r="AF9" i="19"/>
  <c r="AF5" i="19"/>
  <c r="AE8" i="19"/>
  <c r="AD10" i="19"/>
  <c r="AD6" i="19"/>
  <c r="AC7" i="19"/>
  <c r="Z6" i="19"/>
  <c r="AA5" i="19"/>
  <c r="AB8" i="19"/>
  <c r="AG11" i="19"/>
  <c r="AG7" i="19"/>
  <c r="AF11" i="19"/>
  <c r="AF7" i="19"/>
  <c r="AE10" i="19"/>
  <c r="AE6" i="19"/>
  <c r="AD8" i="19"/>
  <c r="AC9" i="19"/>
  <c r="AC5" i="19"/>
  <c r="AA7" i="19"/>
  <c r="AB6" i="19"/>
  <c r="AG10" i="19"/>
  <c r="AF10" i="19"/>
  <c r="AE9" i="19"/>
  <c r="AD7" i="19"/>
  <c r="Y5" i="19"/>
  <c r="AB7" i="19"/>
  <c r="AG12" i="19"/>
  <c r="AG8" i="19"/>
  <c r="AF12" i="19"/>
  <c r="AF8" i="19"/>
  <c r="AE11" i="19"/>
  <c r="AE7" i="19"/>
  <c r="AD9" i="19"/>
  <c r="AD5" i="19"/>
  <c r="AC6" i="19"/>
  <c r="Z5" i="19"/>
  <c r="AB5" i="19"/>
  <c r="AG6" i="19"/>
  <c r="AF6" i="19"/>
  <c r="AE5" i="19"/>
  <c r="AC8" i="19"/>
  <c r="AA6" i="19"/>
  <c r="AD4" i="19"/>
  <c r="Z4" i="19"/>
  <c r="AG4" i="19"/>
  <c r="AC4" i="19"/>
  <c r="AA4" i="19"/>
  <c r="X4" i="19"/>
  <c r="AF4" i="19"/>
  <c r="AE4" i="19"/>
  <c r="AB4" i="19"/>
  <c r="Y4" i="19"/>
  <c r="BZ38" i="8"/>
  <c r="BZ68" i="8"/>
  <c r="T6" i="1"/>
  <c r="U6" i="1" s="1"/>
  <c r="V6" i="1" s="1"/>
  <c r="W6" i="1" s="1"/>
  <c r="X6" i="1" s="1"/>
  <c r="Y6" i="1" s="1"/>
  <c r="O6" i="17"/>
  <c r="BW39" i="8"/>
  <c r="BW19" i="8"/>
  <c r="BU19" i="8"/>
  <c r="BV38" i="8"/>
  <c r="BR69" i="8"/>
  <c r="BV68" i="8"/>
  <c r="BR19" i="8"/>
  <c r="BV18" i="8"/>
  <c r="BQ69" i="8"/>
  <c r="BH68" i="8"/>
  <c r="BH69" i="8" s="1"/>
  <c r="BH70" i="8" s="1"/>
  <c r="BH71" i="8" s="1"/>
  <c r="BH72" i="8" s="1"/>
  <c r="BH73" i="8" s="1"/>
  <c r="BB39" i="8"/>
  <c r="BR39" i="8"/>
  <c r="BO40" i="8"/>
  <c r="BQ39" i="8"/>
  <c r="AV20" i="8"/>
  <c r="P13" i="8"/>
  <c r="BH18" i="8"/>
  <c r="BB69" i="8"/>
  <c r="BY18" i="8"/>
  <c r="BZ18" i="8"/>
  <c r="BH38" i="8"/>
  <c r="BB19" i="8"/>
  <c r="BD19" i="8"/>
  <c r="B28" i="8"/>
  <c r="B38" i="8" s="1"/>
  <c r="B48" i="8" s="1"/>
  <c r="B58" i="8" s="1"/>
  <c r="B68" i="8" s="1"/>
  <c r="O15" i="12"/>
  <c r="I14" i="13"/>
  <c r="BN48" i="13" s="1"/>
  <c r="O14" i="12"/>
  <c r="BN48" i="12"/>
  <c r="BO57" i="12"/>
  <c r="BL48" i="12"/>
  <c r="D8" i="8"/>
  <c r="N13" i="8" s="1"/>
  <c r="C8" i="8"/>
  <c r="M13" i="8" s="1"/>
  <c r="AJ217" i="12"/>
  <c r="J8" i="8"/>
  <c r="W48" i="8" s="1"/>
  <c r="X48" i="8" s="1"/>
  <c r="BM48" i="12"/>
  <c r="BO48" i="12"/>
  <c r="F14" i="12"/>
  <c r="H8" i="8" s="1"/>
  <c r="A59" i="12"/>
  <c r="O19" i="16"/>
  <c r="P36" i="1"/>
  <c r="D37" i="1" s="1"/>
  <c r="W9" i="8" s="1"/>
  <c r="C170" i="12"/>
  <c r="BN184" i="12" s="1"/>
  <c r="BN194" i="12" s="1"/>
  <c r="F36" i="16"/>
  <c r="G36" i="16" s="1"/>
  <c r="C37" i="16"/>
  <c r="K19" i="16"/>
  <c r="I19" i="16"/>
  <c r="BK132" i="13"/>
  <c r="BK142" i="13" s="1"/>
  <c r="BL132" i="13"/>
  <c r="BL142" i="13" s="1"/>
  <c r="B221" i="12"/>
  <c r="AI223" i="12" s="1"/>
  <c r="R20" i="16"/>
  <c r="AL7" i="8"/>
  <c r="F19" i="16"/>
  <c r="P20" i="16" s="1"/>
  <c r="D37" i="16"/>
  <c r="P38" i="16"/>
  <c r="P21" i="16"/>
  <c r="C21" i="16"/>
  <c r="C38" i="16" s="1"/>
  <c r="C170" i="13"/>
  <c r="BN184" i="13" s="1"/>
  <c r="BN194" i="13" s="1"/>
  <c r="I66" i="13"/>
  <c r="O66" i="13" s="1"/>
  <c r="B221" i="13"/>
  <c r="AE269" i="13" s="1"/>
  <c r="E37" i="1"/>
  <c r="F37" i="1" s="1"/>
  <c r="G36" i="1"/>
  <c r="N36" i="1" s="1"/>
  <c r="BM132" i="12"/>
  <c r="BM142" i="12" s="1"/>
  <c r="N35" i="1"/>
  <c r="BN132" i="12"/>
  <c r="BN142" i="12" s="1"/>
  <c r="BK132" i="12"/>
  <c r="BK142" i="12" s="1"/>
  <c r="O37" i="16"/>
  <c r="I66" i="12"/>
  <c r="O67" i="12" s="1"/>
  <c r="B19" i="8"/>
  <c r="B29" i="8" s="1"/>
  <c r="B39" i="8" s="1"/>
  <c r="B49" i="8" s="1"/>
  <c r="B59" i="8" s="1"/>
  <c r="B69" i="8" s="1"/>
  <c r="T8" i="1"/>
  <c r="U8" i="1" s="1"/>
  <c r="V8" i="1" s="1"/>
  <c r="W8" i="1" s="1"/>
  <c r="X8" i="1" s="1"/>
  <c r="Y8" i="1" s="1"/>
  <c r="AA6" i="1"/>
  <c r="AB6" i="1" s="1"/>
  <c r="AC6" i="1" s="1"/>
  <c r="AD6" i="1" s="1"/>
  <c r="AE6" i="1" s="1"/>
  <c r="AF6" i="1" s="1"/>
  <c r="AG6" i="1" s="1"/>
  <c r="AH6" i="1" s="1"/>
  <c r="BM80" i="13"/>
  <c r="BM90" i="13" s="1"/>
  <c r="BM132" i="13"/>
  <c r="BM142" i="13" s="1"/>
  <c r="I118" i="12"/>
  <c r="O119" i="12" s="1"/>
  <c r="I118" i="13"/>
  <c r="B20" i="8"/>
  <c r="AL6" i="8"/>
  <c r="K20" i="16"/>
  <c r="AJ8" i="1"/>
  <c r="AK8" i="1" s="1"/>
  <c r="AL8" i="1" s="1"/>
  <c r="AM8" i="1" s="1"/>
  <c r="AN8" i="1" s="1"/>
  <c r="AO8" i="1" s="1"/>
  <c r="AK8" i="8"/>
  <c r="I36" i="16"/>
  <c r="R37" i="16"/>
  <c r="F9" i="8"/>
  <c r="P12" i="8" s="1"/>
  <c r="Q38" i="16"/>
  <c r="AS6" i="1"/>
  <c r="AT6" i="1" s="1"/>
  <c r="AU6" i="1" s="1"/>
  <c r="AV6" i="1" s="1"/>
  <c r="AW6" i="1" s="1"/>
  <c r="AX6" i="1" s="1"/>
  <c r="AY6" i="1" s="1"/>
  <c r="AZ6" i="1" s="1"/>
  <c r="D38" i="1"/>
  <c r="C22" i="16"/>
  <c r="E38" i="1"/>
  <c r="F38" i="1" s="1"/>
  <c r="B273" i="12"/>
  <c r="B273" i="13"/>
  <c r="AJ321" i="13" s="1"/>
  <c r="G9" i="8"/>
  <c r="Q12" i="8" s="1"/>
  <c r="Q21" i="16"/>
  <c r="I20" i="16"/>
  <c r="H37" i="16"/>
  <c r="R19" i="16"/>
  <c r="AP8" i="1" l="1"/>
  <c r="AQ8" i="1" s="1"/>
  <c r="BZ69" i="8"/>
  <c r="BY39" i="8"/>
  <c r="BZ39" i="8"/>
  <c r="BX71" i="8"/>
  <c r="BX41" i="8"/>
  <c r="BX21" i="8"/>
  <c r="BR20" i="8"/>
  <c r="BR21" i="8" s="1"/>
  <c r="BR22" i="8" s="1"/>
  <c r="BR23" i="8" s="1"/>
  <c r="BV19" i="8"/>
  <c r="BX70" i="8"/>
  <c r="BX40" i="8"/>
  <c r="BX20" i="8"/>
  <c r="BR70" i="8"/>
  <c r="BR71" i="8" s="1"/>
  <c r="BR72" i="8" s="1"/>
  <c r="BR73" i="8" s="1"/>
  <c r="BV69" i="8"/>
  <c r="BR40" i="8"/>
  <c r="BR41" i="8" s="1"/>
  <c r="BR42" i="8" s="1"/>
  <c r="BR43" i="8" s="1"/>
  <c r="BV39" i="8"/>
  <c r="BB40" i="8"/>
  <c r="BB70" i="8"/>
  <c r="BQ70" i="8"/>
  <c r="BQ40" i="8"/>
  <c r="BO41" i="8"/>
  <c r="BA41" i="8"/>
  <c r="BB20" i="8"/>
  <c r="AV21" i="8"/>
  <c r="BD20" i="8"/>
  <c r="BA21" i="8"/>
  <c r="BH39" i="8"/>
  <c r="BH40" i="8" s="1"/>
  <c r="BH41" i="8" s="1"/>
  <c r="BH42" i="8" s="1"/>
  <c r="BH43" i="8" s="1"/>
  <c r="BY19" i="8"/>
  <c r="BZ19" i="8"/>
  <c r="BM58" i="12"/>
  <c r="R13" i="8"/>
  <c r="BH19" i="8"/>
  <c r="BH20" i="8" s="1"/>
  <c r="BH21" i="8" s="1"/>
  <c r="BH22" i="8" s="1"/>
  <c r="BH23" i="8" s="1"/>
  <c r="BG20" i="8"/>
  <c r="K36" i="16"/>
  <c r="BL58" i="12"/>
  <c r="O14" i="13"/>
  <c r="BM48" i="13"/>
  <c r="D17" i="12"/>
  <c r="D18" i="12" s="1"/>
  <c r="BK48" i="13"/>
  <c r="F14" i="13"/>
  <c r="BO57" i="13"/>
  <c r="BO48" i="13"/>
  <c r="BL48" i="13"/>
  <c r="O15" i="13"/>
  <c r="A59" i="13"/>
  <c r="BO100" i="13"/>
  <c r="L14" i="12"/>
  <c r="D24" i="12" s="1"/>
  <c r="BL37" i="12"/>
  <c r="AR17" i="12"/>
  <c r="AR58" i="12" s="1"/>
  <c r="V13" i="8"/>
  <c r="BO58" i="12"/>
  <c r="BM184" i="12"/>
  <c r="BM194" i="12" s="1"/>
  <c r="F37" i="16"/>
  <c r="P36" i="16" s="1"/>
  <c r="BK100" i="13"/>
  <c r="W58" i="8"/>
  <c r="X58" i="8" s="1"/>
  <c r="F20" i="16"/>
  <c r="G20" i="16" s="1"/>
  <c r="G19" i="16"/>
  <c r="O36" i="16"/>
  <c r="BL152" i="13"/>
  <c r="A111" i="13"/>
  <c r="O67" i="13"/>
  <c r="D69" i="13" s="1"/>
  <c r="D70" i="13" s="1"/>
  <c r="BL100" i="13"/>
  <c r="W28" i="8"/>
  <c r="X28" i="8" s="1"/>
  <c r="W68" i="8"/>
  <c r="X68" i="8" s="1"/>
  <c r="W38" i="8"/>
  <c r="X38" i="8" s="1"/>
  <c r="W18" i="8"/>
  <c r="X18" i="8" s="1"/>
  <c r="BK58" i="12"/>
  <c r="BN37" i="12"/>
  <c r="BN58" i="12"/>
  <c r="C222" i="12"/>
  <c r="BK37" i="12"/>
  <c r="O18" i="16"/>
  <c r="BK184" i="12"/>
  <c r="BK194" i="12" s="1"/>
  <c r="BM37" i="12"/>
  <c r="BL184" i="12"/>
  <c r="BL194" i="12" s="1"/>
  <c r="AE269" i="12"/>
  <c r="P37" i="16"/>
  <c r="BO109" i="12"/>
  <c r="BL184" i="13"/>
  <c r="BL194" i="13" s="1"/>
  <c r="I36" i="1"/>
  <c r="I170" i="13" s="1"/>
  <c r="O171" i="13" s="1"/>
  <c r="BM184" i="13"/>
  <c r="BM194" i="13" s="1"/>
  <c r="D38" i="16"/>
  <c r="C222" i="13"/>
  <c r="BN236" i="13" s="1"/>
  <c r="BN246" i="13" s="1"/>
  <c r="G37" i="1"/>
  <c r="I37" i="1" s="1"/>
  <c r="I222" i="12" s="1"/>
  <c r="BK184" i="13"/>
  <c r="BK194" i="13" s="1"/>
  <c r="H21" i="16"/>
  <c r="R18" i="16" s="1"/>
  <c r="D39" i="16"/>
  <c r="F66" i="13"/>
  <c r="BN100" i="12"/>
  <c r="BM100" i="13"/>
  <c r="F66" i="12"/>
  <c r="BM100" i="12"/>
  <c r="BO109" i="13"/>
  <c r="BN100" i="13"/>
  <c r="BK100" i="12"/>
  <c r="A163" i="13"/>
  <c r="J9" i="8"/>
  <c r="W49" i="8" s="1"/>
  <c r="X49" i="8" s="1"/>
  <c r="D9" i="8"/>
  <c r="N12" i="8" s="1"/>
  <c r="O66" i="12"/>
  <c r="D69" i="12" s="1"/>
  <c r="BL100" i="12"/>
  <c r="A111" i="12"/>
  <c r="AJ8" i="8"/>
  <c r="C9" i="8"/>
  <c r="M12" i="8" s="1"/>
  <c r="F118" i="13"/>
  <c r="BO100" i="12"/>
  <c r="A163" i="12"/>
  <c r="BO152" i="12"/>
  <c r="C10" i="8"/>
  <c r="M11" i="8" s="1"/>
  <c r="AJ7" i="8"/>
  <c r="O118" i="12"/>
  <c r="D121" i="12" s="1"/>
  <c r="D122" i="12" s="1"/>
  <c r="BO161" i="13"/>
  <c r="O118" i="13"/>
  <c r="BO152" i="13"/>
  <c r="BO161" i="12"/>
  <c r="D10" i="8"/>
  <c r="N11" i="8" s="1"/>
  <c r="J10" i="8"/>
  <c r="W20" i="8" s="1"/>
  <c r="X20" i="8" s="1"/>
  <c r="F118" i="12"/>
  <c r="W8" i="8"/>
  <c r="BM152" i="13"/>
  <c r="BN152" i="12"/>
  <c r="BL152" i="12"/>
  <c r="BM152" i="12"/>
  <c r="O119" i="13"/>
  <c r="BN152" i="13"/>
  <c r="B30" i="8"/>
  <c r="B40" i="8" s="1"/>
  <c r="B50" i="8" s="1"/>
  <c r="B60" i="8" s="1"/>
  <c r="B70" i="8" s="1"/>
  <c r="BK152" i="13"/>
  <c r="BK152" i="12"/>
  <c r="I37" i="16"/>
  <c r="R36" i="16"/>
  <c r="K37" i="16"/>
  <c r="F10" i="8"/>
  <c r="P11" i="8" s="1"/>
  <c r="Q37" i="16"/>
  <c r="AI274" i="12"/>
  <c r="AJ321" i="12"/>
  <c r="O35" i="16"/>
  <c r="C274" i="12"/>
  <c r="C274" i="13"/>
  <c r="G38" i="1"/>
  <c r="I38" i="1" s="1"/>
  <c r="I274" i="13" s="1"/>
  <c r="H22" i="16"/>
  <c r="C39" i="16"/>
  <c r="O17" i="16"/>
  <c r="D27" i="12" l="1"/>
  <c r="BK47" i="12" s="1"/>
  <c r="BK57" i="12" s="1"/>
  <c r="D110" i="12"/>
  <c r="BY40" i="8"/>
  <c r="G10" i="8"/>
  <c r="Q11" i="8" s="1"/>
  <c r="G11" i="8"/>
  <c r="Q10" i="8" s="1"/>
  <c r="H9" i="8"/>
  <c r="R12" i="8" s="1"/>
  <c r="BM141" i="12"/>
  <c r="H10" i="8"/>
  <c r="R11" i="8" s="1"/>
  <c r="BM141" i="13"/>
  <c r="I10" i="8"/>
  <c r="S11" i="8" s="1"/>
  <c r="BK110" i="13"/>
  <c r="I9" i="8"/>
  <c r="S12" i="8" s="1"/>
  <c r="BM58" i="13"/>
  <c r="I8" i="8"/>
  <c r="S13" i="8" s="1"/>
  <c r="BV20" i="8"/>
  <c r="BV21" i="8"/>
  <c r="BW41" i="8"/>
  <c r="BW21" i="8"/>
  <c r="BU21" i="8"/>
  <c r="BU20" i="8"/>
  <c r="BW40" i="8"/>
  <c r="BW20" i="8"/>
  <c r="BV70" i="8"/>
  <c r="BV40" i="8"/>
  <c r="BB41" i="8"/>
  <c r="BB71" i="8"/>
  <c r="BQ71" i="8"/>
  <c r="BV71" i="8" s="1"/>
  <c r="BA42" i="8"/>
  <c r="BQ41" i="8"/>
  <c r="BV41" i="8" s="1"/>
  <c r="BO42" i="8"/>
  <c r="AV22" i="8"/>
  <c r="BB21" i="8"/>
  <c r="BA22" i="8"/>
  <c r="BD21" i="8"/>
  <c r="BY20" i="8"/>
  <c r="AK7" i="8"/>
  <c r="BG21" i="8"/>
  <c r="D26" i="12"/>
  <c r="AR17" i="13"/>
  <c r="AR58" i="13" s="1"/>
  <c r="D23" i="12"/>
  <c r="BN33" i="12" s="1"/>
  <c r="BN43" i="12" s="1"/>
  <c r="BN53" i="12" s="1"/>
  <c r="D20" i="12"/>
  <c r="BM30" i="12" s="1"/>
  <c r="BM40" i="12" s="1"/>
  <c r="BM50" i="12" s="1"/>
  <c r="BK58" i="13"/>
  <c r="BN37" i="13"/>
  <c r="BN58" i="13"/>
  <c r="D17" i="13"/>
  <c r="D58" i="13" s="1"/>
  <c r="BO58" i="13"/>
  <c r="BL37" i="13"/>
  <c r="BL58" i="13"/>
  <c r="BK37" i="13"/>
  <c r="L14" i="13"/>
  <c r="D22" i="13" s="1"/>
  <c r="BM37" i="13"/>
  <c r="F15" i="12"/>
  <c r="E17" i="12" s="1"/>
  <c r="E58" i="12" s="1"/>
  <c r="D58" i="12"/>
  <c r="D19" i="12"/>
  <c r="BN29" i="12" s="1"/>
  <c r="BN39" i="12" s="1"/>
  <c r="BN49" i="12" s="1"/>
  <c r="D21" i="12"/>
  <c r="BL31" i="12" s="1"/>
  <c r="BL41" i="12" s="1"/>
  <c r="BL51" i="12" s="1"/>
  <c r="D25" i="12"/>
  <c r="BL35" i="12" s="1"/>
  <c r="BL45" i="12" s="1"/>
  <c r="BL55" i="12" s="1"/>
  <c r="D22" i="12"/>
  <c r="BM32" i="12" s="1"/>
  <c r="BM42" i="12" s="1"/>
  <c r="BM52" i="12" s="1"/>
  <c r="AR27" i="12"/>
  <c r="AR28" i="12" s="1"/>
  <c r="AR38" i="12" s="1"/>
  <c r="AR48" i="12" s="1"/>
  <c r="AS15" i="12"/>
  <c r="AS17" i="12" s="1"/>
  <c r="AS58" i="12" s="1"/>
  <c r="AR18" i="12"/>
  <c r="V12" i="8"/>
  <c r="V11" i="8" s="1"/>
  <c r="Q19" i="16"/>
  <c r="AL5" i="8"/>
  <c r="G37" i="16"/>
  <c r="P19" i="16"/>
  <c r="H38" i="16"/>
  <c r="I38" i="16" s="1"/>
  <c r="BK236" i="12"/>
  <c r="BK246" i="12" s="1"/>
  <c r="BK256" i="12" s="1"/>
  <c r="BM236" i="12"/>
  <c r="BM246" i="12" s="1"/>
  <c r="BM256" i="12" s="1"/>
  <c r="Q20" i="16"/>
  <c r="D79" i="13"/>
  <c r="D89" i="13" s="1"/>
  <c r="D99" i="13" s="1"/>
  <c r="D109" i="13" s="1"/>
  <c r="BN236" i="12"/>
  <c r="BN246" i="12" s="1"/>
  <c r="BN256" i="12" s="1"/>
  <c r="BO213" i="13"/>
  <c r="BL236" i="12"/>
  <c r="BL246" i="12" s="1"/>
  <c r="BL256" i="12" s="1"/>
  <c r="F21" i="16"/>
  <c r="L20" i="11"/>
  <c r="L43" i="11" s="1"/>
  <c r="BL89" i="13"/>
  <c r="AR69" i="13"/>
  <c r="AR110" i="13" s="1"/>
  <c r="AR121" i="13"/>
  <c r="AR162" i="13" s="1"/>
  <c r="BN110" i="13"/>
  <c r="BM162" i="13"/>
  <c r="F38" i="16"/>
  <c r="P35" i="16" s="1"/>
  <c r="BO204" i="13"/>
  <c r="F170" i="13"/>
  <c r="I21" i="16"/>
  <c r="K21" i="16"/>
  <c r="BM204" i="13"/>
  <c r="N37" i="1"/>
  <c r="BK141" i="13"/>
  <c r="BO162" i="13"/>
  <c r="BL110" i="13"/>
  <c r="BN141" i="13"/>
  <c r="BM89" i="12"/>
  <c r="D110" i="13"/>
  <c r="AR69" i="12"/>
  <c r="AR110" i="12" s="1"/>
  <c r="L118" i="13"/>
  <c r="D129" i="13" s="1"/>
  <c r="BN89" i="13"/>
  <c r="BL141" i="13"/>
  <c r="BN162" i="13"/>
  <c r="L66" i="13"/>
  <c r="D78" i="13" s="1"/>
  <c r="BL88" i="13" s="1"/>
  <c r="BL98" i="13" s="1"/>
  <c r="BL108" i="13" s="1"/>
  <c r="BK162" i="13"/>
  <c r="BM110" i="13"/>
  <c r="BM236" i="13"/>
  <c r="BM246" i="13" s="1"/>
  <c r="BL162" i="13"/>
  <c r="BL89" i="12"/>
  <c r="BL236" i="13"/>
  <c r="BL246" i="13" s="1"/>
  <c r="BM89" i="13"/>
  <c r="BO110" i="13"/>
  <c r="BK89" i="13"/>
  <c r="BN89" i="12"/>
  <c r="BM110" i="12"/>
  <c r="D70" i="12"/>
  <c r="BK89" i="12"/>
  <c r="L66" i="12"/>
  <c r="D78" i="12" s="1"/>
  <c r="BN88" i="12" s="1"/>
  <c r="BN98" i="12" s="1"/>
  <c r="BN108" i="12" s="1"/>
  <c r="F39" i="16"/>
  <c r="O170" i="13"/>
  <c r="D173" i="13" s="1"/>
  <c r="BK236" i="13"/>
  <c r="BK246" i="13" s="1"/>
  <c r="BN204" i="13"/>
  <c r="BL110" i="12"/>
  <c r="I170" i="12"/>
  <c r="O171" i="12" s="1"/>
  <c r="B21" i="8"/>
  <c r="AJ6" i="8" s="1"/>
  <c r="BO110" i="12"/>
  <c r="A215" i="13"/>
  <c r="BK204" i="13"/>
  <c r="BL204" i="13"/>
  <c r="BN110" i="12"/>
  <c r="BK110" i="12"/>
  <c r="W59" i="8"/>
  <c r="X59" i="8" s="1"/>
  <c r="W69" i="8"/>
  <c r="X69" i="8" s="1"/>
  <c r="D79" i="12"/>
  <c r="D80" i="12" s="1"/>
  <c r="D90" i="12" s="1"/>
  <c r="D100" i="12" s="1"/>
  <c r="W29" i="8"/>
  <c r="X29" i="8" s="1"/>
  <c r="W19" i="8"/>
  <c r="X19" i="8" s="1"/>
  <c r="BK141" i="12"/>
  <c r="W39" i="8"/>
  <c r="X39" i="8" s="1"/>
  <c r="W50" i="8"/>
  <c r="X50" i="8" s="1"/>
  <c r="W70" i="8"/>
  <c r="X70" i="8" s="1"/>
  <c r="W60" i="8"/>
  <c r="X60" i="8" s="1"/>
  <c r="L22" i="11"/>
  <c r="L45" i="11" s="1"/>
  <c r="B22" i="8"/>
  <c r="D131" i="12"/>
  <c r="D132" i="12" s="1"/>
  <c r="D142" i="12" s="1"/>
  <c r="D152" i="12" s="1"/>
  <c r="W30" i="8"/>
  <c r="X30" i="8" s="1"/>
  <c r="I274" i="12"/>
  <c r="F274" i="12" s="1"/>
  <c r="H13" i="8" s="1"/>
  <c r="AR121" i="12"/>
  <c r="AR162" i="12" s="1"/>
  <c r="D121" i="13"/>
  <c r="D131" i="13" s="1"/>
  <c r="L118" i="12"/>
  <c r="D126" i="12" s="1"/>
  <c r="D162" i="12"/>
  <c r="I222" i="13"/>
  <c r="BN256" i="13" s="1"/>
  <c r="BO162" i="12"/>
  <c r="W40" i="8"/>
  <c r="X40" i="8" s="1"/>
  <c r="B23" i="8"/>
  <c r="AJ4" i="8" s="1"/>
  <c r="L24" i="11"/>
  <c r="L47" i="11" s="1"/>
  <c r="BN141" i="12"/>
  <c r="BL141" i="12"/>
  <c r="BL162" i="12"/>
  <c r="BN162" i="12"/>
  <c r="BK162" i="12"/>
  <c r="BM162" i="12"/>
  <c r="BM288" i="12"/>
  <c r="BM298" i="12" s="1"/>
  <c r="BL288" i="12"/>
  <c r="BL298" i="12" s="1"/>
  <c r="BN288" i="12"/>
  <c r="BN298" i="12" s="1"/>
  <c r="BL34" i="12"/>
  <c r="BL44" i="12" s="1"/>
  <c r="BL54" i="12" s="1"/>
  <c r="BM34" i="12"/>
  <c r="BM44" i="12" s="1"/>
  <c r="BM54" i="12" s="1"/>
  <c r="BN34" i="12"/>
  <c r="BN44" i="12" s="1"/>
  <c r="BN54" i="12" s="1"/>
  <c r="BN288" i="13"/>
  <c r="BN298" i="13" s="1"/>
  <c r="BN308" i="13" s="1"/>
  <c r="BL288" i="13"/>
  <c r="BL298" i="13" s="1"/>
  <c r="BL308" i="13" s="1"/>
  <c r="BM288" i="13"/>
  <c r="BM298" i="13" s="1"/>
  <c r="BM308" i="13" s="1"/>
  <c r="AL4" i="8"/>
  <c r="K22" i="16"/>
  <c r="AK6" i="8"/>
  <c r="I22" i="16"/>
  <c r="H39" i="16"/>
  <c r="R17" i="16"/>
  <c r="O222" i="12"/>
  <c r="F222" i="12"/>
  <c r="H12" i="8" s="1"/>
  <c r="A267" i="12"/>
  <c r="D12" i="8"/>
  <c r="N9" i="8" s="1"/>
  <c r="BO256" i="12"/>
  <c r="J12" i="8"/>
  <c r="BO265" i="12"/>
  <c r="O275" i="13"/>
  <c r="BK288" i="13"/>
  <c r="BK298" i="13" s="1"/>
  <c r="BK308" i="13" s="1"/>
  <c r="BK288" i="12"/>
  <c r="BK298" i="12" s="1"/>
  <c r="O223" i="12"/>
  <c r="F22" i="16"/>
  <c r="N38" i="1"/>
  <c r="F274" i="13"/>
  <c r="I13" i="8" s="1"/>
  <c r="A319" i="13"/>
  <c r="O274" i="13"/>
  <c r="BO308" i="13"/>
  <c r="BO317" i="13"/>
  <c r="D34" i="12"/>
  <c r="BK34" i="12"/>
  <c r="BK44" i="12" s="1"/>
  <c r="BK54" i="12" s="1"/>
  <c r="O34" i="16"/>
  <c r="BN47" i="12" l="1"/>
  <c r="BN57" i="12" s="1"/>
  <c r="D28" i="12"/>
  <c r="D38" i="12" s="1"/>
  <c r="D48" i="12" s="1"/>
  <c r="BM47" i="12"/>
  <c r="BM57" i="12" s="1"/>
  <c r="D37" i="12"/>
  <c r="D47" i="12" s="1"/>
  <c r="D57" i="12" s="1"/>
  <c r="BL47" i="12"/>
  <c r="BL57" i="12" s="1"/>
  <c r="AJ5" i="8"/>
  <c r="C12" i="8"/>
  <c r="M9" i="8" s="1"/>
  <c r="BZ20" i="8"/>
  <c r="Q36" i="16"/>
  <c r="BZ40" i="8"/>
  <c r="BZ71" i="8"/>
  <c r="BZ70" i="8"/>
  <c r="BZ41" i="8"/>
  <c r="BN193" i="13"/>
  <c r="I11" i="8"/>
  <c r="S10" i="8" s="1"/>
  <c r="BX73" i="8"/>
  <c r="BX43" i="8"/>
  <c r="BX23" i="8"/>
  <c r="BV23" i="8"/>
  <c r="BX72" i="8"/>
  <c r="BX42" i="8"/>
  <c r="BX22" i="8"/>
  <c r="BV22" i="8"/>
  <c r="BB42" i="8"/>
  <c r="BB72" i="8"/>
  <c r="BQ72" i="8"/>
  <c r="BV72" i="8" s="1"/>
  <c r="BO43" i="8"/>
  <c r="BQ42" i="8"/>
  <c r="BV42" i="8" s="1"/>
  <c r="BA43" i="8"/>
  <c r="AV23" i="8"/>
  <c r="BB22" i="8"/>
  <c r="BD22" i="8"/>
  <c r="BA23" i="8"/>
  <c r="BZ21" i="8"/>
  <c r="BG22" i="8"/>
  <c r="K38" i="16"/>
  <c r="AR34" i="12"/>
  <c r="AR44" i="12" s="1"/>
  <c r="AR54" i="12" s="1"/>
  <c r="AR36" i="12"/>
  <c r="AR46" i="12" s="1"/>
  <c r="AR56" i="12" s="1"/>
  <c r="D36" i="12"/>
  <c r="BO36" i="12" s="1"/>
  <c r="BL36" i="12"/>
  <c r="BL46" i="12" s="1"/>
  <c r="BL56" i="12" s="1"/>
  <c r="BK36" i="12"/>
  <c r="BK46" i="12" s="1"/>
  <c r="BK56" i="12" s="1"/>
  <c r="BM36" i="12"/>
  <c r="BM46" i="12" s="1"/>
  <c r="BM56" i="12" s="1"/>
  <c r="BN36" i="12"/>
  <c r="BN46" i="12" s="1"/>
  <c r="BN56" i="12" s="1"/>
  <c r="D26" i="13"/>
  <c r="BN36" i="13" s="1"/>
  <c r="BN46" i="13" s="1"/>
  <c r="BN56" i="13" s="1"/>
  <c r="BK33" i="12"/>
  <c r="BK43" i="12" s="1"/>
  <c r="BK53" i="12" s="1"/>
  <c r="AR27" i="13"/>
  <c r="AR28" i="13" s="1"/>
  <c r="AR38" i="13" s="1"/>
  <c r="AR48" i="13" s="1"/>
  <c r="D19" i="13"/>
  <c r="BM29" i="13" s="1"/>
  <c r="BM39" i="13" s="1"/>
  <c r="BM49" i="13" s="1"/>
  <c r="D23" i="13"/>
  <c r="BN33" i="13" s="1"/>
  <c r="BN43" i="13" s="1"/>
  <c r="BN53" i="13" s="1"/>
  <c r="BK29" i="12"/>
  <c r="BK39" i="12" s="1"/>
  <c r="BK49" i="12" s="1"/>
  <c r="D21" i="13"/>
  <c r="BM31" i="13" s="1"/>
  <c r="BM41" i="13" s="1"/>
  <c r="BM51" i="13" s="1"/>
  <c r="AR18" i="13"/>
  <c r="D20" i="13"/>
  <c r="BN30" i="13" s="1"/>
  <c r="BN40" i="13" s="1"/>
  <c r="BN50" i="13" s="1"/>
  <c r="D25" i="13"/>
  <c r="BN35" i="13" s="1"/>
  <c r="BN45" i="13" s="1"/>
  <c r="BN55" i="13" s="1"/>
  <c r="D24" i="13"/>
  <c r="BL34" i="13" s="1"/>
  <c r="BL44" i="13" s="1"/>
  <c r="BL54" i="13" s="1"/>
  <c r="AS15" i="13"/>
  <c r="AS17" i="13" s="1"/>
  <c r="AT17" i="13" s="1"/>
  <c r="F17" i="12"/>
  <c r="F27" i="12" s="1"/>
  <c r="F31" i="12" s="1"/>
  <c r="F41" i="12" s="1"/>
  <c r="F51" i="12" s="1"/>
  <c r="BK30" i="12"/>
  <c r="BK40" i="12" s="1"/>
  <c r="BK50" i="12" s="1"/>
  <c r="BN30" i="12"/>
  <c r="BN40" i="12" s="1"/>
  <c r="BN50" i="12" s="1"/>
  <c r="AR33" i="12"/>
  <c r="AR43" i="12" s="1"/>
  <c r="AR53" i="12" s="1"/>
  <c r="BM33" i="12"/>
  <c r="BM43" i="12" s="1"/>
  <c r="BM53" i="12" s="1"/>
  <c r="D33" i="12"/>
  <c r="BO33" i="12" s="1"/>
  <c r="BL33" i="12"/>
  <c r="BL43" i="12" s="1"/>
  <c r="BL53" i="12" s="1"/>
  <c r="BN31" i="12"/>
  <c r="BN41" i="12" s="1"/>
  <c r="BN51" i="12" s="1"/>
  <c r="D27" i="13"/>
  <c r="BK47" i="13" s="1"/>
  <c r="BK57" i="13" s="1"/>
  <c r="F15" i="13"/>
  <c r="E17" i="13" s="1"/>
  <c r="E27" i="13" s="1"/>
  <c r="E32" i="13" s="1"/>
  <c r="BL30" i="12"/>
  <c r="BL40" i="12" s="1"/>
  <c r="BL50" i="12" s="1"/>
  <c r="D18" i="13"/>
  <c r="D30" i="12"/>
  <c r="D40" i="12" s="1"/>
  <c r="AS18" i="12"/>
  <c r="BM31" i="12"/>
  <c r="BM41" i="12" s="1"/>
  <c r="BM51" i="12" s="1"/>
  <c r="AT17" i="12"/>
  <c r="AT18" i="12" s="1"/>
  <c r="BK31" i="12"/>
  <c r="BK41" i="12" s="1"/>
  <c r="BK51" i="12" s="1"/>
  <c r="E18" i="12"/>
  <c r="D31" i="12"/>
  <c r="BO31" i="12" s="1"/>
  <c r="E27" i="12"/>
  <c r="E31" i="12" s="1"/>
  <c r="E41" i="12" s="1"/>
  <c r="E51" i="12" s="1"/>
  <c r="AS27" i="12"/>
  <c r="AS36" i="12" s="1"/>
  <c r="AS46" i="12" s="1"/>
  <c r="AS56" i="12" s="1"/>
  <c r="BM35" i="12"/>
  <c r="BM45" i="12" s="1"/>
  <c r="BM55" i="12" s="1"/>
  <c r="AR31" i="12"/>
  <c r="AR41" i="12" s="1"/>
  <c r="AR51" i="12" s="1"/>
  <c r="BM29" i="12"/>
  <c r="BM39" i="12" s="1"/>
  <c r="BM49" i="12" s="1"/>
  <c r="AR30" i="12"/>
  <c r="AR40" i="12" s="1"/>
  <c r="AR50" i="12" s="1"/>
  <c r="AR29" i="12"/>
  <c r="AR39" i="12" s="1"/>
  <c r="AR49" i="12" s="1"/>
  <c r="BL29" i="12"/>
  <c r="BL39" i="12" s="1"/>
  <c r="BL49" i="12" s="1"/>
  <c r="AR37" i="12"/>
  <c r="AR47" i="12" s="1"/>
  <c r="AR57" i="12" s="1"/>
  <c r="D29" i="12"/>
  <c r="D39" i="12" s="1"/>
  <c r="AR35" i="12"/>
  <c r="AR45" i="12" s="1"/>
  <c r="AR55" i="12" s="1"/>
  <c r="D35" i="12"/>
  <c r="D45" i="12" s="1"/>
  <c r="BN35" i="12"/>
  <c r="BN45" i="12" s="1"/>
  <c r="BN55" i="12" s="1"/>
  <c r="BL32" i="12"/>
  <c r="BL42" i="12" s="1"/>
  <c r="BL52" i="12" s="1"/>
  <c r="BK32" i="12"/>
  <c r="BK42" i="12" s="1"/>
  <c r="BK52" i="12" s="1"/>
  <c r="BN32" i="12"/>
  <c r="BN42" i="12" s="1"/>
  <c r="BN52" i="12" s="1"/>
  <c r="AR32" i="12"/>
  <c r="AR42" i="12" s="1"/>
  <c r="AR52" i="12" s="1"/>
  <c r="BK35" i="12"/>
  <c r="BK45" i="12" s="1"/>
  <c r="BK55" i="12" s="1"/>
  <c r="D32" i="12"/>
  <c r="D42" i="12" s="1"/>
  <c r="D130" i="12"/>
  <c r="BN140" i="12" s="1"/>
  <c r="BN150" i="12" s="1"/>
  <c r="BN160" i="12" s="1"/>
  <c r="F11" i="8"/>
  <c r="D75" i="12"/>
  <c r="BM85" i="12" s="1"/>
  <c r="BM95" i="12" s="1"/>
  <c r="BM105" i="12" s="1"/>
  <c r="B31" i="8"/>
  <c r="B41" i="8" s="1"/>
  <c r="B51" i="8" s="1"/>
  <c r="B61" i="8" s="1"/>
  <c r="B71" i="8" s="1"/>
  <c r="BM99" i="13"/>
  <c r="BM109" i="13" s="1"/>
  <c r="BL99" i="13"/>
  <c r="BL109" i="13" s="1"/>
  <c r="R35" i="16"/>
  <c r="AS67" i="13"/>
  <c r="AS69" i="13" s="1"/>
  <c r="AT69" i="13" s="1"/>
  <c r="AU69" i="13" s="1"/>
  <c r="D80" i="13"/>
  <c r="D90" i="13" s="1"/>
  <c r="D100" i="13" s="1"/>
  <c r="AR79" i="13"/>
  <c r="AR80" i="13" s="1"/>
  <c r="AR90" i="13" s="1"/>
  <c r="AR100" i="13" s="1"/>
  <c r="BK99" i="13"/>
  <c r="BK109" i="13" s="1"/>
  <c r="BN99" i="13"/>
  <c r="BN109" i="13" s="1"/>
  <c r="AS67" i="12"/>
  <c r="AS69" i="12" s="1"/>
  <c r="AS70" i="12" s="1"/>
  <c r="AS119" i="13"/>
  <c r="AS121" i="13" s="1"/>
  <c r="AS162" i="13" s="1"/>
  <c r="F67" i="12"/>
  <c r="E69" i="12" s="1"/>
  <c r="E79" i="12" s="1"/>
  <c r="E80" i="12" s="1"/>
  <c r="E90" i="12" s="1"/>
  <c r="E100" i="12" s="1"/>
  <c r="BL193" i="13"/>
  <c r="BN214" i="13"/>
  <c r="AR79" i="12"/>
  <c r="AR80" i="12" s="1"/>
  <c r="AR90" i="12" s="1"/>
  <c r="AR100" i="12" s="1"/>
  <c r="D89" i="12"/>
  <c r="D99" i="12" s="1"/>
  <c r="D109" i="12" s="1"/>
  <c r="P18" i="16"/>
  <c r="G21" i="16"/>
  <c r="F67" i="13"/>
  <c r="E69" i="13" s="1"/>
  <c r="E70" i="13" s="1"/>
  <c r="BO214" i="13"/>
  <c r="AR70" i="13"/>
  <c r="BK214" i="13"/>
  <c r="BM193" i="13"/>
  <c r="BM214" i="13"/>
  <c r="AR173" i="13"/>
  <c r="AR214" i="13" s="1"/>
  <c r="BL214" i="13"/>
  <c r="D162" i="13"/>
  <c r="G38" i="16"/>
  <c r="AR131" i="13"/>
  <c r="AR132" i="13" s="1"/>
  <c r="AR142" i="13" s="1"/>
  <c r="AR152" i="13" s="1"/>
  <c r="BL204" i="12"/>
  <c r="D73" i="13"/>
  <c r="BM83" i="13" s="1"/>
  <c r="BM93" i="13" s="1"/>
  <c r="BM103" i="13" s="1"/>
  <c r="A215" i="12"/>
  <c r="BM99" i="12"/>
  <c r="BM109" i="12" s="1"/>
  <c r="A319" i="12"/>
  <c r="AR122" i="13"/>
  <c r="BN204" i="12"/>
  <c r="D125" i="13"/>
  <c r="BM135" i="13" s="1"/>
  <c r="BM145" i="13" s="1"/>
  <c r="BM155" i="13" s="1"/>
  <c r="D123" i="13"/>
  <c r="D133" i="13" s="1"/>
  <c r="BK88" i="13"/>
  <c r="BK98" i="13" s="1"/>
  <c r="BK108" i="13" s="1"/>
  <c r="D126" i="13"/>
  <c r="BL136" i="13" s="1"/>
  <c r="BL146" i="13" s="1"/>
  <c r="BL156" i="13" s="1"/>
  <c r="D72" i="13"/>
  <c r="BN82" i="13" s="1"/>
  <c r="BN92" i="13" s="1"/>
  <c r="BN102" i="13" s="1"/>
  <c r="D75" i="13"/>
  <c r="BM85" i="13" s="1"/>
  <c r="BM95" i="13" s="1"/>
  <c r="BM105" i="13" s="1"/>
  <c r="D77" i="13"/>
  <c r="BM87" i="13" s="1"/>
  <c r="BM97" i="13" s="1"/>
  <c r="BM107" i="13" s="1"/>
  <c r="D74" i="13"/>
  <c r="BN84" i="13" s="1"/>
  <c r="BN94" i="13" s="1"/>
  <c r="BN104" i="13" s="1"/>
  <c r="D77" i="12"/>
  <c r="BL87" i="12" s="1"/>
  <c r="BL97" i="12" s="1"/>
  <c r="BL107" i="12" s="1"/>
  <c r="BK193" i="13"/>
  <c r="L170" i="13"/>
  <c r="D180" i="13" s="1"/>
  <c r="D124" i="13"/>
  <c r="BM88" i="13"/>
  <c r="BM98" i="13" s="1"/>
  <c r="BM108" i="13" s="1"/>
  <c r="D76" i="13"/>
  <c r="BK86" i="13" s="1"/>
  <c r="BK96" i="13" s="1"/>
  <c r="BK106" i="13" s="1"/>
  <c r="AR70" i="12"/>
  <c r="D214" i="13"/>
  <c r="BL99" i="12"/>
  <c r="BL109" i="12" s="1"/>
  <c r="D174" i="13"/>
  <c r="BK204" i="12"/>
  <c r="O170" i="12"/>
  <c r="D173" i="12" s="1"/>
  <c r="D183" i="12" s="1"/>
  <c r="BO204" i="12"/>
  <c r="D183" i="13"/>
  <c r="D193" i="13" s="1"/>
  <c r="D203" i="13" s="1"/>
  <c r="D213" i="13" s="1"/>
  <c r="F119" i="13"/>
  <c r="E121" i="13" s="1"/>
  <c r="E162" i="13" s="1"/>
  <c r="D127" i="13"/>
  <c r="BL137" i="13" s="1"/>
  <c r="BL147" i="13" s="1"/>
  <c r="BL157" i="13" s="1"/>
  <c r="D128" i="13"/>
  <c r="BL138" i="13" s="1"/>
  <c r="BL148" i="13" s="1"/>
  <c r="BL158" i="13" s="1"/>
  <c r="BN88" i="13"/>
  <c r="BN98" i="13" s="1"/>
  <c r="BN108" i="13" s="1"/>
  <c r="BM204" i="12"/>
  <c r="C11" i="8"/>
  <c r="M10" i="8" s="1"/>
  <c r="V10" i="8" s="1"/>
  <c r="J11" i="8"/>
  <c r="W21" i="8" s="1"/>
  <c r="X21" i="8" s="1"/>
  <c r="D71" i="13"/>
  <c r="D81" i="13" s="1"/>
  <c r="F170" i="12"/>
  <c r="H11" i="8" s="1"/>
  <c r="BK151" i="12"/>
  <c r="BK161" i="12" s="1"/>
  <c r="BO213" i="12"/>
  <c r="BN99" i="12"/>
  <c r="BN109" i="12" s="1"/>
  <c r="D88" i="13"/>
  <c r="D98" i="13" s="1"/>
  <c r="D130" i="13"/>
  <c r="BM140" i="13" s="1"/>
  <c r="BM150" i="13" s="1"/>
  <c r="BM160" i="13" s="1"/>
  <c r="D11" i="8"/>
  <c r="N10" i="8" s="1"/>
  <c r="BK99" i="12"/>
  <c r="BK109" i="12" s="1"/>
  <c r="D72" i="12"/>
  <c r="D74" i="12"/>
  <c r="D76" i="12"/>
  <c r="BM86" i="12" s="1"/>
  <c r="BM96" i="12" s="1"/>
  <c r="BM106" i="12" s="1"/>
  <c r="BO308" i="12"/>
  <c r="D71" i="12"/>
  <c r="D73" i="12"/>
  <c r="BK308" i="12"/>
  <c r="D13" i="8"/>
  <c r="N8" i="8" s="1"/>
  <c r="BO256" i="13"/>
  <c r="BL256" i="13"/>
  <c r="BL88" i="12"/>
  <c r="BL98" i="12" s="1"/>
  <c r="BL108" i="12" s="1"/>
  <c r="BM88" i="12"/>
  <c r="BM98" i="12" s="1"/>
  <c r="BM108" i="12" s="1"/>
  <c r="AR88" i="12"/>
  <c r="AR98" i="12" s="1"/>
  <c r="AR108" i="12" s="1"/>
  <c r="BK88" i="12"/>
  <c r="BK98" i="12" s="1"/>
  <c r="BK108" i="12" s="1"/>
  <c r="D88" i="12"/>
  <c r="D98" i="12" s="1"/>
  <c r="BO317" i="12"/>
  <c r="O222" i="13"/>
  <c r="B33" i="8"/>
  <c r="B43" i="8" s="1"/>
  <c r="B53" i="8" s="1"/>
  <c r="B63" i="8" s="1"/>
  <c r="B73" i="8" s="1"/>
  <c r="B32" i="8"/>
  <c r="B42" i="8" s="1"/>
  <c r="B52" i="8" s="1"/>
  <c r="B62" i="8" s="1"/>
  <c r="B72" i="8" s="1"/>
  <c r="BM151" i="12"/>
  <c r="BM161" i="12" s="1"/>
  <c r="D141" i="12"/>
  <c r="D151" i="12" s="1"/>
  <c r="D161" i="12" s="1"/>
  <c r="BL151" i="12"/>
  <c r="BL161" i="12" s="1"/>
  <c r="O275" i="12"/>
  <c r="O274" i="12"/>
  <c r="BK256" i="13"/>
  <c r="AS119" i="12"/>
  <c r="AS121" i="12" s="1"/>
  <c r="AT121" i="12" s="1"/>
  <c r="BO265" i="13"/>
  <c r="F222" i="13"/>
  <c r="D127" i="12"/>
  <c r="BM137" i="12" s="1"/>
  <c r="BM147" i="12" s="1"/>
  <c r="BM157" i="12" s="1"/>
  <c r="C13" i="8"/>
  <c r="M8" i="8" s="1"/>
  <c r="J13" i="8"/>
  <c r="W53" i="8" s="1"/>
  <c r="X53" i="8" s="1"/>
  <c r="O223" i="13"/>
  <c r="A267" i="13"/>
  <c r="D122" i="13"/>
  <c r="BM308" i="12"/>
  <c r="BM151" i="13"/>
  <c r="BM161" i="13" s="1"/>
  <c r="D141" i="13"/>
  <c r="D151" i="13" s="1"/>
  <c r="D161" i="13" s="1"/>
  <c r="D132" i="13"/>
  <c r="D142" i="13" s="1"/>
  <c r="D152" i="13" s="1"/>
  <c r="BM256" i="13"/>
  <c r="BN151" i="12"/>
  <c r="BN161" i="12" s="1"/>
  <c r="BL151" i="13"/>
  <c r="BL161" i="13" s="1"/>
  <c r="BL308" i="12"/>
  <c r="BN308" i="12"/>
  <c r="BN151" i="13"/>
  <c r="BN161" i="13" s="1"/>
  <c r="AR122" i="12"/>
  <c r="D128" i="12"/>
  <c r="BM138" i="12" s="1"/>
  <c r="BM148" i="12" s="1"/>
  <c r="BM158" i="12" s="1"/>
  <c r="D125" i="12"/>
  <c r="BL135" i="12" s="1"/>
  <c r="BL145" i="12" s="1"/>
  <c r="BL155" i="12" s="1"/>
  <c r="AR131" i="12"/>
  <c r="AR141" i="12" s="1"/>
  <c r="AR151" i="12" s="1"/>
  <c r="AR161" i="12" s="1"/>
  <c r="D123" i="12"/>
  <c r="D133" i="12" s="1"/>
  <c r="D124" i="12"/>
  <c r="BL134" i="12" s="1"/>
  <c r="BL144" i="12" s="1"/>
  <c r="BL154" i="12" s="1"/>
  <c r="F119" i="12"/>
  <c r="E121" i="12" s="1"/>
  <c r="F121" i="12" s="1"/>
  <c r="D277" i="13"/>
  <c r="D287" i="13" s="1"/>
  <c r="D129" i="12"/>
  <c r="BN139" i="12" s="1"/>
  <c r="BN149" i="12" s="1"/>
  <c r="BN159" i="12" s="1"/>
  <c r="BK151" i="13"/>
  <c r="BK161" i="13" s="1"/>
  <c r="BN318" i="13"/>
  <c r="BM318" i="13"/>
  <c r="BL318" i="13"/>
  <c r="BN297" i="13"/>
  <c r="BL297" i="13"/>
  <c r="BM297" i="13"/>
  <c r="BL139" i="13"/>
  <c r="BL149" i="13" s="1"/>
  <c r="BL159" i="13" s="1"/>
  <c r="BM139" i="13"/>
  <c r="BM149" i="13" s="1"/>
  <c r="BM159" i="13" s="1"/>
  <c r="BN139" i="13"/>
  <c r="BN149" i="13" s="1"/>
  <c r="BN159" i="13" s="1"/>
  <c r="BL136" i="12"/>
  <c r="BL146" i="12" s="1"/>
  <c r="BL156" i="12" s="1"/>
  <c r="BM136" i="12"/>
  <c r="BM146" i="12" s="1"/>
  <c r="BM156" i="12" s="1"/>
  <c r="BN136" i="12"/>
  <c r="BN146" i="12" s="1"/>
  <c r="BN156" i="12" s="1"/>
  <c r="BM318" i="12"/>
  <c r="BN318" i="12"/>
  <c r="BL318" i="12"/>
  <c r="BL297" i="12"/>
  <c r="BM297" i="12"/>
  <c r="BN297" i="12"/>
  <c r="BM266" i="12"/>
  <c r="BN266" i="12"/>
  <c r="BL245" i="12"/>
  <c r="BL266" i="12"/>
  <c r="BM245" i="12"/>
  <c r="BN245" i="12"/>
  <c r="BL32" i="13"/>
  <c r="BL42" i="13" s="1"/>
  <c r="BL52" i="13" s="1"/>
  <c r="BM32" i="13"/>
  <c r="BM42" i="13" s="1"/>
  <c r="BM52" i="13" s="1"/>
  <c r="BN32" i="13"/>
  <c r="BN42" i="13" s="1"/>
  <c r="BN52" i="13" s="1"/>
  <c r="W22" i="8"/>
  <c r="X22" i="8" s="1"/>
  <c r="W72" i="8"/>
  <c r="X72" i="8" s="1"/>
  <c r="W52" i="8"/>
  <c r="X52" i="8" s="1"/>
  <c r="W42" i="8"/>
  <c r="X42" i="8" s="1"/>
  <c r="W62" i="8"/>
  <c r="X62" i="8" s="1"/>
  <c r="W32" i="8"/>
  <c r="X32" i="8" s="1"/>
  <c r="BK139" i="13"/>
  <c r="BK149" i="13" s="1"/>
  <c r="BK159" i="13" s="1"/>
  <c r="D139" i="13"/>
  <c r="D136" i="12"/>
  <c r="BK136" i="12"/>
  <c r="BK146" i="12" s="1"/>
  <c r="BK156" i="12" s="1"/>
  <c r="AR225" i="12"/>
  <c r="AR266" i="12" s="1"/>
  <c r="L222" i="12"/>
  <c r="R9" i="8"/>
  <c r="BO266" i="12"/>
  <c r="BK245" i="12"/>
  <c r="BK266" i="12"/>
  <c r="I39" i="16"/>
  <c r="R34" i="16"/>
  <c r="R8" i="8"/>
  <c r="AR277" i="12"/>
  <c r="L274" i="12"/>
  <c r="BK318" i="12"/>
  <c r="BO318" i="12"/>
  <c r="BK297" i="12"/>
  <c r="P34" i="16"/>
  <c r="G39" i="16"/>
  <c r="D44" i="12"/>
  <c r="BO34" i="12"/>
  <c r="S8" i="8"/>
  <c r="L274" i="13"/>
  <c r="BK318" i="13"/>
  <c r="BO318" i="13"/>
  <c r="BK297" i="13"/>
  <c r="AR277" i="13"/>
  <c r="P17" i="16"/>
  <c r="G22" i="16"/>
  <c r="D225" i="12"/>
  <c r="BK32" i="13"/>
  <c r="BK42" i="13" s="1"/>
  <c r="BK52" i="13" s="1"/>
  <c r="K39" i="16"/>
  <c r="E34" i="12" l="1"/>
  <c r="E44" i="12" s="1"/>
  <c r="E54" i="12" s="1"/>
  <c r="E33" i="12"/>
  <c r="E43" i="12" s="1"/>
  <c r="E53" i="12" s="1"/>
  <c r="E88" i="12"/>
  <c r="E98" i="12" s="1"/>
  <c r="E108" i="12" s="1"/>
  <c r="AR88" i="13"/>
  <c r="AR98" i="13" s="1"/>
  <c r="AR108" i="13" s="1"/>
  <c r="AR139" i="13"/>
  <c r="AR149" i="13" s="1"/>
  <c r="AR159" i="13" s="1"/>
  <c r="BY41" i="8"/>
  <c r="F12" i="8"/>
  <c r="P9" i="8" s="1"/>
  <c r="G12" i="8"/>
  <c r="Q9" i="8" s="1"/>
  <c r="BN245" i="13"/>
  <c r="I12" i="8"/>
  <c r="S9" i="8" s="1"/>
  <c r="BW43" i="8"/>
  <c r="BW23" i="8"/>
  <c r="BU23" i="8"/>
  <c r="BW42" i="8"/>
  <c r="BW22" i="8"/>
  <c r="BU22" i="8"/>
  <c r="BB43" i="8"/>
  <c r="BB73" i="8"/>
  <c r="BQ73" i="8"/>
  <c r="BV73" i="8" s="1"/>
  <c r="BQ43" i="8"/>
  <c r="BV43" i="8" s="1"/>
  <c r="BB23" i="8"/>
  <c r="BD23" i="8"/>
  <c r="P10" i="8"/>
  <c r="BY21" i="8"/>
  <c r="AK5" i="8"/>
  <c r="AR32" i="13"/>
  <c r="AR42" i="13" s="1"/>
  <c r="AR52" i="13" s="1"/>
  <c r="BN31" i="13"/>
  <c r="BN41" i="13" s="1"/>
  <c r="BN51" i="13" s="1"/>
  <c r="BG23" i="8"/>
  <c r="E35" i="12"/>
  <c r="E45" i="12" s="1"/>
  <c r="E55" i="12" s="1"/>
  <c r="AS31" i="12"/>
  <c r="AS41" i="12" s="1"/>
  <c r="AS51" i="12" s="1"/>
  <c r="E36" i="12"/>
  <c r="E46" i="12" s="1"/>
  <c r="E56" i="12" s="1"/>
  <c r="AS33" i="12"/>
  <c r="AS43" i="12" s="1"/>
  <c r="AS53" i="12" s="1"/>
  <c r="D32" i="13"/>
  <c r="D42" i="13" s="1"/>
  <c r="AS34" i="12"/>
  <c r="AS44" i="12" s="1"/>
  <c r="AS54" i="12" s="1"/>
  <c r="AS35" i="12"/>
  <c r="AS45" i="12" s="1"/>
  <c r="AS55" i="12" s="1"/>
  <c r="AS32" i="12"/>
  <c r="AS42" i="12" s="1"/>
  <c r="AS52" i="12" s="1"/>
  <c r="BM33" i="13"/>
  <c r="BM43" i="13" s="1"/>
  <c r="BM53" i="13" s="1"/>
  <c r="BL31" i="13"/>
  <c r="BL41" i="13" s="1"/>
  <c r="BL51" i="13" s="1"/>
  <c r="D46" i="12"/>
  <c r="BO46" i="12" s="1"/>
  <c r="BO56" i="12" s="1"/>
  <c r="D214" i="12"/>
  <c r="D35" i="13"/>
  <c r="BO35" i="13" s="1"/>
  <c r="AR37" i="13"/>
  <c r="AR47" i="13" s="1"/>
  <c r="AR57" i="13" s="1"/>
  <c r="D34" i="13"/>
  <c r="BO34" i="13" s="1"/>
  <c r="BK31" i="13"/>
  <c r="BK41" i="13" s="1"/>
  <c r="BK51" i="13" s="1"/>
  <c r="BN29" i="13"/>
  <c r="BN39" i="13" s="1"/>
  <c r="BN49" i="13" s="1"/>
  <c r="BN34" i="13"/>
  <c r="BN44" i="13" s="1"/>
  <c r="BN54" i="13" s="1"/>
  <c r="BK36" i="13"/>
  <c r="BK46" i="13" s="1"/>
  <c r="BK56" i="13" s="1"/>
  <c r="AT27" i="12"/>
  <c r="AT31" i="12" s="1"/>
  <c r="AT41" i="12" s="1"/>
  <c r="AT51" i="12" s="1"/>
  <c r="BM36" i="13"/>
  <c r="BM46" i="13" s="1"/>
  <c r="BM56" i="13" s="1"/>
  <c r="BO30" i="12"/>
  <c r="G17" i="12"/>
  <c r="G27" i="12" s="1"/>
  <c r="G31" i="12" s="1"/>
  <c r="G41" i="12" s="1"/>
  <c r="G51" i="12" s="1"/>
  <c r="D33" i="13"/>
  <c r="D43" i="13" s="1"/>
  <c r="D36" i="13"/>
  <c r="D46" i="13" s="1"/>
  <c r="BL36" i="13"/>
  <c r="BL46" i="13" s="1"/>
  <c r="BL56" i="13" s="1"/>
  <c r="BO29" i="12"/>
  <c r="AS37" i="12"/>
  <c r="AS47" i="12" s="1"/>
  <c r="AS57" i="12" s="1"/>
  <c r="AR36" i="13"/>
  <c r="AR46" i="13" s="1"/>
  <c r="AR56" i="13" s="1"/>
  <c r="BL30" i="13"/>
  <c r="BL40" i="13" s="1"/>
  <c r="BL50" i="13" s="1"/>
  <c r="E36" i="13"/>
  <c r="E46" i="13" s="1"/>
  <c r="E56" i="13" s="1"/>
  <c r="BK29" i="13"/>
  <c r="BK39" i="13" s="1"/>
  <c r="BK49" i="13" s="1"/>
  <c r="BL29" i="13"/>
  <c r="BL39" i="13" s="1"/>
  <c r="BL49" i="13" s="1"/>
  <c r="E34" i="13"/>
  <c r="E44" i="13" s="1"/>
  <c r="E54" i="13" s="1"/>
  <c r="AS58" i="13"/>
  <c r="E31" i="13"/>
  <c r="E41" i="13" s="1"/>
  <c r="E51" i="13" s="1"/>
  <c r="AR29" i="13"/>
  <c r="AR39" i="13" s="1"/>
  <c r="AR49" i="13" s="1"/>
  <c r="BM34" i="13"/>
  <c r="BM44" i="13" s="1"/>
  <c r="BM54" i="13" s="1"/>
  <c r="AR34" i="13"/>
  <c r="AR44" i="13" s="1"/>
  <c r="AR54" i="13" s="1"/>
  <c r="AS18" i="13"/>
  <c r="D31" i="13"/>
  <c r="D41" i="13" s="1"/>
  <c r="BM35" i="13"/>
  <c r="BM45" i="13" s="1"/>
  <c r="BM55" i="13" s="1"/>
  <c r="BK35" i="13"/>
  <c r="BK45" i="13" s="1"/>
  <c r="BK55" i="13" s="1"/>
  <c r="D43" i="12"/>
  <c r="BO43" i="12" s="1"/>
  <c r="BO53" i="12" s="1"/>
  <c r="AR35" i="13"/>
  <c r="AR45" i="13" s="1"/>
  <c r="AR55" i="13" s="1"/>
  <c r="E58" i="13"/>
  <c r="BL35" i="13"/>
  <c r="BL45" i="13" s="1"/>
  <c r="BL55" i="13" s="1"/>
  <c r="E42" i="13"/>
  <c r="E52" i="13" s="1"/>
  <c r="E35" i="13"/>
  <c r="E45" i="13" s="1"/>
  <c r="E55" i="13" s="1"/>
  <c r="D30" i="13"/>
  <c r="BO30" i="13" s="1"/>
  <c r="E30" i="13"/>
  <c r="E40" i="13" s="1"/>
  <c r="E50" i="13" s="1"/>
  <c r="F58" i="12"/>
  <c r="E33" i="13"/>
  <c r="E43" i="13" s="1"/>
  <c r="E53" i="13" s="1"/>
  <c r="D29" i="13"/>
  <c r="D39" i="13" s="1"/>
  <c r="D37" i="13"/>
  <c r="D47" i="13" s="1"/>
  <c r="D57" i="13" s="1"/>
  <c r="BN47" i="13"/>
  <c r="BN57" i="13" s="1"/>
  <c r="BM30" i="13"/>
  <c r="BM40" i="13" s="1"/>
  <c r="BM50" i="13" s="1"/>
  <c r="BL33" i="13"/>
  <c r="BL43" i="13" s="1"/>
  <c r="BL53" i="13" s="1"/>
  <c r="BM47" i="13"/>
  <c r="BM57" i="13" s="1"/>
  <c r="AS27" i="13"/>
  <c r="AS31" i="13" s="1"/>
  <c r="AS41" i="13" s="1"/>
  <c r="AS51" i="13" s="1"/>
  <c r="BK30" i="13"/>
  <c r="BK40" i="13" s="1"/>
  <c r="BK50" i="13" s="1"/>
  <c r="F18" i="12"/>
  <c r="BK33" i="13"/>
  <c r="BK43" i="13" s="1"/>
  <c r="BK53" i="13" s="1"/>
  <c r="D28" i="13"/>
  <c r="D38" i="13" s="1"/>
  <c r="D48" i="13" s="1"/>
  <c r="BL47" i="13"/>
  <c r="BL57" i="13" s="1"/>
  <c r="E29" i="12"/>
  <c r="E39" i="12" s="1"/>
  <c r="E49" i="12" s="1"/>
  <c r="BK34" i="13"/>
  <c r="BK44" i="13" s="1"/>
  <c r="BK54" i="13" s="1"/>
  <c r="AR30" i="13"/>
  <c r="AR40" i="13" s="1"/>
  <c r="AR50" i="13" s="1"/>
  <c r="AR33" i="13"/>
  <c r="AR43" i="13" s="1"/>
  <c r="AR53" i="13" s="1"/>
  <c r="AR31" i="13"/>
  <c r="AR41" i="13" s="1"/>
  <c r="AR51" i="13" s="1"/>
  <c r="BO32" i="12"/>
  <c r="AS28" i="12"/>
  <c r="AS38" i="12" s="1"/>
  <c r="AS48" i="12" s="1"/>
  <c r="F17" i="13"/>
  <c r="F18" i="13" s="1"/>
  <c r="AS29" i="12"/>
  <c r="AS39" i="12" s="1"/>
  <c r="AS49" i="12" s="1"/>
  <c r="E18" i="13"/>
  <c r="AS30" i="12"/>
  <c r="AS40" i="12" s="1"/>
  <c r="AS50" i="12" s="1"/>
  <c r="BO35" i="12"/>
  <c r="AU17" i="12"/>
  <c r="AV17" i="12" s="1"/>
  <c r="E28" i="12"/>
  <c r="E38" i="12" s="1"/>
  <c r="E48" i="12" s="1"/>
  <c r="BL140" i="12"/>
  <c r="BL150" i="12" s="1"/>
  <c r="BL160" i="12" s="1"/>
  <c r="AT58" i="12"/>
  <c r="E30" i="12"/>
  <c r="E40" i="12" s="1"/>
  <c r="E50" i="12" s="1"/>
  <c r="E32" i="12"/>
  <c r="E42" i="12" s="1"/>
  <c r="E52" i="12" s="1"/>
  <c r="BL59" i="12"/>
  <c r="BL60" i="12" s="1"/>
  <c r="BM59" i="12"/>
  <c r="BM60" i="12" s="1"/>
  <c r="E37" i="12"/>
  <c r="E47" i="12" s="1"/>
  <c r="E57" i="12" s="1"/>
  <c r="D41" i="12"/>
  <c r="BO41" i="12" s="1"/>
  <c r="BO51" i="12" s="1"/>
  <c r="BK59" i="12"/>
  <c r="BN59" i="12"/>
  <c r="AR59" i="12"/>
  <c r="J34" i="16" s="1"/>
  <c r="G18" i="8" s="1"/>
  <c r="BK140" i="12"/>
  <c r="BK150" i="12" s="1"/>
  <c r="BK160" i="12" s="1"/>
  <c r="D140" i="12"/>
  <c r="D150" i="12" s="1"/>
  <c r="BM140" i="12"/>
  <c r="BM150" i="12" s="1"/>
  <c r="BM160" i="12" s="1"/>
  <c r="AS110" i="12"/>
  <c r="AT69" i="12"/>
  <c r="AT79" i="12" s="1"/>
  <c r="AT83" i="12" s="1"/>
  <c r="AT93" i="12" s="1"/>
  <c r="AT103" i="12" s="1"/>
  <c r="AS79" i="12"/>
  <c r="AS85" i="12" s="1"/>
  <c r="AS95" i="12" s="1"/>
  <c r="AS105" i="12" s="1"/>
  <c r="AR140" i="12"/>
  <c r="AR150" i="12" s="1"/>
  <c r="AR160" i="12" s="1"/>
  <c r="E79" i="13"/>
  <c r="E85" i="13" s="1"/>
  <c r="E95" i="13" s="1"/>
  <c r="E105" i="13" s="1"/>
  <c r="AS171" i="13"/>
  <c r="AS173" i="13" s="1"/>
  <c r="AS174" i="13" s="1"/>
  <c r="AS70" i="13"/>
  <c r="AT110" i="13"/>
  <c r="BN87" i="12"/>
  <c r="BN97" i="12" s="1"/>
  <c r="BN107" i="12" s="1"/>
  <c r="F69" i="13"/>
  <c r="F79" i="13" s="1"/>
  <c r="F80" i="13" s="1"/>
  <c r="F90" i="13" s="1"/>
  <c r="F100" i="13" s="1"/>
  <c r="AS131" i="13"/>
  <c r="AS135" i="13" s="1"/>
  <c r="AS145" i="13" s="1"/>
  <c r="AS155" i="13" s="1"/>
  <c r="AS79" i="13"/>
  <c r="AS86" i="13" s="1"/>
  <c r="AS96" i="13" s="1"/>
  <c r="AS106" i="13" s="1"/>
  <c r="AS122" i="13"/>
  <c r="BK85" i="12"/>
  <c r="BK95" i="12" s="1"/>
  <c r="BK105" i="12" s="1"/>
  <c r="BN137" i="13"/>
  <c r="BN147" i="13" s="1"/>
  <c r="BN157" i="13" s="1"/>
  <c r="D85" i="12"/>
  <c r="D95" i="12" s="1"/>
  <c r="BO95" i="12" s="1"/>
  <c r="BO105" i="12" s="1"/>
  <c r="AT121" i="13"/>
  <c r="AT131" i="13" s="1"/>
  <c r="AT133" i="13" s="1"/>
  <c r="AT143" i="13" s="1"/>
  <c r="AT153" i="13" s="1"/>
  <c r="E85" i="12"/>
  <c r="E95" i="12" s="1"/>
  <c r="E105" i="12" s="1"/>
  <c r="AR89" i="13"/>
  <c r="AR99" i="13" s="1"/>
  <c r="AR109" i="13" s="1"/>
  <c r="BN85" i="12"/>
  <c r="BN95" i="12" s="1"/>
  <c r="BN105" i="12" s="1"/>
  <c r="AR85" i="12"/>
  <c r="AR95" i="12" s="1"/>
  <c r="AR105" i="12" s="1"/>
  <c r="BL85" i="12"/>
  <c r="BL95" i="12" s="1"/>
  <c r="BL105" i="12" s="1"/>
  <c r="BM214" i="12"/>
  <c r="AT79" i="13"/>
  <c r="AT81" i="13" s="1"/>
  <c r="AT91" i="13" s="1"/>
  <c r="AT101" i="13" s="1"/>
  <c r="AS110" i="13"/>
  <c r="AT70" i="13"/>
  <c r="E81" i="12"/>
  <c r="E91" i="12" s="1"/>
  <c r="E101" i="12" s="1"/>
  <c r="F69" i="12"/>
  <c r="F79" i="12" s="1"/>
  <c r="F89" i="12" s="1"/>
  <c r="F99" i="12" s="1"/>
  <c r="F109" i="12" s="1"/>
  <c r="BK193" i="12"/>
  <c r="BK203" i="12" s="1"/>
  <c r="BK213" i="12" s="1"/>
  <c r="BN133" i="13"/>
  <c r="BN143" i="13" s="1"/>
  <c r="BN153" i="13" s="1"/>
  <c r="V9" i="8"/>
  <c r="Q18" i="16"/>
  <c r="E89" i="12"/>
  <c r="E99" i="12" s="1"/>
  <c r="E109" i="12" s="1"/>
  <c r="E82" i="12"/>
  <c r="E92" i="12" s="1"/>
  <c r="E102" i="12" s="1"/>
  <c r="E110" i="12"/>
  <c r="BK82" i="13"/>
  <c r="BK92" i="13" s="1"/>
  <c r="BK102" i="13" s="1"/>
  <c r="AR82" i="13"/>
  <c r="AR92" i="13" s="1"/>
  <c r="AR102" i="13" s="1"/>
  <c r="E83" i="12"/>
  <c r="E93" i="12" s="1"/>
  <c r="E103" i="12" s="1"/>
  <c r="E70" i="12"/>
  <c r="AR141" i="13"/>
  <c r="AR151" i="13" s="1"/>
  <c r="AR161" i="13" s="1"/>
  <c r="BK137" i="13"/>
  <c r="BK147" i="13" s="1"/>
  <c r="BK157" i="13" s="1"/>
  <c r="E87" i="12"/>
  <c r="E97" i="12" s="1"/>
  <c r="E107" i="12" s="1"/>
  <c r="D182" i="13"/>
  <c r="BN192" i="13" s="1"/>
  <c r="BN202" i="13" s="1"/>
  <c r="BN212" i="13" s="1"/>
  <c r="AR137" i="13"/>
  <c r="AR147" i="13" s="1"/>
  <c r="AR157" i="13" s="1"/>
  <c r="D181" i="13"/>
  <c r="BM191" i="13" s="1"/>
  <c r="BM201" i="13" s="1"/>
  <c r="BM211" i="13" s="1"/>
  <c r="AR140" i="13"/>
  <c r="AR150" i="13" s="1"/>
  <c r="AR160" i="13" s="1"/>
  <c r="AR89" i="12"/>
  <c r="AR99" i="12" s="1"/>
  <c r="AR109" i="12" s="1"/>
  <c r="D175" i="13"/>
  <c r="D185" i="13" s="1"/>
  <c r="D176" i="13"/>
  <c r="BN186" i="13" s="1"/>
  <c r="BN196" i="13" s="1"/>
  <c r="BN206" i="13" s="1"/>
  <c r="BL133" i="13"/>
  <c r="BL143" i="13" s="1"/>
  <c r="BL153" i="13" s="1"/>
  <c r="BN193" i="12"/>
  <c r="BN203" i="12" s="1"/>
  <c r="BN213" i="12" s="1"/>
  <c r="BL193" i="12"/>
  <c r="BL203" i="12" s="1"/>
  <c r="BL213" i="12" s="1"/>
  <c r="BO88" i="13"/>
  <c r="F171" i="13"/>
  <c r="E173" i="13" s="1"/>
  <c r="E174" i="13" s="1"/>
  <c r="BK133" i="13"/>
  <c r="BK143" i="13" s="1"/>
  <c r="BK153" i="13" s="1"/>
  <c r="D177" i="13"/>
  <c r="BM187" i="13" s="1"/>
  <c r="BM197" i="13" s="1"/>
  <c r="BM207" i="13" s="1"/>
  <c r="D178" i="13"/>
  <c r="BN188" i="13" s="1"/>
  <c r="BN198" i="13" s="1"/>
  <c r="BN208" i="13" s="1"/>
  <c r="Q35" i="16"/>
  <c r="BM133" i="13"/>
  <c r="BM143" i="13" s="1"/>
  <c r="BM153" i="13" s="1"/>
  <c r="D84" i="13"/>
  <c r="D94" i="13" s="1"/>
  <c r="BO94" i="13" s="1"/>
  <c r="BO104" i="13" s="1"/>
  <c r="AR82" i="12"/>
  <c r="AR92" i="12" s="1"/>
  <c r="AR102" i="12" s="1"/>
  <c r="BK87" i="12"/>
  <c r="BK97" i="12" s="1"/>
  <c r="BK107" i="12" s="1"/>
  <c r="BL84" i="13"/>
  <c r="BL94" i="13" s="1"/>
  <c r="BL104" i="13" s="1"/>
  <c r="AR174" i="13"/>
  <c r="R10" i="8"/>
  <c r="AR183" i="13"/>
  <c r="D179" i="13"/>
  <c r="BK189" i="13" s="1"/>
  <c r="BK199" i="13" s="1"/>
  <c r="BK209" i="13" s="1"/>
  <c r="AR136" i="12"/>
  <c r="AR146" i="12" s="1"/>
  <c r="AR156" i="12" s="1"/>
  <c r="BM84" i="13"/>
  <c r="BM94" i="13" s="1"/>
  <c r="BM104" i="13" s="1"/>
  <c r="E110" i="13"/>
  <c r="AR84" i="13"/>
  <c r="AR94" i="13" s="1"/>
  <c r="AR104" i="13" s="1"/>
  <c r="BK84" i="13"/>
  <c r="BK94" i="13" s="1"/>
  <c r="BK104" i="13" s="1"/>
  <c r="E29" i="13"/>
  <c r="E39" i="13" s="1"/>
  <c r="E49" i="13" s="1"/>
  <c r="BL85" i="13"/>
  <c r="BL95" i="13" s="1"/>
  <c r="BL105" i="13" s="1"/>
  <c r="AR135" i="13"/>
  <c r="AR145" i="13" s="1"/>
  <c r="AR155" i="13" s="1"/>
  <c r="D134" i="13"/>
  <c r="D144" i="13" s="1"/>
  <c r="AR133" i="13"/>
  <c r="AR143" i="13" s="1"/>
  <c r="AR153" i="13" s="1"/>
  <c r="BM137" i="13"/>
  <c r="BM147" i="13" s="1"/>
  <c r="BM157" i="13" s="1"/>
  <c r="BL135" i="13"/>
  <c r="BL145" i="13" s="1"/>
  <c r="BL155" i="13" s="1"/>
  <c r="BL140" i="13"/>
  <c r="BL150" i="13" s="1"/>
  <c r="BL160" i="13" s="1"/>
  <c r="AR85" i="13"/>
  <c r="AR95" i="13" s="1"/>
  <c r="AR105" i="13" s="1"/>
  <c r="D87" i="12"/>
  <c r="BO87" i="12" s="1"/>
  <c r="BK140" i="13"/>
  <c r="BK150" i="13" s="1"/>
  <c r="BK160" i="13" s="1"/>
  <c r="D138" i="13"/>
  <c r="BO138" i="13" s="1"/>
  <c r="W41" i="8"/>
  <c r="X41" i="8" s="1"/>
  <c r="D82" i="13"/>
  <c r="BO82" i="13" s="1"/>
  <c r="BK203" i="13"/>
  <c r="BK213" i="13" s="1"/>
  <c r="AR138" i="13"/>
  <c r="AR148" i="13" s="1"/>
  <c r="AR158" i="13" s="1"/>
  <c r="BM138" i="13"/>
  <c r="BM148" i="13" s="1"/>
  <c r="BM158" i="13" s="1"/>
  <c r="BM203" i="13"/>
  <c r="BM213" i="13" s="1"/>
  <c r="BN135" i="13"/>
  <c r="BN145" i="13" s="1"/>
  <c r="BN155" i="13" s="1"/>
  <c r="BM134" i="13"/>
  <c r="BM144" i="13" s="1"/>
  <c r="BM154" i="13" s="1"/>
  <c r="BN203" i="13"/>
  <c r="BN213" i="13" s="1"/>
  <c r="BK83" i="13"/>
  <c r="BK93" i="13" s="1"/>
  <c r="BK103" i="13" s="1"/>
  <c r="BL86" i="13"/>
  <c r="BL96" i="13" s="1"/>
  <c r="BL106" i="13" s="1"/>
  <c r="BN83" i="13"/>
  <c r="BN93" i="13" s="1"/>
  <c r="BN103" i="13" s="1"/>
  <c r="D135" i="13"/>
  <c r="BO135" i="13" s="1"/>
  <c r="BK135" i="13"/>
  <c r="BK145" i="13" s="1"/>
  <c r="BK155" i="13" s="1"/>
  <c r="BL203" i="13"/>
  <c r="BL213" i="13" s="1"/>
  <c r="BN138" i="13"/>
  <c r="BN148" i="13" s="1"/>
  <c r="BN158" i="13" s="1"/>
  <c r="BL134" i="13"/>
  <c r="BL144" i="13" s="1"/>
  <c r="BL154" i="13" s="1"/>
  <c r="BN81" i="13"/>
  <c r="BN91" i="13" s="1"/>
  <c r="BN101" i="13" s="1"/>
  <c r="BL83" i="13"/>
  <c r="BL93" i="13" s="1"/>
  <c r="BL103" i="13" s="1"/>
  <c r="D83" i="13"/>
  <c r="BO83" i="13" s="1"/>
  <c r="BM86" i="13"/>
  <c r="BM96" i="13" s="1"/>
  <c r="BM106" i="13" s="1"/>
  <c r="BK83" i="12"/>
  <c r="BK93" i="12" s="1"/>
  <c r="BK103" i="12" s="1"/>
  <c r="AR83" i="13"/>
  <c r="AR93" i="13" s="1"/>
  <c r="AR103" i="13" s="1"/>
  <c r="W31" i="8"/>
  <c r="X31" i="8" s="1"/>
  <c r="W51" i="8"/>
  <c r="X51" i="8" s="1"/>
  <c r="W71" i="8"/>
  <c r="X71" i="8" s="1"/>
  <c r="E122" i="13"/>
  <c r="D87" i="13"/>
  <c r="BO87" i="13" s="1"/>
  <c r="AR87" i="13"/>
  <c r="AR97" i="13" s="1"/>
  <c r="AR107" i="13" s="1"/>
  <c r="D136" i="13"/>
  <c r="BO136" i="13" s="1"/>
  <c r="F121" i="13"/>
  <c r="F122" i="13" s="1"/>
  <c r="BM136" i="13"/>
  <c r="BM146" i="13" s="1"/>
  <c r="BM156" i="13" s="1"/>
  <c r="BN87" i="13"/>
  <c r="BN97" i="13" s="1"/>
  <c r="BN107" i="13" s="1"/>
  <c r="BK87" i="13"/>
  <c r="BK97" i="13" s="1"/>
  <c r="BK107" i="13" s="1"/>
  <c r="BN86" i="13"/>
  <c r="BN96" i="13" s="1"/>
  <c r="BN106" i="13" s="1"/>
  <c r="D86" i="13"/>
  <c r="BK136" i="13"/>
  <c r="BK146" i="13" s="1"/>
  <c r="BK156" i="13" s="1"/>
  <c r="AR136" i="13"/>
  <c r="AR146" i="13" s="1"/>
  <c r="AR156" i="13" s="1"/>
  <c r="BK134" i="13"/>
  <c r="BK144" i="13" s="1"/>
  <c r="BK154" i="13" s="1"/>
  <c r="AR134" i="13"/>
  <c r="AR144" i="13" s="1"/>
  <c r="AR154" i="13" s="1"/>
  <c r="D184" i="13"/>
  <c r="D194" i="13" s="1"/>
  <c r="D204" i="13" s="1"/>
  <c r="BN136" i="13"/>
  <c r="BN146" i="13" s="1"/>
  <c r="BN156" i="13" s="1"/>
  <c r="BN134" i="13"/>
  <c r="BN144" i="13" s="1"/>
  <c r="BN154" i="13" s="1"/>
  <c r="BN140" i="13"/>
  <c r="BN150" i="13" s="1"/>
  <c r="BN160" i="13" s="1"/>
  <c r="BL87" i="13"/>
  <c r="BL97" i="13" s="1"/>
  <c r="BL107" i="13" s="1"/>
  <c r="BK85" i="13"/>
  <c r="BK95" i="13" s="1"/>
  <c r="BK105" i="13" s="1"/>
  <c r="BK86" i="12"/>
  <c r="BK96" i="12" s="1"/>
  <c r="BK106" i="12" s="1"/>
  <c r="D86" i="12"/>
  <c r="BO86" i="12" s="1"/>
  <c r="D140" i="13"/>
  <c r="D150" i="13" s="1"/>
  <c r="BK138" i="13"/>
  <c r="BK148" i="13" s="1"/>
  <c r="BK158" i="13" s="1"/>
  <c r="D137" i="13"/>
  <c r="D147" i="13" s="1"/>
  <c r="BM82" i="13"/>
  <c r="BM92" i="13" s="1"/>
  <c r="BM102" i="13" s="1"/>
  <c r="BN85" i="13"/>
  <c r="BN95" i="13" s="1"/>
  <c r="BN105" i="13" s="1"/>
  <c r="D85" i="13"/>
  <c r="D95" i="13" s="1"/>
  <c r="D105" i="13" s="1"/>
  <c r="BL82" i="13"/>
  <c r="BL92" i="13" s="1"/>
  <c r="BL102" i="13" s="1"/>
  <c r="W61" i="8"/>
  <c r="X61" i="8" s="1"/>
  <c r="BM87" i="12"/>
  <c r="BM97" i="12" s="1"/>
  <c r="BM107" i="12" s="1"/>
  <c r="AR87" i="12"/>
  <c r="AR97" i="12" s="1"/>
  <c r="AR107" i="12" s="1"/>
  <c r="AR86" i="13"/>
  <c r="AR96" i="13" s="1"/>
  <c r="AR106" i="13" s="1"/>
  <c r="D193" i="12"/>
  <c r="D203" i="12" s="1"/>
  <c r="D213" i="12" s="1"/>
  <c r="BO81" i="13"/>
  <c r="D91" i="13"/>
  <c r="BO91" i="13" s="1"/>
  <c r="BO101" i="13" s="1"/>
  <c r="BL214" i="12"/>
  <c r="L170" i="12"/>
  <c r="D184" i="12"/>
  <c r="D194" i="12" s="1"/>
  <c r="D204" i="12" s="1"/>
  <c r="E131" i="13"/>
  <c r="E136" i="13" s="1"/>
  <c r="E146" i="13" s="1"/>
  <c r="E156" i="13" s="1"/>
  <c r="BN214" i="12"/>
  <c r="AR173" i="12"/>
  <c r="AR214" i="12" s="1"/>
  <c r="BO214" i="12"/>
  <c r="BL81" i="13"/>
  <c r="BL91" i="13" s="1"/>
  <c r="BL101" i="13" s="1"/>
  <c r="BK81" i="13"/>
  <c r="BK91" i="13" s="1"/>
  <c r="BK101" i="13" s="1"/>
  <c r="E162" i="12"/>
  <c r="BM81" i="13"/>
  <c r="BM91" i="13" s="1"/>
  <c r="BM101" i="13" s="1"/>
  <c r="BM193" i="12"/>
  <c r="BM203" i="12" s="1"/>
  <c r="BM213" i="12" s="1"/>
  <c r="AR81" i="13"/>
  <c r="AR91" i="13" s="1"/>
  <c r="AR101" i="13" s="1"/>
  <c r="BK214" i="12"/>
  <c r="D174" i="12"/>
  <c r="BL83" i="12"/>
  <c r="BL93" i="12" s="1"/>
  <c r="BL103" i="12" s="1"/>
  <c r="D83" i="12"/>
  <c r="BN83" i="12"/>
  <c r="BN93" i="12" s="1"/>
  <c r="BN103" i="12" s="1"/>
  <c r="AR83" i="12"/>
  <c r="AR93" i="12" s="1"/>
  <c r="AR103" i="12" s="1"/>
  <c r="BM81" i="12"/>
  <c r="BM91" i="12" s="1"/>
  <c r="BM101" i="12" s="1"/>
  <c r="D81" i="12"/>
  <c r="BL81" i="12"/>
  <c r="BL91" i="12" s="1"/>
  <c r="BL101" i="12" s="1"/>
  <c r="AR81" i="12"/>
  <c r="AR91" i="12" s="1"/>
  <c r="AR101" i="12" s="1"/>
  <c r="BN81" i="12"/>
  <c r="BN91" i="12" s="1"/>
  <c r="BN101" i="12" s="1"/>
  <c r="BL86" i="12"/>
  <c r="BL96" i="12" s="1"/>
  <c r="BL106" i="12" s="1"/>
  <c r="BN86" i="12"/>
  <c r="BN96" i="12" s="1"/>
  <c r="BN106" i="12" s="1"/>
  <c r="AR86" i="12"/>
  <c r="AR96" i="12" s="1"/>
  <c r="AR106" i="12" s="1"/>
  <c r="BK84" i="12"/>
  <c r="BK94" i="12" s="1"/>
  <c r="BK104" i="12" s="1"/>
  <c r="D84" i="12"/>
  <c r="BN84" i="12"/>
  <c r="BN94" i="12" s="1"/>
  <c r="BN104" i="12" s="1"/>
  <c r="AR84" i="12"/>
  <c r="AR94" i="12" s="1"/>
  <c r="AR104" i="12" s="1"/>
  <c r="BM84" i="12"/>
  <c r="BM94" i="12" s="1"/>
  <c r="BM104" i="12" s="1"/>
  <c r="BL84" i="12"/>
  <c r="BL94" i="12" s="1"/>
  <c r="BL104" i="12" s="1"/>
  <c r="E122" i="12"/>
  <c r="BL138" i="12"/>
  <c r="BL148" i="12" s="1"/>
  <c r="BL158" i="12" s="1"/>
  <c r="BK81" i="12"/>
  <c r="BK91" i="12" s="1"/>
  <c r="BK101" i="12" s="1"/>
  <c r="D225" i="13"/>
  <c r="D266" i="13" s="1"/>
  <c r="BL82" i="12"/>
  <c r="BL92" i="12" s="1"/>
  <c r="BL102" i="12" s="1"/>
  <c r="D82" i="12"/>
  <c r="BM82" i="12"/>
  <c r="BM92" i="12" s="1"/>
  <c r="BM102" i="12" s="1"/>
  <c r="BN82" i="12"/>
  <c r="BN92" i="12" s="1"/>
  <c r="BN102" i="12" s="1"/>
  <c r="BK82" i="12"/>
  <c r="BK92" i="12" s="1"/>
  <c r="BK102" i="12" s="1"/>
  <c r="E84" i="12"/>
  <c r="E94" i="12" s="1"/>
  <c r="E104" i="12" s="1"/>
  <c r="E86" i="12"/>
  <c r="E96" i="12" s="1"/>
  <c r="E106" i="12" s="1"/>
  <c r="BM83" i="12"/>
  <c r="BM93" i="12" s="1"/>
  <c r="BM103" i="12" s="1"/>
  <c r="BO88" i="12"/>
  <c r="W43" i="8"/>
  <c r="X43" i="8" s="1"/>
  <c r="BN133" i="12"/>
  <c r="BN143" i="12" s="1"/>
  <c r="BN153" i="12" s="1"/>
  <c r="BM266" i="13"/>
  <c r="AR132" i="12"/>
  <c r="AR142" i="12" s="1"/>
  <c r="AR152" i="12" s="1"/>
  <c r="D134" i="12"/>
  <c r="BO134" i="12" s="1"/>
  <c r="AS162" i="12"/>
  <c r="AR137" i="12"/>
  <c r="AR147" i="12" s="1"/>
  <c r="AR157" i="12" s="1"/>
  <c r="D137" i="12"/>
  <c r="D147" i="12" s="1"/>
  <c r="BN138" i="12"/>
  <c r="BN148" i="12" s="1"/>
  <c r="BN158" i="12" s="1"/>
  <c r="E131" i="12"/>
  <c r="E140" i="12" s="1"/>
  <c r="E150" i="12" s="1"/>
  <c r="E160" i="12" s="1"/>
  <c r="AS122" i="12"/>
  <c r="BN137" i="12"/>
  <c r="BN147" i="12" s="1"/>
  <c r="BN157" i="12" s="1"/>
  <c r="AS131" i="12"/>
  <c r="AS138" i="12" s="1"/>
  <c r="AS148" i="12" s="1"/>
  <c r="AS158" i="12" s="1"/>
  <c r="BK137" i="12"/>
  <c r="BK147" i="12" s="1"/>
  <c r="BK157" i="12" s="1"/>
  <c r="BK138" i="12"/>
  <c r="BK148" i="12" s="1"/>
  <c r="BK158" i="12" s="1"/>
  <c r="BL137" i="12"/>
  <c r="BL147" i="12" s="1"/>
  <c r="BL157" i="12" s="1"/>
  <c r="D277" i="12"/>
  <c r="D278" i="12" s="1"/>
  <c r="BK245" i="13"/>
  <c r="BK134" i="12"/>
  <c r="BK144" i="12" s="1"/>
  <c r="BK154" i="12" s="1"/>
  <c r="BM134" i="12"/>
  <c r="BM144" i="12" s="1"/>
  <c r="BM154" i="12" s="1"/>
  <c r="D139" i="12"/>
  <c r="D149" i="12" s="1"/>
  <c r="AR134" i="12"/>
  <c r="AR144" i="12" s="1"/>
  <c r="AR154" i="12" s="1"/>
  <c r="BN134" i="12"/>
  <c r="BN144" i="12" s="1"/>
  <c r="BN154" i="12" s="1"/>
  <c r="AR135" i="12"/>
  <c r="AR145" i="12" s="1"/>
  <c r="AR155" i="12" s="1"/>
  <c r="BO266" i="13"/>
  <c r="L222" i="13"/>
  <c r="D227" i="13" s="1"/>
  <c r="BK139" i="12"/>
  <c r="BK149" i="12" s="1"/>
  <c r="BK159" i="12" s="1"/>
  <c r="W73" i="8"/>
  <c r="X73" i="8" s="1"/>
  <c r="BK133" i="12"/>
  <c r="BK143" i="12" s="1"/>
  <c r="BK153" i="12" s="1"/>
  <c r="BL133" i="12"/>
  <c r="BL143" i="12" s="1"/>
  <c r="BL153" i="12" s="1"/>
  <c r="BM245" i="13"/>
  <c r="BL266" i="13"/>
  <c r="BK135" i="12"/>
  <c r="BK145" i="12" s="1"/>
  <c r="BK155" i="12" s="1"/>
  <c r="D135" i="12"/>
  <c r="D145" i="12" s="1"/>
  <c r="AR138" i="12"/>
  <c r="AR148" i="12" s="1"/>
  <c r="AR158" i="12" s="1"/>
  <c r="D278" i="13"/>
  <c r="BK266" i="13"/>
  <c r="D318" i="13"/>
  <c r="W33" i="8"/>
  <c r="X33" i="8" s="1"/>
  <c r="W63" i="8"/>
  <c r="X63" i="8" s="1"/>
  <c r="AR133" i="12"/>
  <c r="AR143" i="12" s="1"/>
  <c r="AR153" i="12" s="1"/>
  <c r="BM133" i="12"/>
  <c r="BM143" i="12" s="1"/>
  <c r="BM153" i="12" s="1"/>
  <c r="BL245" i="13"/>
  <c r="BN266" i="13"/>
  <c r="D138" i="12"/>
  <c r="D148" i="12" s="1"/>
  <c r="AR225" i="13"/>
  <c r="AR266" i="13" s="1"/>
  <c r="AR139" i="12"/>
  <c r="AR149" i="12" s="1"/>
  <c r="AR159" i="12" s="1"/>
  <c r="W23" i="8"/>
  <c r="X23" i="8" s="1"/>
  <c r="BN135" i="12"/>
  <c r="BN145" i="12" s="1"/>
  <c r="BN155" i="12" s="1"/>
  <c r="BM139" i="12"/>
  <c r="BM149" i="12" s="1"/>
  <c r="BM159" i="12" s="1"/>
  <c r="BM135" i="12"/>
  <c r="BM145" i="12" s="1"/>
  <c r="BM155" i="12" s="1"/>
  <c r="AR318" i="12"/>
  <c r="AS275" i="12"/>
  <c r="AS277" i="12" s="1"/>
  <c r="AR318" i="13"/>
  <c r="AS275" i="13"/>
  <c r="AS277" i="13" s="1"/>
  <c r="BL139" i="12"/>
  <c r="BL149" i="12" s="1"/>
  <c r="BL159" i="12" s="1"/>
  <c r="F36" i="12"/>
  <c r="F46" i="12" s="1"/>
  <c r="F56" i="12" s="1"/>
  <c r="F33" i="12"/>
  <c r="F43" i="12" s="1"/>
  <c r="F53" i="12" s="1"/>
  <c r="F32" i="12"/>
  <c r="F42" i="12" s="1"/>
  <c r="F52" i="12" s="1"/>
  <c r="F34" i="12"/>
  <c r="F44" i="12" s="1"/>
  <c r="F54" i="12" s="1"/>
  <c r="F35" i="12"/>
  <c r="F45" i="12" s="1"/>
  <c r="F55" i="12" s="1"/>
  <c r="BM190" i="13"/>
  <c r="BM200" i="13" s="1"/>
  <c r="BM210" i="13" s="1"/>
  <c r="BN190" i="13"/>
  <c r="BN200" i="13" s="1"/>
  <c r="BN210" i="13" s="1"/>
  <c r="BL190" i="13"/>
  <c r="BL200" i="13" s="1"/>
  <c r="BL210" i="13" s="1"/>
  <c r="BM307" i="13"/>
  <c r="BM317" i="13" s="1"/>
  <c r="BL307" i="13"/>
  <c r="BL317" i="13" s="1"/>
  <c r="BN307" i="13"/>
  <c r="BN317" i="13" s="1"/>
  <c r="AK4" i="8"/>
  <c r="D108" i="13"/>
  <c r="BO98" i="13"/>
  <c r="BO108" i="13" s="1"/>
  <c r="D235" i="12"/>
  <c r="BN255" i="12" s="1"/>
  <c r="BN265" i="12" s="1"/>
  <c r="D226" i="12"/>
  <c r="D190" i="13"/>
  <c r="BK190" i="13"/>
  <c r="BK200" i="13" s="1"/>
  <c r="BK210" i="13" s="1"/>
  <c r="AR278" i="13"/>
  <c r="AR287" i="13"/>
  <c r="F275" i="13"/>
  <c r="E277" i="13" s="1"/>
  <c r="BO98" i="12"/>
  <c r="BO108" i="12" s="1"/>
  <c r="D108" i="12"/>
  <c r="D266" i="12"/>
  <c r="G121" i="12"/>
  <c r="F131" i="12"/>
  <c r="F135" i="12" s="1"/>
  <c r="F145" i="12" s="1"/>
  <c r="F155" i="12" s="1"/>
  <c r="F122" i="12"/>
  <c r="F162" i="12"/>
  <c r="D143" i="12"/>
  <c r="BO133" i="12"/>
  <c r="BO45" i="12"/>
  <c r="BO55" i="12" s="1"/>
  <c r="D55" i="12"/>
  <c r="AU121" i="12"/>
  <c r="AT122" i="12"/>
  <c r="AT131" i="12"/>
  <c r="AT135" i="12" s="1"/>
  <c r="AT145" i="12" s="1"/>
  <c r="AT155" i="12" s="1"/>
  <c r="AT162" i="12"/>
  <c r="D297" i="13"/>
  <c r="D307" i="13" s="1"/>
  <c r="D317" i="13" s="1"/>
  <c r="D288" i="13"/>
  <c r="D298" i="13" s="1"/>
  <c r="D308" i="13" s="1"/>
  <c r="BO40" i="12"/>
  <c r="BO50" i="12" s="1"/>
  <c r="D50" i="12"/>
  <c r="BK307" i="13"/>
  <c r="BK317" i="13" s="1"/>
  <c r="AV69" i="13"/>
  <c r="AU79" i="13"/>
  <c r="AU81" i="13" s="1"/>
  <c r="AU91" i="13" s="1"/>
  <c r="AU101" i="13" s="1"/>
  <c r="AU70" i="13"/>
  <c r="AU110" i="13"/>
  <c r="D149" i="13"/>
  <c r="BO139" i="13"/>
  <c r="AU17" i="13"/>
  <c r="AT27" i="13"/>
  <c r="AT29" i="13" s="1"/>
  <c r="AT39" i="13" s="1"/>
  <c r="AT49" i="13" s="1"/>
  <c r="AT18" i="13"/>
  <c r="AT58" i="13"/>
  <c r="D143" i="13"/>
  <c r="BO133" i="13"/>
  <c r="D281" i="13"/>
  <c r="D285" i="13"/>
  <c r="D282" i="13"/>
  <c r="D286" i="13"/>
  <c r="D279" i="13"/>
  <c r="D283" i="13"/>
  <c r="D280" i="13"/>
  <c r="D284" i="13"/>
  <c r="F13" i="8"/>
  <c r="P8" i="8" s="1"/>
  <c r="Q34" i="16"/>
  <c r="D286" i="12"/>
  <c r="D285" i="12"/>
  <c r="D281" i="12"/>
  <c r="D280" i="12"/>
  <c r="D284" i="12"/>
  <c r="D283" i="12"/>
  <c r="D282" i="12"/>
  <c r="D279" i="12"/>
  <c r="D233" i="12"/>
  <c r="D230" i="12"/>
  <c r="D231" i="12"/>
  <c r="D234" i="12"/>
  <c r="D227" i="12"/>
  <c r="D228" i="12"/>
  <c r="D232" i="12"/>
  <c r="D229" i="12"/>
  <c r="D146" i="12"/>
  <c r="BO136" i="12"/>
  <c r="BO42" i="12"/>
  <c r="BO52" i="12" s="1"/>
  <c r="D52" i="12"/>
  <c r="BO39" i="12"/>
  <c r="BO49" i="12" s="1"/>
  <c r="D49" i="12"/>
  <c r="G13" i="8"/>
  <c r="Q8" i="8" s="1"/>
  <c r="Q17" i="16"/>
  <c r="BO44" i="12"/>
  <c r="BO54" i="12" s="1"/>
  <c r="D54" i="12"/>
  <c r="F28" i="12"/>
  <c r="F38" i="12" s="1"/>
  <c r="F48" i="12" s="1"/>
  <c r="F37" i="12"/>
  <c r="F47" i="12" s="1"/>
  <c r="F57" i="12" s="1"/>
  <c r="F29" i="12"/>
  <c r="F39" i="12" s="1"/>
  <c r="F49" i="12" s="1"/>
  <c r="F30" i="12"/>
  <c r="F40" i="12" s="1"/>
  <c r="F50" i="12" s="1"/>
  <c r="AR278" i="12"/>
  <c r="AR287" i="12"/>
  <c r="F223" i="12"/>
  <c r="E225" i="12" s="1"/>
  <c r="AR226" i="12"/>
  <c r="AR235" i="12"/>
  <c r="AS223" i="12"/>
  <c r="AS225" i="12" s="1"/>
  <c r="E28" i="13"/>
  <c r="E38" i="13" s="1"/>
  <c r="E48" i="13" s="1"/>
  <c r="E37" i="13"/>
  <c r="E47" i="13" s="1"/>
  <c r="E57" i="13" s="1"/>
  <c r="AS83" i="13" l="1"/>
  <c r="AS93" i="13" s="1"/>
  <c r="AS103" i="13" s="1"/>
  <c r="AS136" i="13"/>
  <c r="AS146" i="13" s="1"/>
  <c r="AS156" i="13" s="1"/>
  <c r="AS137" i="13"/>
  <c r="AS147" i="13" s="1"/>
  <c r="AS157" i="13" s="1"/>
  <c r="AS134" i="13"/>
  <c r="AS144" i="13" s="1"/>
  <c r="AS154" i="13" s="1"/>
  <c r="AS138" i="13"/>
  <c r="AS148" i="13" s="1"/>
  <c r="AS158" i="13" s="1"/>
  <c r="AS140" i="13"/>
  <c r="AS150" i="13" s="1"/>
  <c r="AS160" i="13" s="1"/>
  <c r="AS86" i="12"/>
  <c r="AS96" i="12" s="1"/>
  <c r="AS106" i="12" s="1"/>
  <c r="AS33" i="13"/>
  <c r="AS43" i="13" s="1"/>
  <c r="AS53" i="13" s="1"/>
  <c r="AS87" i="12"/>
  <c r="AS97" i="12" s="1"/>
  <c r="AS107" i="12" s="1"/>
  <c r="BK62" i="12"/>
  <c r="AT33" i="12"/>
  <c r="AT43" i="12" s="1"/>
  <c r="AT53" i="12" s="1"/>
  <c r="AT36" i="12"/>
  <c r="AT46" i="12" s="1"/>
  <c r="AT56" i="12" s="1"/>
  <c r="AS139" i="12"/>
  <c r="AS149" i="12" s="1"/>
  <c r="AS159" i="12" s="1"/>
  <c r="E138" i="12"/>
  <c r="E148" i="12" s="1"/>
  <c r="E158" i="12" s="1"/>
  <c r="E139" i="12"/>
  <c r="E149" i="12" s="1"/>
  <c r="E159" i="12" s="1"/>
  <c r="E137" i="12"/>
  <c r="E147" i="12" s="1"/>
  <c r="E157" i="12" s="1"/>
  <c r="E140" i="13"/>
  <c r="E150" i="13" s="1"/>
  <c r="E160" i="13" s="1"/>
  <c r="AS140" i="12"/>
  <c r="AS150" i="12" s="1"/>
  <c r="AS160" i="12" s="1"/>
  <c r="E138" i="13"/>
  <c r="E148" i="13" s="1"/>
  <c r="E158" i="13" s="1"/>
  <c r="AS137" i="12"/>
  <c r="AS147" i="12" s="1"/>
  <c r="AS157" i="12" s="1"/>
  <c r="E137" i="13"/>
  <c r="E147" i="13" s="1"/>
  <c r="E157" i="13" s="1"/>
  <c r="E139" i="13"/>
  <c r="E149" i="13" s="1"/>
  <c r="E159" i="13" s="1"/>
  <c r="AS133" i="13"/>
  <c r="AS143" i="13" s="1"/>
  <c r="AS153" i="13" s="1"/>
  <c r="AS139" i="13"/>
  <c r="AS149" i="13" s="1"/>
  <c r="AS159" i="13" s="1"/>
  <c r="E135" i="13"/>
  <c r="E145" i="13" s="1"/>
  <c r="E155" i="13" s="1"/>
  <c r="BY22" i="8"/>
  <c r="BY42" i="8"/>
  <c r="BZ22" i="8"/>
  <c r="BZ72" i="8"/>
  <c r="BY43" i="8"/>
  <c r="BZ42" i="8"/>
  <c r="BZ73" i="8"/>
  <c r="BZ43" i="8"/>
  <c r="BS48" i="8"/>
  <c r="BS68" i="8"/>
  <c r="BS58" i="8"/>
  <c r="BS28" i="8"/>
  <c r="BS38" i="8"/>
  <c r="CA38" i="8" s="1"/>
  <c r="BZ23" i="8"/>
  <c r="BY23" i="8"/>
  <c r="G68" i="8"/>
  <c r="BS18" i="8"/>
  <c r="CA18" i="8" s="1"/>
  <c r="AT85" i="13"/>
  <c r="AT95" i="13" s="1"/>
  <c r="AT105" i="13" s="1"/>
  <c r="F85" i="12"/>
  <c r="F95" i="12" s="1"/>
  <c r="F105" i="12" s="1"/>
  <c r="F84" i="13"/>
  <c r="F94" i="13" s="1"/>
  <c r="F104" i="13" s="1"/>
  <c r="AT86" i="12"/>
  <c r="AT96" i="12" s="1"/>
  <c r="AT106" i="12" s="1"/>
  <c r="AT88" i="13"/>
  <c r="AT98" i="13" s="1"/>
  <c r="AT108" i="13" s="1"/>
  <c r="F87" i="12"/>
  <c r="F97" i="12" s="1"/>
  <c r="F107" i="12" s="1"/>
  <c r="AT84" i="13"/>
  <c r="AT94" i="13" s="1"/>
  <c r="AT104" i="13" s="1"/>
  <c r="F85" i="13"/>
  <c r="F95" i="13" s="1"/>
  <c r="F105" i="13" s="1"/>
  <c r="AT85" i="12"/>
  <c r="AT95" i="12" s="1"/>
  <c r="AT105" i="12" s="1"/>
  <c r="F88" i="12"/>
  <c r="F98" i="12" s="1"/>
  <c r="F108" i="12" s="1"/>
  <c r="AT87" i="13"/>
  <c r="AT97" i="13" s="1"/>
  <c r="AT107" i="13" s="1"/>
  <c r="F86" i="13"/>
  <c r="F96" i="13" s="1"/>
  <c r="F106" i="13" s="1"/>
  <c r="F83" i="13"/>
  <c r="F93" i="13" s="1"/>
  <c r="F103" i="13" s="1"/>
  <c r="AT87" i="12"/>
  <c r="AT97" i="12" s="1"/>
  <c r="AT107" i="12" s="1"/>
  <c r="F86" i="12"/>
  <c r="F96" i="12" s="1"/>
  <c r="F106" i="12" s="1"/>
  <c r="AT86" i="13"/>
  <c r="AT96" i="13" s="1"/>
  <c r="AT106" i="13" s="1"/>
  <c r="AT83" i="13"/>
  <c r="AT93" i="13" s="1"/>
  <c r="AT103" i="13" s="1"/>
  <c r="F88" i="13"/>
  <c r="F98" i="13" s="1"/>
  <c r="F108" i="13" s="1"/>
  <c r="F87" i="13"/>
  <c r="F97" i="13" s="1"/>
  <c r="F107" i="13" s="1"/>
  <c r="AT88" i="12"/>
  <c r="AT98" i="12" s="1"/>
  <c r="AT108" i="12" s="1"/>
  <c r="E86" i="13"/>
  <c r="E96" i="13" s="1"/>
  <c r="E106" i="13" s="1"/>
  <c r="AS85" i="13"/>
  <c r="AS95" i="13" s="1"/>
  <c r="AS105" i="13" s="1"/>
  <c r="E87" i="13"/>
  <c r="E97" i="13" s="1"/>
  <c r="E107" i="13" s="1"/>
  <c r="AS87" i="13"/>
  <c r="AS97" i="13" s="1"/>
  <c r="AS107" i="13" s="1"/>
  <c r="AS89" i="12"/>
  <c r="AS99" i="12" s="1"/>
  <c r="AS109" i="12" s="1"/>
  <c r="AS88" i="12"/>
  <c r="AS98" i="12" s="1"/>
  <c r="AS108" i="12" s="1"/>
  <c r="AS89" i="13"/>
  <c r="AS99" i="13" s="1"/>
  <c r="AS109" i="13" s="1"/>
  <c r="AS88" i="13"/>
  <c r="AS98" i="13" s="1"/>
  <c r="AS108" i="13" s="1"/>
  <c r="E80" i="13"/>
  <c r="E90" i="13" s="1"/>
  <c r="E100" i="13" s="1"/>
  <c r="E88" i="13"/>
  <c r="E98" i="13" s="1"/>
  <c r="E108" i="13" s="1"/>
  <c r="E83" i="13"/>
  <c r="E93" i="13" s="1"/>
  <c r="E103" i="13" s="1"/>
  <c r="E84" i="13"/>
  <c r="E94" i="13" s="1"/>
  <c r="E104" i="13" s="1"/>
  <c r="AS84" i="13"/>
  <c r="AS94" i="13" s="1"/>
  <c r="AS104" i="13" s="1"/>
  <c r="F82" i="13"/>
  <c r="F92" i="13" s="1"/>
  <c r="F102" i="13" s="1"/>
  <c r="AS83" i="12"/>
  <c r="AS93" i="12" s="1"/>
  <c r="AS103" i="12" s="1"/>
  <c r="BO32" i="13"/>
  <c r="AS35" i="13"/>
  <c r="AS45" i="13" s="1"/>
  <c r="AS55" i="13" s="1"/>
  <c r="AT35" i="12"/>
  <c r="AT45" i="12" s="1"/>
  <c r="AT55" i="12" s="1"/>
  <c r="AS36" i="13"/>
  <c r="AS46" i="13" s="1"/>
  <c r="AS56" i="13" s="1"/>
  <c r="AT34" i="12"/>
  <c r="AT44" i="12" s="1"/>
  <c r="AT54" i="12" s="1"/>
  <c r="AT32" i="12"/>
  <c r="AT42" i="12" s="1"/>
  <c r="AT52" i="12" s="1"/>
  <c r="AS30" i="13"/>
  <c r="AS40" i="13" s="1"/>
  <c r="AS50" i="13" s="1"/>
  <c r="AS32" i="13"/>
  <c r="AS42" i="13" s="1"/>
  <c r="AS52" i="13" s="1"/>
  <c r="AS34" i="13"/>
  <c r="AS44" i="13" s="1"/>
  <c r="AS54" i="13" s="1"/>
  <c r="BM62" i="12"/>
  <c r="D56" i="12"/>
  <c r="D45" i="13"/>
  <c r="D55" i="13" s="1"/>
  <c r="BO36" i="13"/>
  <c r="AS28" i="13"/>
  <c r="AS38" i="13" s="1"/>
  <c r="AS48" i="13" s="1"/>
  <c r="D44" i="13"/>
  <c r="D54" i="13" s="1"/>
  <c r="BO31" i="13"/>
  <c r="AS29" i="13"/>
  <c r="AS39" i="13" s="1"/>
  <c r="AS49" i="13" s="1"/>
  <c r="BN59" i="13"/>
  <c r="BN60" i="13" s="1"/>
  <c r="AT37" i="12"/>
  <c r="AT47" i="12" s="1"/>
  <c r="AT57" i="12" s="1"/>
  <c r="G58" i="12"/>
  <c r="AT28" i="12"/>
  <c r="AT38" i="12" s="1"/>
  <c r="AT48" i="12" s="1"/>
  <c r="BO33" i="13"/>
  <c r="AT82" i="13"/>
  <c r="AT92" i="13" s="1"/>
  <c r="AT102" i="13" s="1"/>
  <c r="AT89" i="12"/>
  <c r="AT99" i="12" s="1"/>
  <c r="AT109" i="12" s="1"/>
  <c r="G18" i="12"/>
  <c r="D53" i="12"/>
  <c r="AT29" i="12"/>
  <c r="AT39" i="12" s="1"/>
  <c r="AT49" i="12" s="1"/>
  <c r="S39" i="16"/>
  <c r="H17" i="12"/>
  <c r="H18" i="12" s="1"/>
  <c r="AU18" i="12"/>
  <c r="G38" i="8"/>
  <c r="AT30" i="12"/>
  <c r="AT40" i="12" s="1"/>
  <c r="AT50" i="12" s="1"/>
  <c r="D40" i="13"/>
  <c r="BO40" i="13" s="1"/>
  <c r="BO50" i="13" s="1"/>
  <c r="BO29" i="13"/>
  <c r="AS37" i="13"/>
  <c r="AS47" i="13" s="1"/>
  <c r="AS57" i="13" s="1"/>
  <c r="BM59" i="13"/>
  <c r="BM60" i="13" s="1"/>
  <c r="G48" i="8"/>
  <c r="AU58" i="12"/>
  <c r="AS59" i="12"/>
  <c r="AR62" i="12" s="1"/>
  <c r="BK59" i="13"/>
  <c r="BL59" i="13"/>
  <c r="BL60" i="13" s="1"/>
  <c r="AU27" i="12"/>
  <c r="AU31" i="12" s="1"/>
  <c r="AU41" i="12" s="1"/>
  <c r="AU51" i="12" s="1"/>
  <c r="G28" i="8"/>
  <c r="AS82" i="13"/>
  <c r="AS92" i="13" s="1"/>
  <c r="AS102" i="13" s="1"/>
  <c r="AR59" i="13"/>
  <c r="J17" i="16" s="1"/>
  <c r="E82" i="13"/>
  <c r="E92" i="13" s="1"/>
  <c r="E102" i="13" s="1"/>
  <c r="G58" i="8"/>
  <c r="E134" i="13"/>
  <c r="E144" i="13" s="1"/>
  <c r="E154" i="13" s="1"/>
  <c r="G17" i="13"/>
  <c r="G58" i="13" s="1"/>
  <c r="F58" i="13"/>
  <c r="F27" i="13"/>
  <c r="F29" i="13" s="1"/>
  <c r="F39" i="13" s="1"/>
  <c r="F49" i="13" s="1"/>
  <c r="E81" i="13"/>
  <c r="E91" i="13" s="1"/>
  <c r="E101" i="13" s="1"/>
  <c r="E59" i="12"/>
  <c r="D51" i="12"/>
  <c r="AS81" i="12"/>
  <c r="AS91" i="12" s="1"/>
  <c r="AS101" i="12" s="1"/>
  <c r="BL62" i="12"/>
  <c r="BO140" i="12"/>
  <c r="BN60" i="12"/>
  <c r="BN63" i="12" s="1"/>
  <c r="AU69" i="12"/>
  <c r="AU70" i="12" s="1"/>
  <c r="AT110" i="12"/>
  <c r="AT70" i="12"/>
  <c r="AT82" i="12"/>
  <c r="AT92" i="12" s="1"/>
  <c r="AT102" i="12" s="1"/>
  <c r="E89" i="13"/>
  <c r="E99" i="13" s="1"/>
  <c r="E109" i="13" s="1"/>
  <c r="AT80" i="12"/>
  <c r="AT90" i="12" s="1"/>
  <c r="AT100" i="12" s="1"/>
  <c r="F89" i="13"/>
  <c r="F99" i="13" s="1"/>
  <c r="F109" i="13" s="1"/>
  <c r="AT81" i="12"/>
  <c r="AT91" i="12" s="1"/>
  <c r="AT101" i="12" s="1"/>
  <c r="AT84" i="12"/>
  <c r="AT94" i="12" s="1"/>
  <c r="AT104" i="12" s="1"/>
  <c r="AS82" i="12"/>
  <c r="AS92" i="12" s="1"/>
  <c r="AS102" i="12" s="1"/>
  <c r="F110" i="13"/>
  <c r="AS80" i="12"/>
  <c r="AS90" i="12" s="1"/>
  <c r="AS100" i="12" s="1"/>
  <c r="AS84" i="12"/>
  <c r="AS94" i="12" s="1"/>
  <c r="AS104" i="12" s="1"/>
  <c r="AS214" i="13"/>
  <c r="AT173" i="13"/>
  <c r="AU173" i="13" s="1"/>
  <c r="F81" i="13"/>
  <c r="F91" i="13" s="1"/>
  <c r="F101" i="13" s="1"/>
  <c r="AU121" i="13"/>
  <c r="AU122" i="13" s="1"/>
  <c r="D105" i="12"/>
  <c r="AS132" i="13"/>
  <c r="AS142" i="13" s="1"/>
  <c r="AS152" i="13" s="1"/>
  <c r="AS183" i="13"/>
  <c r="AS190" i="13" s="1"/>
  <c r="AS200" i="13" s="1"/>
  <c r="AS210" i="13" s="1"/>
  <c r="BO85" i="12"/>
  <c r="AT122" i="13"/>
  <c r="D192" i="13"/>
  <c r="D202" i="13" s="1"/>
  <c r="AS141" i="13"/>
  <c r="AS151" i="13" s="1"/>
  <c r="AS161" i="13" s="1"/>
  <c r="BL192" i="13"/>
  <c r="BL202" i="13" s="1"/>
  <c r="BL212" i="13" s="1"/>
  <c r="F110" i="12"/>
  <c r="G69" i="13"/>
  <c r="G110" i="13" s="1"/>
  <c r="F70" i="13"/>
  <c r="AS80" i="13"/>
  <c r="AS90" i="13" s="1"/>
  <c r="AS100" i="13" s="1"/>
  <c r="AS81" i="13"/>
  <c r="AS91" i="13" s="1"/>
  <c r="AS101" i="13" s="1"/>
  <c r="BL186" i="13"/>
  <c r="BL196" i="13" s="1"/>
  <c r="BL206" i="13" s="1"/>
  <c r="BN189" i="13"/>
  <c r="BN199" i="13" s="1"/>
  <c r="BN209" i="13" s="1"/>
  <c r="AT162" i="13"/>
  <c r="AT80" i="13"/>
  <c r="AT90" i="13" s="1"/>
  <c r="AT100" i="13" s="1"/>
  <c r="BK192" i="13"/>
  <c r="BK202" i="13" s="1"/>
  <c r="BK212" i="13" s="1"/>
  <c r="BO84" i="13"/>
  <c r="BO134" i="13"/>
  <c r="AT89" i="13"/>
  <c r="AT99" i="13" s="1"/>
  <c r="AT109" i="13" s="1"/>
  <c r="BM192" i="13"/>
  <c r="BM202" i="13" s="1"/>
  <c r="BM212" i="13" s="1"/>
  <c r="BL191" i="13"/>
  <c r="BL201" i="13" s="1"/>
  <c r="BL211" i="13" s="1"/>
  <c r="BM188" i="13"/>
  <c r="BM198" i="13" s="1"/>
  <c r="BM208" i="13" s="1"/>
  <c r="BN191" i="13"/>
  <c r="BN201" i="13" s="1"/>
  <c r="BN211" i="13" s="1"/>
  <c r="D188" i="13"/>
  <c r="D198" i="13" s="1"/>
  <c r="AR191" i="13"/>
  <c r="AR201" i="13" s="1"/>
  <c r="AR211" i="13" s="1"/>
  <c r="F70" i="12"/>
  <c r="G69" i="12"/>
  <c r="BL187" i="13"/>
  <c r="BL197" i="13" s="1"/>
  <c r="BL207" i="13" s="1"/>
  <c r="BM189" i="13"/>
  <c r="BM199" i="13" s="1"/>
  <c r="BM209" i="13" s="1"/>
  <c r="F83" i="12"/>
  <c r="F93" i="12" s="1"/>
  <c r="F103" i="12" s="1"/>
  <c r="D148" i="13"/>
  <c r="BO148" i="13" s="1"/>
  <c r="BO158" i="13" s="1"/>
  <c r="D186" i="13"/>
  <c r="D196" i="13" s="1"/>
  <c r="AR185" i="13"/>
  <c r="AR195" i="13" s="1"/>
  <c r="AR205" i="13" s="1"/>
  <c r="D189" i="13"/>
  <c r="D199" i="13" s="1"/>
  <c r="BN185" i="13"/>
  <c r="BN195" i="13" s="1"/>
  <c r="BN205" i="13" s="1"/>
  <c r="BL189" i="13"/>
  <c r="BL199" i="13" s="1"/>
  <c r="BL209" i="13" s="1"/>
  <c r="BO137" i="13"/>
  <c r="BK186" i="13"/>
  <c r="BK196" i="13" s="1"/>
  <c r="BK206" i="13" s="1"/>
  <c r="BM186" i="13"/>
  <c r="BM196" i="13" s="1"/>
  <c r="BM206" i="13" s="1"/>
  <c r="F84" i="12"/>
  <c r="F94" i="12" s="1"/>
  <c r="F104" i="12" s="1"/>
  <c r="AR189" i="13"/>
  <c r="AR199" i="13" s="1"/>
  <c r="AR209" i="13" s="1"/>
  <c r="BK188" i="13"/>
  <c r="BK198" i="13" s="1"/>
  <c r="BK208" i="13" s="1"/>
  <c r="D144" i="12"/>
  <c r="BO144" i="12" s="1"/>
  <c r="BO154" i="12" s="1"/>
  <c r="AR186" i="13"/>
  <c r="AR196" i="13" s="1"/>
  <c r="AR206" i="13" s="1"/>
  <c r="AR193" i="13"/>
  <c r="AR203" i="13" s="1"/>
  <c r="AR213" i="13" s="1"/>
  <c r="BM185" i="13"/>
  <c r="BM195" i="13" s="1"/>
  <c r="BM205" i="13" s="1"/>
  <c r="BK185" i="13"/>
  <c r="BK195" i="13" s="1"/>
  <c r="BK205" i="13" s="1"/>
  <c r="AR184" i="13"/>
  <c r="AR194" i="13" s="1"/>
  <c r="AR204" i="13" s="1"/>
  <c r="E132" i="13"/>
  <c r="E142" i="13" s="1"/>
  <c r="E152" i="13" s="1"/>
  <c r="BK191" i="13"/>
  <c r="BK201" i="13" s="1"/>
  <c r="BK211" i="13" s="1"/>
  <c r="E183" i="13"/>
  <c r="E189" i="13" s="1"/>
  <c r="E199" i="13" s="1"/>
  <c r="E209" i="13" s="1"/>
  <c r="AR190" i="13"/>
  <c r="AR200" i="13" s="1"/>
  <c r="AR210" i="13" s="1"/>
  <c r="BL188" i="13"/>
  <c r="BL198" i="13" s="1"/>
  <c r="BL208" i="13" s="1"/>
  <c r="BL185" i="13"/>
  <c r="BL195" i="13" s="1"/>
  <c r="BL205" i="13" s="1"/>
  <c r="E133" i="13"/>
  <c r="E143" i="13" s="1"/>
  <c r="E153" i="13" s="1"/>
  <c r="D92" i="13"/>
  <c r="AR188" i="13"/>
  <c r="AR198" i="13" s="1"/>
  <c r="AR208" i="13" s="1"/>
  <c r="D145" i="13"/>
  <c r="BO145" i="13" s="1"/>
  <c r="BO155" i="13" s="1"/>
  <c r="D191" i="13"/>
  <c r="BO191" i="13" s="1"/>
  <c r="AR192" i="13"/>
  <c r="AR202" i="13" s="1"/>
  <c r="AR212" i="13" s="1"/>
  <c r="BN187" i="13"/>
  <c r="BN197" i="13" s="1"/>
  <c r="BN207" i="13" s="1"/>
  <c r="BK111" i="13"/>
  <c r="G121" i="13"/>
  <c r="G162" i="13" s="1"/>
  <c r="D187" i="13"/>
  <c r="BO187" i="13" s="1"/>
  <c r="D146" i="13"/>
  <c r="D156" i="13" s="1"/>
  <c r="D104" i="13"/>
  <c r="E214" i="13"/>
  <c r="E133" i="12"/>
  <c r="E143" i="12" s="1"/>
  <c r="E153" i="12" s="1"/>
  <c r="E136" i="12"/>
  <c r="E146" i="12" s="1"/>
  <c r="E156" i="12" s="1"/>
  <c r="F131" i="13"/>
  <c r="F133" i="13" s="1"/>
  <c r="F143" i="13" s="1"/>
  <c r="F153" i="13" s="1"/>
  <c r="BK187" i="13"/>
  <c r="BK197" i="13" s="1"/>
  <c r="BK207" i="13" s="1"/>
  <c r="F173" i="13"/>
  <c r="F174" i="13" s="1"/>
  <c r="AR187" i="13"/>
  <c r="AR197" i="13" s="1"/>
  <c r="AR207" i="13" s="1"/>
  <c r="AS133" i="12"/>
  <c r="AS143" i="12" s="1"/>
  <c r="AS153" i="12" s="1"/>
  <c r="AS136" i="12"/>
  <c r="AS146" i="12" s="1"/>
  <c r="AS156" i="12" s="1"/>
  <c r="BL163" i="13"/>
  <c r="BL164" i="13" s="1"/>
  <c r="AS135" i="12"/>
  <c r="AS145" i="12" s="1"/>
  <c r="AS155" i="12" s="1"/>
  <c r="F82" i="12"/>
  <c r="F92" i="12" s="1"/>
  <c r="F102" i="12" s="1"/>
  <c r="D97" i="12"/>
  <c r="BO97" i="12" s="1"/>
  <c r="BO107" i="12" s="1"/>
  <c r="F81" i="12"/>
  <c r="F91" i="12" s="1"/>
  <c r="F101" i="12" s="1"/>
  <c r="BO95" i="13"/>
  <c r="BO105" i="13" s="1"/>
  <c r="BN111" i="13"/>
  <c r="BN112" i="13" s="1"/>
  <c r="BN115" i="13" s="1"/>
  <c r="F80" i="12"/>
  <c r="F90" i="12" s="1"/>
  <c r="F100" i="12" s="1"/>
  <c r="E135" i="12"/>
  <c r="E145" i="12" s="1"/>
  <c r="E155" i="12" s="1"/>
  <c r="BM111" i="13"/>
  <c r="BM112" i="13" s="1"/>
  <c r="BN163" i="13"/>
  <c r="BN164" i="13" s="1"/>
  <c r="AR163" i="13"/>
  <c r="J19" i="16" s="1"/>
  <c r="F275" i="12"/>
  <c r="E277" i="12" s="1"/>
  <c r="E318" i="12" s="1"/>
  <c r="BO85" i="13"/>
  <c r="D235" i="13"/>
  <c r="D236" i="13" s="1"/>
  <c r="D246" i="13" s="1"/>
  <c r="D256" i="13" s="1"/>
  <c r="BM163" i="13"/>
  <c r="D93" i="13"/>
  <c r="D103" i="13" s="1"/>
  <c r="D96" i="12"/>
  <c r="AR111" i="13"/>
  <c r="J18" i="16" s="1"/>
  <c r="BL111" i="13"/>
  <c r="BL112" i="13" s="1"/>
  <c r="D97" i="13"/>
  <c r="AR183" i="12"/>
  <c r="AR184" i="12" s="1"/>
  <c r="AR194" i="12" s="1"/>
  <c r="AR204" i="12" s="1"/>
  <c r="BO140" i="13"/>
  <c r="BK163" i="13"/>
  <c r="F162" i="13"/>
  <c r="D101" i="13"/>
  <c r="D232" i="13"/>
  <c r="BL242" i="13" s="1"/>
  <c r="BL252" i="13" s="1"/>
  <c r="BL262" i="13" s="1"/>
  <c r="AS171" i="12"/>
  <c r="AS173" i="12" s="1"/>
  <c r="AS183" i="12" s="1"/>
  <c r="BM111" i="12"/>
  <c r="BM112" i="12" s="1"/>
  <c r="BK111" i="12"/>
  <c r="BN111" i="12"/>
  <c r="D96" i="13"/>
  <c r="BO86" i="13"/>
  <c r="D180" i="12"/>
  <c r="D181" i="12"/>
  <c r="D177" i="12"/>
  <c r="D178" i="12"/>
  <c r="D176" i="12"/>
  <c r="D175" i="12"/>
  <c r="D182" i="12"/>
  <c r="D179" i="12"/>
  <c r="AR111" i="12"/>
  <c r="J35" i="16" s="1"/>
  <c r="F171" i="12"/>
  <c r="E173" i="12" s="1"/>
  <c r="F173" i="12" s="1"/>
  <c r="E111" i="12"/>
  <c r="BL111" i="12"/>
  <c r="BL112" i="12" s="1"/>
  <c r="E141" i="13"/>
  <c r="E151" i="13" s="1"/>
  <c r="E161" i="13" s="1"/>
  <c r="AR174" i="12"/>
  <c r="BO84" i="12"/>
  <c r="D94" i="12"/>
  <c r="BO81" i="12"/>
  <c r="D91" i="12"/>
  <c r="AS132" i="12"/>
  <c r="AS142" i="12" s="1"/>
  <c r="AS152" i="12" s="1"/>
  <c r="D226" i="13"/>
  <c r="BO82" i="12"/>
  <c r="D92" i="12"/>
  <c r="D93" i="12"/>
  <c r="BO83" i="12"/>
  <c r="D229" i="13"/>
  <c r="BM239" i="13" s="1"/>
  <c r="BM249" i="13" s="1"/>
  <c r="BM259" i="13" s="1"/>
  <c r="BN163" i="12"/>
  <c r="BN164" i="12" s="1"/>
  <c r="D287" i="12"/>
  <c r="BM307" i="12" s="1"/>
  <c r="BM317" i="12" s="1"/>
  <c r="AR226" i="13"/>
  <c r="E132" i="12"/>
  <c r="E142" i="12" s="1"/>
  <c r="E152" i="12" s="1"/>
  <c r="BO138" i="12"/>
  <c r="D230" i="13"/>
  <c r="BN240" i="13" s="1"/>
  <c r="BN250" i="13" s="1"/>
  <c r="BN260" i="13" s="1"/>
  <c r="D228" i="13"/>
  <c r="BN238" i="13" s="1"/>
  <c r="BN248" i="13" s="1"/>
  <c r="BN258" i="13" s="1"/>
  <c r="D234" i="13"/>
  <c r="BN244" i="13" s="1"/>
  <c r="BN254" i="13" s="1"/>
  <c r="BN264" i="13" s="1"/>
  <c r="BO137" i="12"/>
  <c r="D231" i="13"/>
  <c r="BL241" i="13" s="1"/>
  <c r="BL251" i="13" s="1"/>
  <c r="BL261" i="13" s="1"/>
  <c r="BO135" i="12"/>
  <c r="D233" i="13"/>
  <c r="BM243" i="13" s="1"/>
  <c r="BM253" i="13" s="1"/>
  <c r="BM263" i="13" s="1"/>
  <c r="BK163" i="12"/>
  <c r="D318" i="12"/>
  <c r="BO139" i="12"/>
  <c r="E134" i="12"/>
  <c r="E144" i="12" s="1"/>
  <c r="E154" i="12" s="1"/>
  <c r="E141" i="12"/>
  <c r="E151" i="12" s="1"/>
  <c r="E161" i="12" s="1"/>
  <c r="F223" i="13"/>
  <c r="E225" i="13" s="1"/>
  <c r="E266" i="13" s="1"/>
  <c r="AS141" i="12"/>
  <c r="AS151" i="12" s="1"/>
  <c r="AS161" i="12" s="1"/>
  <c r="AS134" i="12"/>
  <c r="AS144" i="12" s="1"/>
  <c r="AS154" i="12" s="1"/>
  <c r="AR163" i="12"/>
  <c r="J36" i="16" s="1"/>
  <c r="BM163" i="12"/>
  <c r="AS223" i="13"/>
  <c r="AS225" i="13" s="1"/>
  <c r="AS226" i="13" s="1"/>
  <c r="AR235" i="13"/>
  <c r="AR236" i="13" s="1"/>
  <c r="AR246" i="13" s="1"/>
  <c r="AR256" i="13" s="1"/>
  <c r="BK255" i="12"/>
  <c r="BK265" i="12" s="1"/>
  <c r="BL163" i="12"/>
  <c r="BL164" i="12" s="1"/>
  <c r="AU87" i="13"/>
  <c r="AU97" i="13" s="1"/>
  <c r="AU107" i="13" s="1"/>
  <c r="AU85" i="13"/>
  <c r="AU95" i="13" s="1"/>
  <c r="AU105" i="13" s="1"/>
  <c r="AU84" i="13"/>
  <c r="AU94" i="13" s="1"/>
  <c r="AU104" i="13" s="1"/>
  <c r="AU83" i="13"/>
  <c r="AU93" i="13" s="1"/>
  <c r="AU103" i="13" s="1"/>
  <c r="AU88" i="13"/>
  <c r="AU98" i="13" s="1"/>
  <c r="AU108" i="13" s="1"/>
  <c r="AU86" i="13"/>
  <c r="AU96" i="13" s="1"/>
  <c r="AU106" i="13" s="1"/>
  <c r="AU82" i="13"/>
  <c r="AU92" i="13" s="1"/>
  <c r="AU102" i="13" s="1"/>
  <c r="AT36" i="13"/>
  <c r="AT46" i="13" s="1"/>
  <c r="AT56" i="13" s="1"/>
  <c r="AT31" i="13"/>
  <c r="AT41" i="13" s="1"/>
  <c r="AT51" i="13" s="1"/>
  <c r="AT33" i="13"/>
  <c r="AT43" i="13" s="1"/>
  <c r="AT53" i="13" s="1"/>
  <c r="AT32" i="13"/>
  <c r="AT42" i="13" s="1"/>
  <c r="AT52" i="13" s="1"/>
  <c r="AT30" i="13"/>
  <c r="AT40" i="13" s="1"/>
  <c r="AT50" i="13" s="1"/>
  <c r="AT35" i="13"/>
  <c r="AT45" i="13" s="1"/>
  <c r="AT55" i="13" s="1"/>
  <c r="AT34" i="13"/>
  <c r="AT44" i="13" s="1"/>
  <c r="AT54" i="13" s="1"/>
  <c r="AT140" i="13"/>
  <c r="AT150" i="13" s="1"/>
  <c r="AT160" i="13" s="1"/>
  <c r="AT139" i="13"/>
  <c r="AT149" i="13" s="1"/>
  <c r="AT159" i="13" s="1"/>
  <c r="AT137" i="13"/>
  <c r="AT147" i="13" s="1"/>
  <c r="AT157" i="13" s="1"/>
  <c r="AT138" i="13"/>
  <c r="AT148" i="13" s="1"/>
  <c r="AT158" i="13" s="1"/>
  <c r="AT134" i="13"/>
  <c r="AT144" i="13" s="1"/>
  <c r="AT154" i="13" s="1"/>
  <c r="AT135" i="13"/>
  <c r="AT145" i="13" s="1"/>
  <c r="AT155" i="13" s="1"/>
  <c r="AT136" i="13"/>
  <c r="AT146" i="13" s="1"/>
  <c r="AT156" i="13" s="1"/>
  <c r="F137" i="12"/>
  <c r="F147" i="12" s="1"/>
  <c r="F157" i="12" s="1"/>
  <c r="F139" i="12"/>
  <c r="F149" i="12" s="1"/>
  <c r="F159" i="12" s="1"/>
  <c r="F136" i="12"/>
  <c r="F146" i="12" s="1"/>
  <c r="F156" i="12" s="1"/>
  <c r="F140" i="12"/>
  <c r="F150" i="12" s="1"/>
  <c r="F160" i="12" s="1"/>
  <c r="F138" i="12"/>
  <c r="F148" i="12" s="1"/>
  <c r="F158" i="12" s="1"/>
  <c r="AT137" i="12"/>
  <c r="AT147" i="12" s="1"/>
  <c r="AT157" i="12" s="1"/>
  <c r="AT140" i="12"/>
  <c r="AT150" i="12" s="1"/>
  <c r="AT160" i="12" s="1"/>
  <c r="AT139" i="12"/>
  <c r="AT149" i="12" s="1"/>
  <c r="AT159" i="12" s="1"/>
  <c r="AT136" i="12"/>
  <c r="AT146" i="12" s="1"/>
  <c r="AT156" i="12" s="1"/>
  <c r="AT138" i="12"/>
  <c r="AT148" i="12" s="1"/>
  <c r="AT158" i="12" s="1"/>
  <c r="G33" i="12"/>
  <c r="G43" i="12" s="1"/>
  <c r="G53" i="12" s="1"/>
  <c r="G36" i="12"/>
  <c r="G46" i="12" s="1"/>
  <c r="G56" i="12" s="1"/>
  <c r="G32" i="12"/>
  <c r="G42" i="12" s="1"/>
  <c r="G52" i="12" s="1"/>
  <c r="G34" i="12"/>
  <c r="G44" i="12" s="1"/>
  <c r="G54" i="12" s="1"/>
  <c r="G35" i="12"/>
  <c r="G45" i="12" s="1"/>
  <c r="G55" i="12" s="1"/>
  <c r="BL239" i="12"/>
  <c r="BL249" i="12" s="1"/>
  <c r="BL259" i="12" s="1"/>
  <c r="BM239" i="12"/>
  <c r="BM249" i="12" s="1"/>
  <c r="BM259" i="12" s="1"/>
  <c r="BN239" i="12"/>
  <c r="BN249" i="12" s="1"/>
  <c r="BN259" i="12" s="1"/>
  <c r="BL244" i="12"/>
  <c r="BL254" i="12" s="1"/>
  <c r="BL264" i="12" s="1"/>
  <c r="BM244" i="12"/>
  <c r="BM254" i="12" s="1"/>
  <c r="BM264" i="12" s="1"/>
  <c r="BN244" i="12"/>
  <c r="BN254" i="12" s="1"/>
  <c r="BN264" i="12" s="1"/>
  <c r="BM293" i="12"/>
  <c r="BM303" i="12" s="1"/>
  <c r="BM313" i="12" s="1"/>
  <c r="BL293" i="12"/>
  <c r="BL303" i="12" s="1"/>
  <c r="BL313" i="12" s="1"/>
  <c r="BN293" i="12"/>
  <c r="BN303" i="12" s="1"/>
  <c r="BN313" i="12" s="1"/>
  <c r="BL295" i="12"/>
  <c r="BL305" i="12" s="1"/>
  <c r="BL315" i="12" s="1"/>
  <c r="BM295" i="12"/>
  <c r="BM305" i="12" s="1"/>
  <c r="BM315" i="12" s="1"/>
  <c r="BN295" i="12"/>
  <c r="BN305" i="12" s="1"/>
  <c r="BN315" i="12" s="1"/>
  <c r="BN294" i="13"/>
  <c r="BN304" i="13" s="1"/>
  <c r="BN314" i="13" s="1"/>
  <c r="BL294" i="13"/>
  <c r="BL304" i="13" s="1"/>
  <c r="BL314" i="13" s="1"/>
  <c r="BM294" i="13"/>
  <c r="BM304" i="13" s="1"/>
  <c r="BM314" i="13" s="1"/>
  <c r="BN296" i="13"/>
  <c r="BN306" i="13" s="1"/>
  <c r="BN316" i="13" s="1"/>
  <c r="BL296" i="13"/>
  <c r="BL306" i="13" s="1"/>
  <c r="BL316" i="13" s="1"/>
  <c r="BM296" i="13"/>
  <c r="BM306" i="13" s="1"/>
  <c r="BM316" i="13" s="1"/>
  <c r="BN242" i="12"/>
  <c r="BN252" i="12" s="1"/>
  <c r="BN262" i="12" s="1"/>
  <c r="BL242" i="12"/>
  <c r="BL252" i="12" s="1"/>
  <c r="BL262" i="12" s="1"/>
  <c r="BM242" i="12"/>
  <c r="BM252" i="12" s="1"/>
  <c r="BM262" i="12" s="1"/>
  <c r="BM241" i="12"/>
  <c r="BM251" i="12" s="1"/>
  <c r="BM261" i="12" s="1"/>
  <c r="BN241" i="12"/>
  <c r="BN251" i="12" s="1"/>
  <c r="BN261" i="12" s="1"/>
  <c r="BL241" i="12"/>
  <c r="BL251" i="12" s="1"/>
  <c r="BL261" i="12" s="1"/>
  <c r="BM294" i="12"/>
  <c r="BM304" i="12" s="1"/>
  <c r="BM314" i="12" s="1"/>
  <c r="BL294" i="12"/>
  <c r="BL304" i="12" s="1"/>
  <c r="BL314" i="12" s="1"/>
  <c r="BN294" i="12"/>
  <c r="BN304" i="12" s="1"/>
  <c r="BN314" i="12" s="1"/>
  <c r="BM296" i="12"/>
  <c r="BM306" i="12" s="1"/>
  <c r="BM316" i="12" s="1"/>
  <c r="BL296" i="12"/>
  <c r="BL306" i="12" s="1"/>
  <c r="BL316" i="12" s="1"/>
  <c r="BN296" i="12"/>
  <c r="BN306" i="12" s="1"/>
  <c r="BN316" i="12" s="1"/>
  <c r="BN290" i="13"/>
  <c r="BN300" i="13" s="1"/>
  <c r="BN310" i="13" s="1"/>
  <c r="BL290" i="13"/>
  <c r="BL300" i="13" s="1"/>
  <c r="BL310" i="13" s="1"/>
  <c r="BM290" i="13"/>
  <c r="BM300" i="13" s="1"/>
  <c r="BM310" i="13" s="1"/>
  <c r="BN292" i="13"/>
  <c r="BN302" i="13" s="1"/>
  <c r="BN312" i="13" s="1"/>
  <c r="BL292" i="13"/>
  <c r="BL302" i="13" s="1"/>
  <c r="BL312" i="13" s="1"/>
  <c r="BM292" i="13"/>
  <c r="BM302" i="13" s="1"/>
  <c r="BM312" i="13" s="1"/>
  <c r="BL63" i="12"/>
  <c r="BL255" i="12"/>
  <c r="BL265" i="12" s="1"/>
  <c r="BM255" i="12"/>
  <c r="BM265" i="12" s="1"/>
  <c r="BN238" i="12"/>
  <c r="BN248" i="12" s="1"/>
  <c r="BN258" i="12" s="1"/>
  <c r="BM238" i="12"/>
  <c r="BM248" i="12" s="1"/>
  <c r="BM258" i="12" s="1"/>
  <c r="BL238" i="12"/>
  <c r="BL248" i="12" s="1"/>
  <c r="BL258" i="12" s="1"/>
  <c r="BL240" i="12"/>
  <c r="BL250" i="12" s="1"/>
  <c r="BL260" i="12" s="1"/>
  <c r="BM240" i="12"/>
  <c r="BM250" i="12" s="1"/>
  <c r="BM260" i="12" s="1"/>
  <c r="BN240" i="12"/>
  <c r="BN250" i="12" s="1"/>
  <c r="BN260" i="12" s="1"/>
  <c r="BN289" i="12"/>
  <c r="BN299" i="12" s="1"/>
  <c r="BN309" i="12" s="1"/>
  <c r="BL289" i="12"/>
  <c r="BL299" i="12" s="1"/>
  <c r="BL309" i="12" s="1"/>
  <c r="BM289" i="12"/>
  <c r="BM299" i="12" s="1"/>
  <c r="BM309" i="12" s="1"/>
  <c r="BL290" i="12"/>
  <c r="BL300" i="12" s="1"/>
  <c r="BL310" i="12" s="1"/>
  <c r="BM290" i="12"/>
  <c r="BM300" i="12" s="1"/>
  <c r="BM310" i="12" s="1"/>
  <c r="BN290" i="12"/>
  <c r="BN300" i="12" s="1"/>
  <c r="BN310" i="12" s="1"/>
  <c r="BL293" i="13"/>
  <c r="BL303" i="13" s="1"/>
  <c r="BL313" i="13" s="1"/>
  <c r="BM293" i="13"/>
  <c r="BM303" i="13" s="1"/>
  <c r="BM313" i="13" s="1"/>
  <c r="BN293" i="13"/>
  <c r="BN303" i="13" s="1"/>
  <c r="BN313" i="13" s="1"/>
  <c r="BN295" i="13"/>
  <c r="BN305" i="13" s="1"/>
  <c r="BN315" i="13" s="1"/>
  <c r="BL295" i="13"/>
  <c r="BL305" i="13" s="1"/>
  <c r="BL315" i="13" s="1"/>
  <c r="BM295" i="13"/>
  <c r="BM305" i="13" s="1"/>
  <c r="BM315" i="13" s="1"/>
  <c r="BN237" i="12"/>
  <c r="BN247" i="12" s="1"/>
  <c r="BN257" i="12" s="1"/>
  <c r="BL237" i="12"/>
  <c r="BL247" i="12" s="1"/>
  <c r="BL257" i="12" s="1"/>
  <c r="BM237" i="12"/>
  <c r="BM247" i="12" s="1"/>
  <c r="BM257" i="12" s="1"/>
  <c r="BL243" i="12"/>
  <c r="BL253" i="12" s="1"/>
  <c r="BL263" i="12" s="1"/>
  <c r="BM243" i="12"/>
  <c r="BM253" i="12" s="1"/>
  <c r="BM263" i="12" s="1"/>
  <c r="BN243" i="12"/>
  <c r="BN253" i="12" s="1"/>
  <c r="BN263" i="12" s="1"/>
  <c r="BM292" i="12"/>
  <c r="BM302" i="12" s="1"/>
  <c r="BM312" i="12" s="1"/>
  <c r="BL292" i="12"/>
  <c r="BL302" i="12" s="1"/>
  <c r="BL312" i="12" s="1"/>
  <c r="BN292" i="12"/>
  <c r="BN302" i="12" s="1"/>
  <c r="BN312" i="12" s="1"/>
  <c r="BL291" i="12"/>
  <c r="BL301" i="12" s="1"/>
  <c r="BL311" i="12" s="1"/>
  <c r="BM291" i="12"/>
  <c r="BM301" i="12" s="1"/>
  <c r="BM311" i="12" s="1"/>
  <c r="BN291" i="12"/>
  <c r="BN301" i="12" s="1"/>
  <c r="BN311" i="12" s="1"/>
  <c r="BM289" i="13"/>
  <c r="BM299" i="13" s="1"/>
  <c r="BM309" i="13" s="1"/>
  <c r="BL289" i="13"/>
  <c r="BL299" i="13" s="1"/>
  <c r="BL309" i="13" s="1"/>
  <c r="BN289" i="13"/>
  <c r="BN299" i="13" s="1"/>
  <c r="BN309" i="13" s="1"/>
  <c r="BN291" i="13"/>
  <c r="BN301" i="13" s="1"/>
  <c r="BN311" i="13" s="1"/>
  <c r="BL291" i="13"/>
  <c r="BL301" i="13" s="1"/>
  <c r="BL311" i="13" s="1"/>
  <c r="BM291" i="13"/>
  <c r="BM301" i="13" s="1"/>
  <c r="BM311" i="13" s="1"/>
  <c r="BN237" i="13"/>
  <c r="BN247" i="13" s="1"/>
  <c r="BN257" i="13" s="1"/>
  <c r="BL237" i="13"/>
  <c r="BL247" i="13" s="1"/>
  <c r="BL257" i="13" s="1"/>
  <c r="BM237" i="13"/>
  <c r="BM247" i="13" s="1"/>
  <c r="BM257" i="13" s="1"/>
  <c r="E59" i="13"/>
  <c r="F59" i="12"/>
  <c r="F225" i="12"/>
  <c r="E235" i="12"/>
  <c r="E239" i="12" s="1"/>
  <c r="E249" i="12" s="1"/>
  <c r="E259" i="12" s="1"/>
  <c r="E226" i="12"/>
  <c r="E266" i="12"/>
  <c r="AT225" i="12"/>
  <c r="AS226" i="12"/>
  <c r="AS235" i="12"/>
  <c r="AS244" i="12" s="1"/>
  <c r="AS254" i="12" s="1"/>
  <c r="AS264" i="12" s="1"/>
  <c r="AS266" i="12"/>
  <c r="AR236" i="12"/>
  <c r="AR246" i="12" s="1"/>
  <c r="AR256" i="12" s="1"/>
  <c r="AR245" i="12"/>
  <c r="AR255" i="12" s="1"/>
  <c r="AR265" i="12" s="1"/>
  <c r="AT277" i="12"/>
  <c r="AS278" i="12"/>
  <c r="AS287" i="12"/>
  <c r="AS292" i="12" s="1"/>
  <c r="AS302" i="12" s="1"/>
  <c r="AS312" i="12" s="1"/>
  <c r="AS318" i="12"/>
  <c r="BO145" i="12"/>
  <c r="BO155" i="12" s="1"/>
  <c r="D155" i="12"/>
  <c r="D239" i="12"/>
  <c r="AR239" i="12"/>
  <c r="AR249" i="12" s="1"/>
  <c r="AR259" i="12" s="1"/>
  <c r="BK239" i="12"/>
  <c r="BK249" i="12" s="1"/>
  <c r="BK259" i="12" s="1"/>
  <c r="D244" i="12"/>
  <c r="AR244" i="12"/>
  <c r="AR254" i="12" s="1"/>
  <c r="AR264" i="12" s="1"/>
  <c r="BK244" i="12"/>
  <c r="BK254" i="12" s="1"/>
  <c r="BK264" i="12" s="1"/>
  <c r="BK289" i="12"/>
  <c r="BK299" i="12" s="1"/>
  <c r="BK309" i="12" s="1"/>
  <c r="AR289" i="12"/>
  <c r="AR299" i="12" s="1"/>
  <c r="AR309" i="12" s="1"/>
  <c r="BK290" i="12"/>
  <c r="BK300" i="12" s="1"/>
  <c r="BK310" i="12" s="1"/>
  <c r="AR290" i="12"/>
  <c r="AR300" i="12" s="1"/>
  <c r="AR310" i="12" s="1"/>
  <c r="D290" i="13"/>
  <c r="BK290" i="13"/>
  <c r="BK300" i="13" s="1"/>
  <c r="BK310" i="13" s="1"/>
  <c r="AR290" i="13"/>
  <c r="AR300" i="13" s="1"/>
  <c r="AR310" i="13" s="1"/>
  <c r="BK292" i="13"/>
  <c r="BK302" i="13" s="1"/>
  <c r="BK312" i="13" s="1"/>
  <c r="AR292" i="13"/>
  <c r="AR302" i="13" s="1"/>
  <c r="AR312" i="13" s="1"/>
  <c r="D292" i="13"/>
  <c r="D195" i="13"/>
  <c r="BO185" i="13"/>
  <c r="BO41" i="13"/>
  <c r="BO51" i="13" s="1"/>
  <c r="D51" i="13"/>
  <c r="AT277" i="13"/>
  <c r="AS287" i="13"/>
  <c r="AS293" i="13" s="1"/>
  <c r="AS303" i="13" s="1"/>
  <c r="AS313" i="13" s="1"/>
  <c r="AS278" i="13"/>
  <c r="AS318" i="13"/>
  <c r="D245" i="12"/>
  <c r="D255" i="12" s="1"/>
  <c r="D265" i="12" s="1"/>
  <c r="D236" i="12"/>
  <c r="D246" i="12" s="1"/>
  <c r="D256" i="12" s="1"/>
  <c r="BO148" i="12"/>
  <c r="BO158" i="12" s="1"/>
  <c r="D158" i="12"/>
  <c r="AT132" i="13"/>
  <c r="AT142" i="13" s="1"/>
  <c r="AT152" i="13" s="1"/>
  <c r="AT141" i="13"/>
  <c r="AT151" i="13" s="1"/>
  <c r="AT161" i="13" s="1"/>
  <c r="D242" i="12"/>
  <c r="AR242" i="12"/>
  <c r="AR252" i="12" s="1"/>
  <c r="AR262" i="12" s="1"/>
  <c r="BK242" i="12"/>
  <c r="BK252" i="12" s="1"/>
  <c r="BK262" i="12" s="1"/>
  <c r="D241" i="12"/>
  <c r="AR241" i="12"/>
  <c r="AR251" i="12" s="1"/>
  <c r="AR261" i="12" s="1"/>
  <c r="BK241" i="12"/>
  <c r="BK251" i="12" s="1"/>
  <c r="BK261" i="12" s="1"/>
  <c r="BK292" i="12"/>
  <c r="BK302" i="12" s="1"/>
  <c r="BK312" i="12" s="1"/>
  <c r="AR292" i="12"/>
  <c r="AR302" i="12" s="1"/>
  <c r="AR312" i="12" s="1"/>
  <c r="BK291" i="12"/>
  <c r="BK301" i="12" s="1"/>
  <c r="BK311" i="12" s="1"/>
  <c r="AR291" i="12"/>
  <c r="AR301" i="12" s="1"/>
  <c r="AR311" i="12" s="1"/>
  <c r="BK293" i="13"/>
  <c r="BK303" i="13" s="1"/>
  <c r="BK313" i="13" s="1"/>
  <c r="AR293" i="13"/>
  <c r="AR303" i="13" s="1"/>
  <c r="AR313" i="13" s="1"/>
  <c r="D293" i="13"/>
  <c r="BK295" i="13"/>
  <c r="BK305" i="13" s="1"/>
  <c r="BK315" i="13" s="1"/>
  <c r="AR295" i="13"/>
  <c r="AR305" i="13" s="1"/>
  <c r="AR315" i="13" s="1"/>
  <c r="D295" i="13"/>
  <c r="AT28" i="13"/>
  <c r="AT38" i="13" s="1"/>
  <c r="AT48" i="13" s="1"/>
  <c r="AT37" i="13"/>
  <c r="AT47" i="13" s="1"/>
  <c r="AT57" i="13" s="1"/>
  <c r="D160" i="13"/>
  <c r="BO150" i="13"/>
  <c r="BO160" i="13" s="1"/>
  <c r="BO149" i="13"/>
  <c r="BO159" i="13" s="1"/>
  <c r="D159" i="13"/>
  <c r="AU89" i="13"/>
  <c r="AU99" i="13" s="1"/>
  <c r="AU109" i="13" s="1"/>
  <c r="AU80" i="13"/>
  <c r="AU90" i="13" s="1"/>
  <c r="AU100" i="13" s="1"/>
  <c r="AV121" i="12"/>
  <c r="AU122" i="12"/>
  <c r="AU131" i="12"/>
  <c r="AU135" i="12" s="1"/>
  <c r="AU145" i="12" s="1"/>
  <c r="AU155" i="12" s="1"/>
  <c r="AU162" i="12"/>
  <c r="F277" i="13"/>
  <c r="E287" i="13"/>
  <c r="E291" i="13" s="1"/>
  <c r="E301" i="13" s="1"/>
  <c r="E311" i="13" s="1"/>
  <c r="E278" i="13"/>
  <c r="E318" i="13"/>
  <c r="BO46" i="13"/>
  <c r="BO56" i="13" s="1"/>
  <c r="D56" i="13"/>
  <c r="AR288" i="12"/>
  <c r="AR298" i="12" s="1"/>
  <c r="AR308" i="12" s="1"/>
  <c r="AR297" i="12"/>
  <c r="AR307" i="12" s="1"/>
  <c r="AR317" i="12" s="1"/>
  <c r="D238" i="12"/>
  <c r="AR238" i="12"/>
  <c r="AR248" i="12" s="1"/>
  <c r="AR258" i="12" s="1"/>
  <c r="BK238" i="12"/>
  <c r="BK248" i="12" s="1"/>
  <c r="BK258" i="12" s="1"/>
  <c r="D240" i="12"/>
  <c r="AR240" i="12"/>
  <c r="AR250" i="12" s="1"/>
  <c r="AR260" i="12" s="1"/>
  <c r="BK240" i="12"/>
  <c r="BK250" i="12" s="1"/>
  <c r="BK260" i="12" s="1"/>
  <c r="BK293" i="12"/>
  <c r="BK303" i="12" s="1"/>
  <c r="BK313" i="12" s="1"/>
  <c r="AR293" i="12"/>
  <c r="AR303" i="12" s="1"/>
  <c r="AR313" i="12" s="1"/>
  <c r="BK295" i="12"/>
  <c r="BK305" i="12" s="1"/>
  <c r="BK315" i="12" s="1"/>
  <c r="AR295" i="12"/>
  <c r="AR305" i="12" s="1"/>
  <c r="AR315" i="12" s="1"/>
  <c r="BK289" i="13"/>
  <c r="BK299" i="13" s="1"/>
  <c r="BK309" i="13" s="1"/>
  <c r="D289" i="13"/>
  <c r="AR289" i="13"/>
  <c r="AR299" i="13" s="1"/>
  <c r="AR309" i="13" s="1"/>
  <c r="BK291" i="13"/>
  <c r="BK301" i="13" s="1"/>
  <c r="BK311" i="13" s="1"/>
  <c r="AR291" i="13"/>
  <c r="AR301" i="13" s="1"/>
  <c r="AR311" i="13" s="1"/>
  <c r="D291" i="13"/>
  <c r="BK237" i="13"/>
  <c r="BK247" i="13" s="1"/>
  <c r="BK257" i="13" s="1"/>
  <c r="BO144" i="13"/>
  <c r="BO154" i="13" s="1"/>
  <c r="D154" i="13"/>
  <c r="AV17" i="13"/>
  <c r="AU18" i="13"/>
  <c r="AU27" i="13"/>
  <c r="AU29" i="13" s="1"/>
  <c r="AU39" i="13" s="1"/>
  <c r="AU49" i="13" s="1"/>
  <c r="AU58" i="13"/>
  <c r="AW69" i="13"/>
  <c r="AV70" i="13"/>
  <c r="AV79" i="13"/>
  <c r="AV81" i="13" s="1"/>
  <c r="AV91" i="13" s="1"/>
  <c r="AV101" i="13" s="1"/>
  <c r="AV110" i="13"/>
  <c r="D52" i="13"/>
  <c r="BO42" i="13"/>
  <c r="BO52" i="13" s="1"/>
  <c r="D49" i="13"/>
  <c r="BO39" i="13"/>
  <c r="BO49" i="13" s="1"/>
  <c r="BO143" i="12"/>
  <c r="BO153" i="12" s="1"/>
  <c r="D153" i="12"/>
  <c r="F132" i="12"/>
  <c r="F142" i="12" s="1"/>
  <c r="F152" i="12" s="1"/>
  <c r="F141" i="12"/>
  <c r="F151" i="12" s="1"/>
  <c r="F161" i="12" s="1"/>
  <c r="F133" i="12"/>
  <c r="F143" i="12" s="1"/>
  <c r="F153" i="12" s="1"/>
  <c r="F134" i="12"/>
  <c r="F144" i="12" s="1"/>
  <c r="F154" i="12" s="1"/>
  <c r="G28" i="12"/>
  <c r="G38" i="12" s="1"/>
  <c r="G48" i="12" s="1"/>
  <c r="G37" i="12"/>
  <c r="G47" i="12" s="1"/>
  <c r="G57" i="12" s="1"/>
  <c r="G29" i="12"/>
  <c r="G39" i="12" s="1"/>
  <c r="G49" i="12" s="1"/>
  <c r="G30" i="12"/>
  <c r="G40" i="12" s="1"/>
  <c r="G50" i="12" s="1"/>
  <c r="AR288" i="13"/>
  <c r="AR298" i="13" s="1"/>
  <c r="AR308" i="13" s="1"/>
  <c r="AR297" i="13"/>
  <c r="AR307" i="13" s="1"/>
  <c r="AR317" i="13" s="1"/>
  <c r="BO147" i="12"/>
  <c r="BO157" i="12" s="1"/>
  <c r="D157" i="12"/>
  <c r="BO147" i="13"/>
  <c r="BO157" i="13" s="1"/>
  <c r="D157" i="13"/>
  <c r="BO59" i="12"/>
  <c r="BN62" i="12" s="1"/>
  <c r="D53" i="13"/>
  <c r="BO43" i="13"/>
  <c r="BO53" i="13" s="1"/>
  <c r="BO146" i="12"/>
  <c r="BO156" i="12" s="1"/>
  <c r="D156" i="12"/>
  <c r="D237" i="12"/>
  <c r="AR237" i="12"/>
  <c r="AR247" i="12" s="1"/>
  <c r="AR257" i="12" s="1"/>
  <c r="BK237" i="12"/>
  <c r="BK247" i="12" s="1"/>
  <c r="BK257" i="12" s="1"/>
  <c r="D243" i="12"/>
  <c r="AR243" i="12"/>
  <c r="AR253" i="12" s="1"/>
  <c r="AR263" i="12" s="1"/>
  <c r="BK243" i="12"/>
  <c r="BK253" i="12" s="1"/>
  <c r="BK263" i="12" s="1"/>
  <c r="BK294" i="12"/>
  <c r="BK304" i="12" s="1"/>
  <c r="BK314" i="12" s="1"/>
  <c r="AR294" i="12"/>
  <c r="AR304" i="12" s="1"/>
  <c r="AR314" i="12" s="1"/>
  <c r="BK296" i="12"/>
  <c r="BK306" i="12" s="1"/>
  <c r="BK316" i="12" s="1"/>
  <c r="AR296" i="12"/>
  <c r="AR306" i="12" s="1"/>
  <c r="AR316" i="12" s="1"/>
  <c r="AR294" i="13"/>
  <c r="AR304" i="13" s="1"/>
  <c r="AR314" i="13" s="1"/>
  <c r="BK294" i="13"/>
  <c r="BK304" i="13" s="1"/>
  <c r="BK314" i="13" s="1"/>
  <c r="D294" i="13"/>
  <c r="BK296" i="13"/>
  <c r="BK306" i="13" s="1"/>
  <c r="BK316" i="13" s="1"/>
  <c r="AR296" i="13"/>
  <c r="AR306" i="13" s="1"/>
  <c r="AR316" i="13" s="1"/>
  <c r="D296" i="13"/>
  <c r="BO143" i="13"/>
  <c r="BO153" i="13" s="1"/>
  <c r="D153" i="13"/>
  <c r="BO150" i="12"/>
  <c r="BO160" i="12" s="1"/>
  <c r="D160" i="12"/>
  <c r="AT132" i="12"/>
  <c r="AT142" i="12" s="1"/>
  <c r="AT152" i="12" s="1"/>
  <c r="AT141" i="12"/>
  <c r="AT151" i="12" s="1"/>
  <c r="AT161" i="12" s="1"/>
  <c r="AT133" i="12"/>
  <c r="AT143" i="12" s="1"/>
  <c r="AT153" i="12" s="1"/>
  <c r="AT134" i="12"/>
  <c r="AT144" i="12" s="1"/>
  <c r="AT154" i="12" s="1"/>
  <c r="H121" i="12"/>
  <c r="G131" i="12"/>
  <c r="G135" i="12" s="1"/>
  <c r="G145" i="12" s="1"/>
  <c r="G155" i="12" s="1"/>
  <c r="G122" i="12"/>
  <c r="G162" i="12"/>
  <c r="BO149" i="12"/>
  <c r="BO159" i="12" s="1"/>
  <c r="D159" i="12"/>
  <c r="BO190" i="13"/>
  <c r="D200" i="13"/>
  <c r="AW17" i="12"/>
  <c r="AV27" i="12"/>
  <c r="AV31" i="12" s="1"/>
  <c r="AV41" i="12" s="1"/>
  <c r="AV51" i="12" s="1"/>
  <c r="AV18" i="12"/>
  <c r="AV58" i="12"/>
  <c r="F34" i="13" l="1"/>
  <c r="F44" i="13" s="1"/>
  <c r="F54" i="13" s="1"/>
  <c r="F33" i="13"/>
  <c r="F43" i="13" s="1"/>
  <c r="F53" i="13" s="1"/>
  <c r="F139" i="13"/>
  <c r="F149" i="13" s="1"/>
  <c r="F159" i="13" s="1"/>
  <c r="F140" i="13"/>
  <c r="F150" i="13" s="1"/>
  <c r="F160" i="13" s="1"/>
  <c r="F137" i="13"/>
  <c r="F147" i="13" s="1"/>
  <c r="F157" i="13" s="1"/>
  <c r="F138" i="13"/>
  <c r="F148" i="13" s="1"/>
  <c r="F158" i="13" s="1"/>
  <c r="E289" i="13"/>
  <c r="E299" i="13" s="1"/>
  <c r="E309" i="13" s="1"/>
  <c r="D290" i="12"/>
  <c r="D300" i="12" s="1"/>
  <c r="F136" i="13"/>
  <c r="F146" i="13" s="1"/>
  <c r="F156" i="13" s="1"/>
  <c r="F135" i="13"/>
  <c r="F145" i="13" s="1"/>
  <c r="F155" i="13" s="1"/>
  <c r="CC38" i="8"/>
  <c r="CE38" i="8"/>
  <c r="CC18" i="8"/>
  <c r="CE18" i="8"/>
  <c r="BS69" i="8"/>
  <c r="BS59" i="8"/>
  <c r="BS49" i="8"/>
  <c r="BT50" i="8"/>
  <c r="BT70" i="8"/>
  <c r="CB70" i="8" s="1"/>
  <c r="BT60" i="8"/>
  <c r="BS60" i="8"/>
  <c r="BS50" i="8"/>
  <c r="BS70" i="8"/>
  <c r="BT59" i="8"/>
  <c r="BT49" i="8"/>
  <c r="BT69" i="8"/>
  <c r="CB69" i="8" s="1"/>
  <c r="BT68" i="8"/>
  <c r="CB68" i="8" s="1"/>
  <c r="BT58" i="8"/>
  <c r="BT48" i="8"/>
  <c r="BT30" i="8"/>
  <c r="BT40" i="8"/>
  <c r="CB40" i="8" s="1"/>
  <c r="BS29" i="8"/>
  <c r="BS39" i="8"/>
  <c r="CA39" i="8" s="1"/>
  <c r="CE39" i="8" s="1"/>
  <c r="BS30" i="8"/>
  <c r="BS40" i="8"/>
  <c r="CA40" i="8" s="1"/>
  <c r="CE40" i="8" s="1"/>
  <c r="BT29" i="8"/>
  <c r="BT39" i="8"/>
  <c r="CB39" i="8" s="1"/>
  <c r="BT28" i="8"/>
  <c r="BT38" i="8"/>
  <c r="CB38" i="8" s="1"/>
  <c r="H30" i="8"/>
  <c r="BT20" i="8"/>
  <c r="G40" i="8"/>
  <c r="BS20" i="8"/>
  <c r="CA20" i="8" s="1"/>
  <c r="S21" i="16"/>
  <c r="BT19" i="8"/>
  <c r="G39" i="8"/>
  <c r="BS19" i="8"/>
  <c r="CA19" i="8" s="1"/>
  <c r="H28" i="8"/>
  <c r="H18" i="8"/>
  <c r="BT18" i="8"/>
  <c r="CB18" i="8" s="1"/>
  <c r="E190" i="13"/>
  <c r="E200" i="13" s="1"/>
  <c r="E210" i="13" s="1"/>
  <c r="E192" i="13"/>
  <c r="E202" i="13" s="1"/>
  <c r="E212" i="13" s="1"/>
  <c r="AU32" i="12"/>
  <c r="AU42" i="12" s="1"/>
  <c r="AU52" i="12" s="1"/>
  <c r="F35" i="13"/>
  <c r="F45" i="13" s="1"/>
  <c r="F55" i="13" s="1"/>
  <c r="AS289" i="13"/>
  <c r="AS299" i="13" s="1"/>
  <c r="AS309" i="13" s="1"/>
  <c r="F31" i="13"/>
  <c r="F41" i="13" s="1"/>
  <c r="F51" i="13" s="1"/>
  <c r="F32" i="13"/>
  <c r="F42" i="13" s="1"/>
  <c r="F52" i="13" s="1"/>
  <c r="F36" i="13"/>
  <c r="F46" i="13" s="1"/>
  <c r="F56" i="13" s="1"/>
  <c r="AU35" i="12"/>
  <c r="AU45" i="12" s="1"/>
  <c r="AU55" i="12" s="1"/>
  <c r="AU36" i="12"/>
  <c r="AU46" i="12" s="1"/>
  <c r="AU56" i="12" s="1"/>
  <c r="AU33" i="12"/>
  <c r="AU43" i="12" s="1"/>
  <c r="AU53" i="12" s="1"/>
  <c r="AU34" i="12"/>
  <c r="AU44" i="12" s="1"/>
  <c r="AU54" i="12" s="1"/>
  <c r="D289" i="12"/>
  <c r="BO289" i="12" s="1"/>
  <c r="D237" i="13"/>
  <c r="BO237" i="13" s="1"/>
  <c r="I17" i="12"/>
  <c r="J17" i="12" s="1"/>
  <c r="AR237" i="13"/>
  <c r="AR247" i="13" s="1"/>
  <c r="AR257" i="13" s="1"/>
  <c r="BO45" i="13"/>
  <c r="BO55" i="13" s="1"/>
  <c r="BO44" i="13"/>
  <c r="BO54" i="13" s="1"/>
  <c r="AS59" i="13"/>
  <c r="AR62" i="13" s="1"/>
  <c r="G18" i="13"/>
  <c r="H17" i="13"/>
  <c r="H27" i="13" s="1"/>
  <c r="H29" i="13" s="1"/>
  <c r="H39" i="13" s="1"/>
  <c r="H49" i="13" s="1"/>
  <c r="H48" i="8"/>
  <c r="S22" i="16"/>
  <c r="AS186" i="13"/>
  <c r="AS196" i="13" s="1"/>
  <c r="AS206" i="13" s="1"/>
  <c r="H27" i="12"/>
  <c r="H31" i="12" s="1"/>
  <c r="H41" i="12" s="1"/>
  <c r="H51" i="12" s="1"/>
  <c r="D50" i="13"/>
  <c r="D59" i="13" s="1"/>
  <c r="H58" i="8"/>
  <c r="BK62" i="13"/>
  <c r="H68" i="8"/>
  <c r="AT59" i="12"/>
  <c r="AS62" i="12" s="1"/>
  <c r="AU37" i="12"/>
  <c r="AU47" i="12" s="1"/>
  <c r="AU57" i="12" s="1"/>
  <c r="AU28" i="12"/>
  <c r="AU38" i="12" s="1"/>
  <c r="AU48" i="12" s="1"/>
  <c r="H58" i="12"/>
  <c r="D59" i="12"/>
  <c r="D60" i="12" s="1"/>
  <c r="BM63" i="12"/>
  <c r="AU30" i="12"/>
  <c r="AU40" i="12" s="1"/>
  <c r="AU50" i="12" s="1"/>
  <c r="BL63" i="13"/>
  <c r="AU29" i="12"/>
  <c r="AU39" i="12" s="1"/>
  <c r="AU49" i="12" s="1"/>
  <c r="G27" i="13"/>
  <c r="G29" i="13" s="1"/>
  <c r="G39" i="13" s="1"/>
  <c r="G49" i="13" s="1"/>
  <c r="H38" i="8"/>
  <c r="BL62" i="13"/>
  <c r="BM62" i="13"/>
  <c r="F134" i="13"/>
  <c r="F144" i="13" s="1"/>
  <c r="F154" i="13" s="1"/>
  <c r="F30" i="13"/>
  <c r="F40" i="13" s="1"/>
  <c r="F50" i="13" s="1"/>
  <c r="E186" i="13"/>
  <c r="E196" i="13" s="1"/>
  <c r="E206" i="13" s="1"/>
  <c r="F37" i="13"/>
  <c r="F47" i="13" s="1"/>
  <c r="F57" i="13" s="1"/>
  <c r="D291" i="12"/>
  <c r="D301" i="12" s="1"/>
  <c r="F28" i="13"/>
  <c r="F38" i="13" s="1"/>
  <c r="F48" i="13" s="1"/>
  <c r="AS291" i="12"/>
  <c r="AS301" i="12" s="1"/>
  <c r="AS311" i="12" s="1"/>
  <c r="E62" i="12"/>
  <c r="AS188" i="13"/>
  <c r="AS198" i="13" s="1"/>
  <c r="AS208" i="13" s="1"/>
  <c r="E111" i="13"/>
  <c r="AS185" i="12"/>
  <c r="AS195" i="12" s="1"/>
  <c r="AS205" i="12" s="1"/>
  <c r="BO146" i="13"/>
  <c r="BO156" i="13" s="1"/>
  <c r="BO163" i="13" s="1"/>
  <c r="BN166" i="13" s="1"/>
  <c r="AS191" i="13"/>
  <c r="AS201" i="13" s="1"/>
  <c r="AS211" i="13" s="1"/>
  <c r="AU79" i="12"/>
  <c r="AU84" i="12" s="1"/>
  <c r="AU94" i="12" s="1"/>
  <c r="AU104" i="12" s="1"/>
  <c r="AS187" i="13"/>
  <c r="AS197" i="13" s="1"/>
  <c r="AS207" i="13" s="1"/>
  <c r="AS192" i="13"/>
  <c r="AS202" i="13" s="1"/>
  <c r="AS212" i="13" s="1"/>
  <c r="AU110" i="12"/>
  <c r="AS189" i="13"/>
  <c r="AS199" i="13" s="1"/>
  <c r="AS209" i="13" s="1"/>
  <c r="AV69" i="12"/>
  <c r="AV70" i="12" s="1"/>
  <c r="AT214" i="13"/>
  <c r="AU131" i="13"/>
  <c r="AU133" i="13" s="1"/>
  <c r="AU143" i="13" s="1"/>
  <c r="AU153" i="13" s="1"/>
  <c r="AT183" i="13"/>
  <c r="AT185" i="13" s="1"/>
  <c r="AT195" i="13" s="1"/>
  <c r="AT205" i="13" s="1"/>
  <c r="AT174" i="13"/>
  <c r="AT111" i="12"/>
  <c r="AV121" i="13"/>
  <c r="AV122" i="13" s="1"/>
  <c r="AS163" i="13"/>
  <c r="AS111" i="12"/>
  <c r="AR114" i="12" s="1"/>
  <c r="AU162" i="13"/>
  <c r="F183" i="13"/>
  <c r="F185" i="13" s="1"/>
  <c r="F195" i="13" s="1"/>
  <c r="F205" i="13" s="1"/>
  <c r="G49" i="8"/>
  <c r="AS111" i="13"/>
  <c r="AR114" i="13" s="1"/>
  <c r="F111" i="13"/>
  <c r="AS184" i="13"/>
  <c r="AS194" i="13" s="1"/>
  <c r="AS204" i="13" s="1"/>
  <c r="F214" i="13"/>
  <c r="D107" i="12"/>
  <c r="AS185" i="13"/>
  <c r="AS195" i="13" s="1"/>
  <c r="AS205" i="13" s="1"/>
  <c r="BO192" i="13"/>
  <c r="H69" i="13"/>
  <c r="H110" i="13" s="1"/>
  <c r="G70" i="13"/>
  <c r="G79" i="13"/>
  <c r="BO189" i="13"/>
  <c r="AS193" i="13"/>
  <c r="AS203" i="13" s="1"/>
  <c r="AS213" i="13" s="1"/>
  <c r="AT111" i="13"/>
  <c r="F132" i="13"/>
  <c r="F142" i="13" s="1"/>
  <c r="F152" i="13" s="1"/>
  <c r="G60" i="8"/>
  <c r="D197" i="13"/>
  <c r="D207" i="13" s="1"/>
  <c r="D155" i="13"/>
  <c r="BK215" i="13"/>
  <c r="BO186" i="13"/>
  <c r="G173" i="13"/>
  <c r="G214" i="13" s="1"/>
  <c r="E244" i="12"/>
  <c r="E254" i="12" s="1"/>
  <c r="E264" i="12" s="1"/>
  <c r="BO93" i="13"/>
  <c r="BO103" i="13" s="1"/>
  <c r="BN215" i="13"/>
  <c r="BN216" i="13" s="1"/>
  <c r="AR245" i="13"/>
  <c r="AR255" i="13" s="1"/>
  <c r="AR265" i="13" s="1"/>
  <c r="BL215" i="13"/>
  <c r="D158" i="13"/>
  <c r="BM215" i="13"/>
  <c r="BM216" i="13" s="1"/>
  <c r="E184" i="13"/>
  <c r="E194" i="13" s="1"/>
  <c r="E204" i="13" s="1"/>
  <c r="BM255" i="13"/>
  <c r="BM265" i="13" s="1"/>
  <c r="D245" i="13"/>
  <c r="D255" i="13" s="1"/>
  <c r="D265" i="13" s="1"/>
  <c r="F141" i="13"/>
  <c r="F151" i="13" s="1"/>
  <c r="F161" i="13" s="1"/>
  <c r="BK166" i="13"/>
  <c r="E185" i="13"/>
  <c r="E195" i="13" s="1"/>
  <c r="E205" i="13" s="1"/>
  <c r="E193" i="13"/>
  <c r="E203" i="13" s="1"/>
  <c r="E213" i="13" s="1"/>
  <c r="AR185" i="12"/>
  <c r="AR195" i="12" s="1"/>
  <c r="AR205" i="12" s="1"/>
  <c r="BO188" i="13"/>
  <c r="BM166" i="13"/>
  <c r="F111" i="12"/>
  <c r="E114" i="12" s="1"/>
  <c r="BM115" i="13"/>
  <c r="AR215" i="13"/>
  <c r="J20" i="16" s="1"/>
  <c r="BK239" i="13"/>
  <c r="BK249" i="13" s="1"/>
  <c r="BK259" i="13" s="1"/>
  <c r="E187" i="13"/>
  <c r="E197" i="13" s="1"/>
  <c r="E207" i="13" s="1"/>
  <c r="E191" i="13"/>
  <c r="E201" i="13" s="1"/>
  <c r="E211" i="13" s="1"/>
  <c r="H69" i="12"/>
  <c r="G79" i="12"/>
  <c r="G70" i="12"/>
  <c r="G110" i="12"/>
  <c r="D154" i="12"/>
  <c r="D163" i="12" s="1"/>
  <c r="D201" i="13"/>
  <c r="BO201" i="13" s="1"/>
  <c r="BO211" i="13" s="1"/>
  <c r="AR244" i="13"/>
  <c r="AR254" i="13" s="1"/>
  <c r="AR264" i="13" s="1"/>
  <c r="G131" i="13"/>
  <c r="G133" i="13" s="1"/>
  <c r="G143" i="13" s="1"/>
  <c r="G153" i="13" s="1"/>
  <c r="BL240" i="13"/>
  <c r="BL250" i="13" s="1"/>
  <c r="BL260" i="13" s="1"/>
  <c r="H19" i="8"/>
  <c r="H39" i="8"/>
  <c r="E188" i="13"/>
  <c r="E198" i="13" s="1"/>
  <c r="E208" i="13" s="1"/>
  <c r="H49" i="8"/>
  <c r="E163" i="13"/>
  <c r="BO92" i="13"/>
  <c r="BO102" i="13" s="1"/>
  <c r="D102" i="13"/>
  <c r="G30" i="8"/>
  <c r="G50" i="8"/>
  <c r="BL166" i="13"/>
  <c r="BL244" i="13"/>
  <c r="BL254" i="13" s="1"/>
  <c r="BL264" i="13" s="1"/>
  <c r="H29" i="8"/>
  <c r="BL115" i="12"/>
  <c r="G122" i="13"/>
  <c r="D297" i="12"/>
  <c r="D307" i="12" s="1"/>
  <c r="D317" i="12" s="1"/>
  <c r="H121" i="13"/>
  <c r="H122" i="13" s="1"/>
  <c r="H20" i="8"/>
  <c r="BK114" i="13"/>
  <c r="H69" i="8"/>
  <c r="BN255" i="13"/>
  <c r="BN265" i="13" s="1"/>
  <c r="BM114" i="12"/>
  <c r="BL255" i="13"/>
  <c r="BL265" i="13" s="1"/>
  <c r="H59" i="8"/>
  <c r="AR243" i="13"/>
  <c r="AR253" i="13" s="1"/>
  <c r="AR263" i="13" s="1"/>
  <c r="H50" i="8"/>
  <c r="BM164" i="13"/>
  <c r="BL167" i="13" s="1"/>
  <c r="D240" i="13"/>
  <c r="D250" i="13" s="1"/>
  <c r="H70" i="8"/>
  <c r="BK255" i="13"/>
  <c r="BK265" i="13" s="1"/>
  <c r="D239" i="13"/>
  <c r="BO239" i="13" s="1"/>
  <c r="S20" i="16"/>
  <c r="S37" i="16"/>
  <c r="E278" i="12"/>
  <c r="H60" i="8"/>
  <c r="G70" i="8"/>
  <c r="BM242" i="13"/>
  <c r="BM252" i="13" s="1"/>
  <c r="BM262" i="13" s="1"/>
  <c r="G69" i="8"/>
  <c r="E287" i="12"/>
  <c r="E288" i="12" s="1"/>
  <c r="E298" i="12" s="1"/>
  <c r="E308" i="12" s="1"/>
  <c r="H40" i="8"/>
  <c r="G20" i="8"/>
  <c r="BN242" i="13"/>
  <c r="BN252" i="13" s="1"/>
  <c r="BN262" i="13" s="1"/>
  <c r="S38" i="16"/>
  <c r="AS186" i="12"/>
  <c r="AS196" i="12" s="1"/>
  <c r="AS206" i="12" s="1"/>
  <c r="BL239" i="13"/>
  <c r="BL249" i="13" s="1"/>
  <c r="BL259" i="13" s="1"/>
  <c r="BN112" i="12"/>
  <c r="BM115" i="12" s="1"/>
  <c r="BK242" i="13"/>
  <c r="BK252" i="13" s="1"/>
  <c r="BK262" i="13" s="1"/>
  <c r="F277" i="12"/>
  <c r="F287" i="12" s="1"/>
  <c r="BN239" i="13"/>
  <c r="BN249" i="13" s="1"/>
  <c r="BN259" i="13" s="1"/>
  <c r="G19" i="8"/>
  <c r="BL115" i="13"/>
  <c r="D242" i="13"/>
  <c r="D252" i="13" s="1"/>
  <c r="BM114" i="13"/>
  <c r="G59" i="8"/>
  <c r="D106" i="12"/>
  <c r="BO96" i="12"/>
  <c r="BO106" i="12" s="1"/>
  <c r="E243" i="12"/>
  <c r="E253" i="12" s="1"/>
  <c r="E263" i="12" s="1"/>
  <c r="D295" i="12"/>
  <c r="D305" i="12" s="1"/>
  <c r="AS174" i="12"/>
  <c r="BL114" i="13"/>
  <c r="AR193" i="12"/>
  <c r="AR203" i="12" s="1"/>
  <c r="AR213" i="12" s="1"/>
  <c r="D107" i="13"/>
  <c r="BO97" i="13"/>
  <c r="BO107" i="13" s="1"/>
  <c r="AS184" i="12"/>
  <c r="AS194" i="12" s="1"/>
  <c r="AS204" i="12" s="1"/>
  <c r="BL307" i="12"/>
  <c r="BL317" i="12" s="1"/>
  <c r="BL319" i="12" s="1"/>
  <c r="AS214" i="12"/>
  <c r="AR242" i="13"/>
  <c r="AR252" i="13" s="1"/>
  <c r="AR262" i="13" s="1"/>
  <c r="AS193" i="12"/>
  <c r="AS203" i="12" s="1"/>
  <c r="AS213" i="12" s="1"/>
  <c r="AR186" i="12"/>
  <c r="AR196" i="12" s="1"/>
  <c r="AR206" i="12" s="1"/>
  <c r="E174" i="12"/>
  <c r="F214" i="12"/>
  <c r="F174" i="12"/>
  <c r="G173" i="12"/>
  <c r="G214" i="12" s="1"/>
  <c r="F183" i="12"/>
  <c r="F184" i="12" s="1"/>
  <c r="F194" i="12" s="1"/>
  <c r="F204" i="12" s="1"/>
  <c r="AR239" i="13"/>
  <c r="AR249" i="13" s="1"/>
  <c r="AR259" i="13" s="1"/>
  <c r="BK241" i="13"/>
  <c r="BK251" i="13" s="1"/>
  <c r="BK261" i="13" s="1"/>
  <c r="BK240" i="13"/>
  <c r="BK250" i="13" s="1"/>
  <c r="BK260" i="13" s="1"/>
  <c r="BL243" i="13"/>
  <c r="BL253" i="13" s="1"/>
  <c r="BL263" i="13" s="1"/>
  <c r="BM240" i="13"/>
  <c r="BM250" i="13" s="1"/>
  <c r="BM260" i="13" s="1"/>
  <c r="E163" i="12"/>
  <c r="D296" i="12"/>
  <c r="BO296" i="12" s="1"/>
  <c r="D294" i="12"/>
  <c r="D304" i="12" s="1"/>
  <c r="BK243" i="13"/>
  <c r="BK253" i="13" s="1"/>
  <c r="BK263" i="13" s="1"/>
  <c r="D293" i="12"/>
  <c r="D303" i="12" s="1"/>
  <c r="D244" i="13"/>
  <c r="D254" i="13" s="1"/>
  <c r="AS242" i="12"/>
  <c r="AS252" i="12" s="1"/>
  <c r="AS262" i="12" s="1"/>
  <c r="AR241" i="13"/>
  <c r="AR251" i="13" s="1"/>
  <c r="AR261" i="13" s="1"/>
  <c r="BN243" i="13"/>
  <c r="BN253" i="13" s="1"/>
  <c r="BN263" i="13" s="1"/>
  <c r="BN241" i="13"/>
  <c r="BN251" i="13" s="1"/>
  <c r="BN261" i="13" s="1"/>
  <c r="BN307" i="12"/>
  <c r="BN317" i="12" s="1"/>
  <c r="BN319" i="12" s="1"/>
  <c r="AT173" i="12"/>
  <c r="BM244" i="13"/>
  <c r="BM254" i="13" s="1"/>
  <c r="BM264" i="13" s="1"/>
  <c r="BM241" i="13"/>
  <c r="BM251" i="13" s="1"/>
  <c r="BM261" i="13" s="1"/>
  <c r="D288" i="12"/>
  <c r="D298" i="12" s="1"/>
  <c r="D308" i="12" s="1"/>
  <c r="AS163" i="12"/>
  <c r="D106" i="13"/>
  <c r="BO96" i="13"/>
  <c r="BO106" i="13" s="1"/>
  <c r="D243" i="13"/>
  <c r="BO243" i="13" s="1"/>
  <c r="BK244" i="13"/>
  <c r="BK254" i="13" s="1"/>
  <c r="BK264" i="13" s="1"/>
  <c r="D292" i="12"/>
  <c r="D302" i="12" s="1"/>
  <c r="D241" i="13"/>
  <c r="D251" i="13" s="1"/>
  <c r="AR240" i="13"/>
  <c r="AR250" i="13" s="1"/>
  <c r="AR260" i="13" s="1"/>
  <c r="BK307" i="12"/>
  <c r="BK317" i="12" s="1"/>
  <c r="BK319" i="12" s="1"/>
  <c r="BK166" i="12"/>
  <c r="BL114" i="12"/>
  <c r="BL188" i="12"/>
  <c r="BL198" i="12" s="1"/>
  <c r="BL208" i="12" s="1"/>
  <c r="D188" i="12"/>
  <c r="AR188" i="12"/>
  <c r="AR198" i="12" s="1"/>
  <c r="AR208" i="12" s="1"/>
  <c r="BM188" i="12"/>
  <c r="BM198" i="12" s="1"/>
  <c r="BM208" i="12" s="1"/>
  <c r="BK188" i="12"/>
  <c r="BK198" i="12" s="1"/>
  <c r="BK208" i="12" s="1"/>
  <c r="BN188" i="12"/>
  <c r="BN198" i="12" s="1"/>
  <c r="BN208" i="12" s="1"/>
  <c r="BK114" i="12"/>
  <c r="BM192" i="12"/>
  <c r="BM202" i="12" s="1"/>
  <c r="BM212" i="12" s="1"/>
  <c r="D192" i="12"/>
  <c r="AS192" i="12"/>
  <c r="AS202" i="12" s="1"/>
  <c r="AS212" i="12" s="1"/>
  <c r="BK192" i="12"/>
  <c r="BK202" i="12" s="1"/>
  <c r="BK212" i="12" s="1"/>
  <c r="BN192" i="12"/>
  <c r="BN202" i="12" s="1"/>
  <c r="BN212" i="12" s="1"/>
  <c r="AR192" i="12"/>
  <c r="AR202" i="12" s="1"/>
  <c r="AR212" i="12" s="1"/>
  <c r="BL192" i="12"/>
  <c r="BL202" i="12" s="1"/>
  <c r="BL212" i="12" s="1"/>
  <c r="BL187" i="12"/>
  <c r="BL197" i="12" s="1"/>
  <c r="BL207" i="12" s="1"/>
  <c r="AR187" i="12"/>
  <c r="AR197" i="12" s="1"/>
  <c r="AR207" i="12" s="1"/>
  <c r="BN187" i="12"/>
  <c r="BN197" i="12" s="1"/>
  <c r="BN207" i="12" s="1"/>
  <c r="D187" i="12"/>
  <c r="BM187" i="12"/>
  <c r="BM197" i="12" s="1"/>
  <c r="BM207" i="12" s="1"/>
  <c r="BK187" i="12"/>
  <c r="BK197" i="12" s="1"/>
  <c r="BK207" i="12" s="1"/>
  <c r="AS187" i="12"/>
  <c r="AS197" i="12" s="1"/>
  <c r="AS207" i="12" s="1"/>
  <c r="G29" i="8"/>
  <c r="E183" i="12"/>
  <c r="E190" i="12" s="1"/>
  <c r="E200" i="12" s="1"/>
  <c r="E210" i="12" s="1"/>
  <c r="E214" i="12"/>
  <c r="D185" i="12"/>
  <c r="BM185" i="12"/>
  <c r="BM195" i="12" s="1"/>
  <c r="BM205" i="12" s="1"/>
  <c r="BN185" i="12"/>
  <c r="BN195" i="12" s="1"/>
  <c r="BN205" i="12" s="1"/>
  <c r="BL185" i="12"/>
  <c r="BL195" i="12" s="1"/>
  <c r="BL205" i="12" s="1"/>
  <c r="BK185" i="12"/>
  <c r="BK195" i="12" s="1"/>
  <c r="BK205" i="12" s="1"/>
  <c r="BK191" i="12"/>
  <c r="BK201" i="12" s="1"/>
  <c r="BK211" i="12" s="1"/>
  <c r="AR191" i="12"/>
  <c r="AR201" i="12" s="1"/>
  <c r="AR211" i="12" s="1"/>
  <c r="BL191" i="12"/>
  <c r="BL201" i="12" s="1"/>
  <c r="BL211" i="12" s="1"/>
  <c r="D191" i="12"/>
  <c r="BM191" i="12"/>
  <c r="BM201" i="12" s="1"/>
  <c r="BM211" i="12" s="1"/>
  <c r="BN191" i="12"/>
  <c r="BN201" i="12" s="1"/>
  <c r="BN211" i="12" s="1"/>
  <c r="AS191" i="12"/>
  <c r="AS201" i="12" s="1"/>
  <c r="AS211" i="12" s="1"/>
  <c r="D189" i="12"/>
  <c r="BK189" i="12"/>
  <c r="BK199" i="12" s="1"/>
  <c r="BK209" i="12" s="1"/>
  <c r="BN189" i="12"/>
  <c r="BN199" i="12" s="1"/>
  <c r="BN209" i="12" s="1"/>
  <c r="AR189" i="12"/>
  <c r="AR199" i="12" s="1"/>
  <c r="AR209" i="12" s="1"/>
  <c r="BL189" i="12"/>
  <c r="BL199" i="12" s="1"/>
  <c r="BL209" i="12" s="1"/>
  <c r="AS189" i="12"/>
  <c r="AS199" i="12" s="1"/>
  <c r="AS209" i="12" s="1"/>
  <c r="BM189" i="12"/>
  <c r="BM199" i="12" s="1"/>
  <c r="BM209" i="12" s="1"/>
  <c r="AS188" i="12"/>
  <c r="AS198" i="12" s="1"/>
  <c r="AS208" i="12" s="1"/>
  <c r="BM186" i="12"/>
  <c r="BM196" i="12" s="1"/>
  <c r="BM206" i="12" s="1"/>
  <c r="D186" i="12"/>
  <c r="BN186" i="12"/>
  <c r="BN196" i="12" s="1"/>
  <c r="BN206" i="12" s="1"/>
  <c r="BL186" i="12"/>
  <c r="BL196" i="12" s="1"/>
  <c r="BL206" i="12" s="1"/>
  <c r="BK186" i="12"/>
  <c r="BK196" i="12" s="1"/>
  <c r="BK206" i="12" s="1"/>
  <c r="BL190" i="12"/>
  <c r="BL200" i="12" s="1"/>
  <c r="BL210" i="12" s="1"/>
  <c r="BK190" i="12"/>
  <c r="BK200" i="12" s="1"/>
  <c r="BK210" i="12" s="1"/>
  <c r="AR190" i="12"/>
  <c r="AR200" i="12" s="1"/>
  <c r="AR210" i="12" s="1"/>
  <c r="BM190" i="12"/>
  <c r="BM200" i="12" s="1"/>
  <c r="BM210" i="12" s="1"/>
  <c r="D190" i="12"/>
  <c r="BN190" i="12"/>
  <c r="BN200" i="12" s="1"/>
  <c r="BN210" i="12" s="1"/>
  <c r="AS190" i="12"/>
  <c r="AS200" i="12" s="1"/>
  <c r="AS210" i="12" s="1"/>
  <c r="D103" i="12"/>
  <c r="BO93" i="12"/>
  <c r="BO103" i="12" s="1"/>
  <c r="BO94" i="12"/>
  <c r="BO104" i="12" s="1"/>
  <c r="D104" i="12"/>
  <c r="BK238" i="13"/>
  <c r="BK248" i="13" s="1"/>
  <c r="BK258" i="13" s="1"/>
  <c r="BM166" i="12"/>
  <c r="BO92" i="12"/>
  <c r="BO102" i="12" s="1"/>
  <c r="D102" i="12"/>
  <c r="BO91" i="12"/>
  <c r="BO101" i="12" s="1"/>
  <c r="D101" i="12"/>
  <c r="E235" i="13"/>
  <c r="AS243" i="12"/>
  <c r="AS253" i="12" s="1"/>
  <c r="AS263" i="12" s="1"/>
  <c r="AR238" i="13"/>
  <c r="AR248" i="13" s="1"/>
  <c r="AR258" i="13" s="1"/>
  <c r="E241" i="12"/>
  <c r="E251" i="12" s="1"/>
  <c r="E261" i="12" s="1"/>
  <c r="E242" i="12"/>
  <c r="E252" i="12" s="1"/>
  <c r="E262" i="12" s="1"/>
  <c r="E226" i="13"/>
  <c r="BM238" i="13"/>
  <c r="BM248" i="13" s="1"/>
  <c r="BM258" i="13" s="1"/>
  <c r="AT225" i="13"/>
  <c r="AU225" i="13" s="1"/>
  <c r="AS240" i="12"/>
  <c r="AS250" i="12" s="1"/>
  <c r="AS260" i="12" s="1"/>
  <c r="D238" i="13"/>
  <c r="BO238" i="13" s="1"/>
  <c r="BL238" i="13"/>
  <c r="BL248" i="13" s="1"/>
  <c r="BL258" i="13" s="1"/>
  <c r="E240" i="12"/>
  <c r="E250" i="12" s="1"/>
  <c r="E260" i="12" s="1"/>
  <c r="AS241" i="12"/>
  <c r="AS251" i="12" s="1"/>
  <c r="AS261" i="12" s="1"/>
  <c r="F225" i="13"/>
  <c r="F226" i="13" s="1"/>
  <c r="BM164" i="12"/>
  <c r="BL167" i="12" s="1"/>
  <c r="AS237" i="12"/>
  <c r="AS247" i="12" s="1"/>
  <c r="AS257" i="12" s="1"/>
  <c r="AS266" i="13"/>
  <c r="AS295" i="12"/>
  <c r="AS305" i="12" s="1"/>
  <c r="AS315" i="12" s="1"/>
  <c r="AS293" i="12"/>
  <c r="AS303" i="12" s="1"/>
  <c r="AS313" i="12" s="1"/>
  <c r="AS235" i="13"/>
  <c r="AS296" i="12"/>
  <c r="AS306" i="12" s="1"/>
  <c r="AS316" i="12" s="1"/>
  <c r="AS294" i="12"/>
  <c r="AS304" i="12" s="1"/>
  <c r="AS314" i="12" s="1"/>
  <c r="AS238" i="12"/>
  <c r="AS248" i="12" s="1"/>
  <c r="AS258" i="12" s="1"/>
  <c r="BL166" i="12"/>
  <c r="E296" i="13"/>
  <c r="E306" i="13" s="1"/>
  <c r="E316" i="13" s="1"/>
  <c r="E294" i="13"/>
  <c r="E304" i="13" s="1"/>
  <c r="E314" i="13" s="1"/>
  <c r="E237" i="12"/>
  <c r="E247" i="12" s="1"/>
  <c r="E257" i="12" s="1"/>
  <c r="E238" i="12"/>
  <c r="E248" i="12" s="1"/>
  <c r="E258" i="12" s="1"/>
  <c r="AR319" i="12"/>
  <c r="J39" i="16" s="1"/>
  <c r="AS290" i="12"/>
  <c r="AS300" i="12" s="1"/>
  <c r="AS310" i="12" s="1"/>
  <c r="AS289" i="12"/>
  <c r="AS299" i="12" s="1"/>
  <c r="AS309" i="12" s="1"/>
  <c r="AS239" i="12"/>
  <c r="AS249" i="12" s="1"/>
  <c r="AS259" i="12" s="1"/>
  <c r="AR319" i="13"/>
  <c r="J22" i="16" s="1"/>
  <c r="AS296" i="13"/>
  <c r="AS306" i="13" s="1"/>
  <c r="AS316" i="13" s="1"/>
  <c r="AS295" i="13"/>
  <c r="AS305" i="13" s="1"/>
  <c r="AS315" i="13" s="1"/>
  <c r="AS294" i="13"/>
  <c r="AS304" i="13" s="1"/>
  <c r="AS314" i="13" s="1"/>
  <c r="AS291" i="13"/>
  <c r="AS301" i="13" s="1"/>
  <c r="AS311" i="13" s="1"/>
  <c r="G140" i="12"/>
  <c r="G150" i="12" s="1"/>
  <c r="G160" i="12" s="1"/>
  <c r="G139" i="12"/>
  <c r="G149" i="12" s="1"/>
  <c r="G159" i="12" s="1"/>
  <c r="G137" i="12"/>
  <c r="G147" i="12" s="1"/>
  <c r="G157" i="12" s="1"/>
  <c r="G136" i="12"/>
  <c r="G146" i="12" s="1"/>
  <c r="G156" i="12" s="1"/>
  <c r="G138" i="12"/>
  <c r="G148" i="12" s="1"/>
  <c r="G158" i="12" s="1"/>
  <c r="AV33" i="12"/>
  <c r="AV43" i="12" s="1"/>
  <c r="AV53" i="12" s="1"/>
  <c r="AV36" i="12"/>
  <c r="AV46" i="12" s="1"/>
  <c r="AV56" i="12" s="1"/>
  <c r="AV32" i="12"/>
  <c r="AV42" i="12" s="1"/>
  <c r="AV52" i="12" s="1"/>
  <c r="AV34" i="12"/>
  <c r="AV44" i="12" s="1"/>
  <c r="AV54" i="12" s="1"/>
  <c r="AV35" i="12"/>
  <c r="AV45" i="12" s="1"/>
  <c r="AV55" i="12" s="1"/>
  <c r="AU31" i="13"/>
  <c r="AU41" i="13" s="1"/>
  <c r="AU51" i="13" s="1"/>
  <c r="AU36" i="13"/>
  <c r="AU46" i="13" s="1"/>
  <c r="AU56" i="13" s="1"/>
  <c r="AU33" i="13"/>
  <c r="AU43" i="13" s="1"/>
  <c r="AU53" i="13" s="1"/>
  <c r="AU35" i="13"/>
  <c r="AU45" i="13" s="1"/>
  <c r="AU55" i="13" s="1"/>
  <c r="AU34" i="13"/>
  <c r="AU44" i="13" s="1"/>
  <c r="AU54" i="13" s="1"/>
  <c r="AU32" i="13"/>
  <c r="AU42" i="13" s="1"/>
  <c r="AU52" i="13" s="1"/>
  <c r="AU30" i="13"/>
  <c r="AU40" i="13" s="1"/>
  <c r="AU50" i="13" s="1"/>
  <c r="AU137" i="13"/>
  <c r="AU147" i="13" s="1"/>
  <c r="AU157" i="13" s="1"/>
  <c r="AV87" i="13"/>
  <c r="AV97" i="13" s="1"/>
  <c r="AV107" i="13" s="1"/>
  <c r="AV84" i="13"/>
  <c r="AV94" i="13" s="1"/>
  <c r="AV104" i="13" s="1"/>
  <c r="AV83" i="13"/>
  <c r="AV93" i="13" s="1"/>
  <c r="AV103" i="13" s="1"/>
  <c r="AV85" i="13"/>
  <c r="AV95" i="13" s="1"/>
  <c r="AV105" i="13" s="1"/>
  <c r="AV88" i="13"/>
  <c r="AV98" i="13" s="1"/>
  <c r="AV108" i="13" s="1"/>
  <c r="AV86" i="13"/>
  <c r="AV96" i="13" s="1"/>
  <c r="AV106" i="13" s="1"/>
  <c r="AV82" i="13"/>
  <c r="AV92" i="13" s="1"/>
  <c r="AV102" i="13" s="1"/>
  <c r="G137" i="13"/>
  <c r="G147" i="13" s="1"/>
  <c r="G157" i="13" s="1"/>
  <c r="G136" i="13"/>
  <c r="G146" i="13" s="1"/>
  <c r="G156" i="13" s="1"/>
  <c r="G135" i="13"/>
  <c r="G145" i="13" s="1"/>
  <c r="G155" i="13" s="1"/>
  <c r="AU139" i="12"/>
  <c r="AU149" i="12" s="1"/>
  <c r="AU159" i="12" s="1"/>
  <c r="AU136" i="12"/>
  <c r="AU146" i="12" s="1"/>
  <c r="AU156" i="12" s="1"/>
  <c r="AU140" i="12"/>
  <c r="AU150" i="12" s="1"/>
  <c r="AU160" i="12" s="1"/>
  <c r="AU137" i="12"/>
  <c r="AU147" i="12" s="1"/>
  <c r="AU157" i="12" s="1"/>
  <c r="AU138" i="12"/>
  <c r="AU148" i="12" s="1"/>
  <c r="AU158" i="12" s="1"/>
  <c r="E60" i="12"/>
  <c r="BL267" i="12"/>
  <c r="BL268" i="12" s="1"/>
  <c r="BL319" i="13"/>
  <c r="BL320" i="13" s="1"/>
  <c r="BM319" i="12"/>
  <c r="BM320" i="12" s="1"/>
  <c r="BN167" i="13"/>
  <c r="BN63" i="13"/>
  <c r="BM63" i="13"/>
  <c r="BN319" i="13"/>
  <c r="BM267" i="12"/>
  <c r="BM319" i="13"/>
  <c r="BN267" i="12"/>
  <c r="BN167" i="12"/>
  <c r="AU111" i="13"/>
  <c r="AT163" i="13"/>
  <c r="AR267" i="12"/>
  <c r="J38" i="16" s="1"/>
  <c r="AT163" i="12"/>
  <c r="G59" i="12"/>
  <c r="F60" i="12" s="1"/>
  <c r="F163" i="12"/>
  <c r="AT59" i="13"/>
  <c r="AW18" i="12"/>
  <c r="AW27" i="12"/>
  <c r="AW31" i="12" s="1"/>
  <c r="AW41" i="12" s="1"/>
  <c r="AW51" i="12" s="1"/>
  <c r="AX17" i="12"/>
  <c r="AW58" i="12"/>
  <c r="D210" i="13"/>
  <c r="BO200" i="13"/>
  <c r="BO210" i="13" s="1"/>
  <c r="G132" i="12"/>
  <c r="G142" i="12" s="1"/>
  <c r="G152" i="12" s="1"/>
  <c r="G141" i="12"/>
  <c r="G151" i="12" s="1"/>
  <c r="G161" i="12" s="1"/>
  <c r="G133" i="12"/>
  <c r="G143" i="12" s="1"/>
  <c r="G153" i="12" s="1"/>
  <c r="G134" i="12"/>
  <c r="G144" i="12" s="1"/>
  <c r="G154" i="12" s="1"/>
  <c r="D253" i="12"/>
  <c r="BO243" i="12"/>
  <c r="BK267" i="12"/>
  <c r="D247" i="12"/>
  <c r="BO237" i="12"/>
  <c r="AU37" i="13"/>
  <c r="AU47" i="13" s="1"/>
  <c r="AU57" i="13" s="1"/>
  <c r="AU28" i="13"/>
  <c r="AU38" i="13" s="1"/>
  <c r="AU48" i="13" s="1"/>
  <c r="E288" i="13"/>
  <c r="E298" i="13" s="1"/>
  <c r="E308" i="13" s="1"/>
  <c r="E297" i="13"/>
  <c r="E307" i="13" s="1"/>
  <c r="E317" i="13" s="1"/>
  <c r="E295" i="13"/>
  <c r="E305" i="13" s="1"/>
  <c r="E315" i="13" s="1"/>
  <c r="D305" i="13"/>
  <c r="BO295" i="13"/>
  <c r="E293" i="13"/>
  <c r="E303" i="13" s="1"/>
  <c r="E313" i="13" s="1"/>
  <c r="AS288" i="13"/>
  <c r="AS298" i="13" s="1"/>
  <c r="AS308" i="13" s="1"/>
  <c r="AS297" i="13"/>
  <c r="AS307" i="13" s="1"/>
  <c r="AS317" i="13" s="1"/>
  <c r="BO195" i="13"/>
  <c r="BO205" i="13" s="1"/>
  <c r="D205" i="13"/>
  <c r="D302" i="13"/>
  <c r="BO292" i="13"/>
  <c r="AS292" i="13"/>
  <c r="AS302" i="13" s="1"/>
  <c r="AS312" i="13" s="1"/>
  <c r="E236" i="12"/>
  <c r="E246" i="12" s="1"/>
  <c r="E256" i="12" s="1"/>
  <c r="E245" i="12"/>
  <c r="E255" i="12" s="1"/>
  <c r="E265" i="12" s="1"/>
  <c r="I121" i="12"/>
  <c r="H131" i="12"/>
  <c r="H135" i="12" s="1"/>
  <c r="H145" i="12" s="1"/>
  <c r="H155" i="12" s="1"/>
  <c r="H122" i="12"/>
  <c r="H162" i="12"/>
  <c r="D306" i="13"/>
  <c r="BO296" i="13"/>
  <c r="D304" i="13"/>
  <c r="BO294" i="13"/>
  <c r="AV80" i="13"/>
  <c r="AV90" i="13" s="1"/>
  <c r="AV100" i="13" s="1"/>
  <c r="AV89" i="13"/>
  <c r="AV99" i="13" s="1"/>
  <c r="AV109" i="13" s="1"/>
  <c r="D301" i="13"/>
  <c r="BO291" i="13"/>
  <c r="D250" i="12"/>
  <c r="BO240" i="12"/>
  <c r="D248" i="12"/>
  <c r="BO238" i="12"/>
  <c r="AV173" i="13"/>
  <c r="AU174" i="13"/>
  <c r="AU183" i="13"/>
  <c r="AU185" i="13" s="1"/>
  <c r="AU195" i="13" s="1"/>
  <c r="AU205" i="13" s="1"/>
  <c r="AU214" i="13"/>
  <c r="G277" i="13"/>
  <c r="F278" i="13"/>
  <c r="F287" i="13"/>
  <c r="F289" i="13" s="1"/>
  <c r="F299" i="13" s="1"/>
  <c r="F309" i="13" s="1"/>
  <c r="F318" i="13"/>
  <c r="AW121" i="12"/>
  <c r="AV131" i="12"/>
  <c r="AV135" i="12" s="1"/>
  <c r="AV145" i="12" s="1"/>
  <c r="AV155" i="12" s="1"/>
  <c r="AV122" i="12"/>
  <c r="AV162" i="12"/>
  <c r="D251" i="12"/>
  <c r="BO241" i="12"/>
  <c r="AU277" i="13"/>
  <c r="AT278" i="13"/>
  <c r="AT287" i="13"/>
  <c r="AT289" i="13" s="1"/>
  <c r="AT299" i="13" s="1"/>
  <c r="AT309" i="13" s="1"/>
  <c r="AT318" i="13"/>
  <c r="E292" i="13"/>
  <c r="E302" i="13" s="1"/>
  <c r="E312" i="13" s="1"/>
  <c r="AS290" i="13"/>
  <c r="AS300" i="13" s="1"/>
  <c r="AS310" i="13" s="1"/>
  <c r="D254" i="12"/>
  <c r="BO244" i="12"/>
  <c r="D249" i="12"/>
  <c r="BO239" i="12"/>
  <c r="AT278" i="12"/>
  <c r="AU277" i="12"/>
  <c r="AT287" i="12"/>
  <c r="AT318" i="12"/>
  <c r="AS245" i="12"/>
  <c r="AS255" i="12" s="1"/>
  <c r="AS265" i="12" s="1"/>
  <c r="AS236" i="12"/>
  <c r="AS246" i="12" s="1"/>
  <c r="AS256" i="12" s="1"/>
  <c r="G225" i="12"/>
  <c r="F235" i="12"/>
  <c r="F239" i="12" s="1"/>
  <c r="F249" i="12" s="1"/>
  <c r="F259" i="12" s="1"/>
  <c r="F226" i="12"/>
  <c r="F266" i="12"/>
  <c r="AV37" i="12"/>
  <c r="AV47" i="12" s="1"/>
  <c r="AV57" i="12" s="1"/>
  <c r="AV28" i="12"/>
  <c r="AV38" i="12" s="1"/>
  <c r="AV48" i="12" s="1"/>
  <c r="AV30" i="12"/>
  <c r="AV40" i="12" s="1"/>
  <c r="AV50" i="12" s="1"/>
  <c r="AV29" i="12"/>
  <c r="AV39" i="12" s="1"/>
  <c r="AV49" i="12" s="1"/>
  <c r="D209" i="13"/>
  <c r="BO199" i="13"/>
  <c r="BO209" i="13" s="1"/>
  <c r="AW17" i="13"/>
  <c r="AV18" i="13"/>
  <c r="AV27" i="13"/>
  <c r="AV29" i="13" s="1"/>
  <c r="AV39" i="13" s="1"/>
  <c r="AV49" i="13" s="1"/>
  <c r="AV58" i="13"/>
  <c r="BO196" i="13"/>
  <c r="BO206" i="13" s="1"/>
  <c r="D206" i="13"/>
  <c r="D299" i="13"/>
  <c r="BO289" i="13"/>
  <c r="BO198" i="13"/>
  <c r="BO208" i="13" s="1"/>
  <c r="D208" i="13"/>
  <c r="D300" i="13"/>
  <c r="BO290" i="13"/>
  <c r="E8" i="8"/>
  <c r="J12" i="11"/>
  <c r="BK60" i="12"/>
  <c r="BK63" i="12" s="1"/>
  <c r="BO163" i="12"/>
  <c r="BN166" i="12" s="1"/>
  <c r="BO202" i="13"/>
  <c r="BO212" i="13" s="1"/>
  <c r="D212" i="13"/>
  <c r="AW70" i="13"/>
  <c r="AW79" i="13"/>
  <c r="AW81" i="13" s="1"/>
  <c r="AW91" i="13" s="1"/>
  <c r="AW101" i="13" s="1"/>
  <c r="AX69" i="13"/>
  <c r="AW110" i="13"/>
  <c r="BK319" i="13"/>
  <c r="AU132" i="12"/>
  <c r="AU142" i="12" s="1"/>
  <c r="AU152" i="12" s="1"/>
  <c r="AU141" i="12"/>
  <c r="AU151" i="12" s="1"/>
  <c r="AU161" i="12" s="1"/>
  <c r="AU134" i="12"/>
  <c r="AU144" i="12" s="1"/>
  <c r="AU154" i="12" s="1"/>
  <c r="AU133" i="12"/>
  <c r="AU143" i="12" s="1"/>
  <c r="AU153" i="12" s="1"/>
  <c r="D303" i="13"/>
  <c r="BO293" i="13"/>
  <c r="D252" i="12"/>
  <c r="BO242" i="12"/>
  <c r="E290" i="13"/>
  <c r="E300" i="13" s="1"/>
  <c r="E310" i="13" s="1"/>
  <c r="AS288" i="12"/>
  <c r="AS298" i="12" s="1"/>
  <c r="AS308" i="12" s="1"/>
  <c r="AS297" i="12"/>
  <c r="AS307" i="12" s="1"/>
  <c r="AS317" i="12" s="1"/>
  <c r="AU225" i="12"/>
  <c r="AT226" i="12"/>
  <c r="AT235" i="12"/>
  <c r="AT239" i="12" s="1"/>
  <c r="AT249" i="12" s="1"/>
  <c r="AT259" i="12" s="1"/>
  <c r="AT266" i="12"/>
  <c r="AU138" i="13" l="1"/>
  <c r="AU148" i="13" s="1"/>
  <c r="AU158" i="13" s="1"/>
  <c r="AU140" i="13"/>
  <c r="AU150" i="13" s="1"/>
  <c r="AU160" i="13" s="1"/>
  <c r="F187" i="13"/>
  <c r="F197" i="13" s="1"/>
  <c r="F207" i="13" s="1"/>
  <c r="AU136" i="13"/>
  <c r="AU146" i="13" s="1"/>
  <c r="AU156" i="13" s="1"/>
  <c r="AU135" i="13"/>
  <c r="AU145" i="13" s="1"/>
  <c r="AU155" i="13" s="1"/>
  <c r="AU139" i="13"/>
  <c r="AU149" i="13" s="1"/>
  <c r="AU159" i="13" s="1"/>
  <c r="G138" i="13"/>
  <c r="G148" i="13" s="1"/>
  <c r="G158" i="13" s="1"/>
  <c r="G139" i="13"/>
  <c r="G149" i="13" s="1"/>
  <c r="G159" i="13" s="1"/>
  <c r="G140" i="13"/>
  <c r="G150" i="13" s="1"/>
  <c r="G160" i="13" s="1"/>
  <c r="BO290" i="12"/>
  <c r="F189" i="12"/>
  <c r="F199" i="12" s="1"/>
  <c r="F209" i="12" s="1"/>
  <c r="E289" i="12"/>
  <c r="E299" i="12" s="1"/>
  <c r="E309" i="12" s="1"/>
  <c r="BK38" i="8"/>
  <c r="BI38" i="8"/>
  <c r="BK18" i="8"/>
  <c r="BI18" i="8"/>
  <c r="BM18" i="8"/>
  <c r="BM38" i="8"/>
  <c r="CD39" i="8"/>
  <c r="CF39" i="8"/>
  <c r="CD38" i="8"/>
  <c r="CF38" i="8"/>
  <c r="CD40" i="8"/>
  <c r="CF40" i="8"/>
  <c r="BL40" i="8" s="1"/>
  <c r="CD68" i="8"/>
  <c r="CF68" i="8"/>
  <c r="CD70" i="8"/>
  <c r="CF70" i="8"/>
  <c r="BL70" i="8" s="1"/>
  <c r="CD69" i="8"/>
  <c r="CF69" i="8"/>
  <c r="CE19" i="8"/>
  <c r="CC19" i="8"/>
  <c r="CE20" i="8"/>
  <c r="CC20" i="8"/>
  <c r="CF18" i="8"/>
  <c r="CD18" i="8"/>
  <c r="BT43" i="8"/>
  <c r="CB43" i="8" s="1"/>
  <c r="BT63" i="8"/>
  <c r="BT53" i="8"/>
  <c r="BT73" i="8"/>
  <c r="CB73" i="8" s="1"/>
  <c r="BS43" i="8"/>
  <c r="CA43" i="8" s="1"/>
  <c r="BS73" i="8"/>
  <c r="BS63" i="8"/>
  <c r="BS53" i="8"/>
  <c r="BT71" i="8"/>
  <c r="CB71" i="8" s="1"/>
  <c r="BT61" i="8"/>
  <c r="BT51" i="8"/>
  <c r="BS42" i="8"/>
  <c r="CA42" i="8" s="1"/>
  <c r="BS72" i="8"/>
  <c r="BS62" i="8"/>
  <c r="BS52" i="8"/>
  <c r="BT31" i="8"/>
  <c r="BT41" i="8"/>
  <c r="CB41" i="8" s="1"/>
  <c r="BT23" i="8"/>
  <c r="CB23" i="8" s="1"/>
  <c r="BT33" i="8"/>
  <c r="BS23" i="8"/>
  <c r="CA23" i="8" s="1"/>
  <c r="BS33" i="8"/>
  <c r="BS22" i="8"/>
  <c r="CA22" i="8" s="1"/>
  <c r="BS32" i="8"/>
  <c r="CB19" i="8"/>
  <c r="CB20" i="8"/>
  <c r="H31" i="8"/>
  <c r="BT21" i="8"/>
  <c r="G36" i="13"/>
  <c r="G46" i="13" s="1"/>
  <c r="G56" i="13" s="1"/>
  <c r="G86" i="12"/>
  <c r="G96" i="12" s="1"/>
  <c r="G106" i="12" s="1"/>
  <c r="G88" i="12"/>
  <c r="G98" i="12" s="1"/>
  <c r="G108" i="12" s="1"/>
  <c r="G87" i="12"/>
  <c r="G97" i="12" s="1"/>
  <c r="G107" i="12" s="1"/>
  <c r="G85" i="12"/>
  <c r="G95" i="12" s="1"/>
  <c r="G105" i="12" s="1"/>
  <c r="AU83" i="12"/>
  <c r="AU93" i="12" s="1"/>
  <c r="AU103" i="12" s="1"/>
  <c r="AU85" i="12"/>
  <c r="AU95" i="12" s="1"/>
  <c r="AU105" i="12" s="1"/>
  <c r="AU86" i="12"/>
  <c r="AU96" i="12" s="1"/>
  <c r="AU106" i="12" s="1"/>
  <c r="AU87" i="12"/>
  <c r="AU97" i="12" s="1"/>
  <c r="AU107" i="12" s="1"/>
  <c r="AU88" i="12"/>
  <c r="AU98" i="12" s="1"/>
  <c r="AU108" i="12" s="1"/>
  <c r="AT187" i="13"/>
  <c r="AT197" i="13" s="1"/>
  <c r="AT207" i="13" s="1"/>
  <c r="G84" i="13"/>
  <c r="G94" i="13" s="1"/>
  <c r="G104" i="13" s="1"/>
  <c r="G83" i="13"/>
  <c r="G93" i="13" s="1"/>
  <c r="G103" i="13" s="1"/>
  <c r="G87" i="13"/>
  <c r="G97" i="13" s="1"/>
  <c r="G107" i="13" s="1"/>
  <c r="G86" i="13"/>
  <c r="G96" i="13" s="1"/>
  <c r="G106" i="13" s="1"/>
  <c r="G85" i="13"/>
  <c r="G95" i="13" s="1"/>
  <c r="G105" i="13" s="1"/>
  <c r="G88" i="13"/>
  <c r="G98" i="13" s="1"/>
  <c r="G108" i="13" s="1"/>
  <c r="D299" i="12"/>
  <c r="BO299" i="12" s="1"/>
  <c r="BO309" i="12" s="1"/>
  <c r="AT191" i="13"/>
  <c r="AT201" i="13" s="1"/>
  <c r="AT211" i="13" s="1"/>
  <c r="H34" i="12"/>
  <c r="H44" i="12" s="1"/>
  <c r="H54" i="12" s="1"/>
  <c r="D247" i="13"/>
  <c r="BO247" i="13" s="1"/>
  <c r="BO257" i="13" s="1"/>
  <c r="H36" i="12"/>
  <c r="H46" i="12" s="1"/>
  <c r="H56" i="12" s="1"/>
  <c r="H32" i="12"/>
  <c r="H42" i="12" s="1"/>
  <c r="H52" i="12" s="1"/>
  <c r="H35" i="12"/>
  <c r="H45" i="12" s="1"/>
  <c r="H55" i="12" s="1"/>
  <c r="H33" i="12"/>
  <c r="H43" i="12" s="1"/>
  <c r="H53" i="12" s="1"/>
  <c r="AS319" i="13"/>
  <c r="AR320" i="13" s="1"/>
  <c r="G32" i="13"/>
  <c r="G42" i="13" s="1"/>
  <c r="G52" i="13" s="1"/>
  <c r="G33" i="13"/>
  <c r="G43" i="13" s="1"/>
  <c r="G53" i="13" s="1"/>
  <c r="I58" i="12"/>
  <c r="G34" i="13"/>
  <c r="G44" i="13" s="1"/>
  <c r="G54" i="13" s="1"/>
  <c r="G31" i="13"/>
  <c r="G41" i="13" s="1"/>
  <c r="G51" i="13" s="1"/>
  <c r="G35" i="13"/>
  <c r="G45" i="13" s="1"/>
  <c r="G55" i="13" s="1"/>
  <c r="E290" i="12"/>
  <c r="E300" i="12" s="1"/>
  <c r="E310" i="12" s="1"/>
  <c r="I18" i="12"/>
  <c r="I27" i="12"/>
  <c r="I31" i="12" s="1"/>
  <c r="I41" i="12" s="1"/>
  <c r="I51" i="12" s="1"/>
  <c r="AS62" i="13"/>
  <c r="BO59" i="13"/>
  <c r="BN62" i="13" s="1"/>
  <c r="H58" i="13"/>
  <c r="I17" i="13"/>
  <c r="I58" i="13" s="1"/>
  <c r="G28" i="13"/>
  <c r="G38" i="13" s="1"/>
  <c r="G48" i="13" s="1"/>
  <c r="AR267" i="13"/>
  <c r="J21" i="16" s="1"/>
  <c r="AS238" i="13"/>
  <c r="AS248" i="13" s="1"/>
  <c r="AS258" i="13" s="1"/>
  <c r="AS237" i="13"/>
  <c r="AS247" i="13" s="1"/>
  <c r="AS257" i="13" s="1"/>
  <c r="E240" i="13"/>
  <c r="E250" i="13" s="1"/>
  <c r="E260" i="13" s="1"/>
  <c r="E237" i="13"/>
  <c r="E247" i="13" s="1"/>
  <c r="E257" i="13" s="1"/>
  <c r="D62" i="12"/>
  <c r="H30" i="12"/>
  <c r="H40" i="12" s="1"/>
  <c r="H50" i="12" s="1"/>
  <c r="H37" i="12"/>
  <c r="H47" i="12" s="1"/>
  <c r="H57" i="12" s="1"/>
  <c r="H18" i="13"/>
  <c r="H29" i="12"/>
  <c r="H39" i="12" s="1"/>
  <c r="H49" i="12" s="1"/>
  <c r="H28" i="12"/>
  <c r="H38" i="12" s="1"/>
  <c r="H48" i="12" s="1"/>
  <c r="AS60" i="12"/>
  <c r="BO291" i="12"/>
  <c r="AT186" i="13"/>
  <c r="AT196" i="13" s="1"/>
  <c r="AT206" i="13" s="1"/>
  <c r="G37" i="13"/>
  <c r="G47" i="13" s="1"/>
  <c r="G57" i="13" s="1"/>
  <c r="G30" i="13"/>
  <c r="G40" i="13" s="1"/>
  <c r="G50" i="13" s="1"/>
  <c r="AR166" i="13"/>
  <c r="AU59" i="12"/>
  <c r="AT60" i="12" s="1"/>
  <c r="AU141" i="13"/>
  <c r="AU151" i="13" s="1"/>
  <c r="AU161" i="13" s="1"/>
  <c r="F189" i="13"/>
  <c r="F199" i="13" s="1"/>
  <c r="F209" i="13" s="1"/>
  <c r="AT188" i="13"/>
  <c r="AT198" i="13" s="1"/>
  <c r="AT208" i="13" s="1"/>
  <c r="AT192" i="13"/>
  <c r="AT202" i="13" s="1"/>
  <c r="AT212" i="13" s="1"/>
  <c r="F188" i="13"/>
  <c r="F198" i="13" s="1"/>
  <c r="F208" i="13" s="1"/>
  <c r="F191" i="13"/>
  <c r="F201" i="13" s="1"/>
  <c r="F211" i="13" s="1"/>
  <c r="F190" i="13"/>
  <c r="F200" i="13" s="1"/>
  <c r="F210" i="13" s="1"/>
  <c r="F192" i="13"/>
  <c r="F202" i="13" s="1"/>
  <c r="F212" i="13" s="1"/>
  <c r="F59" i="13"/>
  <c r="E60" i="13" s="1"/>
  <c r="AS164" i="13"/>
  <c r="G81" i="13"/>
  <c r="G91" i="13" s="1"/>
  <c r="G101" i="13" s="1"/>
  <c r="G82" i="13"/>
  <c r="G92" i="13" s="1"/>
  <c r="G102" i="13" s="1"/>
  <c r="F186" i="13"/>
  <c r="F196" i="13" s="1"/>
  <c r="F206" i="13" s="1"/>
  <c r="G134" i="13"/>
  <c r="G144" i="13" s="1"/>
  <c r="G154" i="13" s="1"/>
  <c r="AU134" i="13"/>
  <c r="AU144" i="13" s="1"/>
  <c r="AU154" i="13" s="1"/>
  <c r="E291" i="12"/>
  <c r="E301" i="12" s="1"/>
  <c r="E311" i="12" s="1"/>
  <c r="E192" i="12"/>
  <c r="E202" i="12" s="1"/>
  <c r="E212" i="12" s="1"/>
  <c r="AU89" i="12"/>
  <c r="AU99" i="12" s="1"/>
  <c r="AU109" i="12" s="1"/>
  <c r="AU81" i="12"/>
  <c r="AU91" i="12" s="1"/>
  <c r="AU101" i="12" s="1"/>
  <c r="E112" i="13"/>
  <c r="AU132" i="13"/>
  <c r="AU142" i="13" s="1"/>
  <c r="AU152" i="13" s="1"/>
  <c r="AU82" i="12"/>
  <c r="AU92" i="12" s="1"/>
  <c r="AU102" i="12" s="1"/>
  <c r="AU80" i="12"/>
  <c r="AU90" i="12" s="1"/>
  <c r="AU100" i="12" s="1"/>
  <c r="F193" i="13"/>
  <c r="F203" i="13" s="1"/>
  <c r="F213" i="13" s="1"/>
  <c r="BO293" i="12"/>
  <c r="AW69" i="12"/>
  <c r="AW110" i="12" s="1"/>
  <c r="AT193" i="13"/>
  <c r="AT203" i="13" s="1"/>
  <c r="AT213" i="13" s="1"/>
  <c r="AT190" i="13"/>
  <c r="AT200" i="13" s="1"/>
  <c r="AT210" i="13" s="1"/>
  <c r="AT189" i="13"/>
  <c r="AT199" i="13" s="1"/>
  <c r="AT209" i="13" s="1"/>
  <c r="AT184" i="13"/>
  <c r="AT194" i="13" s="1"/>
  <c r="AT204" i="13" s="1"/>
  <c r="AW121" i="13"/>
  <c r="AW162" i="13" s="1"/>
  <c r="AS112" i="13"/>
  <c r="AV110" i="12"/>
  <c r="AV79" i="12"/>
  <c r="AS114" i="12"/>
  <c r="AV162" i="13"/>
  <c r="H79" i="13"/>
  <c r="BK218" i="13"/>
  <c r="E164" i="12"/>
  <c r="H70" i="13"/>
  <c r="F163" i="13"/>
  <c r="E164" i="13" s="1"/>
  <c r="AV131" i="13"/>
  <c r="AV133" i="13" s="1"/>
  <c r="AV143" i="13" s="1"/>
  <c r="AV153" i="13" s="1"/>
  <c r="G174" i="12"/>
  <c r="I69" i="13"/>
  <c r="I70" i="13" s="1"/>
  <c r="AS112" i="12"/>
  <c r="G141" i="13"/>
  <c r="G151" i="13" s="1"/>
  <c r="G161" i="13" s="1"/>
  <c r="G174" i="13"/>
  <c r="F184" i="13"/>
  <c r="F194" i="13" s="1"/>
  <c r="F204" i="13" s="1"/>
  <c r="E114" i="13"/>
  <c r="F188" i="12"/>
  <c r="F198" i="12" s="1"/>
  <c r="F208" i="12" s="1"/>
  <c r="AS114" i="13"/>
  <c r="AS215" i="13"/>
  <c r="AR218" i="13" s="1"/>
  <c r="AT112" i="13"/>
  <c r="AR166" i="12"/>
  <c r="E293" i="12"/>
  <c r="E303" i="12" s="1"/>
  <c r="E313" i="12" s="1"/>
  <c r="H173" i="13"/>
  <c r="H214" i="13" s="1"/>
  <c r="BM218" i="13"/>
  <c r="E112" i="12"/>
  <c r="BO197" i="13"/>
  <c r="BO207" i="13" s="1"/>
  <c r="BO215" i="13" s="1"/>
  <c r="BN218" i="13" s="1"/>
  <c r="D211" i="13"/>
  <c r="D215" i="13" s="1"/>
  <c r="G183" i="13"/>
  <c r="G185" i="13" s="1"/>
  <c r="G195" i="13" s="1"/>
  <c r="G205" i="13" s="1"/>
  <c r="AS166" i="12"/>
  <c r="G89" i="13"/>
  <c r="G99" i="13" s="1"/>
  <c r="G109" i="13" s="1"/>
  <c r="G80" i="13"/>
  <c r="G90" i="13" s="1"/>
  <c r="G100" i="13" s="1"/>
  <c r="H51" i="8"/>
  <c r="F185" i="12"/>
  <c r="F195" i="12" s="1"/>
  <c r="F205" i="12" s="1"/>
  <c r="H71" i="8"/>
  <c r="S19" i="16"/>
  <c r="D249" i="13"/>
  <c r="D259" i="13" s="1"/>
  <c r="BL216" i="13"/>
  <c r="BL219" i="13" s="1"/>
  <c r="D163" i="13"/>
  <c r="D166" i="13" s="1"/>
  <c r="E215" i="13"/>
  <c r="D306" i="12"/>
  <c r="BO306" i="12" s="1"/>
  <c r="BO316" i="12" s="1"/>
  <c r="H61" i="8"/>
  <c r="BL218" i="13"/>
  <c r="F187" i="12"/>
  <c r="F197" i="12" s="1"/>
  <c r="F207" i="12" s="1"/>
  <c r="BO240" i="13"/>
  <c r="H21" i="8"/>
  <c r="F186" i="12"/>
  <c r="F196" i="12" s="1"/>
  <c r="F206" i="12" s="1"/>
  <c r="H41" i="8"/>
  <c r="E243" i="13"/>
  <c r="E253" i="13" s="1"/>
  <c r="E263" i="13" s="1"/>
  <c r="G183" i="12"/>
  <c r="G187" i="12" s="1"/>
  <c r="G197" i="12" s="1"/>
  <c r="G207" i="12" s="1"/>
  <c r="BO244" i="13"/>
  <c r="E239" i="13"/>
  <c r="E249" i="13" s="1"/>
  <c r="E259" i="13" s="1"/>
  <c r="E188" i="12"/>
  <c r="E198" i="12" s="1"/>
  <c r="E208" i="12" s="1"/>
  <c r="H131" i="13"/>
  <c r="H133" i="13" s="1"/>
  <c r="H143" i="13" s="1"/>
  <c r="H153" i="13" s="1"/>
  <c r="I121" i="13"/>
  <c r="I162" i="13" s="1"/>
  <c r="H173" i="12"/>
  <c r="H214" i="12" s="1"/>
  <c r="AS239" i="13"/>
  <c r="AS249" i="13" s="1"/>
  <c r="AS259" i="13" s="1"/>
  <c r="G83" i="12"/>
  <c r="G93" i="12" s="1"/>
  <c r="G103" i="12" s="1"/>
  <c r="G84" i="12"/>
  <c r="G94" i="12" s="1"/>
  <c r="G104" i="12" s="1"/>
  <c r="G81" i="12"/>
  <c r="G91" i="12" s="1"/>
  <c r="G101" i="12" s="1"/>
  <c r="G80" i="12"/>
  <c r="G90" i="12" s="1"/>
  <c r="G100" i="12" s="1"/>
  <c r="G82" i="12"/>
  <c r="G92" i="12" s="1"/>
  <c r="G102" i="12" s="1"/>
  <c r="G89" i="12"/>
  <c r="G99" i="12" s="1"/>
  <c r="G109" i="12" s="1"/>
  <c r="G277" i="12"/>
  <c r="G318" i="12" s="1"/>
  <c r="H110" i="12"/>
  <c r="H70" i="12"/>
  <c r="I69" i="12"/>
  <c r="H79" i="12"/>
  <c r="H162" i="13"/>
  <c r="F318" i="12"/>
  <c r="D111" i="13"/>
  <c r="D112" i="13" s="1"/>
  <c r="D253" i="13"/>
  <c r="BO253" i="13" s="1"/>
  <c r="BO263" i="13" s="1"/>
  <c r="F278" i="12"/>
  <c r="G132" i="13"/>
  <c r="G142" i="13" s="1"/>
  <c r="G152" i="13" s="1"/>
  <c r="F191" i="12"/>
  <c r="F201" i="12" s="1"/>
  <c r="F211" i="12" s="1"/>
  <c r="BO111" i="13"/>
  <c r="BK112" i="13" s="1"/>
  <c r="BK115" i="13" s="1"/>
  <c r="BN267" i="13"/>
  <c r="BN268" i="13" s="1"/>
  <c r="BN271" i="13" s="1"/>
  <c r="BO242" i="13"/>
  <c r="E295" i="12"/>
  <c r="E305" i="12" s="1"/>
  <c r="E315" i="12" s="1"/>
  <c r="E297" i="12"/>
  <c r="E307" i="12" s="1"/>
  <c r="E317" i="12" s="1"/>
  <c r="BN115" i="12"/>
  <c r="E296" i="12"/>
  <c r="E306" i="12" s="1"/>
  <c r="E316" i="12" s="1"/>
  <c r="BM167" i="13"/>
  <c r="E191" i="12"/>
  <c r="E201" i="12" s="1"/>
  <c r="E211" i="12" s="1"/>
  <c r="E189" i="12"/>
  <c r="E199" i="12" s="1"/>
  <c r="E209" i="12" s="1"/>
  <c r="F190" i="12"/>
  <c r="F200" i="12" s="1"/>
  <c r="F210" i="12" s="1"/>
  <c r="F192" i="12"/>
  <c r="F202" i="12" s="1"/>
  <c r="F212" i="12" s="1"/>
  <c r="E292" i="12"/>
  <c r="E302" i="12" s="1"/>
  <c r="E312" i="12" s="1"/>
  <c r="E294" i="12"/>
  <c r="E304" i="12" s="1"/>
  <c r="E314" i="12" s="1"/>
  <c r="BO292" i="12"/>
  <c r="F193" i="12"/>
  <c r="F203" i="12" s="1"/>
  <c r="F213" i="12" s="1"/>
  <c r="E238" i="13"/>
  <c r="E248" i="13" s="1"/>
  <c r="E258" i="13" s="1"/>
  <c r="BL267" i="13"/>
  <c r="BL268" i="13" s="1"/>
  <c r="BO294" i="12"/>
  <c r="AS215" i="12"/>
  <c r="BO295" i="12"/>
  <c r="BO241" i="13"/>
  <c r="E244" i="13"/>
  <c r="E254" i="13" s="1"/>
  <c r="E264" i="13" s="1"/>
  <c r="AS240" i="13"/>
  <c r="AS250" i="13" s="1"/>
  <c r="AS260" i="13" s="1"/>
  <c r="E242" i="13"/>
  <c r="E252" i="13" s="1"/>
  <c r="E262" i="13" s="1"/>
  <c r="BK267" i="13"/>
  <c r="AR215" i="12"/>
  <c r="J37" i="16" s="1"/>
  <c r="BM267" i="13"/>
  <c r="BM268" i="13" s="1"/>
  <c r="AS243" i="13"/>
  <c r="AS253" i="13" s="1"/>
  <c r="AS263" i="13" s="1"/>
  <c r="AS244" i="13"/>
  <c r="AS254" i="13" s="1"/>
  <c r="AS264" i="13" s="1"/>
  <c r="E241" i="13"/>
  <c r="E251" i="13" s="1"/>
  <c r="E261" i="13" s="1"/>
  <c r="AU173" i="12"/>
  <c r="AT174" i="12"/>
  <c r="AT183" i="12"/>
  <c r="AT188" i="12" s="1"/>
  <c r="AT198" i="12" s="1"/>
  <c r="AT208" i="12" s="1"/>
  <c r="AT214" i="12"/>
  <c r="BK215" i="12"/>
  <c r="D195" i="12"/>
  <c r="BO185" i="12"/>
  <c r="D197" i="12"/>
  <c r="BO187" i="12"/>
  <c r="AT266" i="13"/>
  <c r="AS241" i="13"/>
  <c r="AS251" i="13" s="1"/>
  <c r="AS261" i="13" s="1"/>
  <c r="AS242" i="13"/>
  <c r="AS252" i="13" s="1"/>
  <c r="AS262" i="13" s="1"/>
  <c r="BN215" i="12"/>
  <c r="E187" i="12"/>
  <c r="E197" i="12" s="1"/>
  <c r="E207" i="12" s="1"/>
  <c r="E185" i="12"/>
  <c r="E195" i="12" s="1"/>
  <c r="E205" i="12" s="1"/>
  <c r="E193" i="12"/>
  <c r="E203" i="12" s="1"/>
  <c r="E213" i="12" s="1"/>
  <c r="E184" i="12"/>
  <c r="E194" i="12" s="1"/>
  <c r="E204" i="12" s="1"/>
  <c r="E186" i="12"/>
  <c r="E196" i="12" s="1"/>
  <c r="E206" i="12" s="1"/>
  <c r="BO192" i="12"/>
  <c r="D202" i="12"/>
  <c r="D198" i="12"/>
  <c r="BO188" i="12"/>
  <c r="D199" i="12"/>
  <c r="BO189" i="12"/>
  <c r="D201" i="12"/>
  <c r="BO191" i="12"/>
  <c r="BL215" i="12"/>
  <c r="D200" i="12"/>
  <c r="BO190" i="12"/>
  <c r="D196" i="12"/>
  <c r="BO186" i="12"/>
  <c r="BM215" i="12"/>
  <c r="AT235" i="13"/>
  <c r="E245" i="13"/>
  <c r="E255" i="13" s="1"/>
  <c r="E265" i="13" s="1"/>
  <c r="AT226" i="13"/>
  <c r="F235" i="13"/>
  <c r="AS245" i="13"/>
  <c r="AS255" i="13" s="1"/>
  <c r="AS265" i="13" s="1"/>
  <c r="D111" i="12"/>
  <c r="E236" i="13"/>
  <c r="E246" i="13" s="1"/>
  <c r="E256" i="13" s="1"/>
  <c r="G225" i="13"/>
  <c r="BO111" i="12"/>
  <c r="D248" i="13"/>
  <c r="BO248" i="13" s="1"/>
  <c r="BO258" i="13" s="1"/>
  <c r="BM167" i="12"/>
  <c r="BK164" i="13"/>
  <c r="BK167" i="13" s="1"/>
  <c r="J37" i="11"/>
  <c r="E267" i="12"/>
  <c r="F266" i="13"/>
  <c r="AS236" i="13"/>
  <c r="AS246" i="13" s="1"/>
  <c r="AS256" i="13" s="1"/>
  <c r="BK322" i="13"/>
  <c r="AS166" i="13"/>
  <c r="AS319" i="12"/>
  <c r="AR322" i="12" s="1"/>
  <c r="AT291" i="12"/>
  <c r="AT301" i="12" s="1"/>
  <c r="AT311" i="12" s="1"/>
  <c r="AT290" i="12"/>
  <c r="AT300" i="12" s="1"/>
  <c r="AT310" i="12" s="1"/>
  <c r="AT289" i="12"/>
  <c r="AT299" i="12" s="1"/>
  <c r="AT309" i="12" s="1"/>
  <c r="E319" i="13"/>
  <c r="F291" i="12"/>
  <c r="F301" i="12" s="1"/>
  <c r="F311" i="12" s="1"/>
  <c r="F290" i="12"/>
  <c r="F300" i="12" s="1"/>
  <c r="F310" i="12" s="1"/>
  <c r="F289" i="12"/>
  <c r="F299" i="12" s="1"/>
  <c r="F309" i="12" s="1"/>
  <c r="G163" i="12"/>
  <c r="F166" i="12" s="1"/>
  <c r="AS267" i="12"/>
  <c r="AR270" i="12" s="1"/>
  <c r="D63" i="12"/>
  <c r="E63" i="12"/>
  <c r="BK270" i="12"/>
  <c r="F62" i="12"/>
  <c r="AT114" i="13"/>
  <c r="AW83" i="13"/>
  <c r="AW93" i="13" s="1"/>
  <c r="AW103" i="13" s="1"/>
  <c r="AW84" i="13"/>
  <c r="AW94" i="13" s="1"/>
  <c r="AW104" i="13" s="1"/>
  <c r="AW87" i="13"/>
  <c r="AW97" i="13" s="1"/>
  <c r="AW107" i="13" s="1"/>
  <c r="AW85" i="13"/>
  <c r="AW95" i="13" s="1"/>
  <c r="AW105" i="13" s="1"/>
  <c r="AW88" i="13"/>
  <c r="AW98" i="13" s="1"/>
  <c r="AW108" i="13" s="1"/>
  <c r="AW86" i="13"/>
  <c r="AW96" i="13" s="1"/>
  <c r="AW106" i="13" s="1"/>
  <c r="AW82" i="13"/>
  <c r="AW92" i="13" s="1"/>
  <c r="AW102" i="13" s="1"/>
  <c r="AV33" i="13"/>
  <c r="AV43" i="13" s="1"/>
  <c r="AV53" i="13" s="1"/>
  <c r="AV36" i="13"/>
  <c r="AV46" i="13" s="1"/>
  <c r="AV56" i="13" s="1"/>
  <c r="AV31" i="13"/>
  <c r="AV41" i="13" s="1"/>
  <c r="AV51" i="13" s="1"/>
  <c r="AV30" i="13"/>
  <c r="AV40" i="13" s="1"/>
  <c r="AV50" i="13" s="1"/>
  <c r="AV34" i="13"/>
  <c r="AV44" i="13" s="1"/>
  <c r="AV54" i="13" s="1"/>
  <c r="AV32" i="13"/>
  <c r="AV42" i="13" s="1"/>
  <c r="AV52" i="13" s="1"/>
  <c r="AV35" i="13"/>
  <c r="AV45" i="13" s="1"/>
  <c r="AV55" i="13" s="1"/>
  <c r="AV140" i="12"/>
  <c r="AV150" i="12" s="1"/>
  <c r="AV160" i="12" s="1"/>
  <c r="AV139" i="12"/>
  <c r="AV149" i="12" s="1"/>
  <c r="AV159" i="12" s="1"/>
  <c r="AV136" i="12"/>
  <c r="AV146" i="12" s="1"/>
  <c r="AV156" i="12" s="1"/>
  <c r="AV137" i="12"/>
  <c r="AV147" i="12" s="1"/>
  <c r="AV157" i="12" s="1"/>
  <c r="AV138" i="12"/>
  <c r="AV148" i="12" s="1"/>
  <c r="AV158" i="12" s="1"/>
  <c r="H139" i="12"/>
  <c r="H149" i="12" s="1"/>
  <c r="H159" i="12" s="1"/>
  <c r="H140" i="12"/>
  <c r="H150" i="12" s="1"/>
  <c r="H160" i="12" s="1"/>
  <c r="H136" i="12"/>
  <c r="H146" i="12" s="1"/>
  <c r="H156" i="12" s="1"/>
  <c r="H137" i="12"/>
  <c r="H147" i="12" s="1"/>
  <c r="H157" i="12" s="1"/>
  <c r="H138" i="12"/>
  <c r="H148" i="12" s="1"/>
  <c r="H158" i="12" s="1"/>
  <c r="F240" i="12"/>
  <c r="F250" i="12" s="1"/>
  <c r="F260" i="12" s="1"/>
  <c r="F243" i="12"/>
  <c r="F253" i="12" s="1"/>
  <c r="F263" i="12" s="1"/>
  <c r="F242" i="12"/>
  <c r="F252" i="12" s="1"/>
  <c r="F262" i="12" s="1"/>
  <c r="F241" i="12"/>
  <c r="F251" i="12" s="1"/>
  <c r="F261" i="12" s="1"/>
  <c r="F244" i="12"/>
  <c r="F254" i="12" s="1"/>
  <c r="F264" i="12" s="1"/>
  <c r="AT242" i="12"/>
  <c r="AT252" i="12" s="1"/>
  <c r="AT262" i="12" s="1"/>
  <c r="AT241" i="12"/>
  <c r="AT251" i="12" s="1"/>
  <c r="AT261" i="12" s="1"/>
  <c r="AT240" i="12"/>
  <c r="AT250" i="12" s="1"/>
  <c r="AT260" i="12" s="1"/>
  <c r="AT243" i="12"/>
  <c r="AT253" i="12" s="1"/>
  <c r="AT263" i="12" s="1"/>
  <c r="AT244" i="12"/>
  <c r="AT254" i="12" s="1"/>
  <c r="AT264" i="12" s="1"/>
  <c r="AV138" i="13"/>
  <c r="AV148" i="13" s="1"/>
  <c r="AV158" i="13" s="1"/>
  <c r="H36" i="13"/>
  <c r="H46" i="13" s="1"/>
  <c r="H56" i="13" s="1"/>
  <c r="H31" i="13"/>
  <c r="H41" i="13" s="1"/>
  <c r="H51" i="13" s="1"/>
  <c r="H30" i="13"/>
  <c r="H40" i="13" s="1"/>
  <c r="H50" i="13" s="1"/>
  <c r="H34" i="13"/>
  <c r="H44" i="13" s="1"/>
  <c r="H54" i="13" s="1"/>
  <c r="H32" i="13"/>
  <c r="H42" i="13" s="1"/>
  <c r="H52" i="13" s="1"/>
  <c r="H33" i="13"/>
  <c r="H43" i="13" s="1"/>
  <c r="H53" i="13" s="1"/>
  <c r="H35" i="13"/>
  <c r="H45" i="13" s="1"/>
  <c r="H55" i="13" s="1"/>
  <c r="AU191" i="13"/>
  <c r="AU201" i="13" s="1"/>
  <c r="AU211" i="13" s="1"/>
  <c r="AU190" i="13"/>
  <c r="AU200" i="13" s="1"/>
  <c r="AU210" i="13" s="1"/>
  <c r="AU192" i="13"/>
  <c r="AU202" i="13" s="1"/>
  <c r="AU212" i="13" s="1"/>
  <c r="AU187" i="13"/>
  <c r="AU197" i="13" s="1"/>
  <c r="AU207" i="13" s="1"/>
  <c r="AU189" i="13"/>
  <c r="AU199" i="13" s="1"/>
  <c r="AU209" i="13" s="1"/>
  <c r="AU186" i="13"/>
  <c r="AU196" i="13" s="1"/>
  <c r="AU206" i="13" s="1"/>
  <c r="AU188" i="13"/>
  <c r="AU198" i="13" s="1"/>
  <c r="AU208" i="13" s="1"/>
  <c r="AW36" i="12"/>
  <c r="AW46" i="12" s="1"/>
  <c r="AW56" i="12" s="1"/>
  <c r="AW33" i="12"/>
  <c r="AW43" i="12" s="1"/>
  <c r="AW53" i="12" s="1"/>
  <c r="AW32" i="12"/>
  <c r="AW42" i="12" s="1"/>
  <c r="AW52" i="12" s="1"/>
  <c r="AW34" i="12"/>
  <c r="AW44" i="12" s="1"/>
  <c r="AW54" i="12" s="1"/>
  <c r="AW35" i="12"/>
  <c r="AW45" i="12" s="1"/>
  <c r="AW55" i="12" s="1"/>
  <c r="AV111" i="13"/>
  <c r="AU114" i="13" s="1"/>
  <c r="BM268" i="12"/>
  <c r="BL271" i="12" s="1"/>
  <c r="BL270" i="12"/>
  <c r="BL320" i="12"/>
  <c r="BK322" i="12"/>
  <c r="BM219" i="13"/>
  <c r="BN219" i="13"/>
  <c r="BN320" i="13"/>
  <c r="BM322" i="13"/>
  <c r="BN268" i="12"/>
  <c r="BM270" i="12"/>
  <c r="BL322" i="12"/>
  <c r="BM320" i="13"/>
  <c r="BL323" i="13" s="1"/>
  <c r="BL322" i="13"/>
  <c r="BN320" i="12"/>
  <c r="BM322" i="12"/>
  <c r="AU59" i="13"/>
  <c r="AT62" i="13" s="1"/>
  <c r="AS60" i="13"/>
  <c r="G72" i="8"/>
  <c r="G32" i="8"/>
  <c r="G62" i="8"/>
  <c r="G22" i="8"/>
  <c r="G52" i="8"/>
  <c r="G42" i="8"/>
  <c r="G73" i="8"/>
  <c r="G33" i="8"/>
  <c r="G63" i="8"/>
  <c r="G23" i="8"/>
  <c r="G53" i="8"/>
  <c r="G43" i="8"/>
  <c r="H53" i="8"/>
  <c r="H43" i="8"/>
  <c r="H73" i="8"/>
  <c r="H33" i="8"/>
  <c r="H63" i="8"/>
  <c r="H23" i="8"/>
  <c r="AS164" i="12"/>
  <c r="E166" i="12"/>
  <c r="AU163" i="12"/>
  <c r="AT166" i="12" s="1"/>
  <c r="AV59" i="12"/>
  <c r="BO252" i="12"/>
  <c r="BO262" i="12" s="1"/>
  <c r="D262" i="12"/>
  <c r="AV225" i="12"/>
  <c r="AU226" i="12"/>
  <c r="AU235" i="12"/>
  <c r="AU239" i="12" s="1"/>
  <c r="AU249" i="12" s="1"/>
  <c r="AU259" i="12" s="1"/>
  <c r="AU266" i="12"/>
  <c r="AW80" i="13"/>
  <c r="AW90" i="13" s="1"/>
  <c r="AW100" i="13" s="1"/>
  <c r="AW89" i="13"/>
  <c r="AW99" i="13" s="1"/>
  <c r="AW109" i="13" s="1"/>
  <c r="E10" i="8"/>
  <c r="J14" i="11"/>
  <c r="BK164" i="12"/>
  <c r="BK167" i="12" s="1"/>
  <c r="D262" i="13"/>
  <c r="BO252" i="13"/>
  <c r="BO262" i="13" s="1"/>
  <c r="BO300" i="13"/>
  <c r="BO310" i="13" s="1"/>
  <c r="D310" i="13"/>
  <c r="F297" i="12"/>
  <c r="F307" i="12" s="1"/>
  <c r="F317" i="12" s="1"/>
  <c r="F288" i="12"/>
  <c r="F298" i="12" s="1"/>
  <c r="F308" i="12" s="1"/>
  <c r="F294" i="12"/>
  <c r="F304" i="12" s="1"/>
  <c r="F314" i="12" s="1"/>
  <c r="F295" i="12"/>
  <c r="F305" i="12" s="1"/>
  <c r="F315" i="12" s="1"/>
  <c r="F296" i="12"/>
  <c r="F306" i="12" s="1"/>
  <c r="F316" i="12" s="1"/>
  <c r="F292" i="12"/>
  <c r="F302" i="12" s="1"/>
  <c r="F312" i="12" s="1"/>
  <c r="F293" i="12"/>
  <c r="F303" i="12" s="1"/>
  <c r="F313" i="12" s="1"/>
  <c r="H225" i="12"/>
  <c r="G235" i="12"/>
  <c r="G239" i="12" s="1"/>
  <c r="G249" i="12" s="1"/>
  <c r="G259" i="12" s="1"/>
  <c r="G226" i="12"/>
  <c r="G266" i="12"/>
  <c r="AT288" i="12"/>
  <c r="AT298" i="12" s="1"/>
  <c r="AT308" i="12" s="1"/>
  <c r="AT297" i="12"/>
  <c r="AT307" i="12" s="1"/>
  <c r="AT317" i="12" s="1"/>
  <c r="AT295" i="12"/>
  <c r="AT305" i="12" s="1"/>
  <c r="AT315" i="12" s="1"/>
  <c r="AT293" i="12"/>
  <c r="AT303" i="12" s="1"/>
  <c r="AT313" i="12" s="1"/>
  <c r="AT296" i="12"/>
  <c r="AT306" i="12" s="1"/>
  <c r="AT316" i="12" s="1"/>
  <c r="AT292" i="12"/>
  <c r="AT302" i="12" s="1"/>
  <c r="AT312" i="12" s="1"/>
  <c r="AT294" i="12"/>
  <c r="AT304" i="12" s="1"/>
  <c r="AT314" i="12" s="1"/>
  <c r="AU287" i="13"/>
  <c r="AU289" i="13" s="1"/>
  <c r="AU299" i="13" s="1"/>
  <c r="AU309" i="13" s="1"/>
  <c r="AV277" i="13"/>
  <c r="AU278" i="13"/>
  <c r="AU318" i="13"/>
  <c r="H37" i="13"/>
  <c r="H47" i="13" s="1"/>
  <c r="H57" i="13" s="1"/>
  <c r="H28" i="13"/>
  <c r="H38" i="13" s="1"/>
  <c r="H48" i="13" s="1"/>
  <c r="F288" i="13"/>
  <c r="F298" i="13" s="1"/>
  <c r="F308" i="13" s="1"/>
  <c r="F297" i="13"/>
  <c r="F307" i="13" s="1"/>
  <c r="F317" i="13" s="1"/>
  <c r="F292" i="13"/>
  <c r="F302" i="13" s="1"/>
  <c r="F312" i="13" s="1"/>
  <c r="F291" i="13"/>
  <c r="F301" i="13" s="1"/>
  <c r="F311" i="13" s="1"/>
  <c r="F295" i="13"/>
  <c r="F305" i="13" s="1"/>
  <c r="F315" i="13" s="1"/>
  <c r="F290" i="13"/>
  <c r="F300" i="13" s="1"/>
  <c r="F310" i="13" s="1"/>
  <c r="F293" i="13"/>
  <c r="F303" i="13" s="1"/>
  <c r="F313" i="13" s="1"/>
  <c r="F294" i="13"/>
  <c r="F304" i="13" s="1"/>
  <c r="F314" i="13" s="1"/>
  <c r="F296" i="13"/>
  <c r="F306" i="13" s="1"/>
  <c r="F316" i="13" s="1"/>
  <c r="AU184" i="13"/>
  <c r="AU194" i="13" s="1"/>
  <c r="AU204" i="13" s="1"/>
  <c r="AU193" i="13"/>
  <c r="AU203" i="13" s="1"/>
  <c r="AU213" i="13" s="1"/>
  <c r="BO248" i="12"/>
  <c r="BO258" i="12" s="1"/>
  <c r="D258" i="12"/>
  <c r="D314" i="13"/>
  <c r="BO304" i="13"/>
  <c r="BO314" i="13" s="1"/>
  <c r="H141" i="12"/>
  <c r="H151" i="12" s="1"/>
  <c r="H161" i="12" s="1"/>
  <c r="H132" i="12"/>
  <c r="H142" i="12" s="1"/>
  <c r="H152" i="12" s="1"/>
  <c r="H133" i="12"/>
  <c r="H143" i="12" s="1"/>
  <c r="H153" i="12" s="1"/>
  <c r="H134" i="12"/>
  <c r="H144" i="12" s="1"/>
  <c r="H154" i="12" s="1"/>
  <c r="AW37" i="12"/>
  <c r="AW47" i="12" s="1"/>
  <c r="AW57" i="12" s="1"/>
  <c r="AW28" i="12"/>
  <c r="AW38" i="12" s="1"/>
  <c r="AW48" i="12" s="1"/>
  <c r="AW29" i="12"/>
  <c r="AW39" i="12" s="1"/>
  <c r="AW49" i="12" s="1"/>
  <c r="AW30" i="12"/>
  <c r="AW40" i="12" s="1"/>
  <c r="AW50" i="12" s="1"/>
  <c r="BO301" i="12"/>
  <c r="BO311" i="12" s="1"/>
  <c r="D311" i="12"/>
  <c r="AV37" i="13"/>
  <c r="AV47" i="13" s="1"/>
  <c r="AV57" i="13" s="1"/>
  <c r="AV28" i="13"/>
  <c r="AV38" i="13" s="1"/>
  <c r="AV48" i="13" s="1"/>
  <c r="D164" i="12"/>
  <c r="D166" i="12"/>
  <c r="AV225" i="13"/>
  <c r="AU235" i="13"/>
  <c r="AU237" i="13" s="1"/>
  <c r="AU247" i="13" s="1"/>
  <c r="AU257" i="13" s="1"/>
  <c r="AU226" i="13"/>
  <c r="AU266" i="13"/>
  <c r="K17" i="12"/>
  <c r="J27" i="12"/>
  <c r="J31" i="12" s="1"/>
  <c r="J41" i="12" s="1"/>
  <c r="J51" i="12" s="1"/>
  <c r="J18" i="12"/>
  <c r="J58" i="12"/>
  <c r="AV277" i="12"/>
  <c r="AU278" i="12"/>
  <c r="AU287" i="12"/>
  <c r="AU318" i="12"/>
  <c r="BO249" i="12"/>
  <c r="BO259" i="12" s="1"/>
  <c r="D259" i="12"/>
  <c r="BO300" i="12"/>
  <c r="BO310" i="12" s="1"/>
  <c r="D310" i="12"/>
  <c r="BO251" i="13"/>
  <c r="BO261" i="13" s="1"/>
  <c r="D261" i="13"/>
  <c r="AV141" i="12"/>
  <c r="AV151" i="12" s="1"/>
  <c r="AV161" i="12" s="1"/>
  <c r="AV132" i="12"/>
  <c r="AV142" i="12" s="1"/>
  <c r="AV152" i="12" s="1"/>
  <c r="AV133" i="12"/>
  <c r="AV143" i="12" s="1"/>
  <c r="AV153" i="12" s="1"/>
  <c r="AV134" i="12"/>
  <c r="AV144" i="12" s="1"/>
  <c r="AV154" i="12" s="1"/>
  <c r="BO303" i="12"/>
  <c r="BO313" i="12" s="1"/>
  <c r="D313" i="12"/>
  <c r="D60" i="13"/>
  <c r="D62" i="13"/>
  <c r="J121" i="12"/>
  <c r="I131" i="12"/>
  <c r="I135" i="12" s="1"/>
  <c r="I145" i="12" s="1"/>
  <c r="I155" i="12" s="1"/>
  <c r="I122" i="12"/>
  <c r="I162" i="12"/>
  <c r="S34" i="16"/>
  <c r="D313" i="13"/>
  <c r="BO303" i="13"/>
  <c r="BO313" i="13" s="1"/>
  <c r="BO299" i="13"/>
  <c r="BO309" i="13" s="1"/>
  <c r="D309" i="13"/>
  <c r="BO254" i="12"/>
  <c r="BO264" i="12" s="1"/>
  <c r="D264" i="12"/>
  <c r="AT288" i="13"/>
  <c r="AT298" i="13" s="1"/>
  <c r="AT308" i="13" s="1"/>
  <c r="AT297" i="13"/>
  <c r="AT307" i="13" s="1"/>
  <c r="AT317" i="13" s="1"/>
  <c r="AT294" i="13"/>
  <c r="AT304" i="13" s="1"/>
  <c r="AT314" i="13" s="1"/>
  <c r="AT291" i="13"/>
  <c r="AT301" i="13" s="1"/>
  <c r="AT311" i="13" s="1"/>
  <c r="AT296" i="13"/>
  <c r="AT306" i="13" s="1"/>
  <c r="AT316" i="13" s="1"/>
  <c r="AT290" i="13"/>
  <c r="AT300" i="13" s="1"/>
  <c r="AT310" i="13" s="1"/>
  <c r="AT292" i="13"/>
  <c r="AT302" i="13" s="1"/>
  <c r="AT312" i="13" s="1"/>
  <c r="AT293" i="13"/>
  <c r="AT303" i="13" s="1"/>
  <c r="AT313" i="13" s="1"/>
  <c r="AT295" i="13"/>
  <c r="AT305" i="13" s="1"/>
  <c r="AT315" i="13" s="1"/>
  <c r="BO251" i="12"/>
  <c r="BO261" i="12" s="1"/>
  <c r="D261" i="12"/>
  <c r="AW131" i="12"/>
  <c r="AW135" i="12" s="1"/>
  <c r="AW145" i="12" s="1"/>
  <c r="AW155" i="12" s="1"/>
  <c r="AW122" i="12"/>
  <c r="AX121" i="12"/>
  <c r="AW162" i="12"/>
  <c r="H277" i="13"/>
  <c r="G278" i="13"/>
  <c r="G287" i="13"/>
  <c r="G289" i="13" s="1"/>
  <c r="G299" i="13" s="1"/>
  <c r="G309" i="13" s="1"/>
  <c r="G318" i="13"/>
  <c r="AW173" i="13"/>
  <c r="AV174" i="13"/>
  <c r="AV183" i="13"/>
  <c r="AV185" i="13" s="1"/>
  <c r="AV195" i="13" s="1"/>
  <c r="AV205" i="13" s="1"/>
  <c r="AV214" i="13"/>
  <c r="BO250" i="12"/>
  <c r="BO260" i="12" s="1"/>
  <c r="D260" i="12"/>
  <c r="D311" i="13"/>
  <c r="BO301" i="13"/>
  <c r="BO311" i="13" s="1"/>
  <c r="D316" i="13"/>
  <c r="BO306" i="13"/>
  <c r="BO316" i="13" s="1"/>
  <c r="BO253" i="12"/>
  <c r="BO263" i="12" s="1"/>
  <c r="D263" i="12"/>
  <c r="S17" i="16"/>
  <c r="S35" i="16"/>
  <c r="AT236" i="12"/>
  <c r="AT246" i="12" s="1"/>
  <c r="AT256" i="12" s="1"/>
  <c r="AT245" i="12"/>
  <c r="AT255" i="12" s="1"/>
  <c r="AT265" i="12" s="1"/>
  <c r="AT238" i="12"/>
  <c r="AT248" i="12" s="1"/>
  <c r="AT258" i="12" s="1"/>
  <c r="AT237" i="12"/>
  <c r="AT247" i="12" s="1"/>
  <c r="AT257" i="12" s="1"/>
  <c r="AX70" i="13"/>
  <c r="AX79" i="13"/>
  <c r="AX81" i="13" s="1"/>
  <c r="AX91" i="13" s="1"/>
  <c r="AX101" i="13" s="1"/>
  <c r="AY69" i="13"/>
  <c r="AX110" i="13"/>
  <c r="C18" i="8"/>
  <c r="X7" i="12"/>
  <c r="X7" i="13"/>
  <c r="O13" i="8"/>
  <c r="BO304" i="12"/>
  <c r="BO314" i="12" s="1"/>
  <c r="D314" i="12"/>
  <c r="BO302" i="12"/>
  <c r="BO312" i="12" s="1"/>
  <c r="D312" i="12"/>
  <c r="D264" i="13"/>
  <c r="BO254" i="13"/>
  <c r="BO264" i="13" s="1"/>
  <c r="AW27" i="13"/>
  <c r="AW29" i="13" s="1"/>
  <c r="AW39" i="13" s="1"/>
  <c r="AW49" i="13" s="1"/>
  <c r="AX17" i="13"/>
  <c r="AW18" i="13"/>
  <c r="AW58" i="13"/>
  <c r="F236" i="12"/>
  <c r="F246" i="12" s="1"/>
  <c r="F256" i="12" s="1"/>
  <c r="F245" i="12"/>
  <c r="F255" i="12" s="1"/>
  <c r="F265" i="12" s="1"/>
  <c r="F238" i="12"/>
  <c r="F248" i="12" s="1"/>
  <c r="F258" i="12" s="1"/>
  <c r="F237" i="12"/>
  <c r="F247" i="12" s="1"/>
  <c r="F257" i="12" s="1"/>
  <c r="BO250" i="13"/>
  <c r="BO260" i="13" s="1"/>
  <c r="D260" i="13"/>
  <c r="BO305" i="12"/>
  <c r="BO315" i="12" s="1"/>
  <c r="D315" i="12"/>
  <c r="D312" i="13"/>
  <c r="BO302" i="13"/>
  <c r="BO312" i="13" s="1"/>
  <c r="D315" i="13"/>
  <c r="BO305" i="13"/>
  <c r="BO315" i="13" s="1"/>
  <c r="BO247" i="12"/>
  <c r="BO257" i="12" s="1"/>
  <c r="D257" i="12"/>
  <c r="AX27" i="12"/>
  <c r="AX31" i="12" s="1"/>
  <c r="AX41" i="12" s="1"/>
  <c r="AX51" i="12" s="1"/>
  <c r="AY17" i="12"/>
  <c r="AX18" i="12"/>
  <c r="AX58" i="12"/>
  <c r="H136" i="13" l="1"/>
  <c r="H146" i="13" s="1"/>
  <c r="H156" i="13" s="1"/>
  <c r="AV135" i="13"/>
  <c r="AV145" i="13" s="1"/>
  <c r="AV155" i="13" s="1"/>
  <c r="AV136" i="13"/>
  <c r="AV146" i="13" s="1"/>
  <c r="AV156" i="13" s="1"/>
  <c r="AR112" i="13"/>
  <c r="AR115" i="13" s="1"/>
  <c r="AR60" i="12"/>
  <c r="H135" i="13"/>
  <c r="H145" i="13" s="1"/>
  <c r="H155" i="13" s="1"/>
  <c r="H138" i="13"/>
  <c r="H148" i="13" s="1"/>
  <c r="H158" i="13" s="1"/>
  <c r="H140" i="13"/>
  <c r="H150" i="13" s="1"/>
  <c r="H160" i="13" s="1"/>
  <c r="H139" i="13"/>
  <c r="H149" i="13" s="1"/>
  <c r="H159" i="13" s="1"/>
  <c r="H137" i="13"/>
  <c r="H147" i="13" s="1"/>
  <c r="H157" i="13" s="1"/>
  <c r="G189" i="12"/>
  <c r="G199" i="12" s="1"/>
  <c r="G209" i="12" s="1"/>
  <c r="I36" i="12"/>
  <c r="I46" i="12" s="1"/>
  <c r="I56" i="12" s="1"/>
  <c r="AV139" i="13"/>
  <c r="AV149" i="13" s="1"/>
  <c r="AV159" i="13" s="1"/>
  <c r="AV140" i="13"/>
  <c r="AV150" i="13" s="1"/>
  <c r="AV160" i="13" s="1"/>
  <c r="AV137" i="13"/>
  <c r="AV147" i="13" s="1"/>
  <c r="AV157" i="13" s="1"/>
  <c r="BL69" i="8"/>
  <c r="BL68" i="8"/>
  <c r="BL39" i="8"/>
  <c r="BL38" i="8"/>
  <c r="BL18" i="8"/>
  <c r="BN18" i="8"/>
  <c r="BJ18" i="8"/>
  <c r="BN70" i="8"/>
  <c r="BJ70" i="8"/>
  <c r="BN40" i="8"/>
  <c r="BJ40" i="8"/>
  <c r="BN39" i="8"/>
  <c r="BJ39" i="8"/>
  <c r="BN69" i="8"/>
  <c r="BJ69" i="8"/>
  <c r="BN68" i="8"/>
  <c r="BJ68" i="8"/>
  <c r="BN38" i="8"/>
  <c r="BJ38" i="8"/>
  <c r="BK19" i="8"/>
  <c r="BI19" i="8"/>
  <c r="BI20" i="8"/>
  <c r="BK20" i="8"/>
  <c r="BM19" i="8"/>
  <c r="BM20" i="8"/>
  <c r="CD71" i="8"/>
  <c r="CF71" i="8"/>
  <c r="BL71" i="8" s="1"/>
  <c r="CD43" i="8"/>
  <c r="CF43" i="8"/>
  <c r="CD41" i="8"/>
  <c r="CF41" i="8"/>
  <c r="BL41" i="8" s="1"/>
  <c r="CE42" i="8"/>
  <c r="CE43" i="8"/>
  <c r="CD73" i="8"/>
  <c r="CF73" i="8"/>
  <c r="CC22" i="8"/>
  <c r="CE22" i="8"/>
  <c r="CC23" i="8"/>
  <c r="CE23" i="8"/>
  <c r="CF19" i="8"/>
  <c r="CD19" i="8"/>
  <c r="CF23" i="8"/>
  <c r="CD23" i="8"/>
  <c r="CF20" i="8"/>
  <c r="CD20" i="8"/>
  <c r="D309" i="12"/>
  <c r="BS51" i="8"/>
  <c r="BS71" i="8"/>
  <c r="BS61" i="8"/>
  <c r="BT72" i="8"/>
  <c r="CB72" i="8" s="1"/>
  <c r="BT62" i="8"/>
  <c r="BT52" i="8"/>
  <c r="BT32" i="8"/>
  <c r="BT42" i="8"/>
  <c r="CB42" i="8" s="1"/>
  <c r="BS31" i="8"/>
  <c r="BS41" i="8"/>
  <c r="CA41" i="8" s="1"/>
  <c r="CE41" i="8" s="1"/>
  <c r="CB21" i="8"/>
  <c r="H52" i="8"/>
  <c r="BT22" i="8"/>
  <c r="G21" i="8"/>
  <c r="BS21" i="8"/>
  <c r="CA21" i="8" s="1"/>
  <c r="D257" i="13"/>
  <c r="I30" i="12"/>
  <c r="I40" i="12" s="1"/>
  <c r="I50" i="12" s="1"/>
  <c r="H85" i="13"/>
  <c r="H95" i="13" s="1"/>
  <c r="H105" i="13" s="1"/>
  <c r="H86" i="13"/>
  <c r="H96" i="13" s="1"/>
  <c r="H106" i="13" s="1"/>
  <c r="H83" i="13"/>
  <c r="H93" i="13" s="1"/>
  <c r="H103" i="13" s="1"/>
  <c r="H84" i="13"/>
  <c r="H94" i="13" s="1"/>
  <c r="H104" i="13" s="1"/>
  <c r="H87" i="13"/>
  <c r="H97" i="13" s="1"/>
  <c r="H107" i="13" s="1"/>
  <c r="H88" i="13"/>
  <c r="H98" i="13" s="1"/>
  <c r="H108" i="13" s="1"/>
  <c r="AV81" i="12"/>
  <c r="AV91" i="12" s="1"/>
  <c r="AV101" i="12" s="1"/>
  <c r="AV88" i="12"/>
  <c r="AV98" i="12" s="1"/>
  <c r="AV108" i="12" s="1"/>
  <c r="AV86" i="12"/>
  <c r="AV96" i="12" s="1"/>
  <c r="AV106" i="12" s="1"/>
  <c r="AV87" i="12"/>
  <c r="AV97" i="12" s="1"/>
  <c r="AV107" i="12" s="1"/>
  <c r="AV85" i="12"/>
  <c r="AV95" i="12" s="1"/>
  <c r="AV105" i="12" s="1"/>
  <c r="H86" i="12"/>
  <c r="H96" i="12" s="1"/>
  <c r="H106" i="12" s="1"/>
  <c r="H88" i="12"/>
  <c r="H98" i="12" s="1"/>
  <c r="H108" i="12" s="1"/>
  <c r="H87" i="12"/>
  <c r="H97" i="12" s="1"/>
  <c r="H107" i="12" s="1"/>
  <c r="H85" i="12"/>
  <c r="H95" i="12" s="1"/>
  <c r="H105" i="12" s="1"/>
  <c r="AR322" i="13"/>
  <c r="I35" i="12"/>
  <c r="I45" i="12" s="1"/>
  <c r="I55" i="12" s="1"/>
  <c r="I34" i="12"/>
  <c r="I44" i="12" s="1"/>
  <c r="I54" i="12" s="1"/>
  <c r="I37" i="12"/>
  <c r="I47" i="12" s="1"/>
  <c r="I57" i="12" s="1"/>
  <c r="E319" i="12"/>
  <c r="I32" i="12"/>
  <c r="I42" i="12" s="1"/>
  <c r="I52" i="12" s="1"/>
  <c r="I33" i="12"/>
  <c r="I43" i="12" s="1"/>
  <c r="I53" i="12" s="1"/>
  <c r="I18" i="13"/>
  <c r="I29" i="12"/>
  <c r="I39" i="12" s="1"/>
  <c r="I49" i="12" s="1"/>
  <c r="I28" i="12"/>
  <c r="I38" i="12" s="1"/>
  <c r="I48" i="12" s="1"/>
  <c r="BK60" i="13"/>
  <c r="BK63" i="13" s="1"/>
  <c r="J35" i="11"/>
  <c r="I27" i="13"/>
  <c r="I29" i="13" s="1"/>
  <c r="I39" i="13" s="1"/>
  <c r="I49" i="13" s="1"/>
  <c r="J17" i="13"/>
  <c r="J27" i="13" s="1"/>
  <c r="J29" i="13" s="1"/>
  <c r="J39" i="13" s="1"/>
  <c r="J49" i="13" s="1"/>
  <c r="H32" i="8"/>
  <c r="S18" i="16"/>
  <c r="H72" i="8"/>
  <c r="H22" i="8"/>
  <c r="H42" i="8"/>
  <c r="H62" i="8"/>
  <c r="AT242" i="13"/>
  <c r="AT252" i="13" s="1"/>
  <c r="AT262" i="13" s="1"/>
  <c r="AT237" i="13"/>
  <c r="AT247" i="13" s="1"/>
  <c r="AT257" i="13" s="1"/>
  <c r="AS267" i="13"/>
  <c r="AR270" i="13" s="1"/>
  <c r="F244" i="13"/>
  <c r="F254" i="13" s="1"/>
  <c r="F264" i="13" s="1"/>
  <c r="F237" i="13"/>
  <c r="F247" i="13" s="1"/>
  <c r="F257" i="13" s="1"/>
  <c r="AS63" i="12"/>
  <c r="H59" i="12"/>
  <c r="G60" i="12" s="1"/>
  <c r="F63" i="12" s="1"/>
  <c r="D63" i="13"/>
  <c r="AV134" i="13"/>
  <c r="AV144" i="13" s="1"/>
  <c r="AV154" i="13" s="1"/>
  <c r="G59" i="13"/>
  <c r="F62" i="13" s="1"/>
  <c r="E62" i="13"/>
  <c r="G191" i="12"/>
  <c r="G201" i="12" s="1"/>
  <c r="G211" i="12" s="1"/>
  <c r="AU163" i="13"/>
  <c r="AT166" i="13" s="1"/>
  <c r="AT62" i="12"/>
  <c r="AU62" i="12"/>
  <c r="AV82" i="12"/>
  <c r="AV92" i="12" s="1"/>
  <c r="AV102" i="12" s="1"/>
  <c r="H134" i="13"/>
  <c r="H144" i="13" s="1"/>
  <c r="H154" i="13" s="1"/>
  <c r="AW131" i="13"/>
  <c r="AW133" i="13" s="1"/>
  <c r="AW143" i="13" s="1"/>
  <c r="AW153" i="13" s="1"/>
  <c r="D115" i="13"/>
  <c r="E166" i="13"/>
  <c r="G186" i="13"/>
  <c r="G196" i="13" s="1"/>
  <c r="G206" i="13" s="1"/>
  <c r="F215" i="13"/>
  <c r="E216" i="13" s="1"/>
  <c r="H81" i="13"/>
  <c r="H91" i="13" s="1"/>
  <c r="H101" i="13" s="1"/>
  <c r="H82" i="13"/>
  <c r="H92" i="13" s="1"/>
  <c r="H102" i="13" s="1"/>
  <c r="AV80" i="12"/>
  <c r="AV90" i="12" s="1"/>
  <c r="AV100" i="12" s="1"/>
  <c r="AU111" i="12"/>
  <c r="AT112" i="12" s="1"/>
  <c r="AT215" i="13"/>
  <c r="AS216" i="13" s="1"/>
  <c r="G188" i="13"/>
  <c r="G198" i="13" s="1"/>
  <c r="G208" i="13" s="1"/>
  <c r="G190" i="13"/>
  <c r="G200" i="13" s="1"/>
  <c r="G210" i="13" s="1"/>
  <c r="G184" i="12"/>
  <c r="G194" i="12" s="1"/>
  <c r="G204" i="12" s="1"/>
  <c r="E267" i="13"/>
  <c r="BO249" i="13"/>
  <c r="BO259" i="13" s="1"/>
  <c r="BO267" i="13" s="1"/>
  <c r="BN270" i="13" s="1"/>
  <c r="H89" i="13"/>
  <c r="H99" i="13" s="1"/>
  <c r="H109" i="13" s="1"/>
  <c r="AX69" i="12"/>
  <c r="AY69" i="12" s="1"/>
  <c r="AZ69" i="12" s="1"/>
  <c r="AX121" i="13"/>
  <c r="AX122" i="13" s="1"/>
  <c r="G187" i="13"/>
  <c r="G197" i="13" s="1"/>
  <c r="G207" i="13" s="1"/>
  <c r="I110" i="13"/>
  <c r="AS115" i="13"/>
  <c r="G193" i="13"/>
  <c r="G203" i="13" s="1"/>
  <c r="G213" i="13" s="1"/>
  <c r="D167" i="12"/>
  <c r="AW122" i="13"/>
  <c r="G191" i="13"/>
  <c r="G201" i="13" s="1"/>
  <c r="G211" i="13" s="1"/>
  <c r="J69" i="13"/>
  <c r="J79" i="13" s="1"/>
  <c r="J81" i="13" s="1"/>
  <c r="J91" i="13" s="1"/>
  <c r="J101" i="13" s="1"/>
  <c r="AW70" i="12"/>
  <c r="AW79" i="12"/>
  <c r="G192" i="12"/>
  <c r="G202" i="12" s="1"/>
  <c r="G212" i="12" s="1"/>
  <c r="G163" i="13"/>
  <c r="F164" i="13" s="1"/>
  <c r="E167" i="13" s="1"/>
  <c r="H80" i="13"/>
  <c r="H90" i="13" s="1"/>
  <c r="H100" i="13" s="1"/>
  <c r="G190" i="12"/>
  <c r="G200" i="12" s="1"/>
  <c r="G210" i="12" s="1"/>
  <c r="G192" i="13"/>
  <c r="G202" i="13" s="1"/>
  <c r="G212" i="13" s="1"/>
  <c r="G189" i="13"/>
  <c r="G199" i="13" s="1"/>
  <c r="G209" i="13" s="1"/>
  <c r="AV83" i="12"/>
  <c r="AV93" i="12" s="1"/>
  <c r="AV103" i="12" s="1"/>
  <c r="AV84" i="12"/>
  <c r="AV94" i="12" s="1"/>
  <c r="AV104" i="12" s="1"/>
  <c r="AV89" i="12"/>
  <c r="AV99" i="12" s="1"/>
  <c r="AV109" i="12" s="1"/>
  <c r="AV132" i="13"/>
  <c r="AV142" i="13" s="1"/>
  <c r="AV152" i="13" s="1"/>
  <c r="AV141" i="13"/>
  <c r="AV151" i="13" s="1"/>
  <c r="AV161" i="13" s="1"/>
  <c r="I79" i="13"/>
  <c r="H183" i="13"/>
  <c r="H185" i="13" s="1"/>
  <c r="H195" i="13" s="1"/>
  <c r="H205" i="13" s="1"/>
  <c r="G184" i="13"/>
  <c r="G194" i="13" s="1"/>
  <c r="G204" i="13" s="1"/>
  <c r="G186" i="12"/>
  <c r="G196" i="12" s="1"/>
  <c r="G206" i="12" s="1"/>
  <c r="H174" i="13"/>
  <c r="I173" i="13"/>
  <c r="J173" i="13" s="1"/>
  <c r="D164" i="13"/>
  <c r="D167" i="13" s="1"/>
  <c r="G188" i="12"/>
  <c r="G198" i="12" s="1"/>
  <c r="G208" i="12" s="1"/>
  <c r="G111" i="13"/>
  <c r="H174" i="12"/>
  <c r="G287" i="12"/>
  <c r="G297" i="12" s="1"/>
  <c r="G307" i="12" s="1"/>
  <c r="G317" i="12" s="1"/>
  <c r="H141" i="13"/>
  <c r="H151" i="13" s="1"/>
  <c r="H161" i="13" s="1"/>
  <c r="D316" i="12"/>
  <c r="G193" i="12"/>
  <c r="G203" i="12" s="1"/>
  <c r="G213" i="12" s="1"/>
  <c r="H132" i="13"/>
  <c r="H142" i="13" s="1"/>
  <c r="H152" i="13" s="1"/>
  <c r="G185" i="12"/>
  <c r="G195" i="12" s="1"/>
  <c r="G205" i="12" s="1"/>
  <c r="BM271" i="13"/>
  <c r="F215" i="12"/>
  <c r="I131" i="13"/>
  <c r="I133" i="13" s="1"/>
  <c r="I143" i="13" s="1"/>
  <c r="I153" i="13" s="1"/>
  <c r="G111" i="12"/>
  <c r="F112" i="12" s="1"/>
  <c r="E115" i="12" s="1"/>
  <c r="I122" i="13"/>
  <c r="I110" i="12"/>
  <c r="J69" i="12"/>
  <c r="I79" i="12"/>
  <c r="I70" i="12"/>
  <c r="H183" i="12"/>
  <c r="H187" i="12" s="1"/>
  <c r="H197" i="12" s="1"/>
  <c r="H207" i="12" s="1"/>
  <c r="BN114" i="13"/>
  <c r="I173" i="12"/>
  <c r="I174" i="12" s="1"/>
  <c r="H277" i="12"/>
  <c r="H318" i="12" s="1"/>
  <c r="J121" i="13"/>
  <c r="J162" i="13" s="1"/>
  <c r="G278" i="12"/>
  <c r="D263" i="13"/>
  <c r="H83" i="12"/>
  <c r="H93" i="12" s="1"/>
  <c r="H103" i="12" s="1"/>
  <c r="H84" i="12"/>
  <c r="H94" i="12" s="1"/>
  <c r="H104" i="12" s="1"/>
  <c r="H82" i="12"/>
  <c r="H92" i="12" s="1"/>
  <c r="H102" i="12" s="1"/>
  <c r="H81" i="12"/>
  <c r="H91" i="12" s="1"/>
  <c r="H101" i="12" s="1"/>
  <c r="H80" i="12"/>
  <c r="H90" i="12" s="1"/>
  <c r="H100" i="12" s="1"/>
  <c r="H89" i="12"/>
  <c r="H99" i="12" s="1"/>
  <c r="H109" i="12" s="1"/>
  <c r="G235" i="13"/>
  <c r="G238" i="13" s="1"/>
  <c r="G248" i="13" s="1"/>
  <c r="G258" i="13" s="1"/>
  <c r="J36" i="11"/>
  <c r="D114" i="13"/>
  <c r="AR218" i="12"/>
  <c r="BM270" i="13"/>
  <c r="G31" i="8"/>
  <c r="BL270" i="13"/>
  <c r="AT191" i="12"/>
  <c r="AT201" i="12" s="1"/>
  <c r="AT211" i="12" s="1"/>
  <c r="AT189" i="12"/>
  <c r="AT199" i="12" s="1"/>
  <c r="AT209" i="12" s="1"/>
  <c r="AT190" i="12"/>
  <c r="AT200" i="12" s="1"/>
  <c r="AT210" i="12" s="1"/>
  <c r="AT192" i="12"/>
  <c r="AT202" i="12" s="1"/>
  <c r="AT212" i="12" s="1"/>
  <c r="BK270" i="13"/>
  <c r="G41" i="8"/>
  <c r="G71" i="8"/>
  <c r="S36" i="16"/>
  <c r="G61" i="8"/>
  <c r="G51" i="8"/>
  <c r="AT243" i="13"/>
  <c r="AT253" i="13" s="1"/>
  <c r="AT263" i="13" s="1"/>
  <c r="F238" i="13"/>
  <c r="F248" i="13" s="1"/>
  <c r="F258" i="13" s="1"/>
  <c r="F239" i="13"/>
  <c r="F249" i="13" s="1"/>
  <c r="F259" i="13" s="1"/>
  <c r="AT244" i="13"/>
  <c r="AT254" i="13" s="1"/>
  <c r="AT264" i="13" s="1"/>
  <c r="F242" i="13"/>
  <c r="F252" i="13" s="1"/>
  <c r="F262" i="13" s="1"/>
  <c r="AT239" i="13"/>
  <c r="AT249" i="13" s="1"/>
  <c r="AT259" i="13" s="1"/>
  <c r="AU174" i="12"/>
  <c r="AU183" i="12"/>
  <c r="AU188" i="12" s="1"/>
  <c r="AU198" i="12" s="1"/>
  <c r="AU208" i="12" s="1"/>
  <c r="AU214" i="12"/>
  <c r="AV173" i="12"/>
  <c r="AT187" i="12"/>
  <c r="AT197" i="12" s="1"/>
  <c r="AT207" i="12" s="1"/>
  <c r="AT186" i="12"/>
  <c r="AT196" i="12" s="1"/>
  <c r="AT206" i="12" s="1"/>
  <c r="AT184" i="12"/>
  <c r="AT194" i="12" s="1"/>
  <c r="AT204" i="12" s="1"/>
  <c r="AT185" i="12"/>
  <c r="AT195" i="12" s="1"/>
  <c r="AT205" i="12" s="1"/>
  <c r="AT193" i="12"/>
  <c r="AT203" i="12" s="1"/>
  <c r="AT213" i="12" s="1"/>
  <c r="F245" i="13"/>
  <c r="F255" i="13" s="1"/>
  <c r="F265" i="13" s="1"/>
  <c r="F243" i="13"/>
  <c r="F253" i="13" s="1"/>
  <c r="F263" i="13" s="1"/>
  <c r="AT241" i="13"/>
  <c r="AT251" i="13" s="1"/>
  <c r="AT261" i="13" s="1"/>
  <c r="BO196" i="12"/>
  <c r="BO206" i="12" s="1"/>
  <c r="D206" i="12"/>
  <c r="F236" i="13"/>
  <c r="F246" i="13" s="1"/>
  <c r="F256" i="13" s="1"/>
  <c r="F241" i="13"/>
  <c r="F251" i="13" s="1"/>
  <c r="F261" i="13" s="1"/>
  <c r="F240" i="13"/>
  <c r="F250" i="13" s="1"/>
  <c r="F260" i="13" s="1"/>
  <c r="AT240" i="13"/>
  <c r="AT250" i="13" s="1"/>
  <c r="AT260" i="13" s="1"/>
  <c r="AT238" i="13"/>
  <c r="AT248" i="13" s="1"/>
  <c r="AT258" i="13" s="1"/>
  <c r="BM216" i="12"/>
  <c r="BL218" i="12"/>
  <c r="D210" i="12"/>
  <c r="BO200" i="12"/>
  <c r="BO210" i="12" s="1"/>
  <c r="BO202" i="12"/>
  <c r="BO212" i="12" s="1"/>
  <c r="D212" i="12"/>
  <c r="BO195" i="12"/>
  <c r="BO205" i="12" s="1"/>
  <c r="D205" i="12"/>
  <c r="BO197" i="12"/>
  <c r="BO207" i="12" s="1"/>
  <c r="D207" i="12"/>
  <c r="D211" i="12"/>
  <c r="BO201" i="12"/>
  <c r="BO211" i="12" s="1"/>
  <c r="D208" i="12"/>
  <c r="BO198" i="12"/>
  <c r="BO208" i="12" s="1"/>
  <c r="E215" i="12"/>
  <c r="BN216" i="12"/>
  <c r="BM218" i="12"/>
  <c r="AT245" i="13"/>
  <c r="AT255" i="13" s="1"/>
  <c r="AT265" i="13" s="1"/>
  <c r="AT236" i="13"/>
  <c r="AT246" i="13" s="1"/>
  <c r="AT256" i="13" s="1"/>
  <c r="BK218" i="12"/>
  <c r="BL216" i="12"/>
  <c r="BO199" i="12"/>
  <c r="BO209" i="12" s="1"/>
  <c r="D209" i="12"/>
  <c r="G226" i="13"/>
  <c r="H225" i="13"/>
  <c r="I225" i="13" s="1"/>
  <c r="D258" i="13"/>
  <c r="G266" i="13"/>
  <c r="BN114" i="12"/>
  <c r="E9" i="8"/>
  <c r="J13" i="11"/>
  <c r="J16" i="11" s="1"/>
  <c r="J15" i="11" s="1"/>
  <c r="BK112" i="12"/>
  <c r="BK115" i="12" s="1"/>
  <c r="D112" i="12"/>
  <c r="D115" i="12" s="1"/>
  <c r="D114" i="12"/>
  <c r="AR320" i="12"/>
  <c r="AR268" i="12"/>
  <c r="F164" i="12"/>
  <c r="E167" i="12" s="1"/>
  <c r="AT60" i="13"/>
  <c r="AT319" i="13"/>
  <c r="AS322" i="13" s="1"/>
  <c r="D319" i="13"/>
  <c r="AU291" i="12"/>
  <c r="AU301" i="12" s="1"/>
  <c r="AU311" i="12" s="1"/>
  <c r="AU289" i="12"/>
  <c r="AU299" i="12" s="1"/>
  <c r="AU309" i="12" s="1"/>
  <c r="AU290" i="12"/>
  <c r="AU300" i="12" s="1"/>
  <c r="AU310" i="12" s="1"/>
  <c r="F319" i="13"/>
  <c r="E322" i="13" s="1"/>
  <c r="AT319" i="12"/>
  <c r="AS322" i="12" s="1"/>
  <c r="F319" i="12"/>
  <c r="AU112" i="13"/>
  <c r="AT115" i="13" s="1"/>
  <c r="BO267" i="12"/>
  <c r="BK268" i="12" s="1"/>
  <c r="BK271" i="12" s="1"/>
  <c r="BO319" i="13"/>
  <c r="BN322" i="13" s="1"/>
  <c r="AX85" i="13"/>
  <c r="AX95" i="13" s="1"/>
  <c r="AX105" i="13" s="1"/>
  <c r="AX84" i="13"/>
  <c r="AX94" i="13" s="1"/>
  <c r="AX104" i="13" s="1"/>
  <c r="AX83" i="13"/>
  <c r="AX93" i="13" s="1"/>
  <c r="AX103" i="13" s="1"/>
  <c r="AX87" i="13"/>
  <c r="AX97" i="13" s="1"/>
  <c r="AX107" i="13" s="1"/>
  <c r="AX88" i="13"/>
  <c r="AX98" i="13" s="1"/>
  <c r="AX108" i="13" s="1"/>
  <c r="AX86" i="13"/>
  <c r="AX96" i="13" s="1"/>
  <c r="AX106" i="13" s="1"/>
  <c r="AX82" i="13"/>
  <c r="AX92" i="13" s="1"/>
  <c r="AX102" i="13" s="1"/>
  <c r="AU244" i="12"/>
  <c r="AU254" i="12" s="1"/>
  <c r="AU264" i="12" s="1"/>
  <c r="AU243" i="12"/>
  <c r="AU253" i="12" s="1"/>
  <c r="AU263" i="12" s="1"/>
  <c r="AU242" i="12"/>
  <c r="AU252" i="12" s="1"/>
  <c r="AU262" i="12" s="1"/>
  <c r="AU241" i="12"/>
  <c r="AU251" i="12" s="1"/>
  <c r="AU261" i="12" s="1"/>
  <c r="AU240" i="12"/>
  <c r="AU250" i="12" s="1"/>
  <c r="AU260" i="12" s="1"/>
  <c r="AV189" i="13"/>
  <c r="AV199" i="13" s="1"/>
  <c r="AV209" i="13" s="1"/>
  <c r="AV190" i="13"/>
  <c r="AV200" i="13" s="1"/>
  <c r="AV210" i="13" s="1"/>
  <c r="AV192" i="13"/>
  <c r="AV202" i="13" s="1"/>
  <c r="AV212" i="13" s="1"/>
  <c r="AV186" i="13"/>
  <c r="AV196" i="13" s="1"/>
  <c r="AV206" i="13" s="1"/>
  <c r="AV191" i="13"/>
  <c r="AV201" i="13" s="1"/>
  <c r="AV211" i="13" s="1"/>
  <c r="AV188" i="13"/>
  <c r="AV198" i="13" s="1"/>
  <c r="AV208" i="13" s="1"/>
  <c r="AV187" i="13"/>
  <c r="AV197" i="13" s="1"/>
  <c r="AV207" i="13" s="1"/>
  <c r="AW140" i="12"/>
  <c r="AW150" i="12" s="1"/>
  <c r="AW160" i="12" s="1"/>
  <c r="AW138" i="12"/>
  <c r="AW148" i="12" s="1"/>
  <c r="AW158" i="12" s="1"/>
  <c r="AW139" i="12"/>
  <c r="AW149" i="12" s="1"/>
  <c r="AW159" i="12" s="1"/>
  <c r="AW137" i="12"/>
  <c r="AW147" i="12" s="1"/>
  <c r="AW157" i="12" s="1"/>
  <c r="AW136" i="12"/>
  <c r="AW146" i="12" s="1"/>
  <c r="AW156" i="12" s="1"/>
  <c r="J36" i="12"/>
  <c r="J46" i="12" s="1"/>
  <c r="J56" i="12" s="1"/>
  <c r="J33" i="12"/>
  <c r="J43" i="12" s="1"/>
  <c r="J53" i="12" s="1"/>
  <c r="J32" i="12"/>
  <c r="J42" i="12" s="1"/>
  <c r="J52" i="12" s="1"/>
  <c r="J34" i="12"/>
  <c r="J44" i="12" s="1"/>
  <c r="J54" i="12" s="1"/>
  <c r="J35" i="12"/>
  <c r="J45" i="12" s="1"/>
  <c r="J55" i="12" s="1"/>
  <c r="AU239" i="13"/>
  <c r="AU249" i="13" s="1"/>
  <c r="AU259" i="13" s="1"/>
  <c r="AU240" i="13"/>
  <c r="AU250" i="13" s="1"/>
  <c r="AU260" i="13" s="1"/>
  <c r="AU241" i="13"/>
  <c r="AU251" i="13" s="1"/>
  <c r="AU261" i="13" s="1"/>
  <c r="AU244" i="13"/>
  <c r="AU254" i="13" s="1"/>
  <c r="AU264" i="13" s="1"/>
  <c r="AU238" i="13"/>
  <c r="AU248" i="13" s="1"/>
  <c r="AU258" i="13" s="1"/>
  <c r="AU243" i="13"/>
  <c r="AU253" i="13" s="1"/>
  <c r="AU263" i="13" s="1"/>
  <c r="AU242" i="13"/>
  <c r="AU252" i="13" s="1"/>
  <c r="AU262" i="13" s="1"/>
  <c r="AW36" i="13"/>
  <c r="AW46" i="13" s="1"/>
  <c r="AW56" i="13" s="1"/>
  <c r="AW31" i="13"/>
  <c r="AW41" i="13" s="1"/>
  <c r="AW51" i="13" s="1"/>
  <c r="AW30" i="13"/>
  <c r="AW40" i="13" s="1"/>
  <c r="AW50" i="13" s="1"/>
  <c r="AW33" i="13"/>
  <c r="AW43" i="13" s="1"/>
  <c r="AW53" i="13" s="1"/>
  <c r="AW34" i="13"/>
  <c r="AW44" i="13" s="1"/>
  <c r="AW54" i="13" s="1"/>
  <c r="AW35" i="13"/>
  <c r="AW45" i="13" s="1"/>
  <c r="AW55" i="13" s="1"/>
  <c r="AW32" i="13"/>
  <c r="AW42" i="13" s="1"/>
  <c r="AW52" i="13" s="1"/>
  <c r="J84" i="13"/>
  <c r="J85" i="13"/>
  <c r="J86" i="13"/>
  <c r="I33" i="13"/>
  <c r="I43" i="13" s="1"/>
  <c r="I53" i="13" s="1"/>
  <c r="I34" i="13"/>
  <c r="I44" i="13" s="1"/>
  <c r="I54" i="13" s="1"/>
  <c r="AX36" i="12"/>
  <c r="AX46" i="12" s="1"/>
  <c r="AX56" i="12" s="1"/>
  <c r="AX32" i="12"/>
  <c r="AX42" i="12" s="1"/>
  <c r="AX52" i="12" s="1"/>
  <c r="AX33" i="12"/>
  <c r="AX43" i="12" s="1"/>
  <c r="AX53" i="12" s="1"/>
  <c r="AX34" i="12"/>
  <c r="AX44" i="12" s="1"/>
  <c r="AX54" i="12" s="1"/>
  <c r="AX35" i="12"/>
  <c r="AX45" i="12" s="1"/>
  <c r="AX55" i="12" s="1"/>
  <c r="I140" i="12"/>
  <c r="I150" i="12" s="1"/>
  <c r="I160" i="12" s="1"/>
  <c r="I137" i="12"/>
  <c r="I147" i="12" s="1"/>
  <c r="I157" i="12" s="1"/>
  <c r="I139" i="12"/>
  <c r="I149" i="12" s="1"/>
  <c r="I159" i="12" s="1"/>
  <c r="I136" i="12"/>
  <c r="I146" i="12" s="1"/>
  <c r="I156" i="12" s="1"/>
  <c r="I138" i="12"/>
  <c r="I148" i="12" s="1"/>
  <c r="I158" i="12" s="1"/>
  <c r="AW138" i="13"/>
  <c r="AW148" i="13" s="1"/>
  <c r="AW158" i="13" s="1"/>
  <c r="AW136" i="13"/>
  <c r="AW146" i="13" s="1"/>
  <c r="AW156" i="13" s="1"/>
  <c r="G241" i="12"/>
  <c r="G251" i="12" s="1"/>
  <c r="G261" i="12" s="1"/>
  <c r="G243" i="12"/>
  <c r="G253" i="12" s="1"/>
  <c r="G263" i="12" s="1"/>
  <c r="G242" i="12"/>
  <c r="G252" i="12" s="1"/>
  <c r="G262" i="12" s="1"/>
  <c r="G244" i="12"/>
  <c r="G254" i="12" s="1"/>
  <c r="G264" i="12" s="1"/>
  <c r="G240" i="12"/>
  <c r="G250" i="12" s="1"/>
  <c r="G260" i="12" s="1"/>
  <c r="H163" i="12"/>
  <c r="G166" i="12" s="1"/>
  <c r="H59" i="13"/>
  <c r="BM323" i="12"/>
  <c r="BN323" i="12"/>
  <c r="BM323" i="13"/>
  <c r="BN323" i="13"/>
  <c r="BL323" i="12"/>
  <c r="BL271" i="13"/>
  <c r="BM271" i="12"/>
  <c r="BN271" i="12"/>
  <c r="AV59" i="13"/>
  <c r="AU60" i="13" s="1"/>
  <c r="AT164" i="12"/>
  <c r="AS167" i="12" s="1"/>
  <c r="AV163" i="12"/>
  <c r="AU166" i="12" s="1"/>
  <c r="AU60" i="12"/>
  <c r="AT63" i="12" s="1"/>
  <c r="AU215" i="13"/>
  <c r="AW111" i="13"/>
  <c r="AV112" i="13" s="1"/>
  <c r="AT267" i="12"/>
  <c r="AS268" i="12" s="1"/>
  <c r="F267" i="12"/>
  <c r="E268" i="12" s="1"/>
  <c r="AW59" i="12"/>
  <c r="AV60" i="12" s="1"/>
  <c r="AX80" i="13"/>
  <c r="AX90" i="13" s="1"/>
  <c r="AX100" i="13" s="1"/>
  <c r="AX89" i="13"/>
  <c r="AX99" i="13" s="1"/>
  <c r="AX109" i="13" s="1"/>
  <c r="AZ17" i="12"/>
  <c r="AY27" i="12"/>
  <c r="AY31" i="12" s="1"/>
  <c r="AY41" i="12" s="1"/>
  <c r="AY51" i="12" s="1"/>
  <c r="AY18" i="12"/>
  <c r="AY58" i="12"/>
  <c r="D267" i="12"/>
  <c r="D216" i="13"/>
  <c r="D218" i="13"/>
  <c r="BK216" i="13"/>
  <c r="BK219" i="13" s="1"/>
  <c r="G236" i="12"/>
  <c r="G246" i="12" s="1"/>
  <c r="G256" i="12" s="1"/>
  <c r="G245" i="12"/>
  <c r="G255" i="12" s="1"/>
  <c r="G265" i="12" s="1"/>
  <c r="G238" i="12"/>
  <c r="G248" i="12" s="1"/>
  <c r="G258" i="12" s="1"/>
  <c r="G237" i="12"/>
  <c r="G247" i="12" s="1"/>
  <c r="G257" i="12" s="1"/>
  <c r="AY17" i="13"/>
  <c r="AX18" i="13"/>
  <c r="AX27" i="13"/>
  <c r="AX29" i="13" s="1"/>
  <c r="AX39" i="13" s="1"/>
  <c r="AX49" i="13" s="1"/>
  <c r="AX58" i="13"/>
  <c r="C28" i="8"/>
  <c r="C38" i="8" s="1"/>
  <c r="C48" i="8" s="1"/>
  <c r="C58" i="8" s="1"/>
  <c r="C68" i="8" s="1"/>
  <c r="H33" i="1"/>
  <c r="AY79" i="13"/>
  <c r="AY81" i="13" s="1"/>
  <c r="AY91" i="13" s="1"/>
  <c r="AY101" i="13" s="1"/>
  <c r="AZ69" i="13"/>
  <c r="AY70" i="13"/>
  <c r="AY110" i="13"/>
  <c r="AV184" i="13"/>
  <c r="AV194" i="13" s="1"/>
  <c r="AV204" i="13" s="1"/>
  <c r="AV193" i="13"/>
  <c r="AV203" i="13" s="1"/>
  <c r="AV213" i="13" s="1"/>
  <c r="G297" i="13"/>
  <c r="G307" i="13" s="1"/>
  <c r="G317" i="13" s="1"/>
  <c r="G288" i="13"/>
  <c r="G298" i="13" s="1"/>
  <c r="G308" i="13" s="1"/>
  <c r="G293" i="13"/>
  <c r="G303" i="13" s="1"/>
  <c r="G313" i="13" s="1"/>
  <c r="G296" i="13"/>
  <c r="G306" i="13" s="1"/>
  <c r="G316" i="13" s="1"/>
  <c r="G292" i="13"/>
  <c r="G302" i="13" s="1"/>
  <c r="G312" i="13" s="1"/>
  <c r="G295" i="13"/>
  <c r="G305" i="13" s="1"/>
  <c r="G315" i="13" s="1"/>
  <c r="G291" i="13"/>
  <c r="G301" i="13" s="1"/>
  <c r="G311" i="13" s="1"/>
  <c r="G290" i="13"/>
  <c r="G300" i="13" s="1"/>
  <c r="G310" i="13" s="1"/>
  <c r="G294" i="13"/>
  <c r="G304" i="13" s="1"/>
  <c r="G314" i="13" s="1"/>
  <c r="AW132" i="12"/>
  <c r="AW142" i="12" s="1"/>
  <c r="AW152" i="12" s="1"/>
  <c r="AW141" i="12"/>
  <c r="AW151" i="12" s="1"/>
  <c r="AW161" i="12" s="1"/>
  <c r="AW133" i="12"/>
  <c r="AW143" i="12" s="1"/>
  <c r="AW153" i="12" s="1"/>
  <c r="AW134" i="12"/>
  <c r="AW144" i="12" s="1"/>
  <c r="AW154" i="12" s="1"/>
  <c r="BO319" i="12"/>
  <c r="I141" i="12"/>
  <c r="I151" i="12" s="1"/>
  <c r="I161" i="12" s="1"/>
  <c r="I132" i="12"/>
  <c r="I142" i="12" s="1"/>
  <c r="I152" i="12" s="1"/>
  <c r="I133" i="12"/>
  <c r="I143" i="12" s="1"/>
  <c r="I153" i="12" s="1"/>
  <c r="I134" i="12"/>
  <c r="I144" i="12" s="1"/>
  <c r="I154" i="12" s="1"/>
  <c r="AU288" i="12"/>
  <c r="AU298" i="12" s="1"/>
  <c r="AU308" i="12" s="1"/>
  <c r="AU297" i="12"/>
  <c r="AU307" i="12" s="1"/>
  <c r="AU317" i="12" s="1"/>
  <c r="AU296" i="12"/>
  <c r="AU306" i="12" s="1"/>
  <c r="AU316" i="12" s="1"/>
  <c r="AU292" i="12"/>
  <c r="AU302" i="12" s="1"/>
  <c r="AU312" i="12" s="1"/>
  <c r="AU293" i="12"/>
  <c r="AU303" i="12" s="1"/>
  <c r="AU313" i="12" s="1"/>
  <c r="AU295" i="12"/>
  <c r="AU305" i="12" s="1"/>
  <c r="AU315" i="12" s="1"/>
  <c r="AU294" i="12"/>
  <c r="AU304" i="12" s="1"/>
  <c r="AU314" i="12" s="1"/>
  <c r="J37" i="12"/>
  <c r="J47" i="12" s="1"/>
  <c r="J57" i="12" s="1"/>
  <c r="J28" i="12"/>
  <c r="J38" i="12" s="1"/>
  <c r="J48" i="12" s="1"/>
  <c r="J30" i="12"/>
  <c r="J40" i="12" s="1"/>
  <c r="J50" i="12" s="1"/>
  <c r="J29" i="12"/>
  <c r="J39" i="12" s="1"/>
  <c r="J49" i="12" s="1"/>
  <c r="AU236" i="13"/>
  <c r="AU246" i="13" s="1"/>
  <c r="AU256" i="13" s="1"/>
  <c r="AU245" i="13"/>
  <c r="AU255" i="13" s="1"/>
  <c r="AU265" i="13" s="1"/>
  <c r="AV278" i="13"/>
  <c r="AV287" i="13"/>
  <c r="AV289" i="13" s="1"/>
  <c r="AV299" i="13" s="1"/>
  <c r="AV309" i="13" s="1"/>
  <c r="AW277" i="13"/>
  <c r="AV318" i="13"/>
  <c r="I225" i="12"/>
  <c r="H235" i="12"/>
  <c r="H239" i="12" s="1"/>
  <c r="H249" i="12" s="1"/>
  <c r="H259" i="12" s="1"/>
  <c r="H226" i="12"/>
  <c r="H266" i="12"/>
  <c r="AW225" i="12"/>
  <c r="AV226" i="12"/>
  <c r="AV235" i="12"/>
  <c r="AV239" i="12" s="1"/>
  <c r="AV249" i="12" s="1"/>
  <c r="AV259" i="12" s="1"/>
  <c r="AV266" i="12"/>
  <c r="AX28" i="12"/>
  <c r="AX38" i="12" s="1"/>
  <c r="AX48" i="12" s="1"/>
  <c r="AX37" i="12"/>
  <c r="AX47" i="12" s="1"/>
  <c r="AX57" i="12" s="1"/>
  <c r="AX30" i="12"/>
  <c r="AX40" i="12" s="1"/>
  <c r="AX50" i="12" s="1"/>
  <c r="AX29" i="12"/>
  <c r="AX39" i="12" s="1"/>
  <c r="AX49" i="12" s="1"/>
  <c r="AW28" i="13"/>
  <c r="AW38" i="13" s="1"/>
  <c r="AW48" i="13" s="1"/>
  <c r="AW37" i="13"/>
  <c r="AW47" i="13" s="1"/>
  <c r="AW57" i="13" s="1"/>
  <c r="K121" i="12"/>
  <c r="J131" i="12"/>
  <c r="J135" i="12" s="1"/>
  <c r="J145" i="12" s="1"/>
  <c r="J155" i="12" s="1"/>
  <c r="J122" i="12"/>
  <c r="J162" i="12"/>
  <c r="L17" i="12"/>
  <c r="K27" i="12"/>
  <c r="K31" i="12" s="1"/>
  <c r="K41" i="12" s="1"/>
  <c r="K51" i="12" s="1"/>
  <c r="K18" i="12"/>
  <c r="K58" i="12"/>
  <c r="AW225" i="13"/>
  <c r="AV235" i="13"/>
  <c r="AV237" i="13" s="1"/>
  <c r="AV247" i="13" s="1"/>
  <c r="AV257" i="13" s="1"/>
  <c r="AV226" i="13"/>
  <c r="AV266" i="13"/>
  <c r="AU288" i="13"/>
  <c r="AU298" i="13" s="1"/>
  <c r="AU308" i="13" s="1"/>
  <c r="AU297" i="13"/>
  <c r="AU307" i="13" s="1"/>
  <c r="AU317" i="13" s="1"/>
  <c r="AU290" i="13"/>
  <c r="AU300" i="13" s="1"/>
  <c r="AU310" i="13" s="1"/>
  <c r="AU295" i="13"/>
  <c r="AU305" i="13" s="1"/>
  <c r="AU315" i="13" s="1"/>
  <c r="AU296" i="13"/>
  <c r="AU306" i="13" s="1"/>
  <c r="AU316" i="13" s="1"/>
  <c r="AU292" i="13"/>
  <c r="AU302" i="13" s="1"/>
  <c r="AU312" i="13" s="1"/>
  <c r="AU293" i="13"/>
  <c r="AU303" i="13" s="1"/>
  <c r="AU313" i="13" s="1"/>
  <c r="AU294" i="13"/>
  <c r="AU304" i="13" s="1"/>
  <c r="AU314" i="13" s="1"/>
  <c r="AU291" i="13"/>
  <c r="AU301" i="13" s="1"/>
  <c r="AU311" i="13" s="1"/>
  <c r="AW174" i="13"/>
  <c r="AW183" i="13"/>
  <c r="AW185" i="13" s="1"/>
  <c r="AW195" i="13" s="1"/>
  <c r="AW205" i="13" s="1"/>
  <c r="AX173" i="13"/>
  <c r="AW214" i="13"/>
  <c r="I277" i="13"/>
  <c r="H278" i="13"/>
  <c r="H287" i="13"/>
  <c r="H289" i="13" s="1"/>
  <c r="H299" i="13" s="1"/>
  <c r="H309" i="13" s="1"/>
  <c r="H318" i="13"/>
  <c r="AX131" i="12"/>
  <c r="AX135" i="12" s="1"/>
  <c r="AX145" i="12" s="1"/>
  <c r="AX155" i="12" s="1"/>
  <c r="AY121" i="12"/>
  <c r="AX122" i="12"/>
  <c r="AX162" i="12"/>
  <c r="AV278" i="12"/>
  <c r="AV287" i="12"/>
  <c r="AW277" i="12"/>
  <c r="AV318" i="12"/>
  <c r="C20" i="8"/>
  <c r="O11" i="8"/>
  <c r="V7" i="13"/>
  <c r="V7" i="12"/>
  <c r="AU236" i="12"/>
  <c r="AU246" i="12" s="1"/>
  <c r="AU256" i="12" s="1"/>
  <c r="AU245" i="12"/>
  <c r="AU255" i="12" s="1"/>
  <c r="AU265" i="12" s="1"/>
  <c r="AU238" i="12"/>
  <c r="AU248" i="12" s="1"/>
  <c r="AU258" i="12" s="1"/>
  <c r="AU237" i="12"/>
  <c r="AU247" i="12" s="1"/>
  <c r="AU257" i="12" s="1"/>
  <c r="AW140" i="13" l="1"/>
  <c r="AW150" i="13" s="1"/>
  <c r="AW160" i="13" s="1"/>
  <c r="AW139" i="13"/>
  <c r="AW149" i="13" s="1"/>
  <c r="AW159" i="13" s="1"/>
  <c r="AW137" i="13"/>
  <c r="AW147" i="13" s="1"/>
  <c r="AW157" i="13" s="1"/>
  <c r="AW135" i="13"/>
  <c r="AW145" i="13" s="1"/>
  <c r="AW155" i="13" s="1"/>
  <c r="J83" i="13"/>
  <c r="J93" i="13" s="1"/>
  <c r="J103" i="13" s="1"/>
  <c r="D319" i="12"/>
  <c r="D322" i="12" s="1"/>
  <c r="I137" i="13"/>
  <c r="I147" i="13" s="1"/>
  <c r="I157" i="13" s="1"/>
  <c r="AR63" i="12"/>
  <c r="X8" i="12"/>
  <c r="AS115" i="12"/>
  <c r="AR112" i="12"/>
  <c r="AR115" i="12" s="1"/>
  <c r="AR164" i="12"/>
  <c r="AS63" i="13"/>
  <c r="AR60" i="13"/>
  <c r="I135" i="13"/>
  <c r="I145" i="13" s="1"/>
  <c r="I155" i="13" s="1"/>
  <c r="G290" i="12"/>
  <c r="G300" i="12" s="1"/>
  <c r="G310" i="12" s="1"/>
  <c r="J88" i="13"/>
  <c r="J98" i="13" s="1"/>
  <c r="J108" i="13" s="1"/>
  <c r="J87" i="13"/>
  <c r="J97" i="13" s="1"/>
  <c r="J107" i="13" s="1"/>
  <c r="BL73" i="8"/>
  <c r="BL43" i="8"/>
  <c r="BL20" i="8"/>
  <c r="BL19" i="8"/>
  <c r="BL23" i="8"/>
  <c r="BJ20" i="8"/>
  <c r="BN20" i="8"/>
  <c r="BN19" i="8"/>
  <c r="BJ19" i="8"/>
  <c r="BN73" i="8"/>
  <c r="BJ73" i="8"/>
  <c r="BN43" i="8"/>
  <c r="BJ43" i="8"/>
  <c r="BN23" i="8"/>
  <c r="BJ23" i="8"/>
  <c r="BJ41" i="8"/>
  <c r="BN41" i="8"/>
  <c r="BJ71" i="8"/>
  <c r="BN71" i="8"/>
  <c r="BK23" i="8"/>
  <c r="BI23" i="8"/>
  <c r="BI22" i="8"/>
  <c r="BK22" i="8"/>
  <c r="BM23" i="8"/>
  <c r="BM22" i="8"/>
  <c r="I139" i="13"/>
  <c r="I149" i="13" s="1"/>
  <c r="I159" i="13" s="1"/>
  <c r="I140" i="13"/>
  <c r="I150" i="13" s="1"/>
  <c r="I160" i="13" s="1"/>
  <c r="I136" i="13"/>
  <c r="I146" i="13" s="1"/>
  <c r="I156" i="13" s="1"/>
  <c r="I138" i="13"/>
  <c r="I148" i="13" s="1"/>
  <c r="I158" i="13" s="1"/>
  <c r="CD42" i="8"/>
  <c r="CF42" i="8"/>
  <c r="CD72" i="8"/>
  <c r="CF72" i="8"/>
  <c r="CC21" i="8"/>
  <c r="CE21" i="8"/>
  <c r="CF21" i="8"/>
  <c r="CD21" i="8"/>
  <c r="CB22" i="8"/>
  <c r="I30" i="13"/>
  <c r="I40" i="13" s="1"/>
  <c r="I50" i="13" s="1"/>
  <c r="J39" i="11"/>
  <c r="J38" i="11" s="1"/>
  <c r="E322" i="12"/>
  <c r="I87" i="13"/>
  <c r="I97" i="13" s="1"/>
  <c r="I107" i="13" s="1"/>
  <c r="I86" i="13"/>
  <c r="I96" i="13" s="1"/>
  <c r="I106" i="13" s="1"/>
  <c r="I83" i="13"/>
  <c r="I93" i="13" s="1"/>
  <c r="I103" i="13" s="1"/>
  <c r="I88" i="13"/>
  <c r="I98" i="13" s="1"/>
  <c r="I108" i="13" s="1"/>
  <c r="I84" i="13"/>
  <c r="I94" i="13" s="1"/>
  <c r="I104" i="13" s="1"/>
  <c r="I85" i="13"/>
  <c r="I95" i="13" s="1"/>
  <c r="I105" i="13" s="1"/>
  <c r="AW86" i="12"/>
  <c r="AW96" i="12" s="1"/>
  <c r="AW106" i="12" s="1"/>
  <c r="AW88" i="12"/>
  <c r="AW98" i="12" s="1"/>
  <c r="AW108" i="12" s="1"/>
  <c r="AW85" i="12"/>
  <c r="AW95" i="12" s="1"/>
  <c r="AW105" i="12" s="1"/>
  <c r="AW87" i="12"/>
  <c r="AW97" i="12" s="1"/>
  <c r="AW107" i="12" s="1"/>
  <c r="I86" i="12"/>
  <c r="I96" i="12" s="1"/>
  <c r="I106" i="12" s="1"/>
  <c r="I88" i="12"/>
  <c r="I98" i="12" s="1"/>
  <c r="I108" i="12" s="1"/>
  <c r="I85" i="12"/>
  <c r="I95" i="12" s="1"/>
  <c r="I105" i="12" s="1"/>
  <c r="I87" i="12"/>
  <c r="I97" i="12" s="1"/>
  <c r="I107" i="12" s="1"/>
  <c r="I59" i="12"/>
  <c r="H62" i="12" s="1"/>
  <c r="I35" i="13"/>
  <c r="I45" i="13" s="1"/>
  <c r="I55" i="13" s="1"/>
  <c r="I36" i="13"/>
  <c r="I46" i="13" s="1"/>
  <c r="I56" i="13" s="1"/>
  <c r="I32" i="13"/>
  <c r="I42" i="13" s="1"/>
  <c r="I52" i="13" s="1"/>
  <c r="I31" i="13"/>
  <c r="I41" i="13" s="1"/>
  <c r="I51" i="13" s="1"/>
  <c r="G289" i="12"/>
  <c r="G299" i="12" s="1"/>
  <c r="G309" i="12" s="1"/>
  <c r="K17" i="13"/>
  <c r="K18" i="13" s="1"/>
  <c r="I28" i="13"/>
  <c r="I38" i="13" s="1"/>
  <c r="I48" i="13" s="1"/>
  <c r="G291" i="12"/>
  <c r="G301" i="12" s="1"/>
  <c r="G311" i="12" s="1"/>
  <c r="D267" i="13"/>
  <c r="D268" i="13" s="1"/>
  <c r="J18" i="13"/>
  <c r="I37" i="13"/>
  <c r="I47" i="13" s="1"/>
  <c r="I57" i="13" s="1"/>
  <c r="J58" i="13"/>
  <c r="AR268" i="13"/>
  <c r="G240" i="13"/>
  <c r="G250" i="13" s="1"/>
  <c r="G260" i="13" s="1"/>
  <c r="G237" i="13"/>
  <c r="G247" i="13" s="1"/>
  <c r="G257" i="13" s="1"/>
  <c r="AT267" i="13"/>
  <c r="AS268" i="13" s="1"/>
  <c r="G62" i="12"/>
  <c r="G60" i="13"/>
  <c r="F60" i="13"/>
  <c r="E63" i="13" s="1"/>
  <c r="AX162" i="13"/>
  <c r="AT164" i="13"/>
  <c r="H190" i="13"/>
  <c r="H200" i="13" s="1"/>
  <c r="H210" i="13" s="1"/>
  <c r="J82" i="13"/>
  <c r="J92" i="13" s="1"/>
  <c r="J102" i="13" s="1"/>
  <c r="H192" i="13"/>
  <c r="H202" i="13" s="1"/>
  <c r="H212" i="13" s="1"/>
  <c r="E218" i="13"/>
  <c r="AT114" i="12"/>
  <c r="H191" i="12"/>
  <c r="H201" i="12" s="1"/>
  <c r="H211" i="12" s="1"/>
  <c r="AW132" i="13"/>
  <c r="AW142" i="13" s="1"/>
  <c r="AW152" i="13" s="1"/>
  <c r="H189" i="12"/>
  <c r="H199" i="12" s="1"/>
  <c r="H209" i="12" s="1"/>
  <c r="H191" i="13"/>
  <c r="H201" i="13" s="1"/>
  <c r="H211" i="13" s="1"/>
  <c r="I134" i="13"/>
  <c r="I144" i="13" s="1"/>
  <c r="I154" i="13" s="1"/>
  <c r="AW141" i="13"/>
  <c r="AW151" i="13" s="1"/>
  <c r="AW161" i="13" s="1"/>
  <c r="AW134" i="13"/>
  <c r="AW144" i="13" s="1"/>
  <c r="AW154" i="13" s="1"/>
  <c r="H111" i="13"/>
  <c r="G114" i="13" s="1"/>
  <c r="G293" i="12"/>
  <c r="G303" i="12" s="1"/>
  <c r="G313" i="12" s="1"/>
  <c r="H186" i="13"/>
  <c r="H196" i="13" s="1"/>
  <c r="H206" i="13" s="1"/>
  <c r="I81" i="13"/>
  <c r="I91" i="13" s="1"/>
  <c r="I101" i="13" s="1"/>
  <c r="I82" i="13"/>
  <c r="I92" i="13" s="1"/>
  <c r="I102" i="13" s="1"/>
  <c r="J80" i="13"/>
  <c r="J90" i="13" s="1"/>
  <c r="J100" i="13" s="1"/>
  <c r="H163" i="13"/>
  <c r="G166" i="13" s="1"/>
  <c r="AT216" i="13"/>
  <c r="AS219" i="13" s="1"/>
  <c r="AY121" i="13"/>
  <c r="AY162" i="13" s="1"/>
  <c r="AS218" i="13"/>
  <c r="J70" i="13"/>
  <c r="I214" i="13"/>
  <c r="AX110" i="12"/>
  <c r="G292" i="12"/>
  <c r="G302" i="12" s="1"/>
  <c r="G312" i="12" s="1"/>
  <c r="G215" i="13"/>
  <c r="F218" i="13" s="1"/>
  <c r="J96" i="13"/>
  <c r="J106" i="13" s="1"/>
  <c r="J110" i="13"/>
  <c r="H193" i="13"/>
  <c r="H203" i="13" s="1"/>
  <c r="H213" i="13" s="1"/>
  <c r="F267" i="13"/>
  <c r="E270" i="13" s="1"/>
  <c r="AX70" i="12"/>
  <c r="AX79" i="12"/>
  <c r="AV163" i="13"/>
  <c r="AU166" i="13" s="1"/>
  <c r="AX131" i="13"/>
  <c r="AX133" i="13" s="1"/>
  <c r="AX143" i="13" s="1"/>
  <c r="AX153" i="13" s="1"/>
  <c r="AY79" i="12"/>
  <c r="AY83" i="12" s="1"/>
  <c r="AY93" i="12" s="1"/>
  <c r="AY103" i="12" s="1"/>
  <c r="J89" i="13"/>
  <c r="J99" i="13" s="1"/>
  <c r="J109" i="13" s="1"/>
  <c r="F166" i="13"/>
  <c r="H192" i="12"/>
  <c r="H202" i="12" s="1"/>
  <c r="H212" i="12" s="1"/>
  <c r="J95" i="13"/>
  <c r="J105" i="13" s="1"/>
  <c r="H188" i="13"/>
  <c r="H198" i="13" s="1"/>
  <c r="H208" i="13" s="1"/>
  <c r="H187" i="13"/>
  <c r="H197" i="13" s="1"/>
  <c r="H207" i="13" s="1"/>
  <c r="AV111" i="12"/>
  <c r="AU112" i="12" s="1"/>
  <c r="AT115" i="12" s="1"/>
  <c r="AW83" i="12"/>
  <c r="AW93" i="12" s="1"/>
  <c r="AW103" i="12" s="1"/>
  <c r="AW80" i="12"/>
  <c r="AW90" i="12" s="1"/>
  <c r="AW100" i="12" s="1"/>
  <c r="AW84" i="12"/>
  <c r="AW94" i="12" s="1"/>
  <c r="AW104" i="12" s="1"/>
  <c r="AW89" i="12"/>
  <c r="AW99" i="12" s="1"/>
  <c r="AW109" i="12" s="1"/>
  <c r="AW82" i="12"/>
  <c r="AW92" i="12" s="1"/>
  <c r="AW102" i="12" s="1"/>
  <c r="AW81" i="12"/>
  <c r="AW91" i="12" s="1"/>
  <c r="AW101" i="12" s="1"/>
  <c r="J94" i="13"/>
  <c r="J104" i="13" s="1"/>
  <c r="H189" i="13"/>
  <c r="H199" i="13" s="1"/>
  <c r="H209" i="13" s="1"/>
  <c r="K69" i="13"/>
  <c r="K70" i="13" s="1"/>
  <c r="I80" i="13"/>
  <c r="I90" i="13" s="1"/>
  <c r="I100" i="13" s="1"/>
  <c r="I89" i="13"/>
  <c r="I99" i="13" s="1"/>
  <c r="I109" i="13" s="1"/>
  <c r="AY70" i="12"/>
  <c r="AY110" i="12"/>
  <c r="H184" i="13"/>
  <c r="H194" i="13" s="1"/>
  <c r="H204" i="13" s="1"/>
  <c r="I183" i="13"/>
  <c r="I185" i="13" s="1"/>
  <c r="I195" i="13" s="1"/>
  <c r="I205" i="13" s="1"/>
  <c r="F114" i="12"/>
  <c r="I174" i="13"/>
  <c r="AR271" i="12"/>
  <c r="G295" i="12"/>
  <c r="G305" i="12" s="1"/>
  <c r="G315" i="12" s="1"/>
  <c r="E216" i="12"/>
  <c r="H188" i="12"/>
  <c r="H198" i="12" s="1"/>
  <c r="H208" i="12" s="1"/>
  <c r="G215" i="12"/>
  <c r="F216" i="12" s="1"/>
  <c r="F114" i="13"/>
  <c r="F112" i="13"/>
  <c r="E115" i="13" s="1"/>
  <c r="J131" i="13"/>
  <c r="J133" i="13" s="1"/>
  <c r="J143" i="13" s="1"/>
  <c r="J153" i="13" s="1"/>
  <c r="G296" i="12"/>
  <c r="G306" i="12" s="1"/>
  <c r="G316" i="12" s="1"/>
  <c r="G288" i="12"/>
  <c r="G298" i="12" s="1"/>
  <c r="G308" i="12" s="1"/>
  <c r="G294" i="12"/>
  <c r="G304" i="12" s="1"/>
  <c r="G314" i="12" s="1"/>
  <c r="G244" i="13"/>
  <c r="G254" i="13" s="1"/>
  <c r="G264" i="13" s="1"/>
  <c r="G241" i="13"/>
  <c r="G251" i="13" s="1"/>
  <c r="G261" i="13" s="1"/>
  <c r="I183" i="12"/>
  <c r="I187" i="12" s="1"/>
  <c r="I197" i="12" s="1"/>
  <c r="I207" i="12" s="1"/>
  <c r="H287" i="12"/>
  <c r="H288" i="12" s="1"/>
  <c r="H298" i="12" s="1"/>
  <c r="H308" i="12" s="1"/>
  <c r="G236" i="13"/>
  <c r="G246" i="13" s="1"/>
  <c r="G256" i="13" s="1"/>
  <c r="I277" i="12"/>
  <c r="I318" i="12" s="1"/>
  <c r="G245" i="13"/>
  <c r="G255" i="13" s="1"/>
  <c r="G265" i="13" s="1"/>
  <c r="I141" i="13"/>
  <c r="I151" i="13" s="1"/>
  <c r="I161" i="13" s="1"/>
  <c r="H278" i="12"/>
  <c r="G242" i="13"/>
  <c r="G252" i="13" s="1"/>
  <c r="G262" i="13" s="1"/>
  <c r="G243" i="13"/>
  <c r="G253" i="13" s="1"/>
  <c r="G263" i="13" s="1"/>
  <c r="I132" i="13"/>
  <c r="I142" i="13" s="1"/>
  <c r="I152" i="13" s="1"/>
  <c r="G239" i="13"/>
  <c r="G249" i="13" s="1"/>
  <c r="G259" i="13" s="1"/>
  <c r="H186" i="12"/>
  <c r="H196" i="12" s="1"/>
  <c r="H206" i="12" s="1"/>
  <c r="K121" i="13"/>
  <c r="K131" i="13" s="1"/>
  <c r="K133" i="13" s="1"/>
  <c r="K143" i="13" s="1"/>
  <c r="K153" i="13" s="1"/>
  <c r="H185" i="12"/>
  <c r="H195" i="12" s="1"/>
  <c r="H205" i="12" s="1"/>
  <c r="H184" i="12"/>
  <c r="H194" i="12" s="1"/>
  <c r="H204" i="12" s="1"/>
  <c r="J122" i="13"/>
  <c r="I83" i="12"/>
  <c r="I93" i="12" s="1"/>
  <c r="I103" i="12" s="1"/>
  <c r="I84" i="12"/>
  <c r="I94" i="12" s="1"/>
  <c r="I104" i="12" s="1"/>
  <c r="I80" i="12"/>
  <c r="I90" i="12" s="1"/>
  <c r="I100" i="12" s="1"/>
  <c r="I81" i="12"/>
  <c r="I91" i="12" s="1"/>
  <c r="I101" i="12" s="1"/>
  <c r="I89" i="12"/>
  <c r="I99" i="12" s="1"/>
  <c r="I109" i="12" s="1"/>
  <c r="I82" i="12"/>
  <c r="I92" i="12" s="1"/>
  <c r="I102" i="12" s="1"/>
  <c r="J173" i="12"/>
  <c r="J214" i="12" s="1"/>
  <c r="H111" i="12"/>
  <c r="J110" i="12"/>
  <c r="J79" i="12"/>
  <c r="J70" i="12"/>
  <c r="K69" i="12"/>
  <c r="I214" i="12"/>
  <c r="H193" i="12"/>
  <c r="H203" i="12" s="1"/>
  <c r="H213" i="12" s="1"/>
  <c r="H190" i="12"/>
  <c r="H200" i="12" s="1"/>
  <c r="H210" i="12" s="1"/>
  <c r="H266" i="13"/>
  <c r="AU191" i="12"/>
  <c r="AU201" i="12" s="1"/>
  <c r="AU211" i="12" s="1"/>
  <c r="AU189" i="12"/>
  <c r="AU199" i="12" s="1"/>
  <c r="AU209" i="12" s="1"/>
  <c r="AU190" i="12"/>
  <c r="AU200" i="12" s="1"/>
  <c r="AU210" i="12" s="1"/>
  <c r="AU192" i="12"/>
  <c r="AU202" i="12" s="1"/>
  <c r="AU212" i="12" s="1"/>
  <c r="E320" i="12"/>
  <c r="AT215" i="12"/>
  <c r="AU187" i="12"/>
  <c r="AU197" i="12" s="1"/>
  <c r="AU207" i="12" s="1"/>
  <c r="AU184" i="12"/>
  <c r="AU194" i="12" s="1"/>
  <c r="AU204" i="12" s="1"/>
  <c r="AU185" i="12"/>
  <c r="AU195" i="12" s="1"/>
  <c r="AU205" i="12" s="1"/>
  <c r="AU186" i="12"/>
  <c r="AU196" i="12" s="1"/>
  <c r="AU206" i="12" s="1"/>
  <c r="AU193" i="12"/>
  <c r="AU203" i="12" s="1"/>
  <c r="AU213" i="12" s="1"/>
  <c r="AV174" i="12"/>
  <c r="AV183" i="12"/>
  <c r="AV188" i="12" s="1"/>
  <c r="AV198" i="12" s="1"/>
  <c r="AV208" i="12" s="1"/>
  <c r="AV214" i="12"/>
  <c r="AW173" i="12"/>
  <c r="D215" i="12"/>
  <c r="BN219" i="12"/>
  <c r="BM219" i="12"/>
  <c r="BO215" i="12"/>
  <c r="BL219" i="12"/>
  <c r="E218" i="12"/>
  <c r="O12" i="8"/>
  <c r="W7" i="13"/>
  <c r="Y8" i="13" s="1"/>
  <c r="W7" i="12"/>
  <c r="Y8" i="12" s="1"/>
  <c r="W8" i="13"/>
  <c r="C19" i="8"/>
  <c r="H226" i="13"/>
  <c r="H235" i="13"/>
  <c r="E12" i="8"/>
  <c r="D219" i="13"/>
  <c r="AT63" i="13"/>
  <c r="BN270" i="12"/>
  <c r="E320" i="13"/>
  <c r="AS320" i="12"/>
  <c r="AR323" i="12" s="1"/>
  <c r="AS320" i="13"/>
  <c r="AR323" i="13" s="1"/>
  <c r="BK320" i="13"/>
  <c r="BK323" i="13" s="1"/>
  <c r="AU115" i="13"/>
  <c r="G319" i="13"/>
  <c r="F320" i="13" s="1"/>
  <c r="AU319" i="13"/>
  <c r="AT322" i="13" s="1"/>
  <c r="AV291" i="12"/>
  <c r="AV301" i="12" s="1"/>
  <c r="AV311" i="12" s="1"/>
  <c r="AV289" i="12"/>
  <c r="AV299" i="12" s="1"/>
  <c r="AV309" i="12" s="1"/>
  <c r="AV290" i="12"/>
  <c r="AV300" i="12" s="1"/>
  <c r="AV310" i="12" s="1"/>
  <c r="BN322" i="12"/>
  <c r="E13" i="8"/>
  <c r="D322" i="13"/>
  <c r="D320" i="13"/>
  <c r="AU319" i="12"/>
  <c r="AT320" i="12" s="1"/>
  <c r="AV62" i="12"/>
  <c r="G62" i="13"/>
  <c r="AT218" i="13"/>
  <c r="G164" i="12"/>
  <c r="F167" i="12" s="1"/>
  <c r="AX137" i="12"/>
  <c r="AX147" i="12" s="1"/>
  <c r="AX157" i="12" s="1"/>
  <c r="AX140" i="12"/>
  <c r="AX150" i="12" s="1"/>
  <c r="AX160" i="12" s="1"/>
  <c r="AX138" i="12"/>
  <c r="AX148" i="12" s="1"/>
  <c r="AX158" i="12" s="1"/>
  <c r="AX139" i="12"/>
  <c r="AX149" i="12" s="1"/>
  <c r="AX159" i="12" s="1"/>
  <c r="AX136" i="12"/>
  <c r="AX146" i="12" s="1"/>
  <c r="AX156" i="12" s="1"/>
  <c r="AW186" i="13"/>
  <c r="AW196" i="13" s="1"/>
  <c r="AW206" i="13" s="1"/>
  <c r="AW187" i="13"/>
  <c r="AW197" i="13" s="1"/>
  <c r="AW207" i="13" s="1"/>
  <c r="AW189" i="13"/>
  <c r="AW199" i="13" s="1"/>
  <c r="AW209" i="13" s="1"/>
  <c r="AW192" i="13"/>
  <c r="AW202" i="13" s="1"/>
  <c r="AW212" i="13" s="1"/>
  <c r="AW191" i="13"/>
  <c r="AW201" i="13" s="1"/>
  <c r="AW211" i="13" s="1"/>
  <c r="AW190" i="13"/>
  <c r="AW200" i="13" s="1"/>
  <c r="AW210" i="13" s="1"/>
  <c r="AW188" i="13"/>
  <c r="AW198" i="13" s="1"/>
  <c r="AW208" i="13" s="1"/>
  <c r="K36" i="12"/>
  <c r="K46" i="12" s="1"/>
  <c r="K56" i="12" s="1"/>
  <c r="K33" i="12"/>
  <c r="K43" i="12" s="1"/>
  <c r="K53" i="12" s="1"/>
  <c r="K32" i="12"/>
  <c r="K42" i="12" s="1"/>
  <c r="K52" i="12" s="1"/>
  <c r="K34" i="12"/>
  <c r="K44" i="12" s="1"/>
  <c r="K54" i="12" s="1"/>
  <c r="K35" i="12"/>
  <c r="K45" i="12" s="1"/>
  <c r="K55" i="12" s="1"/>
  <c r="J140" i="12"/>
  <c r="J150" i="12" s="1"/>
  <c r="J160" i="12" s="1"/>
  <c r="J137" i="12"/>
  <c r="J147" i="12" s="1"/>
  <c r="J157" i="12" s="1"/>
  <c r="J139" i="12"/>
  <c r="J149" i="12" s="1"/>
  <c r="J159" i="12" s="1"/>
  <c r="J136" i="12"/>
  <c r="J146" i="12" s="1"/>
  <c r="J156" i="12" s="1"/>
  <c r="J138" i="12"/>
  <c r="J148" i="12" s="1"/>
  <c r="J158" i="12" s="1"/>
  <c r="H243" i="12"/>
  <c r="H253" i="12" s="1"/>
  <c r="H263" i="12" s="1"/>
  <c r="H242" i="12"/>
  <c r="H252" i="12" s="1"/>
  <c r="H262" i="12" s="1"/>
  <c r="H244" i="12"/>
  <c r="H254" i="12" s="1"/>
  <c r="H264" i="12" s="1"/>
  <c r="H241" i="12"/>
  <c r="H251" i="12" s="1"/>
  <c r="H261" i="12" s="1"/>
  <c r="H240" i="12"/>
  <c r="H250" i="12" s="1"/>
  <c r="H260" i="12" s="1"/>
  <c r="AV241" i="12"/>
  <c r="AV251" i="12" s="1"/>
  <c r="AV261" i="12" s="1"/>
  <c r="AV240" i="12"/>
  <c r="AV250" i="12" s="1"/>
  <c r="AV260" i="12" s="1"/>
  <c r="AV244" i="12"/>
  <c r="AV254" i="12" s="1"/>
  <c r="AV264" i="12" s="1"/>
  <c r="AV242" i="12"/>
  <c r="AV252" i="12" s="1"/>
  <c r="AV262" i="12" s="1"/>
  <c r="AV243" i="12"/>
  <c r="AV253" i="12" s="1"/>
  <c r="AV263" i="12" s="1"/>
  <c r="AX36" i="13"/>
  <c r="AX46" i="13" s="1"/>
  <c r="AX56" i="13" s="1"/>
  <c r="AX31" i="13"/>
  <c r="AX41" i="13" s="1"/>
  <c r="AX51" i="13" s="1"/>
  <c r="AX33" i="13"/>
  <c r="AX43" i="13" s="1"/>
  <c r="AX53" i="13" s="1"/>
  <c r="AX30" i="13"/>
  <c r="AX40" i="13" s="1"/>
  <c r="AX50" i="13" s="1"/>
  <c r="AX34" i="13"/>
  <c r="AX44" i="13" s="1"/>
  <c r="AX54" i="13" s="1"/>
  <c r="AX32" i="13"/>
  <c r="AX42" i="13" s="1"/>
  <c r="AX52" i="13" s="1"/>
  <c r="AX35" i="13"/>
  <c r="AX45" i="13" s="1"/>
  <c r="AX55" i="13" s="1"/>
  <c r="J36" i="13"/>
  <c r="J46" i="13" s="1"/>
  <c r="J56" i="13" s="1"/>
  <c r="J31" i="13"/>
  <c r="J41" i="13" s="1"/>
  <c r="J51" i="13" s="1"/>
  <c r="J33" i="13"/>
  <c r="J43" i="13" s="1"/>
  <c r="J53" i="13" s="1"/>
  <c r="J34" i="13"/>
  <c r="J44" i="13" s="1"/>
  <c r="J54" i="13" s="1"/>
  <c r="J35" i="13"/>
  <c r="J45" i="13" s="1"/>
  <c r="J55" i="13" s="1"/>
  <c r="J32" i="13"/>
  <c r="J42" i="13" s="1"/>
  <c r="J52" i="13" s="1"/>
  <c r="J30" i="13"/>
  <c r="J40" i="13" s="1"/>
  <c r="J50" i="13" s="1"/>
  <c r="AV243" i="13"/>
  <c r="AV253" i="13" s="1"/>
  <c r="AV263" i="13" s="1"/>
  <c r="AV241" i="13"/>
  <c r="AV251" i="13" s="1"/>
  <c r="AV261" i="13" s="1"/>
  <c r="AV238" i="13"/>
  <c r="AV248" i="13" s="1"/>
  <c r="AV258" i="13" s="1"/>
  <c r="AV240" i="13"/>
  <c r="AV250" i="13" s="1"/>
  <c r="AV260" i="13" s="1"/>
  <c r="AV244" i="13"/>
  <c r="AV254" i="13" s="1"/>
  <c r="AV264" i="13" s="1"/>
  <c r="AV242" i="13"/>
  <c r="AV252" i="13" s="1"/>
  <c r="AV262" i="13" s="1"/>
  <c r="AV239" i="13"/>
  <c r="AV249" i="13" s="1"/>
  <c r="AV259" i="13" s="1"/>
  <c r="AY87" i="13"/>
  <c r="AY97" i="13" s="1"/>
  <c r="AY107" i="13" s="1"/>
  <c r="AY84" i="13"/>
  <c r="AY94" i="13" s="1"/>
  <c r="AY104" i="13" s="1"/>
  <c r="AY85" i="13"/>
  <c r="AY95" i="13" s="1"/>
  <c r="AY105" i="13" s="1"/>
  <c r="AY83" i="13"/>
  <c r="AY93" i="13" s="1"/>
  <c r="AY103" i="13" s="1"/>
  <c r="AY88" i="13"/>
  <c r="AY98" i="13" s="1"/>
  <c r="AY108" i="13" s="1"/>
  <c r="AY86" i="13"/>
  <c r="AY96" i="13" s="1"/>
  <c r="AY106" i="13" s="1"/>
  <c r="AY82" i="13"/>
  <c r="AY92" i="13" s="1"/>
  <c r="AY102" i="13" s="1"/>
  <c r="AY36" i="12"/>
  <c r="AY46" i="12" s="1"/>
  <c r="AY56" i="12" s="1"/>
  <c r="AY33" i="12"/>
  <c r="AY43" i="12" s="1"/>
  <c r="AY53" i="12" s="1"/>
  <c r="AY32" i="12"/>
  <c r="AY42" i="12" s="1"/>
  <c r="AY52" i="12" s="1"/>
  <c r="AY34" i="12"/>
  <c r="AY44" i="12" s="1"/>
  <c r="AY54" i="12" s="1"/>
  <c r="AY35" i="12"/>
  <c r="AY45" i="12" s="1"/>
  <c r="AY55" i="12" s="1"/>
  <c r="AU63" i="12"/>
  <c r="G267" i="12"/>
  <c r="F268" i="12" s="1"/>
  <c r="E271" i="12" s="1"/>
  <c r="AX111" i="13"/>
  <c r="AW114" i="13" s="1"/>
  <c r="E270" i="12"/>
  <c r="AU62" i="13"/>
  <c r="AV114" i="13"/>
  <c r="AU164" i="12"/>
  <c r="AT167" i="12" s="1"/>
  <c r="AS270" i="12"/>
  <c r="J59" i="12"/>
  <c r="AW59" i="13"/>
  <c r="AV60" i="13" s="1"/>
  <c r="AU63" i="13" s="1"/>
  <c r="AU267" i="13"/>
  <c r="AV215" i="13"/>
  <c r="AU216" i="13" s="1"/>
  <c r="AU267" i="12"/>
  <c r="AT268" i="12" s="1"/>
  <c r="AS271" i="12" s="1"/>
  <c r="AX59" i="12"/>
  <c r="AW60" i="12" s="1"/>
  <c r="AV63" i="12" s="1"/>
  <c r="I163" i="12"/>
  <c r="H164" i="12" s="1"/>
  <c r="AW163" i="12"/>
  <c r="AV166" i="12" s="1"/>
  <c r="C30" i="8"/>
  <c r="C40" i="8" s="1"/>
  <c r="C50" i="8" s="1"/>
  <c r="C60" i="8" s="1"/>
  <c r="C70" i="8" s="1"/>
  <c r="H35" i="1"/>
  <c r="J37" i="13"/>
  <c r="J47" i="13" s="1"/>
  <c r="J57" i="13" s="1"/>
  <c r="J28" i="13"/>
  <c r="J38" i="13" s="1"/>
  <c r="J48" i="13" s="1"/>
  <c r="AY131" i="12"/>
  <c r="AY135" i="12" s="1"/>
  <c r="AY145" i="12" s="1"/>
  <c r="AY155" i="12" s="1"/>
  <c r="AZ121" i="12"/>
  <c r="AY122" i="12"/>
  <c r="AY162" i="12"/>
  <c r="H288" i="13"/>
  <c r="H298" i="13" s="1"/>
  <c r="H308" i="13" s="1"/>
  <c r="H297" i="13"/>
  <c r="H307" i="13" s="1"/>
  <c r="H317" i="13" s="1"/>
  <c r="H292" i="13"/>
  <c r="H302" i="13" s="1"/>
  <c r="H312" i="13" s="1"/>
  <c r="H295" i="13"/>
  <c r="H305" i="13" s="1"/>
  <c r="H315" i="13" s="1"/>
  <c r="H290" i="13"/>
  <c r="H300" i="13" s="1"/>
  <c r="H310" i="13" s="1"/>
  <c r="H291" i="13"/>
  <c r="H301" i="13" s="1"/>
  <c r="H311" i="13" s="1"/>
  <c r="H294" i="13"/>
  <c r="H304" i="13" s="1"/>
  <c r="H314" i="13" s="1"/>
  <c r="H293" i="13"/>
  <c r="H303" i="13" s="1"/>
  <c r="H313" i="13" s="1"/>
  <c r="H296" i="13"/>
  <c r="H306" i="13" s="1"/>
  <c r="H316" i="13" s="1"/>
  <c r="AY173" i="13"/>
  <c r="AX174" i="13"/>
  <c r="AX183" i="13"/>
  <c r="AX185" i="13" s="1"/>
  <c r="AX195" i="13" s="1"/>
  <c r="AX205" i="13" s="1"/>
  <c r="AX214" i="13"/>
  <c r="AW226" i="13"/>
  <c r="AW235" i="13"/>
  <c r="AW237" i="13" s="1"/>
  <c r="AW247" i="13" s="1"/>
  <c r="AW257" i="13" s="1"/>
  <c r="AX225" i="13"/>
  <c r="AW266" i="13"/>
  <c r="K173" i="13"/>
  <c r="J174" i="13"/>
  <c r="J183" i="13"/>
  <c r="J185" i="13" s="1"/>
  <c r="J195" i="13" s="1"/>
  <c r="J205" i="13" s="1"/>
  <c r="J214" i="13"/>
  <c r="H245" i="12"/>
  <c r="H255" i="12" s="1"/>
  <c r="H265" i="12" s="1"/>
  <c r="H236" i="12"/>
  <c r="H246" i="12" s="1"/>
  <c r="H256" i="12" s="1"/>
  <c r="H238" i="12"/>
  <c r="H248" i="12" s="1"/>
  <c r="H258" i="12" s="1"/>
  <c r="H237" i="12"/>
  <c r="H247" i="12" s="1"/>
  <c r="H257" i="12" s="1"/>
  <c r="AW278" i="13"/>
  <c r="AW287" i="13"/>
  <c r="AW289" i="13" s="1"/>
  <c r="AW299" i="13" s="1"/>
  <c r="AW309" i="13" s="1"/>
  <c r="AX277" i="13"/>
  <c r="AW318" i="13"/>
  <c r="BK320" i="12"/>
  <c r="BK323" i="12" s="1"/>
  <c r="AY89" i="13"/>
  <c r="AY99" i="13" s="1"/>
  <c r="AY109" i="13" s="1"/>
  <c r="AY80" i="13"/>
  <c r="AY90" i="13" s="1"/>
  <c r="AY100" i="13" s="1"/>
  <c r="AX37" i="13"/>
  <c r="AX47" i="13" s="1"/>
  <c r="AX57" i="13" s="1"/>
  <c r="AX28" i="13"/>
  <c r="AX38" i="13" s="1"/>
  <c r="AX48" i="13" s="1"/>
  <c r="J225" i="13"/>
  <c r="I235" i="13"/>
  <c r="I237" i="13" s="1"/>
  <c r="I247" i="13" s="1"/>
  <c r="I257" i="13" s="1"/>
  <c r="I226" i="13"/>
  <c r="I266" i="13"/>
  <c r="AZ27" i="12"/>
  <c r="AZ31" i="12" s="1"/>
  <c r="AZ41" i="12" s="1"/>
  <c r="AZ51" i="12" s="1"/>
  <c r="BA17" i="12"/>
  <c r="AZ18" i="12"/>
  <c r="AZ58" i="12"/>
  <c r="AX141" i="12"/>
  <c r="AX151" i="12" s="1"/>
  <c r="AX161" i="12" s="1"/>
  <c r="AX132" i="12"/>
  <c r="AX142" i="12" s="1"/>
  <c r="AX152" i="12" s="1"/>
  <c r="AX133" i="12"/>
  <c r="AX143" i="12" s="1"/>
  <c r="AX153" i="12" s="1"/>
  <c r="AX134" i="12"/>
  <c r="AX144" i="12" s="1"/>
  <c r="AX154" i="12" s="1"/>
  <c r="K28" i="12"/>
  <c r="K38" i="12" s="1"/>
  <c r="K48" i="12" s="1"/>
  <c r="K37" i="12"/>
  <c r="K47" i="12" s="1"/>
  <c r="K57" i="12" s="1"/>
  <c r="K29" i="12"/>
  <c r="K39" i="12" s="1"/>
  <c r="K49" i="12" s="1"/>
  <c r="K30" i="12"/>
  <c r="K40" i="12" s="1"/>
  <c r="K50" i="12" s="1"/>
  <c r="J141" i="12"/>
  <c r="J151" i="12" s="1"/>
  <c r="J161" i="12" s="1"/>
  <c r="J132" i="12"/>
  <c r="J142" i="12" s="1"/>
  <c r="J152" i="12" s="1"/>
  <c r="J134" i="12"/>
  <c r="J144" i="12" s="1"/>
  <c r="J154" i="12" s="1"/>
  <c r="J133" i="12"/>
  <c r="J143" i="12" s="1"/>
  <c r="J153" i="12" s="1"/>
  <c r="AW226" i="12"/>
  <c r="AW235" i="12"/>
  <c r="AW239" i="12" s="1"/>
  <c r="AW249" i="12" s="1"/>
  <c r="AW259" i="12" s="1"/>
  <c r="AX225" i="12"/>
  <c r="AW266" i="12"/>
  <c r="J225" i="12"/>
  <c r="I235" i="12"/>
  <c r="I239" i="12" s="1"/>
  <c r="I249" i="12" s="1"/>
  <c r="I259" i="12" s="1"/>
  <c r="I226" i="12"/>
  <c r="I266" i="12"/>
  <c r="AV288" i="13"/>
  <c r="AV298" i="13" s="1"/>
  <c r="AV308" i="13" s="1"/>
  <c r="AV297" i="13"/>
  <c r="AV307" i="13" s="1"/>
  <c r="AV317" i="13" s="1"/>
  <c r="AV290" i="13"/>
  <c r="AV300" i="13" s="1"/>
  <c r="AV310" i="13" s="1"/>
  <c r="AV291" i="13"/>
  <c r="AV301" i="13" s="1"/>
  <c r="AV311" i="13" s="1"/>
  <c r="AV294" i="13"/>
  <c r="AV304" i="13" s="1"/>
  <c r="AV314" i="13" s="1"/>
  <c r="AV296" i="13"/>
  <c r="AV306" i="13" s="1"/>
  <c r="AV316" i="13" s="1"/>
  <c r="AV292" i="13"/>
  <c r="AV302" i="13" s="1"/>
  <c r="AV312" i="13" s="1"/>
  <c r="AV293" i="13"/>
  <c r="AV303" i="13" s="1"/>
  <c r="AV313" i="13" s="1"/>
  <c r="AV295" i="13"/>
  <c r="AV305" i="13" s="1"/>
  <c r="AV315" i="13" s="1"/>
  <c r="BK268" i="13"/>
  <c r="BK271" i="13" s="1"/>
  <c r="AW278" i="12"/>
  <c r="AW287" i="12"/>
  <c r="AX277" i="12"/>
  <c r="AW318" i="12"/>
  <c r="AW184" i="13"/>
  <c r="AW194" i="13" s="1"/>
  <c r="AW204" i="13" s="1"/>
  <c r="AW193" i="13"/>
  <c r="AW203" i="13" s="1"/>
  <c r="AW213" i="13" s="1"/>
  <c r="AV288" i="12"/>
  <c r="AV298" i="12" s="1"/>
  <c r="AV308" i="12" s="1"/>
  <c r="AV297" i="12"/>
  <c r="AV307" i="12" s="1"/>
  <c r="AV317" i="12" s="1"/>
  <c r="AV295" i="12"/>
  <c r="AV305" i="12" s="1"/>
  <c r="AV315" i="12" s="1"/>
  <c r="AV296" i="12"/>
  <c r="AV306" i="12" s="1"/>
  <c r="AV316" i="12" s="1"/>
  <c r="AV292" i="12"/>
  <c r="AV302" i="12" s="1"/>
  <c r="AV312" i="12" s="1"/>
  <c r="AV293" i="12"/>
  <c r="AV303" i="12" s="1"/>
  <c r="AV313" i="12" s="1"/>
  <c r="AV294" i="12"/>
  <c r="AV304" i="12" s="1"/>
  <c r="AV314" i="12" s="1"/>
  <c r="J277" i="13"/>
  <c r="I287" i="13"/>
  <c r="I289" i="13" s="1"/>
  <c r="I299" i="13" s="1"/>
  <c r="I309" i="13" s="1"/>
  <c r="I278" i="13"/>
  <c r="I318" i="13"/>
  <c r="M17" i="12"/>
  <c r="L27" i="12"/>
  <c r="L31" i="12" s="1"/>
  <c r="L41" i="12" s="1"/>
  <c r="L51" i="12" s="1"/>
  <c r="L18" i="12"/>
  <c r="L58" i="12"/>
  <c r="L121" i="12"/>
  <c r="K131" i="12"/>
  <c r="K135" i="12" s="1"/>
  <c r="K145" i="12" s="1"/>
  <c r="K155" i="12" s="1"/>
  <c r="K122" i="12"/>
  <c r="K162" i="12"/>
  <c r="AY27" i="13"/>
  <c r="AY29" i="13" s="1"/>
  <c r="AY39" i="13" s="1"/>
  <c r="AY49" i="13" s="1"/>
  <c r="AZ17" i="13"/>
  <c r="AY18" i="13"/>
  <c r="AY58" i="13"/>
  <c r="D268" i="12"/>
  <c r="D271" i="12" s="1"/>
  <c r="D270" i="12"/>
  <c r="AV245" i="13"/>
  <c r="AV255" i="13" s="1"/>
  <c r="AV265" i="13" s="1"/>
  <c r="AV236" i="13"/>
  <c r="AV246" i="13" s="1"/>
  <c r="AV256" i="13" s="1"/>
  <c r="AZ79" i="12"/>
  <c r="AZ83" i="12" s="1"/>
  <c r="AZ93" i="12" s="1"/>
  <c r="AZ103" i="12" s="1"/>
  <c r="BA69" i="12"/>
  <c r="AZ70" i="12"/>
  <c r="AZ110" i="12"/>
  <c r="AV236" i="12"/>
  <c r="AV246" i="12" s="1"/>
  <c r="AV256" i="12" s="1"/>
  <c r="AV245" i="12"/>
  <c r="AV255" i="12" s="1"/>
  <c r="AV265" i="12" s="1"/>
  <c r="AV237" i="12"/>
  <c r="AV247" i="12" s="1"/>
  <c r="AV257" i="12" s="1"/>
  <c r="AV238" i="12"/>
  <c r="AV248" i="12" s="1"/>
  <c r="AV258" i="12" s="1"/>
  <c r="BA69" i="13"/>
  <c r="AZ79" i="13"/>
  <c r="AZ81" i="13" s="1"/>
  <c r="AZ91" i="13" s="1"/>
  <c r="AZ101" i="13" s="1"/>
  <c r="AZ70" i="13"/>
  <c r="AZ110" i="13"/>
  <c r="AY37" i="12"/>
  <c r="AY47" i="12" s="1"/>
  <c r="AY57" i="12" s="1"/>
  <c r="AY28" i="12"/>
  <c r="AY38" i="12" s="1"/>
  <c r="AY48" i="12" s="1"/>
  <c r="AY29" i="12"/>
  <c r="AY39" i="12" s="1"/>
  <c r="AY49" i="12" s="1"/>
  <c r="AY30" i="12"/>
  <c r="AY40" i="12" s="1"/>
  <c r="AY50" i="12" s="1"/>
  <c r="D320" i="12" l="1"/>
  <c r="I186" i="13"/>
  <c r="I196" i="13" s="1"/>
  <c r="I206" i="13" s="1"/>
  <c r="J135" i="13"/>
  <c r="J145" i="13" s="1"/>
  <c r="J155" i="13" s="1"/>
  <c r="J137" i="13"/>
  <c r="J147" i="13" s="1"/>
  <c r="J157" i="13" s="1"/>
  <c r="AX135" i="13"/>
  <c r="AX145" i="13" s="1"/>
  <c r="AX155" i="13" s="1"/>
  <c r="AX136" i="13"/>
  <c r="AX146" i="13" s="1"/>
  <c r="AX156" i="13" s="1"/>
  <c r="AX139" i="13"/>
  <c r="AX149" i="13" s="1"/>
  <c r="AX159" i="13" s="1"/>
  <c r="AX138" i="13"/>
  <c r="AX148" i="13" s="1"/>
  <c r="AX158" i="13" s="1"/>
  <c r="W8" i="12"/>
  <c r="AR167" i="12"/>
  <c r="V8" i="12"/>
  <c r="X8" i="13"/>
  <c r="AR63" i="13"/>
  <c r="AS167" i="13"/>
  <c r="AR164" i="13"/>
  <c r="AR216" i="13"/>
  <c r="AR219" i="13" s="1"/>
  <c r="J140" i="13"/>
  <c r="J150" i="13" s="1"/>
  <c r="J160" i="13" s="1"/>
  <c r="J139" i="13"/>
  <c r="J149" i="13" s="1"/>
  <c r="J159" i="13" s="1"/>
  <c r="AX140" i="13"/>
  <c r="AX150" i="13" s="1"/>
  <c r="AX160" i="13" s="1"/>
  <c r="AX137" i="13"/>
  <c r="AX147" i="13" s="1"/>
  <c r="AX157" i="13" s="1"/>
  <c r="J138" i="13"/>
  <c r="J148" i="13" s="1"/>
  <c r="J158" i="13" s="1"/>
  <c r="AY88" i="12"/>
  <c r="AY98" i="12" s="1"/>
  <c r="AY108" i="12" s="1"/>
  <c r="AY85" i="12"/>
  <c r="AY95" i="12" s="1"/>
  <c r="AY105" i="12" s="1"/>
  <c r="AY86" i="12"/>
  <c r="AY96" i="12" s="1"/>
  <c r="AY106" i="12" s="1"/>
  <c r="AY87" i="12"/>
  <c r="AY97" i="12" s="1"/>
  <c r="AY107" i="12" s="1"/>
  <c r="J136" i="13"/>
  <c r="J146" i="13" s="1"/>
  <c r="J156" i="13" s="1"/>
  <c r="AY84" i="12"/>
  <c r="AY94" i="12" s="1"/>
  <c r="AY104" i="12" s="1"/>
  <c r="BL42" i="8"/>
  <c r="BL21" i="8"/>
  <c r="BL72" i="8"/>
  <c r="BJ21" i="8"/>
  <c r="BN21" i="8"/>
  <c r="BN42" i="8"/>
  <c r="BJ42" i="8"/>
  <c r="BN72" i="8"/>
  <c r="BJ72" i="8"/>
  <c r="BI21" i="8"/>
  <c r="BK21" i="8"/>
  <c r="BM21" i="8"/>
  <c r="CF22" i="8"/>
  <c r="CD22" i="8"/>
  <c r="I60" i="12"/>
  <c r="H60" i="12"/>
  <c r="G63" i="12" s="1"/>
  <c r="T7" i="12"/>
  <c r="J134" i="13"/>
  <c r="J144" i="13" s="1"/>
  <c r="J154" i="13" s="1"/>
  <c r="AX87" i="12"/>
  <c r="AX97" i="12" s="1"/>
  <c r="AX107" i="12" s="1"/>
  <c r="AX86" i="12"/>
  <c r="AX96" i="12" s="1"/>
  <c r="AX106" i="12" s="1"/>
  <c r="AX88" i="12"/>
  <c r="AX98" i="12" s="1"/>
  <c r="AX108" i="12" s="1"/>
  <c r="AX85" i="12"/>
  <c r="AX95" i="12" s="1"/>
  <c r="AX105" i="12" s="1"/>
  <c r="J86" i="12"/>
  <c r="J96" i="12" s="1"/>
  <c r="J106" i="12" s="1"/>
  <c r="J88" i="12"/>
  <c r="J98" i="12" s="1"/>
  <c r="J108" i="12" s="1"/>
  <c r="J87" i="12"/>
  <c r="J97" i="12" s="1"/>
  <c r="J107" i="12" s="1"/>
  <c r="J85" i="12"/>
  <c r="J95" i="12" s="1"/>
  <c r="J105" i="12" s="1"/>
  <c r="L17" i="13"/>
  <c r="L18" i="13" s="1"/>
  <c r="K58" i="13"/>
  <c r="K27" i="13"/>
  <c r="K29" i="13" s="1"/>
  <c r="K39" i="13" s="1"/>
  <c r="K49" i="13" s="1"/>
  <c r="G319" i="12"/>
  <c r="F322" i="12" s="1"/>
  <c r="H289" i="12"/>
  <c r="H299" i="12" s="1"/>
  <c r="H309" i="12" s="1"/>
  <c r="I59" i="13"/>
  <c r="H60" i="13" s="1"/>
  <c r="G63" i="13" s="1"/>
  <c r="H290" i="12"/>
  <c r="H300" i="12" s="1"/>
  <c r="H310" i="12" s="1"/>
  <c r="AT268" i="13"/>
  <c r="AS271" i="13" s="1"/>
  <c r="D270" i="13"/>
  <c r="G164" i="13"/>
  <c r="F167" i="13" s="1"/>
  <c r="AS270" i="13"/>
  <c r="AR271" i="13"/>
  <c r="H291" i="12"/>
  <c r="H301" i="12" s="1"/>
  <c r="H311" i="12" s="1"/>
  <c r="H240" i="13"/>
  <c r="H250" i="13" s="1"/>
  <c r="H260" i="13" s="1"/>
  <c r="H237" i="13"/>
  <c r="H247" i="13" s="1"/>
  <c r="H257" i="13" s="1"/>
  <c r="AU114" i="12"/>
  <c r="F63" i="13"/>
  <c r="AZ121" i="13"/>
  <c r="AZ122" i="13" s="1"/>
  <c r="AY131" i="13"/>
  <c r="AY133" i="13" s="1"/>
  <c r="AY143" i="13" s="1"/>
  <c r="AY153" i="13" s="1"/>
  <c r="I163" i="13"/>
  <c r="H166" i="13" s="1"/>
  <c r="E219" i="12"/>
  <c r="AW163" i="13"/>
  <c r="AV164" i="13" s="1"/>
  <c r="AY81" i="12"/>
  <c r="AY91" i="12" s="1"/>
  <c r="AY101" i="12" s="1"/>
  <c r="AT219" i="13"/>
  <c r="F216" i="13"/>
  <c r="E219" i="13" s="1"/>
  <c r="AX134" i="13"/>
  <c r="AX144" i="13" s="1"/>
  <c r="AX154" i="13" s="1"/>
  <c r="G112" i="13"/>
  <c r="F115" i="13" s="1"/>
  <c r="AY80" i="12"/>
  <c r="AY90" i="12" s="1"/>
  <c r="AY100" i="12" s="1"/>
  <c r="AY89" i="12"/>
  <c r="AY99" i="12" s="1"/>
  <c r="AY109" i="12" s="1"/>
  <c r="H215" i="13"/>
  <c r="G216" i="13" s="1"/>
  <c r="H294" i="12"/>
  <c r="H304" i="12" s="1"/>
  <c r="H314" i="12" s="1"/>
  <c r="AY122" i="13"/>
  <c r="I189" i="12"/>
  <c r="I199" i="12" s="1"/>
  <c r="I209" i="12" s="1"/>
  <c r="AU164" i="13"/>
  <c r="AT167" i="13" s="1"/>
  <c r="J111" i="13"/>
  <c r="E268" i="13"/>
  <c r="D271" i="13" s="1"/>
  <c r="G267" i="13"/>
  <c r="F268" i="13" s="1"/>
  <c r="L69" i="13"/>
  <c r="M69" i="13" s="1"/>
  <c r="N69" i="13" s="1"/>
  <c r="F218" i="12"/>
  <c r="AX141" i="13"/>
  <c r="AX151" i="13" s="1"/>
  <c r="AX161" i="13" s="1"/>
  <c r="AX132" i="13"/>
  <c r="AX142" i="13" s="1"/>
  <c r="AX152" i="13" s="1"/>
  <c r="I111" i="13"/>
  <c r="H114" i="13" s="1"/>
  <c r="AX83" i="12"/>
  <c r="AX93" i="12" s="1"/>
  <c r="AX103" i="12" s="1"/>
  <c r="AX82" i="12"/>
  <c r="AX92" i="12" s="1"/>
  <c r="AX102" i="12" s="1"/>
  <c r="AX80" i="12"/>
  <c r="AX90" i="12" s="1"/>
  <c r="AX100" i="12" s="1"/>
  <c r="AX84" i="12"/>
  <c r="AX94" i="12" s="1"/>
  <c r="AX104" i="12" s="1"/>
  <c r="AX89" i="12"/>
  <c r="AX99" i="12" s="1"/>
  <c r="AX109" i="12" s="1"/>
  <c r="AX81" i="12"/>
  <c r="AX91" i="12" s="1"/>
  <c r="AX101" i="12" s="1"/>
  <c r="AW111" i="12"/>
  <c r="I187" i="13"/>
  <c r="I197" i="13" s="1"/>
  <c r="I207" i="13" s="1"/>
  <c r="I193" i="13"/>
  <c r="I203" i="13" s="1"/>
  <c r="I213" i="13" s="1"/>
  <c r="I192" i="12"/>
  <c r="I202" i="12" s="1"/>
  <c r="I212" i="12" s="1"/>
  <c r="K110" i="13"/>
  <c r="AY82" i="12"/>
  <c r="AY92" i="12" s="1"/>
  <c r="AY102" i="12" s="1"/>
  <c r="K79" i="13"/>
  <c r="I190" i="12"/>
  <c r="I200" i="12" s="1"/>
  <c r="I210" i="12" s="1"/>
  <c r="I188" i="13"/>
  <c r="I198" i="13" s="1"/>
  <c r="I208" i="13" s="1"/>
  <c r="I192" i="13"/>
  <c r="I202" i="13" s="1"/>
  <c r="I212" i="13" s="1"/>
  <c r="I191" i="13"/>
  <c r="I201" i="13" s="1"/>
  <c r="I211" i="13" s="1"/>
  <c r="I189" i="13"/>
  <c r="I199" i="13" s="1"/>
  <c r="I209" i="13" s="1"/>
  <c r="I184" i="13"/>
  <c r="I194" i="13" s="1"/>
  <c r="I204" i="13" s="1"/>
  <c r="I191" i="12"/>
  <c r="I201" i="12" s="1"/>
  <c r="I211" i="12" s="1"/>
  <c r="I190" i="13"/>
  <c r="I200" i="13" s="1"/>
  <c r="I210" i="13" s="1"/>
  <c r="I278" i="12"/>
  <c r="I188" i="12"/>
  <c r="I198" i="12" s="1"/>
  <c r="I208" i="12" s="1"/>
  <c r="AS323" i="12"/>
  <c r="J277" i="12"/>
  <c r="K277" i="12" s="1"/>
  <c r="J132" i="13"/>
  <c r="J142" i="13" s="1"/>
  <c r="J152" i="13" s="1"/>
  <c r="H295" i="12"/>
  <c r="H305" i="12" s="1"/>
  <c r="H315" i="12" s="1"/>
  <c r="H297" i="12"/>
  <c r="H307" i="12" s="1"/>
  <c r="H317" i="12" s="1"/>
  <c r="H296" i="12"/>
  <c r="H306" i="12" s="1"/>
  <c r="H316" i="12" s="1"/>
  <c r="H293" i="12"/>
  <c r="H303" i="12" s="1"/>
  <c r="H313" i="12" s="1"/>
  <c r="J141" i="13"/>
  <c r="J151" i="13" s="1"/>
  <c r="J161" i="13" s="1"/>
  <c r="H292" i="12"/>
  <c r="H302" i="12" s="1"/>
  <c r="H312" i="12" s="1"/>
  <c r="I193" i="12"/>
  <c r="I203" i="12" s="1"/>
  <c r="I213" i="12" s="1"/>
  <c r="K173" i="12"/>
  <c r="L173" i="12" s="1"/>
  <c r="I184" i="12"/>
  <c r="I194" i="12" s="1"/>
  <c r="I204" i="12" s="1"/>
  <c r="I287" i="12"/>
  <c r="I292" i="12" s="1"/>
  <c r="I302" i="12" s="1"/>
  <c r="I312" i="12" s="1"/>
  <c r="I185" i="12"/>
  <c r="I195" i="12" s="1"/>
  <c r="I205" i="12" s="1"/>
  <c r="L121" i="13"/>
  <c r="M121" i="13" s="1"/>
  <c r="I186" i="12"/>
  <c r="I196" i="12" s="1"/>
  <c r="I206" i="12" s="1"/>
  <c r="K122" i="13"/>
  <c r="K162" i="13"/>
  <c r="H215" i="12"/>
  <c r="G216" i="12" s="1"/>
  <c r="F219" i="12" s="1"/>
  <c r="J174" i="12"/>
  <c r="J183" i="12"/>
  <c r="J187" i="12" s="1"/>
  <c r="J197" i="12" s="1"/>
  <c r="J207" i="12" s="1"/>
  <c r="L69" i="12"/>
  <c r="K79" i="12"/>
  <c r="K70" i="12"/>
  <c r="K110" i="12"/>
  <c r="G114" i="12"/>
  <c r="G112" i="12"/>
  <c r="F115" i="12" s="1"/>
  <c r="I111" i="12"/>
  <c r="H239" i="13"/>
  <c r="H249" i="13" s="1"/>
  <c r="H259" i="13" s="1"/>
  <c r="J83" i="12"/>
  <c r="J93" i="12" s="1"/>
  <c r="J103" i="12" s="1"/>
  <c r="J81" i="12"/>
  <c r="J91" i="12" s="1"/>
  <c r="J101" i="12" s="1"/>
  <c r="J82" i="12"/>
  <c r="J92" i="12" s="1"/>
  <c r="J102" i="12" s="1"/>
  <c r="J80" i="12"/>
  <c r="J90" i="12" s="1"/>
  <c r="J100" i="12" s="1"/>
  <c r="J84" i="12"/>
  <c r="J94" i="12" s="1"/>
  <c r="J104" i="12" s="1"/>
  <c r="J89" i="12"/>
  <c r="J99" i="12" s="1"/>
  <c r="J109" i="12" s="1"/>
  <c r="H241" i="13"/>
  <c r="H251" i="13" s="1"/>
  <c r="H261" i="13" s="1"/>
  <c r="H243" i="13"/>
  <c r="H253" i="13" s="1"/>
  <c r="H263" i="13" s="1"/>
  <c r="H245" i="13"/>
  <c r="H255" i="13" s="1"/>
  <c r="H265" i="13" s="1"/>
  <c r="H236" i="13"/>
  <c r="H246" i="13" s="1"/>
  <c r="H256" i="13" s="1"/>
  <c r="T7" i="13"/>
  <c r="AV189" i="12"/>
  <c r="AV199" i="12" s="1"/>
  <c r="AV209" i="12" s="1"/>
  <c r="AV190" i="12"/>
  <c r="AV200" i="12" s="1"/>
  <c r="AV210" i="12" s="1"/>
  <c r="AV192" i="12"/>
  <c r="AV202" i="12" s="1"/>
  <c r="AV212" i="12" s="1"/>
  <c r="AV191" i="12"/>
  <c r="AV201" i="12" s="1"/>
  <c r="AV211" i="12" s="1"/>
  <c r="H242" i="13"/>
  <c r="H252" i="13" s="1"/>
  <c r="H262" i="13" s="1"/>
  <c r="H244" i="13"/>
  <c r="H254" i="13" s="1"/>
  <c r="H264" i="13" s="1"/>
  <c r="D323" i="12"/>
  <c r="H238" i="13"/>
  <c r="H248" i="13" s="1"/>
  <c r="H258" i="13" s="1"/>
  <c r="AV187" i="12"/>
  <c r="AV197" i="12" s="1"/>
  <c r="AV207" i="12" s="1"/>
  <c r="AV185" i="12"/>
  <c r="AV195" i="12" s="1"/>
  <c r="AV205" i="12" s="1"/>
  <c r="AV193" i="12"/>
  <c r="AV203" i="12" s="1"/>
  <c r="AV213" i="12" s="1"/>
  <c r="AV186" i="12"/>
  <c r="AV196" i="12" s="1"/>
  <c r="AV206" i="12" s="1"/>
  <c r="AV184" i="12"/>
  <c r="AV194" i="12" s="1"/>
  <c r="AV204" i="12" s="1"/>
  <c r="D216" i="12"/>
  <c r="D219" i="12" s="1"/>
  <c r="D218" i="12"/>
  <c r="AU215" i="12"/>
  <c r="AS218" i="12"/>
  <c r="AS216" i="12"/>
  <c r="AW174" i="12"/>
  <c r="AW183" i="12"/>
  <c r="AW188" i="12" s="1"/>
  <c r="AW198" i="12" s="1"/>
  <c r="AW208" i="12" s="1"/>
  <c r="AX173" i="12"/>
  <c r="AW214" i="12"/>
  <c r="BN218" i="12"/>
  <c r="E11" i="8"/>
  <c r="BK216" i="12"/>
  <c r="BK219" i="12" s="1"/>
  <c r="O9" i="8"/>
  <c r="H34" i="1"/>
  <c r="C29" i="8"/>
  <c r="C39" i="8" s="1"/>
  <c r="C49" i="8" s="1"/>
  <c r="C59" i="8" s="1"/>
  <c r="C69" i="8" s="1"/>
  <c r="C22" i="8"/>
  <c r="C32" i="8" s="1"/>
  <c r="C42" i="8" s="1"/>
  <c r="C52" i="8" s="1"/>
  <c r="C62" i="8" s="1"/>
  <c r="C72" i="8" s="1"/>
  <c r="E323" i="13"/>
  <c r="T8" i="12"/>
  <c r="AT320" i="13"/>
  <c r="AS323" i="13" s="1"/>
  <c r="T8" i="13"/>
  <c r="D323" i="13"/>
  <c r="F322" i="13"/>
  <c r="F270" i="12"/>
  <c r="AT322" i="12"/>
  <c r="AW112" i="13"/>
  <c r="AV115" i="13" s="1"/>
  <c r="AW291" i="12"/>
  <c r="AW301" i="12" s="1"/>
  <c r="AW311" i="12" s="1"/>
  <c r="AW289" i="12"/>
  <c r="AW299" i="12" s="1"/>
  <c r="AW309" i="12" s="1"/>
  <c r="AW290" i="12"/>
  <c r="AW300" i="12" s="1"/>
  <c r="AW310" i="12" s="1"/>
  <c r="AV319" i="13"/>
  <c r="AU320" i="13" s="1"/>
  <c r="H319" i="13"/>
  <c r="G320" i="13" s="1"/>
  <c r="F323" i="13" s="1"/>
  <c r="S7" i="12"/>
  <c r="C23" i="8"/>
  <c r="O8" i="8"/>
  <c r="S7" i="13"/>
  <c r="S8" i="13"/>
  <c r="S8" i="12"/>
  <c r="AV319" i="12"/>
  <c r="AU322" i="12" s="1"/>
  <c r="G167" i="12"/>
  <c r="H267" i="12"/>
  <c r="G268" i="12" s="1"/>
  <c r="F271" i="12" s="1"/>
  <c r="AY31" i="13"/>
  <c r="AY41" i="13" s="1"/>
  <c r="AY51" i="13" s="1"/>
  <c r="AY36" i="13"/>
  <c r="AY46" i="13" s="1"/>
  <c r="AY56" i="13" s="1"/>
  <c r="AY35" i="13"/>
  <c r="AY45" i="13" s="1"/>
  <c r="AY55" i="13" s="1"/>
  <c r="AY34" i="13"/>
  <c r="AY44" i="13" s="1"/>
  <c r="AY54" i="13" s="1"/>
  <c r="AY33" i="13"/>
  <c r="AY43" i="13" s="1"/>
  <c r="AY53" i="13" s="1"/>
  <c r="AY32" i="13"/>
  <c r="AY42" i="13" s="1"/>
  <c r="AY52" i="13" s="1"/>
  <c r="AY30" i="13"/>
  <c r="AY40" i="13" s="1"/>
  <c r="AY50" i="13" s="1"/>
  <c r="I241" i="12"/>
  <c r="I251" i="12" s="1"/>
  <c r="I261" i="12" s="1"/>
  <c r="I240" i="12"/>
  <c r="I250" i="12" s="1"/>
  <c r="I260" i="12" s="1"/>
  <c r="I242" i="12"/>
  <c r="I252" i="12" s="1"/>
  <c r="I262" i="12" s="1"/>
  <c r="I244" i="12"/>
  <c r="I254" i="12" s="1"/>
  <c r="I264" i="12" s="1"/>
  <c r="I243" i="12"/>
  <c r="I253" i="12" s="1"/>
  <c r="I263" i="12" s="1"/>
  <c r="I240" i="13"/>
  <c r="I250" i="13" s="1"/>
  <c r="I260" i="13" s="1"/>
  <c r="I241" i="13"/>
  <c r="I251" i="13" s="1"/>
  <c r="I261" i="13" s="1"/>
  <c r="I238" i="13"/>
  <c r="I248" i="13" s="1"/>
  <c r="I258" i="13" s="1"/>
  <c r="I243" i="13"/>
  <c r="I253" i="13" s="1"/>
  <c r="I263" i="13" s="1"/>
  <c r="I244" i="13"/>
  <c r="I254" i="13" s="1"/>
  <c r="I264" i="13" s="1"/>
  <c r="I242" i="13"/>
  <c r="I252" i="13" s="1"/>
  <c r="I262" i="13" s="1"/>
  <c r="I239" i="13"/>
  <c r="I249" i="13" s="1"/>
  <c r="I259" i="13" s="1"/>
  <c r="AW241" i="13"/>
  <c r="AW251" i="13" s="1"/>
  <c r="AW261" i="13" s="1"/>
  <c r="AW238" i="13"/>
  <c r="AW248" i="13" s="1"/>
  <c r="AW258" i="13" s="1"/>
  <c r="AW240" i="13"/>
  <c r="AW250" i="13" s="1"/>
  <c r="AW260" i="13" s="1"/>
  <c r="AW243" i="13"/>
  <c r="AW253" i="13" s="1"/>
  <c r="AW263" i="13" s="1"/>
  <c r="AW244" i="13"/>
  <c r="AW254" i="13" s="1"/>
  <c r="AW264" i="13" s="1"/>
  <c r="AW239" i="13"/>
  <c r="AW249" i="13" s="1"/>
  <c r="AW259" i="13" s="1"/>
  <c r="AW242" i="13"/>
  <c r="AW252" i="13" s="1"/>
  <c r="AW262" i="13" s="1"/>
  <c r="AZ36" i="12"/>
  <c r="AZ46" i="12" s="1"/>
  <c r="AZ56" i="12" s="1"/>
  <c r="AZ33" i="12"/>
  <c r="AZ43" i="12" s="1"/>
  <c r="AZ53" i="12" s="1"/>
  <c r="AZ32" i="12"/>
  <c r="AZ42" i="12" s="1"/>
  <c r="AZ52" i="12" s="1"/>
  <c r="AZ34" i="12"/>
  <c r="AZ44" i="12" s="1"/>
  <c r="AZ54" i="12" s="1"/>
  <c r="AZ35" i="12"/>
  <c r="AZ45" i="12" s="1"/>
  <c r="AZ55" i="12" s="1"/>
  <c r="AZ84" i="13"/>
  <c r="AZ94" i="13" s="1"/>
  <c r="AZ104" i="13" s="1"/>
  <c r="AZ87" i="13"/>
  <c r="AZ97" i="13" s="1"/>
  <c r="AZ107" i="13" s="1"/>
  <c r="AZ85" i="13"/>
  <c r="AZ95" i="13" s="1"/>
  <c r="AZ105" i="13" s="1"/>
  <c r="AZ83" i="13"/>
  <c r="AZ93" i="13" s="1"/>
  <c r="AZ103" i="13" s="1"/>
  <c r="AZ88" i="13"/>
  <c r="AZ98" i="13" s="1"/>
  <c r="AZ108" i="13" s="1"/>
  <c r="AZ86" i="13"/>
  <c r="AZ96" i="13" s="1"/>
  <c r="AZ106" i="13" s="1"/>
  <c r="AZ82" i="13"/>
  <c r="AZ92" i="13" s="1"/>
  <c r="AZ102" i="13" s="1"/>
  <c r="AW242" i="12"/>
  <c r="AW252" i="12" s="1"/>
  <c r="AW262" i="12" s="1"/>
  <c r="AW240" i="12"/>
  <c r="AW250" i="12" s="1"/>
  <c r="AW260" i="12" s="1"/>
  <c r="AW244" i="12"/>
  <c r="AW254" i="12" s="1"/>
  <c r="AW264" i="12" s="1"/>
  <c r="AW241" i="12"/>
  <c r="AW251" i="12" s="1"/>
  <c r="AW261" i="12" s="1"/>
  <c r="AW243" i="12"/>
  <c r="AW253" i="12" s="1"/>
  <c r="AW263" i="12" s="1"/>
  <c r="AX187" i="13"/>
  <c r="AX197" i="13" s="1"/>
  <c r="AX207" i="13" s="1"/>
  <c r="AX190" i="13"/>
  <c r="AX200" i="13" s="1"/>
  <c r="AX210" i="13" s="1"/>
  <c r="AX189" i="13"/>
  <c r="AX199" i="13" s="1"/>
  <c r="AX209" i="13" s="1"/>
  <c r="AX186" i="13"/>
  <c r="AX196" i="13" s="1"/>
  <c r="AX206" i="13" s="1"/>
  <c r="AX192" i="13"/>
  <c r="AX202" i="13" s="1"/>
  <c r="AX212" i="13" s="1"/>
  <c r="AX191" i="13"/>
  <c r="AX201" i="13" s="1"/>
  <c r="AX211" i="13" s="1"/>
  <c r="AX188" i="13"/>
  <c r="AX198" i="13" s="1"/>
  <c r="AX208" i="13" s="1"/>
  <c r="L33" i="12"/>
  <c r="L43" i="12" s="1"/>
  <c r="L53" i="12" s="1"/>
  <c r="L36" i="12"/>
  <c r="L46" i="12" s="1"/>
  <c r="L56" i="12" s="1"/>
  <c r="L34" i="12"/>
  <c r="L44" i="12" s="1"/>
  <c r="L54" i="12" s="1"/>
  <c r="L35" i="12"/>
  <c r="L45" i="12" s="1"/>
  <c r="L55" i="12" s="1"/>
  <c r="L32" i="12"/>
  <c r="L42" i="12" s="1"/>
  <c r="L52" i="12" s="1"/>
  <c r="AZ87" i="12"/>
  <c r="AZ97" i="12" s="1"/>
  <c r="AZ107" i="12" s="1"/>
  <c r="AZ85" i="12"/>
  <c r="AZ95" i="12" s="1"/>
  <c r="AZ105" i="12" s="1"/>
  <c r="AZ84" i="12"/>
  <c r="AZ94" i="12" s="1"/>
  <c r="AZ104" i="12" s="1"/>
  <c r="AZ86" i="12"/>
  <c r="AZ96" i="12" s="1"/>
  <c r="AZ106" i="12" s="1"/>
  <c r="AZ88" i="12"/>
  <c r="AZ98" i="12" s="1"/>
  <c r="AZ108" i="12" s="1"/>
  <c r="K139" i="12"/>
  <c r="K149" i="12" s="1"/>
  <c r="K159" i="12" s="1"/>
  <c r="K140" i="12"/>
  <c r="K150" i="12" s="1"/>
  <c r="K160" i="12" s="1"/>
  <c r="K136" i="12"/>
  <c r="K146" i="12" s="1"/>
  <c r="K156" i="12" s="1"/>
  <c r="K137" i="12"/>
  <c r="K147" i="12" s="1"/>
  <c r="K157" i="12" s="1"/>
  <c r="K138" i="12"/>
  <c r="K148" i="12" s="1"/>
  <c r="K158" i="12" s="1"/>
  <c r="K139" i="13"/>
  <c r="K149" i="13" s="1"/>
  <c r="K159" i="13" s="1"/>
  <c r="K138" i="13"/>
  <c r="K148" i="13" s="1"/>
  <c r="K158" i="13" s="1"/>
  <c r="K140" i="13"/>
  <c r="K150" i="13" s="1"/>
  <c r="K160" i="13" s="1"/>
  <c r="K137" i="13"/>
  <c r="K147" i="13" s="1"/>
  <c r="K157" i="13" s="1"/>
  <c r="K134" i="13"/>
  <c r="K144" i="13" s="1"/>
  <c r="K154" i="13" s="1"/>
  <c r="K135" i="13"/>
  <c r="K145" i="13" s="1"/>
  <c r="K155" i="13" s="1"/>
  <c r="K136" i="13"/>
  <c r="K146" i="13" s="1"/>
  <c r="K156" i="13" s="1"/>
  <c r="J192" i="13"/>
  <c r="J202" i="13" s="1"/>
  <c r="J212" i="13" s="1"/>
  <c r="J186" i="13"/>
  <c r="J196" i="13" s="1"/>
  <c r="J206" i="13" s="1"/>
  <c r="J190" i="13"/>
  <c r="J200" i="13" s="1"/>
  <c r="J210" i="13" s="1"/>
  <c r="J187" i="13"/>
  <c r="J197" i="13" s="1"/>
  <c r="J207" i="13" s="1"/>
  <c r="J189" i="13"/>
  <c r="J199" i="13" s="1"/>
  <c r="J209" i="13" s="1"/>
  <c r="J191" i="13"/>
  <c r="J201" i="13" s="1"/>
  <c r="J211" i="13" s="1"/>
  <c r="J188" i="13"/>
  <c r="J198" i="13" s="1"/>
  <c r="J208" i="13" s="1"/>
  <c r="AY139" i="12"/>
  <c r="AY149" i="12" s="1"/>
  <c r="AY159" i="12" s="1"/>
  <c r="AY140" i="12"/>
  <c r="AY150" i="12" s="1"/>
  <c r="AY160" i="12" s="1"/>
  <c r="AY136" i="12"/>
  <c r="AY146" i="12" s="1"/>
  <c r="AY156" i="12" s="1"/>
  <c r="AY137" i="12"/>
  <c r="AY147" i="12" s="1"/>
  <c r="AY157" i="12" s="1"/>
  <c r="AY138" i="12"/>
  <c r="AY148" i="12" s="1"/>
  <c r="AY158" i="12" s="1"/>
  <c r="AU218" i="13"/>
  <c r="AV164" i="12"/>
  <c r="AU167" i="12" s="1"/>
  <c r="AV62" i="13"/>
  <c r="AT270" i="12"/>
  <c r="AW62" i="12"/>
  <c r="AX163" i="12"/>
  <c r="AW166" i="12" s="1"/>
  <c r="AX59" i="13"/>
  <c r="AW60" i="13" s="1"/>
  <c r="AV63" i="13" s="1"/>
  <c r="AY111" i="13"/>
  <c r="AX112" i="13" s="1"/>
  <c r="H166" i="12"/>
  <c r="AW215" i="13"/>
  <c r="AV216" i="13" s="1"/>
  <c r="AU219" i="13" s="1"/>
  <c r="I62" i="12"/>
  <c r="AT270" i="13"/>
  <c r="AY59" i="12"/>
  <c r="AX60" i="12" s="1"/>
  <c r="AW63" i="12" s="1"/>
  <c r="AV267" i="13"/>
  <c r="AU270" i="13" s="1"/>
  <c r="J163" i="12"/>
  <c r="I164" i="12" s="1"/>
  <c r="H167" i="12" s="1"/>
  <c r="AV267" i="12"/>
  <c r="AU270" i="12" s="1"/>
  <c r="K59" i="12"/>
  <c r="J62" i="12" s="1"/>
  <c r="J59" i="13"/>
  <c r="BB69" i="13"/>
  <c r="BA79" i="13"/>
  <c r="BA81" i="13" s="1"/>
  <c r="BA91" i="13" s="1"/>
  <c r="BA101" i="13" s="1"/>
  <c r="BA70" i="13"/>
  <c r="BA110" i="13"/>
  <c r="BA79" i="12"/>
  <c r="BA83" i="12" s="1"/>
  <c r="BA93" i="12" s="1"/>
  <c r="BA103" i="12" s="1"/>
  <c r="BB69" i="12"/>
  <c r="BA70" i="12"/>
  <c r="BA110" i="12"/>
  <c r="AZ89" i="12"/>
  <c r="AZ99" i="12" s="1"/>
  <c r="AZ109" i="12" s="1"/>
  <c r="AZ80" i="12"/>
  <c r="AZ90" i="12" s="1"/>
  <c r="AZ100" i="12" s="1"/>
  <c r="AZ81" i="12"/>
  <c r="AZ91" i="12" s="1"/>
  <c r="AZ101" i="12" s="1"/>
  <c r="AZ82" i="12"/>
  <c r="AZ92" i="12" s="1"/>
  <c r="AZ102" i="12" s="1"/>
  <c r="AY37" i="13"/>
  <c r="AY47" i="13" s="1"/>
  <c r="AY57" i="13" s="1"/>
  <c r="AY28" i="13"/>
  <c r="AY38" i="13" s="1"/>
  <c r="AY48" i="13" s="1"/>
  <c r="M121" i="12"/>
  <c r="L131" i="12"/>
  <c r="L135" i="12" s="1"/>
  <c r="L145" i="12" s="1"/>
  <c r="L155" i="12" s="1"/>
  <c r="L122" i="12"/>
  <c r="L162" i="12"/>
  <c r="AX287" i="12"/>
  <c r="AY277" i="12"/>
  <c r="AX278" i="12"/>
  <c r="AX318" i="12"/>
  <c r="AW245" i="12"/>
  <c r="AW255" i="12" s="1"/>
  <c r="AW265" i="12" s="1"/>
  <c r="AW236" i="12"/>
  <c r="AW246" i="12" s="1"/>
  <c r="AW256" i="12" s="1"/>
  <c r="AW237" i="12"/>
  <c r="AW247" i="12" s="1"/>
  <c r="AW257" i="12" s="1"/>
  <c r="AW238" i="12"/>
  <c r="AW248" i="12" s="1"/>
  <c r="AW258" i="12" s="1"/>
  <c r="AZ28" i="12"/>
  <c r="AZ38" i="12" s="1"/>
  <c r="AZ48" i="12" s="1"/>
  <c r="AZ37" i="12"/>
  <c r="AZ47" i="12" s="1"/>
  <c r="AZ57" i="12" s="1"/>
  <c r="AZ30" i="12"/>
  <c r="AZ40" i="12" s="1"/>
  <c r="AZ50" i="12" s="1"/>
  <c r="AZ29" i="12"/>
  <c r="AZ39" i="12" s="1"/>
  <c r="AZ49" i="12" s="1"/>
  <c r="K225" i="13"/>
  <c r="J235" i="13"/>
  <c r="J237" i="13" s="1"/>
  <c r="J247" i="13" s="1"/>
  <c r="J257" i="13" s="1"/>
  <c r="J226" i="13"/>
  <c r="J266" i="13"/>
  <c r="AW297" i="13"/>
  <c r="AW307" i="13" s="1"/>
  <c r="AW317" i="13" s="1"/>
  <c r="AW288" i="13"/>
  <c r="AW298" i="13" s="1"/>
  <c r="AW308" i="13" s="1"/>
  <c r="AW291" i="13"/>
  <c r="AW301" i="13" s="1"/>
  <c r="AW311" i="13" s="1"/>
  <c r="AW294" i="13"/>
  <c r="AW304" i="13" s="1"/>
  <c r="AW314" i="13" s="1"/>
  <c r="AW290" i="13"/>
  <c r="AW300" i="13" s="1"/>
  <c r="AW310" i="13" s="1"/>
  <c r="AW295" i="13"/>
  <c r="AW305" i="13" s="1"/>
  <c r="AW315" i="13" s="1"/>
  <c r="AW293" i="13"/>
  <c r="AW303" i="13" s="1"/>
  <c r="AW313" i="13" s="1"/>
  <c r="AW296" i="13"/>
  <c r="AW306" i="13" s="1"/>
  <c r="AW316" i="13" s="1"/>
  <c r="AW292" i="13"/>
  <c r="AW302" i="13" s="1"/>
  <c r="AW312" i="13" s="1"/>
  <c r="J184" i="13"/>
  <c r="J194" i="13" s="1"/>
  <c r="J204" i="13" s="1"/>
  <c r="J193" i="13"/>
  <c r="J203" i="13" s="1"/>
  <c r="J213" i="13" s="1"/>
  <c r="AZ173" i="13"/>
  <c r="AY174" i="13"/>
  <c r="AY183" i="13"/>
  <c r="AY185" i="13" s="1"/>
  <c r="AY195" i="13" s="1"/>
  <c r="AY205" i="13" s="1"/>
  <c r="AY214" i="13"/>
  <c r="AY132" i="12"/>
  <c r="AY142" i="12" s="1"/>
  <c r="AY152" i="12" s="1"/>
  <c r="AY141" i="12"/>
  <c r="AY151" i="12" s="1"/>
  <c r="AY161" i="12" s="1"/>
  <c r="AY133" i="12"/>
  <c r="AY143" i="12" s="1"/>
  <c r="AY153" i="12" s="1"/>
  <c r="AY134" i="12"/>
  <c r="AY144" i="12" s="1"/>
  <c r="AY154" i="12" s="1"/>
  <c r="L37" i="12"/>
  <c r="L47" i="12" s="1"/>
  <c r="L57" i="12" s="1"/>
  <c r="L28" i="12"/>
  <c r="L38" i="12" s="1"/>
  <c r="L48" i="12" s="1"/>
  <c r="L30" i="12"/>
  <c r="L40" i="12" s="1"/>
  <c r="L50" i="12" s="1"/>
  <c r="L29" i="12"/>
  <c r="L39" i="12" s="1"/>
  <c r="L49" i="12" s="1"/>
  <c r="I297" i="13"/>
  <c r="I307" i="13" s="1"/>
  <c r="I317" i="13" s="1"/>
  <c r="I288" i="13"/>
  <c r="I298" i="13" s="1"/>
  <c r="I308" i="13" s="1"/>
  <c r="I290" i="13"/>
  <c r="I300" i="13" s="1"/>
  <c r="I310" i="13" s="1"/>
  <c r="I295" i="13"/>
  <c r="I305" i="13" s="1"/>
  <c r="I315" i="13" s="1"/>
  <c r="I294" i="13"/>
  <c r="I304" i="13" s="1"/>
  <c r="I314" i="13" s="1"/>
  <c r="I293" i="13"/>
  <c r="I303" i="13" s="1"/>
  <c r="I313" i="13" s="1"/>
  <c r="I296" i="13"/>
  <c r="I306" i="13" s="1"/>
  <c r="I316" i="13" s="1"/>
  <c r="I292" i="13"/>
  <c r="I302" i="13" s="1"/>
  <c r="I312" i="13" s="1"/>
  <c r="I291" i="13"/>
  <c r="I301" i="13" s="1"/>
  <c r="I311" i="13" s="1"/>
  <c r="AW297" i="12"/>
  <c r="AW307" i="12" s="1"/>
  <c r="AW317" i="12" s="1"/>
  <c r="AW288" i="12"/>
  <c r="AW298" i="12" s="1"/>
  <c r="AW308" i="12" s="1"/>
  <c r="AW293" i="12"/>
  <c r="AW303" i="12" s="1"/>
  <c r="AW313" i="12" s="1"/>
  <c r="AW295" i="12"/>
  <c r="AW305" i="12" s="1"/>
  <c r="AW315" i="12" s="1"/>
  <c r="AW294" i="12"/>
  <c r="AW304" i="12" s="1"/>
  <c r="AW314" i="12" s="1"/>
  <c r="AW296" i="12"/>
  <c r="AW306" i="12" s="1"/>
  <c r="AW316" i="12" s="1"/>
  <c r="AW292" i="12"/>
  <c r="AW302" i="12" s="1"/>
  <c r="AW312" i="12" s="1"/>
  <c r="N17" i="12"/>
  <c r="M27" i="12"/>
  <c r="M31" i="12" s="1"/>
  <c r="M41" i="12" s="1"/>
  <c r="M51" i="12" s="1"/>
  <c r="M18" i="12"/>
  <c r="M58" i="12"/>
  <c r="K277" i="13"/>
  <c r="J287" i="13"/>
  <c r="J289" i="13" s="1"/>
  <c r="J299" i="13" s="1"/>
  <c r="J309" i="13" s="1"/>
  <c r="J278" i="13"/>
  <c r="J318" i="13"/>
  <c r="I236" i="12"/>
  <c r="I246" i="12" s="1"/>
  <c r="I256" i="12" s="1"/>
  <c r="I245" i="12"/>
  <c r="I255" i="12" s="1"/>
  <c r="I265" i="12" s="1"/>
  <c r="I237" i="12"/>
  <c r="I247" i="12" s="1"/>
  <c r="I257" i="12" s="1"/>
  <c r="I238" i="12"/>
  <c r="I248" i="12" s="1"/>
  <c r="I258" i="12" s="1"/>
  <c r="K132" i="13"/>
  <c r="K142" i="13" s="1"/>
  <c r="K152" i="13" s="1"/>
  <c r="K141" i="13"/>
  <c r="K151" i="13" s="1"/>
  <c r="K161" i="13" s="1"/>
  <c r="L173" i="13"/>
  <c r="K174" i="13"/>
  <c r="K183" i="13"/>
  <c r="K185" i="13" s="1"/>
  <c r="K195" i="13" s="1"/>
  <c r="K205" i="13" s="1"/>
  <c r="K214" i="13"/>
  <c r="AY225" i="13"/>
  <c r="AX235" i="13"/>
  <c r="AX237" i="13" s="1"/>
  <c r="AX247" i="13" s="1"/>
  <c r="AX257" i="13" s="1"/>
  <c r="AX226" i="13"/>
  <c r="AX266" i="13"/>
  <c r="AX184" i="13"/>
  <c r="AX194" i="13" s="1"/>
  <c r="AX204" i="13" s="1"/>
  <c r="AX193" i="13"/>
  <c r="AX203" i="13" s="1"/>
  <c r="AX213" i="13" s="1"/>
  <c r="AZ80" i="13"/>
  <c r="AZ90" i="13" s="1"/>
  <c r="AZ100" i="13" s="1"/>
  <c r="AZ89" i="13"/>
  <c r="AZ99" i="13" s="1"/>
  <c r="AZ109" i="13" s="1"/>
  <c r="AZ18" i="13"/>
  <c r="AZ27" i="13"/>
  <c r="AZ29" i="13" s="1"/>
  <c r="AZ39" i="13" s="1"/>
  <c r="AZ49" i="13" s="1"/>
  <c r="BA17" i="13"/>
  <c r="AZ58" i="13"/>
  <c r="K132" i="12"/>
  <c r="K142" i="12" s="1"/>
  <c r="K152" i="12" s="1"/>
  <c r="K141" i="12"/>
  <c r="K151" i="12" s="1"/>
  <c r="K161" i="12" s="1"/>
  <c r="K133" i="12"/>
  <c r="K143" i="12" s="1"/>
  <c r="K153" i="12" s="1"/>
  <c r="K134" i="12"/>
  <c r="K144" i="12" s="1"/>
  <c r="K154" i="12" s="1"/>
  <c r="K225" i="12"/>
  <c r="J235" i="12"/>
  <c r="J239" i="12" s="1"/>
  <c r="J249" i="12" s="1"/>
  <c r="J259" i="12" s="1"/>
  <c r="J226" i="12"/>
  <c r="J266" i="12"/>
  <c r="AX226" i="12"/>
  <c r="AX235" i="12"/>
  <c r="AX239" i="12" s="1"/>
  <c r="AX249" i="12" s="1"/>
  <c r="AX259" i="12" s="1"/>
  <c r="AY225" i="12"/>
  <c r="AX266" i="12"/>
  <c r="BB17" i="12"/>
  <c r="BA27" i="12"/>
  <c r="BA31" i="12" s="1"/>
  <c r="BA41" i="12" s="1"/>
  <c r="BA51" i="12" s="1"/>
  <c r="BA18" i="12"/>
  <c r="BA58" i="12"/>
  <c r="I245" i="13"/>
  <c r="I255" i="13" s="1"/>
  <c r="I265" i="13" s="1"/>
  <c r="I236" i="13"/>
  <c r="I246" i="13" s="1"/>
  <c r="I256" i="13" s="1"/>
  <c r="AX278" i="13"/>
  <c r="AX287" i="13"/>
  <c r="AX289" i="13" s="1"/>
  <c r="AX299" i="13" s="1"/>
  <c r="AX309" i="13" s="1"/>
  <c r="AY277" i="13"/>
  <c r="AX318" i="13"/>
  <c r="AW236" i="13"/>
  <c r="AW246" i="13" s="1"/>
  <c r="AW256" i="13" s="1"/>
  <c r="AW245" i="13"/>
  <c r="AW255" i="13" s="1"/>
  <c r="AW265" i="13" s="1"/>
  <c r="BA121" i="12"/>
  <c r="AZ131" i="12"/>
  <c r="AZ135" i="12" s="1"/>
  <c r="AZ145" i="12" s="1"/>
  <c r="AZ155" i="12" s="1"/>
  <c r="AZ122" i="12"/>
  <c r="AZ162" i="12"/>
  <c r="K32" i="13" l="1"/>
  <c r="K42" i="13" s="1"/>
  <c r="K52" i="13" s="1"/>
  <c r="K35" i="13"/>
  <c r="K45" i="13" s="1"/>
  <c r="K55" i="13" s="1"/>
  <c r="K33" i="13"/>
  <c r="K43" i="13" s="1"/>
  <c r="K53" i="13" s="1"/>
  <c r="AY139" i="13"/>
  <c r="AY149" i="13" s="1"/>
  <c r="AY159" i="13" s="1"/>
  <c r="Z8" i="12"/>
  <c r="AR167" i="13"/>
  <c r="V8" i="13"/>
  <c r="Z8" i="13" s="1"/>
  <c r="AY138" i="13"/>
  <c r="AY148" i="13" s="1"/>
  <c r="AY158" i="13" s="1"/>
  <c r="AY140" i="13"/>
  <c r="AY150" i="13" s="1"/>
  <c r="AY160" i="13" s="1"/>
  <c r="AY137" i="13"/>
  <c r="AY147" i="13" s="1"/>
  <c r="AY157" i="13" s="1"/>
  <c r="I290" i="12"/>
  <c r="I300" i="12" s="1"/>
  <c r="I310" i="12" s="1"/>
  <c r="AY136" i="13"/>
  <c r="AY146" i="13" s="1"/>
  <c r="AY156" i="13" s="1"/>
  <c r="AY135" i="13"/>
  <c r="AY145" i="13" s="1"/>
  <c r="AY155" i="13" s="1"/>
  <c r="K31" i="13"/>
  <c r="K41" i="13" s="1"/>
  <c r="K51" i="13" s="1"/>
  <c r="BL22" i="8"/>
  <c r="BJ22" i="8"/>
  <c r="BN22" i="8"/>
  <c r="J189" i="12"/>
  <c r="J199" i="12" s="1"/>
  <c r="J209" i="12" s="1"/>
  <c r="I291" i="12"/>
  <c r="I301" i="12" s="1"/>
  <c r="I311" i="12" s="1"/>
  <c r="H63" i="12"/>
  <c r="L58" i="13"/>
  <c r="M17" i="13"/>
  <c r="M27" i="13" s="1"/>
  <c r="M29" i="13" s="1"/>
  <c r="M39" i="13" s="1"/>
  <c r="M49" i="13" s="1"/>
  <c r="L27" i="13"/>
  <c r="L29" i="13" s="1"/>
  <c r="L39" i="13" s="1"/>
  <c r="L49" i="13" s="1"/>
  <c r="I60" i="13"/>
  <c r="H63" i="13" s="1"/>
  <c r="K30" i="13"/>
  <c r="K40" i="13" s="1"/>
  <c r="K50" i="13" s="1"/>
  <c r="K36" i="13"/>
  <c r="K46" i="13" s="1"/>
  <c r="K56" i="13" s="1"/>
  <c r="K34" i="13"/>
  <c r="K44" i="13" s="1"/>
  <c r="K54" i="13" s="1"/>
  <c r="F320" i="12"/>
  <c r="E323" i="12" s="1"/>
  <c r="H112" i="13"/>
  <c r="G115" i="13" s="1"/>
  <c r="K88" i="12"/>
  <c r="K98" i="12" s="1"/>
  <c r="K108" i="12" s="1"/>
  <c r="K85" i="12"/>
  <c r="K95" i="12" s="1"/>
  <c r="K105" i="12" s="1"/>
  <c r="K87" i="12"/>
  <c r="K97" i="12" s="1"/>
  <c r="K107" i="12" s="1"/>
  <c r="K86" i="12"/>
  <c r="K96" i="12" s="1"/>
  <c r="K106" i="12" s="1"/>
  <c r="K82" i="13"/>
  <c r="K92" i="13" s="1"/>
  <c r="K102" i="13" s="1"/>
  <c r="K83" i="13"/>
  <c r="K93" i="13" s="1"/>
  <c r="K103" i="13" s="1"/>
  <c r="K84" i="13"/>
  <c r="K94" i="13" s="1"/>
  <c r="K104" i="13" s="1"/>
  <c r="K87" i="13"/>
  <c r="K97" i="13" s="1"/>
  <c r="K107" i="13" s="1"/>
  <c r="K88" i="13"/>
  <c r="K98" i="13" s="1"/>
  <c r="K108" i="13" s="1"/>
  <c r="K85" i="13"/>
  <c r="K95" i="13" s="1"/>
  <c r="K105" i="13" s="1"/>
  <c r="K86" i="13"/>
  <c r="K96" i="13" s="1"/>
  <c r="K106" i="13" s="1"/>
  <c r="K37" i="13"/>
  <c r="K47" i="13" s="1"/>
  <c r="K57" i="13" s="1"/>
  <c r="K28" i="13"/>
  <c r="K38" i="13" s="1"/>
  <c r="K48" i="13" s="1"/>
  <c r="H319" i="12"/>
  <c r="G322" i="12" s="1"/>
  <c r="H62" i="13"/>
  <c r="I289" i="12"/>
  <c r="I299" i="12" s="1"/>
  <c r="I309" i="12" s="1"/>
  <c r="BA121" i="13"/>
  <c r="BA131" i="13" s="1"/>
  <c r="BA133" i="13" s="1"/>
  <c r="BA143" i="13" s="1"/>
  <c r="BA153" i="13" s="1"/>
  <c r="H267" i="13"/>
  <c r="G270" i="13" s="1"/>
  <c r="E271" i="13"/>
  <c r="AZ162" i="13"/>
  <c r="AZ131" i="13"/>
  <c r="AZ133" i="13" s="1"/>
  <c r="AZ143" i="13" s="1"/>
  <c r="AZ153" i="13" s="1"/>
  <c r="AY134" i="13"/>
  <c r="AY144" i="13" s="1"/>
  <c r="AY154" i="13" s="1"/>
  <c r="AY132" i="13"/>
  <c r="AY142" i="13" s="1"/>
  <c r="AY152" i="13" s="1"/>
  <c r="J192" i="12"/>
  <c r="J202" i="12" s="1"/>
  <c r="J212" i="12" s="1"/>
  <c r="AY141" i="13"/>
  <c r="AY151" i="13" s="1"/>
  <c r="AY161" i="13" s="1"/>
  <c r="J188" i="12"/>
  <c r="J198" i="12" s="1"/>
  <c r="J208" i="12" s="1"/>
  <c r="H164" i="13"/>
  <c r="G167" i="13" s="1"/>
  <c r="AV166" i="13"/>
  <c r="M70" i="13"/>
  <c r="G218" i="13"/>
  <c r="F219" i="13"/>
  <c r="I114" i="13"/>
  <c r="L79" i="13"/>
  <c r="AY111" i="12"/>
  <c r="I293" i="12"/>
  <c r="I303" i="12" s="1"/>
  <c r="I313" i="12" s="1"/>
  <c r="M110" i="13"/>
  <c r="J318" i="12"/>
  <c r="AU167" i="13"/>
  <c r="I112" i="13"/>
  <c r="AX163" i="13"/>
  <c r="AW164" i="13" s="1"/>
  <c r="AV167" i="13" s="1"/>
  <c r="K214" i="12"/>
  <c r="L122" i="13"/>
  <c r="J163" i="13"/>
  <c r="I166" i="13" s="1"/>
  <c r="I215" i="13"/>
  <c r="H218" i="13" s="1"/>
  <c r="L110" i="13"/>
  <c r="K174" i="12"/>
  <c r="M79" i="13"/>
  <c r="M81" i="13" s="1"/>
  <c r="M91" i="13" s="1"/>
  <c r="M101" i="13" s="1"/>
  <c r="J186" i="12"/>
  <c r="J196" i="12" s="1"/>
  <c r="J206" i="12" s="1"/>
  <c r="H37" i="1"/>
  <c r="F270" i="13"/>
  <c r="L70" i="13"/>
  <c r="AX111" i="12"/>
  <c r="AV112" i="12"/>
  <c r="AU115" i="12" s="1"/>
  <c r="AV114" i="12"/>
  <c r="K81" i="13"/>
  <c r="K91" i="13" s="1"/>
  <c r="K101" i="13" s="1"/>
  <c r="K89" i="13"/>
  <c r="K99" i="13" s="1"/>
  <c r="K109" i="13" s="1"/>
  <c r="K80" i="13"/>
  <c r="K90" i="13" s="1"/>
  <c r="K100" i="13" s="1"/>
  <c r="J190" i="12"/>
  <c r="J200" i="12" s="1"/>
  <c r="J210" i="12" s="1"/>
  <c r="J191" i="12"/>
  <c r="J201" i="12" s="1"/>
  <c r="J211" i="12" s="1"/>
  <c r="J184" i="12"/>
  <c r="J194" i="12" s="1"/>
  <c r="J204" i="12" s="1"/>
  <c r="J193" i="12"/>
  <c r="J203" i="12" s="1"/>
  <c r="J213" i="12" s="1"/>
  <c r="K183" i="12"/>
  <c r="K187" i="12" s="1"/>
  <c r="K197" i="12" s="1"/>
  <c r="K207" i="12" s="1"/>
  <c r="J278" i="12"/>
  <c r="J287" i="12"/>
  <c r="J296" i="12" s="1"/>
  <c r="J306" i="12" s="1"/>
  <c r="J316" i="12" s="1"/>
  <c r="L162" i="13"/>
  <c r="I297" i="12"/>
  <c r="I307" i="12" s="1"/>
  <c r="I317" i="12" s="1"/>
  <c r="I215" i="12"/>
  <c r="H218" i="12" s="1"/>
  <c r="I295" i="12"/>
  <c r="I305" i="12" s="1"/>
  <c r="I315" i="12" s="1"/>
  <c r="I296" i="12"/>
  <c r="I306" i="12" s="1"/>
  <c r="I316" i="12" s="1"/>
  <c r="I288" i="12"/>
  <c r="I298" i="12" s="1"/>
  <c r="I308" i="12" s="1"/>
  <c r="I294" i="12"/>
  <c r="I304" i="12" s="1"/>
  <c r="I314" i="12" s="1"/>
  <c r="L131" i="13"/>
  <c r="L133" i="13" s="1"/>
  <c r="L143" i="13" s="1"/>
  <c r="L153" i="13" s="1"/>
  <c r="J185" i="12"/>
  <c r="J195" i="12" s="1"/>
  <c r="J205" i="12" s="1"/>
  <c r="J111" i="12"/>
  <c r="I112" i="12" s="1"/>
  <c r="G218" i="12"/>
  <c r="K83" i="12"/>
  <c r="K93" i="12" s="1"/>
  <c r="K103" i="12" s="1"/>
  <c r="K84" i="12"/>
  <c r="K94" i="12" s="1"/>
  <c r="K104" i="12" s="1"/>
  <c r="K81" i="12"/>
  <c r="K91" i="12" s="1"/>
  <c r="K101" i="12" s="1"/>
  <c r="K82" i="12"/>
  <c r="K92" i="12" s="1"/>
  <c r="K102" i="12" s="1"/>
  <c r="K80" i="12"/>
  <c r="K90" i="12" s="1"/>
  <c r="K100" i="12" s="1"/>
  <c r="K89" i="12"/>
  <c r="K99" i="12" s="1"/>
  <c r="K109" i="12" s="1"/>
  <c r="H114" i="12"/>
  <c r="H112" i="12"/>
  <c r="G115" i="12" s="1"/>
  <c r="L79" i="12"/>
  <c r="L70" i="12"/>
  <c r="L110" i="12"/>
  <c r="M69" i="12"/>
  <c r="AW191" i="12"/>
  <c r="AW201" i="12" s="1"/>
  <c r="AW211" i="12" s="1"/>
  <c r="AW189" i="12"/>
  <c r="AW199" i="12" s="1"/>
  <c r="AW209" i="12" s="1"/>
  <c r="AW190" i="12"/>
  <c r="AW200" i="12" s="1"/>
  <c r="AW210" i="12" s="1"/>
  <c r="AW192" i="12"/>
  <c r="AW202" i="12" s="1"/>
  <c r="AW212" i="12" s="1"/>
  <c r="G270" i="12"/>
  <c r="AT216" i="12"/>
  <c r="AS219" i="12" s="1"/>
  <c r="AT218" i="12"/>
  <c r="G322" i="13"/>
  <c r="AW187" i="12"/>
  <c r="AW197" i="12" s="1"/>
  <c r="AW207" i="12" s="1"/>
  <c r="AW186" i="12"/>
  <c r="AW196" i="12" s="1"/>
  <c r="AW206" i="12" s="1"/>
  <c r="AW185" i="12"/>
  <c r="AW195" i="12" s="1"/>
  <c r="AW205" i="12" s="1"/>
  <c r="AW184" i="12"/>
  <c r="AW194" i="12" s="1"/>
  <c r="AW204" i="12" s="1"/>
  <c r="AW193" i="12"/>
  <c r="AW203" i="12" s="1"/>
  <c r="AW213" i="12" s="1"/>
  <c r="AX183" i="12"/>
  <c r="AX188" i="12" s="1"/>
  <c r="AX198" i="12" s="1"/>
  <c r="AX208" i="12" s="1"/>
  <c r="AY173" i="12"/>
  <c r="AX214" i="12"/>
  <c r="AX174" i="12"/>
  <c r="AV215" i="12"/>
  <c r="U7" i="12"/>
  <c r="Y7" i="12" s="1"/>
  <c r="O10" i="8"/>
  <c r="C21" i="8"/>
  <c r="U8" i="13"/>
  <c r="Z7" i="13" s="1"/>
  <c r="U7" i="13"/>
  <c r="Y7" i="13" s="1"/>
  <c r="AU322" i="13"/>
  <c r="AU320" i="12"/>
  <c r="AT323" i="12" s="1"/>
  <c r="AT323" i="13"/>
  <c r="AW115" i="13"/>
  <c r="AW319" i="13"/>
  <c r="AV320" i="13" s="1"/>
  <c r="AU323" i="13" s="1"/>
  <c r="C33" i="8"/>
  <c r="C43" i="8" s="1"/>
  <c r="C53" i="8" s="1"/>
  <c r="C63" i="8" s="1"/>
  <c r="C73" i="8" s="1"/>
  <c r="H38" i="1"/>
  <c r="I319" i="13"/>
  <c r="H322" i="13" s="1"/>
  <c r="AW319" i="12"/>
  <c r="AV322" i="12" s="1"/>
  <c r="AX291" i="12"/>
  <c r="AX301" i="12" s="1"/>
  <c r="AX311" i="12" s="1"/>
  <c r="AX289" i="12"/>
  <c r="AX299" i="12" s="1"/>
  <c r="AX309" i="12" s="1"/>
  <c r="AX290" i="12"/>
  <c r="AX300" i="12" s="1"/>
  <c r="AX310" i="12" s="1"/>
  <c r="AY59" i="13"/>
  <c r="AX62" i="13" s="1"/>
  <c r="AX114" i="13"/>
  <c r="AW164" i="12"/>
  <c r="AV167" i="12" s="1"/>
  <c r="J242" i="12"/>
  <c r="J252" i="12" s="1"/>
  <c r="J262" i="12" s="1"/>
  <c r="J241" i="12"/>
  <c r="J251" i="12" s="1"/>
  <c r="J261" i="12" s="1"/>
  <c r="J243" i="12"/>
  <c r="J253" i="12" s="1"/>
  <c r="J263" i="12" s="1"/>
  <c r="J244" i="12"/>
  <c r="J254" i="12" s="1"/>
  <c r="J264" i="12" s="1"/>
  <c r="J240" i="12"/>
  <c r="J250" i="12" s="1"/>
  <c r="J260" i="12" s="1"/>
  <c r="BA87" i="12"/>
  <c r="BA97" i="12" s="1"/>
  <c r="BA107" i="12" s="1"/>
  <c r="BA85" i="12"/>
  <c r="BA95" i="12" s="1"/>
  <c r="BA105" i="12" s="1"/>
  <c r="BA84" i="12"/>
  <c r="BA94" i="12" s="1"/>
  <c r="BA104" i="12" s="1"/>
  <c r="BA86" i="12"/>
  <c r="BA96" i="12" s="1"/>
  <c r="BA106" i="12" s="1"/>
  <c r="BA88" i="12"/>
  <c r="BA98" i="12" s="1"/>
  <c r="BA108" i="12" s="1"/>
  <c r="AZ136" i="12"/>
  <c r="AZ146" i="12" s="1"/>
  <c r="AZ156" i="12" s="1"/>
  <c r="AZ139" i="12"/>
  <c r="AZ149" i="12" s="1"/>
  <c r="AZ159" i="12" s="1"/>
  <c r="AZ137" i="12"/>
  <c r="AZ147" i="12" s="1"/>
  <c r="AZ157" i="12" s="1"/>
  <c r="AZ140" i="12"/>
  <c r="AZ150" i="12" s="1"/>
  <c r="AZ160" i="12" s="1"/>
  <c r="AZ138" i="12"/>
  <c r="AZ148" i="12" s="1"/>
  <c r="AZ158" i="12" s="1"/>
  <c r="AX240" i="12"/>
  <c r="AX250" i="12" s="1"/>
  <c r="AX260" i="12" s="1"/>
  <c r="AX242" i="12"/>
  <c r="AX252" i="12" s="1"/>
  <c r="AX262" i="12" s="1"/>
  <c r="AX241" i="12"/>
  <c r="AX251" i="12" s="1"/>
  <c r="AX261" i="12" s="1"/>
  <c r="AX243" i="12"/>
  <c r="AX253" i="12" s="1"/>
  <c r="AX263" i="12" s="1"/>
  <c r="AX244" i="12"/>
  <c r="AX254" i="12" s="1"/>
  <c r="AX264" i="12" s="1"/>
  <c r="AW62" i="13"/>
  <c r="K187" i="13"/>
  <c r="K197" i="13" s="1"/>
  <c r="K207" i="13" s="1"/>
  <c r="K189" i="13"/>
  <c r="K199" i="13" s="1"/>
  <c r="K209" i="13" s="1"/>
  <c r="K192" i="13"/>
  <c r="K202" i="13" s="1"/>
  <c r="K212" i="13" s="1"/>
  <c r="K186" i="13"/>
  <c r="K196" i="13" s="1"/>
  <c r="K206" i="13" s="1"/>
  <c r="K190" i="13"/>
  <c r="K200" i="13" s="1"/>
  <c r="K210" i="13" s="1"/>
  <c r="K191" i="13"/>
  <c r="K201" i="13" s="1"/>
  <c r="K211" i="13" s="1"/>
  <c r="K188" i="13"/>
  <c r="K198" i="13" s="1"/>
  <c r="K208" i="13" s="1"/>
  <c r="BA36" i="12"/>
  <c r="BA46" i="12" s="1"/>
  <c r="BA56" i="12" s="1"/>
  <c r="BA33" i="12"/>
  <c r="BA43" i="12" s="1"/>
  <c r="BA53" i="12" s="1"/>
  <c r="BA32" i="12"/>
  <c r="BA42" i="12" s="1"/>
  <c r="BA52" i="12" s="1"/>
  <c r="BA34" i="12"/>
  <c r="BA44" i="12" s="1"/>
  <c r="BA54" i="12" s="1"/>
  <c r="BA35" i="12"/>
  <c r="BA45" i="12" s="1"/>
  <c r="BA55" i="12" s="1"/>
  <c r="L137" i="12"/>
  <c r="L147" i="12" s="1"/>
  <c r="L157" i="12" s="1"/>
  <c r="L140" i="12"/>
  <c r="L150" i="12" s="1"/>
  <c r="L160" i="12" s="1"/>
  <c r="L139" i="12"/>
  <c r="L149" i="12" s="1"/>
  <c r="L159" i="12" s="1"/>
  <c r="L136" i="12"/>
  <c r="L146" i="12" s="1"/>
  <c r="L156" i="12" s="1"/>
  <c r="L138" i="12"/>
  <c r="L148" i="12" s="1"/>
  <c r="L158" i="12" s="1"/>
  <c r="AZ36" i="13"/>
  <c r="AZ46" i="13" s="1"/>
  <c r="AZ56" i="13" s="1"/>
  <c r="AZ31" i="13"/>
  <c r="AZ41" i="13" s="1"/>
  <c r="AZ51" i="13" s="1"/>
  <c r="AZ33" i="13"/>
  <c r="AZ43" i="13" s="1"/>
  <c r="AZ53" i="13" s="1"/>
  <c r="AZ34" i="13"/>
  <c r="AZ44" i="13" s="1"/>
  <c r="AZ54" i="13" s="1"/>
  <c r="AZ32" i="13"/>
  <c r="AZ42" i="13" s="1"/>
  <c r="AZ52" i="13" s="1"/>
  <c r="AZ30" i="13"/>
  <c r="AZ40" i="13" s="1"/>
  <c r="AZ50" i="13" s="1"/>
  <c r="AZ35" i="13"/>
  <c r="AZ45" i="13" s="1"/>
  <c r="AZ55" i="13" s="1"/>
  <c r="AX242" i="13"/>
  <c r="AX252" i="13" s="1"/>
  <c r="AX262" i="13" s="1"/>
  <c r="AX239" i="13"/>
  <c r="AX249" i="13" s="1"/>
  <c r="AX259" i="13" s="1"/>
  <c r="AX240" i="13"/>
  <c r="AX250" i="13" s="1"/>
  <c r="AX260" i="13" s="1"/>
  <c r="AX241" i="13"/>
  <c r="AX251" i="13" s="1"/>
  <c r="AX261" i="13" s="1"/>
  <c r="AX238" i="13"/>
  <c r="AX248" i="13" s="1"/>
  <c r="AX258" i="13" s="1"/>
  <c r="AX244" i="13"/>
  <c r="AX254" i="13" s="1"/>
  <c r="AX264" i="13" s="1"/>
  <c r="AX243" i="13"/>
  <c r="AX253" i="13" s="1"/>
  <c r="AX263" i="13" s="1"/>
  <c r="M36" i="12"/>
  <c r="M46" i="12" s="1"/>
  <c r="M56" i="12" s="1"/>
  <c r="M33" i="12"/>
  <c r="M43" i="12" s="1"/>
  <c r="M53" i="12" s="1"/>
  <c r="M32" i="12"/>
  <c r="M42" i="12" s="1"/>
  <c r="M52" i="12" s="1"/>
  <c r="M34" i="12"/>
  <c r="M44" i="12" s="1"/>
  <c r="M54" i="12" s="1"/>
  <c r="M35" i="12"/>
  <c r="M45" i="12" s="1"/>
  <c r="M55" i="12" s="1"/>
  <c r="AY189" i="13"/>
  <c r="AY199" i="13" s="1"/>
  <c r="AY209" i="13" s="1"/>
  <c r="AY186" i="13"/>
  <c r="AY196" i="13" s="1"/>
  <c r="AY206" i="13" s="1"/>
  <c r="AY187" i="13"/>
  <c r="AY197" i="13" s="1"/>
  <c r="AY207" i="13" s="1"/>
  <c r="AY192" i="13"/>
  <c r="AY202" i="13" s="1"/>
  <c r="AY212" i="13" s="1"/>
  <c r="AY190" i="13"/>
  <c r="AY200" i="13" s="1"/>
  <c r="AY210" i="13" s="1"/>
  <c r="AY191" i="13"/>
  <c r="AY201" i="13" s="1"/>
  <c r="AY211" i="13" s="1"/>
  <c r="AY188" i="13"/>
  <c r="AY198" i="13" s="1"/>
  <c r="AY208" i="13" s="1"/>
  <c r="J241" i="13"/>
  <c r="J251" i="13" s="1"/>
  <c r="J261" i="13" s="1"/>
  <c r="J244" i="13"/>
  <c r="J254" i="13" s="1"/>
  <c r="J264" i="13" s="1"/>
  <c r="J238" i="13"/>
  <c r="J248" i="13" s="1"/>
  <c r="J258" i="13" s="1"/>
  <c r="J243" i="13"/>
  <c r="J253" i="13" s="1"/>
  <c r="J263" i="13" s="1"/>
  <c r="J240" i="13"/>
  <c r="J250" i="13" s="1"/>
  <c r="J260" i="13" s="1"/>
  <c r="J242" i="13"/>
  <c r="J252" i="13" s="1"/>
  <c r="J262" i="13" s="1"/>
  <c r="J239" i="13"/>
  <c r="J249" i="13" s="1"/>
  <c r="J259" i="13" s="1"/>
  <c r="BA87" i="13"/>
  <c r="BA97" i="13" s="1"/>
  <c r="BA107" i="13" s="1"/>
  <c r="BA84" i="13"/>
  <c r="BA94" i="13" s="1"/>
  <c r="BA104" i="13" s="1"/>
  <c r="BA85" i="13"/>
  <c r="BA95" i="13" s="1"/>
  <c r="BA105" i="13" s="1"/>
  <c r="BA83" i="13"/>
  <c r="BA93" i="13" s="1"/>
  <c r="BA103" i="13" s="1"/>
  <c r="BA88" i="13"/>
  <c r="BA98" i="13" s="1"/>
  <c r="BA108" i="13" s="1"/>
  <c r="BA86" i="13"/>
  <c r="BA96" i="13" s="1"/>
  <c r="BA106" i="13" s="1"/>
  <c r="BA82" i="13"/>
  <c r="BA92" i="13" s="1"/>
  <c r="BA102" i="13" s="1"/>
  <c r="AW267" i="12"/>
  <c r="AV270" i="12" s="1"/>
  <c r="AV218" i="13"/>
  <c r="AZ111" i="12"/>
  <c r="K163" i="13"/>
  <c r="I62" i="13"/>
  <c r="J60" i="12"/>
  <c r="I63" i="12" s="1"/>
  <c r="AU268" i="13"/>
  <c r="AT271" i="13" s="1"/>
  <c r="AZ59" i="12"/>
  <c r="AY60" i="12" s="1"/>
  <c r="AX63" i="12" s="1"/>
  <c r="AU268" i="12"/>
  <c r="AT271" i="12" s="1"/>
  <c r="AX62" i="12"/>
  <c r="AW267" i="13"/>
  <c r="AV268" i="13" s="1"/>
  <c r="I166" i="12"/>
  <c r="I267" i="13"/>
  <c r="K163" i="12"/>
  <c r="J166" i="12" s="1"/>
  <c r="L59" i="12"/>
  <c r="K62" i="12" s="1"/>
  <c r="AY163" i="12"/>
  <c r="AX166" i="12" s="1"/>
  <c r="AZ111" i="13"/>
  <c r="AY112" i="13" s="1"/>
  <c r="AX115" i="13" s="1"/>
  <c r="I267" i="12"/>
  <c r="H270" i="12" s="1"/>
  <c r="AX215" i="13"/>
  <c r="AW216" i="13" s="1"/>
  <c r="AV219" i="13" s="1"/>
  <c r="J215" i="13"/>
  <c r="AY287" i="13"/>
  <c r="AY289" i="13" s="1"/>
  <c r="AY299" i="13" s="1"/>
  <c r="AY309" i="13" s="1"/>
  <c r="AZ277" i="13"/>
  <c r="AY278" i="13"/>
  <c r="AY318" i="13"/>
  <c r="AZ141" i="12"/>
  <c r="AZ151" i="12" s="1"/>
  <c r="AZ161" i="12" s="1"/>
  <c r="AZ132" i="12"/>
  <c r="AZ142" i="12" s="1"/>
  <c r="AZ152" i="12" s="1"/>
  <c r="AZ133" i="12"/>
  <c r="AZ143" i="12" s="1"/>
  <c r="AZ153" i="12" s="1"/>
  <c r="AZ134" i="12"/>
  <c r="AZ144" i="12" s="1"/>
  <c r="AZ154" i="12" s="1"/>
  <c r="AY235" i="12"/>
  <c r="AY239" i="12" s="1"/>
  <c r="AY249" i="12" s="1"/>
  <c r="AY259" i="12" s="1"/>
  <c r="AY226" i="12"/>
  <c r="AZ225" i="12"/>
  <c r="AY266" i="12"/>
  <c r="L225" i="12"/>
  <c r="K235" i="12"/>
  <c r="K239" i="12" s="1"/>
  <c r="K249" i="12" s="1"/>
  <c r="K259" i="12" s="1"/>
  <c r="K226" i="12"/>
  <c r="K266" i="12"/>
  <c r="BB17" i="13"/>
  <c r="BA27" i="13"/>
  <c r="BA29" i="13" s="1"/>
  <c r="BA39" i="13" s="1"/>
  <c r="BA49" i="13" s="1"/>
  <c r="BA18" i="13"/>
  <c r="BA58" i="13"/>
  <c r="L277" i="13"/>
  <c r="K278" i="13"/>
  <c r="K287" i="13"/>
  <c r="K289" i="13" s="1"/>
  <c r="K299" i="13" s="1"/>
  <c r="K309" i="13" s="1"/>
  <c r="K318" i="13"/>
  <c r="AZ174" i="13"/>
  <c r="AZ183" i="13"/>
  <c r="AZ185" i="13" s="1"/>
  <c r="AZ195" i="13" s="1"/>
  <c r="AZ205" i="13" s="1"/>
  <c r="BA173" i="13"/>
  <c r="AZ214" i="13"/>
  <c r="N121" i="13"/>
  <c r="M122" i="13"/>
  <c r="M131" i="13"/>
  <c r="M133" i="13" s="1"/>
  <c r="M143" i="13" s="1"/>
  <c r="M153" i="13" s="1"/>
  <c r="M162" i="13"/>
  <c r="L225" i="13"/>
  <c r="K235" i="13"/>
  <c r="K237" i="13" s="1"/>
  <c r="K247" i="13" s="1"/>
  <c r="K257" i="13" s="1"/>
  <c r="K226" i="13"/>
  <c r="K266" i="13"/>
  <c r="O69" i="13"/>
  <c r="N70" i="13"/>
  <c r="N79" i="13"/>
  <c r="N81" i="13" s="1"/>
  <c r="N91" i="13" s="1"/>
  <c r="N101" i="13" s="1"/>
  <c r="N110" i="13"/>
  <c r="AZ277" i="12"/>
  <c r="AY278" i="12"/>
  <c r="AY287" i="12"/>
  <c r="AY318" i="12"/>
  <c r="AZ37" i="13"/>
  <c r="AZ47" i="13" s="1"/>
  <c r="AZ57" i="13" s="1"/>
  <c r="AZ28" i="13"/>
  <c r="AZ38" i="13" s="1"/>
  <c r="AZ48" i="13" s="1"/>
  <c r="K193" i="13"/>
  <c r="K203" i="13" s="1"/>
  <c r="K213" i="13" s="1"/>
  <c r="K184" i="13"/>
  <c r="K194" i="13" s="1"/>
  <c r="K204" i="13" s="1"/>
  <c r="M37" i="12"/>
  <c r="M47" i="12" s="1"/>
  <c r="M57" i="12" s="1"/>
  <c r="M28" i="12"/>
  <c r="M38" i="12" s="1"/>
  <c r="M48" i="12" s="1"/>
  <c r="M29" i="12"/>
  <c r="M39" i="12" s="1"/>
  <c r="M49" i="12" s="1"/>
  <c r="M30" i="12"/>
  <c r="M40" i="12" s="1"/>
  <c r="M50" i="12" s="1"/>
  <c r="AX288" i="12"/>
  <c r="AX298" i="12" s="1"/>
  <c r="AX308" i="12" s="1"/>
  <c r="AX297" i="12"/>
  <c r="AX307" i="12" s="1"/>
  <c r="AX317" i="12" s="1"/>
  <c r="AX295" i="12"/>
  <c r="AX305" i="12" s="1"/>
  <c r="AX315" i="12" s="1"/>
  <c r="AX293" i="12"/>
  <c r="AX303" i="12" s="1"/>
  <c r="AX313" i="12" s="1"/>
  <c r="AX296" i="12"/>
  <c r="AX306" i="12" s="1"/>
  <c r="AX316" i="12" s="1"/>
  <c r="AX292" i="12"/>
  <c r="AX302" i="12" s="1"/>
  <c r="AX312" i="12" s="1"/>
  <c r="AX294" i="12"/>
  <c r="AX304" i="12" s="1"/>
  <c r="AX314" i="12" s="1"/>
  <c r="L277" i="12"/>
  <c r="K287" i="12"/>
  <c r="K278" i="12"/>
  <c r="K318" i="12"/>
  <c r="AX245" i="12"/>
  <c r="AX255" i="12" s="1"/>
  <c r="AX265" i="12" s="1"/>
  <c r="AX236" i="12"/>
  <c r="AX246" i="12" s="1"/>
  <c r="AX256" i="12" s="1"/>
  <c r="AX238" i="12"/>
  <c r="AX248" i="12" s="1"/>
  <c r="AX258" i="12" s="1"/>
  <c r="AX237" i="12"/>
  <c r="AX247" i="12" s="1"/>
  <c r="AX257" i="12" s="1"/>
  <c r="BA37" i="12"/>
  <c r="BA47" i="12" s="1"/>
  <c r="BA57" i="12" s="1"/>
  <c r="BA28" i="12"/>
  <c r="BA38" i="12" s="1"/>
  <c r="BA48" i="12" s="1"/>
  <c r="BA30" i="12"/>
  <c r="BA40" i="12" s="1"/>
  <c r="BA50" i="12" s="1"/>
  <c r="BA29" i="12"/>
  <c r="BA39" i="12" s="1"/>
  <c r="BA49" i="12" s="1"/>
  <c r="AX245" i="13"/>
  <c r="AX255" i="13" s="1"/>
  <c r="AX265" i="13" s="1"/>
  <c r="AX236" i="13"/>
  <c r="AX246" i="13" s="1"/>
  <c r="AX256" i="13" s="1"/>
  <c r="O17" i="12"/>
  <c r="N27" i="12"/>
  <c r="N31" i="12" s="1"/>
  <c r="N41" i="12" s="1"/>
  <c r="N51" i="12" s="1"/>
  <c r="N18" i="12"/>
  <c r="N58" i="12"/>
  <c r="AY184" i="13"/>
  <c r="AY194" i="13" s="1"/>
  <c r="AY204" i="13" s="1"/>
  <c r="AY193" i="13"/>
  <c r="AY203" i="13" s="1"/>
  <c r="AY213" i="13" s="1"/>
  <c r="M173" i="12"/>
  <c r="L183" i="12"/>
  <c r="L187" i="12" s="1"/>
  <c r="L197" i="12" s="1"/>
  <c r="L207" i="12" s="1"/>
  <c r="L174" i="12"/>
  <c r="L214" i="12"/>
  <c r="L132" i="12"/>
  <c r="L142" i="12" s="1"/>
  <c r="L152" i="12" s="1"/>
  <c r="L141" i="12"/>
  <c r="L151" i="12" s="1"/>
  <c r="L161" i="12" s="1"/>
  <c r="L133" i="12"/>
  <c r="L143" i="12" s="1"/>
  <c r="L153" i="12" s="1"/>
  <c r="L134" i="12"/>
  <c r="L144" i="12" s="1"/>
  <c r="L154" i="12" s="1"/>
  <c r="BB79" i="12"/>
  <c r="BB83" i="12" s="1"/>
  <c r="BB93" i="12" s="1"/>
  <c r="BB103" i="12" s="1"/>
  <c r="BC69" i="12"/>
  <c r="BB70" i="12"/>
  <c r="BB110" i="12"/>
  <c r="BA80" i="13"/>
  <c r="BA90" i="13" s="1"/>
  <c r="BA100" i="13" s="1"/>
  <c r="BA89" i="13"/>
  <c r="BA99" i="13" s="1"/>
  <c r="BA109" i="13" s="1"/>
  <c r="AX288" i="13"/>
  <c r="AX298" i="13" s="1"/>
  <c r="AX308" i="13" s="1"/>
  <c r="AX297" i="13"/>
  <c r="AX307" i="13" s="1"/>
  <c r="AX317" i="13" s="1"/>
  <c r="AX291" i="13"/>
  <c r="AX301" i="13" s="1"/>
  <c r="AX311" i="13" s="1"/>
  <c r="AX290" i="13"/>
  <c r="AX300" i="13" s="1"/>
  <c r="AX310" i="13" s="1"/>
  <c r="AX295" i="13"/>
  <c r="AX305" i="13" s="1"/>
  <c r="AX315" i="13" s="1"/>
  <c r="AX296" i="13"/>
  <c r="AX306" i="13" s="1"/>
  <c r="AX316" i="13" s="1"/>
  <c r="AX292" i="13"/>
  <c r="AX302" i="13" s="1"/>
  <c r="AX312" i="13" s="1"/>
  <c r="AX293" i="13"/>
  <c r="AX303" i="13" s="1"/>
  <c r="AX313" i="13" s="1"/>
  <c r="AX294" i="13"/>
  <c r="AX304" i="13" s="1"/>
  <c r="AX314" i="13" s="1"/>
  <c r="BB121" i="12"/>
  <c r="BA122" i="12"/>
  <c r="BA131" i="12"/>
  <c r="BA135" i="12" s="1"/>
  <c r="BA145" i="12" s="1"/>
  <c r="BA155" i="12" s="1"/>
  <c r="BA162" i="12"/>
  <c r="BC17" i="12"/>
  <c r="BB27" i="12"/>
  <c r="BB31" i="12" s="1"/>
  <c r="BB41" i="12" s="1"/>
  <c r="BB51" i="12" s="1"/>
  <c r="BB18" i="12"/>
  <c r="BB58" i="12"/>
  <c r="J236" i="12"/>
  <c r="J246" i="12" s="1"/>
  <c r="J256" i="12" s="1"/>
  <c r="J245" i="12"/>
  <c r="J255" i="12" s="1"/>
  <c r="J265" i="12" s="1"/>
  <c r="J238" i="12"/>
  <c r="J248" i="12" s="1"/>
  <c r="J258" i="12" s="1"/>
  <c r="J237" i="12"/>
  <c r="J247" i="12" s="1"/>
  <c r="J257" i="12" s="1"/>
  <c r="AY226" i="13"/>
  <c r="AY235" i="13"/>
  <c r="AY237" i="13" s="1"/>
  <c r="AY247" i="13" s="1"/>
  <c r="AY257" i="13" s="1"/>
  <c r="AZ225" i="13"/>
  <c r="AY266" i="13"/>
  <c r="M173" i="13"/>
  <c r="L174" i="13"/>
  <c r="L183" i="13"/>
  <c r="L185" i="13" s="1"/>
  <c r="L195" i="13" s="1"/>
  <c r="L205" i="13" s="1"/>
  <c r="L214" i="13"/>
  <c r="J288" i="13"/>
  <c r="J298" i="13" s="1"/>
  <c r="J308" i="13" s="1"/>
  <c r="J297" i="13"/>
  <c r="J307" i="13" s="1"/>
  <c r="J317" i="13" s="1"/>
  <c r="J291" i="13"/>
  <c r="J301" i="13" s="1"/>
  <c r="J311" i="13" s="1"/>
  <c r="J296" i="13"/>
  <c r="J306" i="13" s="1"/>
  <c r="J316" i="13" s="1"/>
  <c r="J292" i="13"/>
  <c r="J302" i="13" s="1"/>
  <c r="J312" i="13" s="1"/>
  <c r="J293" i="13"/>
  <c r="J303" i="13" s="1"/>
  <c r="J313" i="13" s="1"/>
  <c r="J295" i="13"/>
  <c r="J305" i="13" s="1"/>
  <c r="J315" i="13" s="1"/>
  <c r="J290" i="13"/>
  <c r="J300" i="13" s="1"/>
  <c r="J310" i="13" s="1"/>
  <c r="J294" i="13"/>
  <c r="J304" i="13" s="1"/>
  <c r="J314" i="13" s="1"/>
  <c r="J236" i="13"/>
  <c r="J246" i="13" s="1"/>
  <c r="J256" i="13" s="1"/>
  <c r="J245" i="13"/>
  <c r="J255" i="13" s="1"/>
  <c r="J265" i="13" s="1"/>
  <c r="N121" i="12"/>
  <c r="M131" i="12"/>
  <c r="M135" i="12" s="1"/>
  <c r="M145" i="12" s="1"/>
  <c r="M155" i="12" s="1"/>
  <c r="M122" i="12"/>
  <c r="M162" i="12"/>
  <c r="BA89" i="12"/>
  <c r="BA99" i="12" s="1"/>
  <c r="BA109" i="12" s="1"/>
  <c r="BA80" i="12"/>
  <c r="BA90" i="12" s="1"/>
  <c r="BA100" i="12" s="1"/>
  <c r="BA81" i="12"/>
  <c r="BA91" i="12" s="1"/>
  <c r="BA101" i="12" s="1"/>
  <c r="BA82" i="12"/>
  <c r="BA92" i="12" s="1"/>
  <c r="BA102" i="12" s="1"/>
  <c r="BC69" i="13"/>
  <c r="BB79" i="13"/>
  <c r="BB81" i="13" s="1"/>
  <c r="BB91" i="13" s="1"/>
  <c r="BB101" i="13" s="1"/>
  <c r="BB70" i="13"/>
  <c r="BB110" i="13"/>
  <c r="L32" i="13" l="1"/>
  <c r="L42" i="13" s="1"/>
  <c r="L52" i="13" s="1"/>
  <c r="L30" i="13"/>
  <c r="L40" i="13" s="1"/>
  <c r="L50" i="13" s="1"/>
  <c r="L31" i="13"/>
  <c r="L41" i="13" s="1"/>
  <c r="L51" i="13" s="1"/>
  <c r="L134" i="13"/>
  <c r="L144" i="13" s="1"/>
  <c r="L154" i="13" s="1"/>
  <c r="L139" i="13"/>
  <c r="L149" i="13" s="1"/>
  <c r="L159" i="13" s="1"/>
  <c r="AZ140" i="13"/>
  <c r="AZ150" i="13" s="1"/>
  <c r="AZ160" i="13" s="1"/>
  <c r="AZ138" i="13"/>
  <c r="AZ148" i="13" s="1"/>
  <c r="AZ158" i="13" s="1"/>
  <c r="L136" i="13"/>
  <c r="L146" i="13" s="1"/>
  <c r="L156" i="13" s="1"/>
  <c r="AZ137" i="13"/>
  <c r="AZ147" i="13" s="1"/>
  <c r="AZ157" i="13" s="1"/>
  <c r="L135" i="13"/>
  <c r="L145" i="13" s="1"/>
  <c r="L155" i="13" s="1"/>
  <c r="AZ136" i="13"/>
  <c r="AZ146" i="13" s="1"/>
  <c r="AZ156" i="13" s="1"/>
  <c r="L137" i="13"/>
  <c r="L147" i="13" s="1"/>
  <c r="L157" i="13" s="1"/>
  <c r="AZ135" i="13"/>
  <c r="AZ145" i="13" s="1"/>
  <c r="AZ155" i="13" s="1"/>
  <c r="L140" i="13"/>
  <c r="L150" i="13" s="1"/>
  <c r="L160" i="13" s="1"/>
  <c r="AZ134" i="13"/>
  <c r="AZ144" i="13" s="1"/>
  <c r="AZ154" i="13" s="1"/>
  <c r="L138" i="13"/>
  <c r="L148" i="13" s="1"/>
  <c r="L158" i="13" s="1"/>
  <c r="AZ139" i="13"/>
  <c r="AZ149" i="13" s="1"/>
  <c r="AZ159" i="13" s="1"/>
  <c r="AR216" i="12"/>
  <c r="J290" i="12"/>
  <c r="J300" i="12" s="1"/>
  <c r="J310" i="12" s="1"/>
  <c r="L33" i="13"/>
  <c r="L43" i="13" s="1"/>
  <c r="L53" i="13" s="1"/>
  <c r="L34" i="13"/>
  <c r="L44" i="13" s="1"/>
  <c r="L54" i="13" s="1"/>
  <c r="L35" i="13"/>
  <c r="L45" i="13" s="1"/>
  <c r="L55" i="13" s="1"/>
  <c r="L36" i="13"/>
  <c r="L46" i="13" s="1"/>
  <c r="L56" i="13" s="1"/>
  <c r="N17" i="13"/>
  <c r="N27" i="13" s="1"/>
  <c r="N29" i="13" s="1"/>
  <c r="N39" i="13" s="1"/>
  <c r="N49" i="13" s="1"/>
  <c r="M18" i="13"/>
  <c r="L28" i="13"/>
  <c r="L38" i="13" s="1"/>
  <c r="L48" i="13" s="1"/>
  <c r="M58" i="13"/>
  <c r="L37" i="13"/>
  <c r="L47" i="13" s="1"/>
  <c r="L57" i="13" s="1"/>
  <c r="K59" i="13"/>
  <c r="J62" i="13" s="1"/>
  <c r="H115" i="13"/>
  <c r="M85" i="13"/>
  <c r="M95" i="13" s="1"/>
  <c r="M105" i="13" s="1"/>
  <c r="M86" i="13"/>
  <c r="M96" i="13" s="1"/>
  <c r="M106" i="13" s="1"/>
  <c r="M84" i="13"/>
  <c r="M94" i="13" s="1"/>
  <c r="M104" i="13" s="1"/>
  <c r="M83" i="13"/>
  <c r="M93" i="13" s="1"/>
  <c r="M103" i="13" s="1"/>
  <c r="M88" i="13"/>
  <c r="M98" i="13" s="1"/>
  <c r="M108" i="13" s="1"/>
  <c r="M87" i="13"/>
  <c r="M97" i="13" s="1"/>
  <c r="M107" i="13" s="1"/>
  <c r="L85" i="12"/>
  <c r="L95" i="12" s="1"/>
  <c r="L105" i="12" s="1"/>
  <c r="L86" i="12"/>
  <c r="L96" i="12" s="1"/>
  <c r="L106" i="12" s="1"/>
  <c r="L88" i="12"/>
  <c r="L98" i="12" s="1"/>
  <c r="L108" i="12" s="1"/>
  <c r="L87" i="12"/>
  <c r="L97" i="12" s="1"/>
  <c r="L107" i="12" s="1"/>
  <c r="L80" i="13"/>
  <c r="L90" i="13" s="1"/>
  <c r="L100" i="13" s="1"/>
  <c r="L84" i="13"/>
  <c r="L94" i="13" s="1"/>
  <c r="L104" i="13" s="1"/>
  <c r="L83" i="13"/>
  <c r="L93" i="13" s="1"/>
  <c r="L103" i="13" s="1"/>
  <c r="L85" i="13"/>
  <c r="L95" i="13" s="1"/>
  <c r="L105" i="13" s="1"/>
  <c r="L88" i="13"/>
  <c r="L98" i="13" s="1"/>
  <c r="L108" i="13" s="1"/>
  <c r="L87" i="13"/>
  <c r="L97" i="13" s="1"/>
  <c r="L107" i="13" s="1"/>
  <c r="L86" i="13"/>
  <c r="L96" i="13" s="1"/>
  <c r="L106" i="13" s="1"/>
  <c r="G268" i="13"/>
  <c r="F271" i="13" s="1"/>
  <c r="G320" i="12"/>
  <c r="F323" i="12" s="1"/>
  <c r="BA122" i="13"/>
  <c r="I319" i="12"/>
  <c r="H322" i="12" s="1"/>
  <c r="J289" i="12"/>
  <c r="J299" i="12" s="1"/>
  <c r="J309" i="12" s="1"/>
  <c r="BA162" i="13"/>
  <c r="BB121" i="13"/>
  <c r="BB162" i="13" s="1"/>
  <c r="H270" i="13"/>
  <c r="AZ141" i="13"/>
  <c r="AZ151" i="13" s="1"/>
  <c r="AZ161" i="13" s="1"/>
  <c r="AZ132" i="13"/>
  <c r="AZ142" i="13" s="1"/>
  <c r="AZ152" i="13" s="1"/>
  <c r="AY163" i="13"/>
  <c r="AX164" i="13" s="1"/>
  <c r="AW167" i="13" s="1"/>
  <c r="AY112" i="12"/>
  <c r="J288" i="12"/>
  <c r="J298" i="12" s="1"/>
  <c r="J308" i="12" s="1"/>
  <c r="M82" i="13"/>
  <c r="M92" i="13" s="1"/>
  <c r="M102" i="13" s="1"/>
  <c r="AX112" i="12"/>
  <c r="J294" i="12"/>
  <c r="J304" i="12" s="1"/>
  <c r="J314" i="12" s="1"/>
  <c r="L89" i="13"/>
  <c r="L99" i="13" s="1"/>
  <c r="L109" i="13" s="1"/>
  <c r="K191" i="12"/>
  <c r="K201" i="12" s="1"/>
  <c r="K211" i="12" s="1"/>
  <c r="AW166" i="13"/>
  <c r="J164" i="13"/>
  <c r="I164" i="13"/>
  <c r="H167" i="13" s="1"/>
  <c r="L81" i="13"/>
  <c r="L91" i="13" s="1"/>
  <c r="L101" i="13" s="1"/>
  <c r="L82" i="13"/>
  <c r="L92" i="13" s="1"/>
  <c r="L102" i="13" s="1"/>
  <c r="J293" i="12"/>
  <c r="J303" i="12" s="1"/>
  <c r="J313" i="12" s="1"/>
  <c r="M89" i="13"/>
  <c r="M99" i="13" s="1"/>
  <c r="M109" i="13" s="1"/>
  <c r="J292" i="12"/>
  <c r="J302" i="12" s="1"/>
  <c r="J312" i="12" s="1"/>
  <c r="J297" i="12"/>
  <c r="J307" i="12" s="1"/>
  <c r="J317" i="12" s="1"/>
  <c r="I218" i="13"/>
  <c r="H216" i="13"/>
  <c r="G219" i="13" s="1"/>
  <c r="J291" i="12"/>
  <c r="J301" i="12" s="1"/>
  <c r="J311" i="12" s="1"/>
  <c r="H216" i="12"/>
  <c r="G219" i="12" s="1"/>
  <c r="M80" i="13"/>
  <c r="M90" i="13" s="1"/>
  <c r="M100" i="13" s="1"/>
  <c r="K190" i="12"/>
  <c r="K200" i="12" s="1"/>
  <c r="K210" i="12" s="1"/>
  <c r="K189" i="12"/>
  <c r="K199" i="12" s="1"/>
  <c r="K209" i="12" s="1"/>
  <c r="K192" i="12"/>
  <c r="K202" i="12" s="1"/>
  <c r="K212" i="12" s="1"/>
  <c r="AW112" i="12"/>
  <c r="AV115" i="12" s="1"/>
  <c r="AW114" i="12"/>
  <c r="AX114" i="12"/>
  <c r="K111" i="13"/>
  <c r="J215" i="12"/>
  <c r="I218" i="12" s="1"/>
  <c r="AX60" i="13"/>
  <c r="AW63" i="13" s="1"/>
  <c r="K193" i="12"/>
  <c r="K203" i="12" s="1"/>
  <c r="K213" i="12" s="1"/>
  <c r="K188" i="12"/>
  <c r="K198" i="12" s="1"/>
  <c r="K208" i="12" s="1"/>
  <c r="K185" i="12"/>
  <c r="K195" i="12" s="1"/>
  <c r="K205" i="12" s="1"/>
  <c r="K186" i="12"/>
  <c r="K196" i="12" s="1"/>
  <c r="K206" i="12" s="1"/>
  <c r="K184" i="12"/>
  <c r="K194" i="12" s="1"/>
  <c r="K204" i="12" s="1"/>
  <c r="J295" i="12"/>
  <c r="J305" i="12" s="1"/>
  <c r="J315" i="12" s="1"/>
  <c r="L141" i="13"/>
  <c r="L151" i="13" s="1"/>
  <c r="L161" i="13" s="1"/>
  <c r="L132" i="13"/>
  <c r="L142" i="13" s="1"/>
  <c r="L152" i="13" s="1"/>
  <c r="I114" i="12"/>
  <c r="AV322" i="13"/>
  <c r="K111" i="12"/>
  <c r="J114" i="12" s="1"/>
  <c r="M79" i="12"/>
  <c r="N69" i="12"/>
  <c r="M70" i="12"/>
  <c r="M110" i="12"/>
  <c r="L83" i="12"/>
  <c r="L93" i="12" s="1"/>
  <c r="L103" i="12" s="1"/>
  <c r="L81" i="12"/>
  <c r="L91" i="12" s="1"/>
  <c r="L101" i="12" s="1"/>
  <c r="L80" i="12"/>
  <c r="L90" i="12" s="1"/>
  <c r="L100" i="12" s="1"/>
  <c r="L82" i="12"/>
  <c r="L92" i="12" s="1"/>
  <c r="L102" i="12" s="1"/>
  <c r="L89" i="12"/>
  <c r="L99" i="12" s="1"/>
  <c r="L109" i="12" s="1"/>
  <c r="L84" i="12"/>
  <c r="L94" i="12" s="1"/>
  <c r="L104" i="12" s="1"/>
  <c r="H115" i="12"/>
  <c r="AX190" i="12"/>
  <c r="AX200" i="12" s="1"/>
  <c r="AX210" i="12" s="1"/>
  <c r="AX192" i="12"/>
  <c r="AX202" i="12" s="1"/>
  <c r="AX212" i="12" s="1"/>
  <c r="AX189" i="12"/>
  <c r="AX199" i="12" s="1"/>
  <c r="AX209" i="12" s="1"/>
  <c r="AX191" i="12"/>
  <c r="AX201" i="12" s="1"/>
  <c r="AX211" i="12" s="1"/>
  <c r="AU216" i="12"/>
  <c r="AT219" i="12" s="1"/>
  <c r="AU218" i="12"/>
  <c r="AX187" i="12"/>
  <c r="AX197" i="12" s="1"/>
  <c r="AX207" i="12" s="1"/>
  <c r="AX193" i="12"/>
  <c r="AX203" i="12" s="1"/>
  <c r="AX213" i="12" s="1"/>
  <c r="AX185" i="12"/>
  <c r="AX195" i="12" s="1"/>
  <c r="AX205" i="12" s="1"/>
  <c r="AX184" i="12"/>
  <c r="AX194" i="12" s="1"/>
  <c r="AX204" i="12" s="1"/>
  <c r="AX186" i="12"/>
  <c r="AX196" i="12" s="1"/>
  <c r="AX206" i="12" s="1"/>
  <c r="AW215" i="12"/>
  <c r="AV218" i="12" s="1"/>
  <c r="AY214" i="12"/>
  <c r="AY174" i="12"/>
  <c r="AZ173" i="12"/>
  <c r="AY183" i="12"/>
  <c r="AY188" i="12" s="1"/>
  <c r="AY198" i="12" s="1"/>
  <c r="AY208" i="12" s="1"/>
  <c r="C31" i="8"/>
  <c r="C41" i="8" s="1"/>
  <c r="C51" i="8" s="1"/>
  <c r="C61" i="8" s="1"/>
  <c r="C71" i="8" s="1"/>
  <c r="H36" i="1"/>
  <c r="H320" i="13"/>
  <c r="G323" i="13" s="1"/>
  <c r="AV320" i="12"/>
  <c r="AU323" i="12" s="1"/>
  <c r="J166" i="13"/>
  <c r="AV268" i="12"/>
  <c r="AU271" i="12" s="1"/>
  <c r="AY62" i="12"/>
  <c r="AX319" i="13"/>
  <c r="AW322" i="13" s="1"/>
  <c r="K291" i="12"/>
  <c r="K301" i="12" s="1"/>
  <c r="K311" i="12" s="1"/>
  <c r="K289" i="12"/>
  <c r="K299" i="12" s="1"/>
  <c r="K309" i="12" s="1"/>
  <c r="K290" i="12"/>
  <c r="K300" i="12" s="1"/>
  <c r="K310" i="12" s="1"/>
  <c r="AX319" i="12"/>
  <c r="AW320" i="12" s="1"/>
  <c r="AY291" i="12"/>
  <c r="AY301" i="12" s="1"/>
  <c r="AY311" i="12" s="1"/>
  <c r="AY289" i="12"/>
  <c r="AY299" i="12" s="1"/>
  <c r="AY309" i="12" s="1"/>
  <c r="AY290" i="12"/>
  <c r="AY300" i="12" s="1"/>
  <c r="AY310" i="12" s="1"/>
  <c r="J319" i="13"/>
  <c r="I322" i="13" s="1"/>
  <c r="AY114" i="12"/>
  <c r="M140" i="12"/>
  <c r="M150" i="12" s="1"/>
  <c r="M160" i="12" s="1"/>
  <c r="M139" i="12"/>
  <c r="M149" i="12" s="1"/>
  <c r="M159" i="12" s="1"/>
  <c r="M136" i="12"/>
  <c r="M146" i="12" s="1"/>
  <c r="M156" i="12" s="1"/>
  <c r="M137" i="12"/>
  <c r="M147" i="12" s="1"/>
  <c r="M157" i="12" s="1"/>
  <c r="M138" i="12"/>
  <c r="M148" i="12" s="1"/>
  <c r="M158" i="12" s="1"/>
  <c r="AY240" i="13"/>
  <c r="AY250" i="13" s="1"/>
  <c r="AY260" i="13" s="1"/>
  <c r="AY242" i="13"/>
  <c r="AY252" i="13" s="1"/>
  <c r="AY262" i="13" s="1"/>
  <c r="AY244" i="13"/>
  <c r="AY254" i="13" s="1"/>
  <c r="AY264" i="13" s="1"/>
  <c r="AY238" i="13"/>
  <c r="AY248" i="13" s="1"/>
  <c r="AY258" i="13" s="1"/>
  <c r="AY241" i="13"/>
  <c r="AY251" i="13" s="1"/>
  <c r="AY261" i="13" s="1"/>
  <c r="AY243" i="13"/>
  <c r="AY253" i="13" s="1"/>
  <c r="AY263" i="13" s="1"/>
  <c r="AY239" i="13"/>
  <c r="AY249" i="13" s="1"/>
  <c r="AY259" i="13" s="1"/>
  <c r="N33" i="12"/>
  <c r="N43" i="12" s="1"/>
  <c r="N53" i="12" s="1"/>
  <c r="N36" i="12"/>
  <c r="N46" i="12" s="1"/>
  <c r="N56" i="12" s="1"/>
  <c r="N32" i="12"/>
  <c r="N42" i="12" s="1"/>
  <c r="N52" i="12" s="1"/>
  <c r="N34" i="12"/>
  <c r="N44" i="12" s="1"/>
  <c r="N54" i="12" s="1"/>
  <c r="N35" i="12"/>
  <c r="N45" i="12" s="1"/>
  <c r="N55" i="12" s="1"/>
  <c r="M31" i="13"/>
  <c r="M41" i="13" s="1"/>
  <c r="M51" i="13" s="1"/>
  <c r="M33" i="13"/>
  <c r="M43" i="13" s="1"/>
  <c r="M53" i="13" s="1"/>
  <c r="M36" i="13"/>
  <c r="M46" i="13" s="1"/>
  <c r="M56" i="13" s="1"/>
  <c r="M32" i="13"/>
  <c r="M42" i="13" s="1"/>
  <c r="M52" i="13" s="1"/>
  <c r="M30" i="13"/>
  <c r="M40" i="13" s="1"/>
  <c r="M50" i="13" s="1"/>
  <c r="M35" i="13"/>
  <c r="M45" i="13" s="1"/>
  <c r="M55" i="13" s="1"/>
  <c r="M34" i="13"/>
  <c r="M44" i="13" s="1"/>
  <c r="M54" i="13" s="1"/>
  <c r="BA140" i="13"/>
  <c r="BA150" i="13" s="1"/>
  <c r="BA160" i="13" s="1"/>
  <c r="BA138" i="13"/>
  <c r="BA148" i="13" s="1"/>
  <c r="BA158" i="13" s="1"/>
  <c r="BA139" i="13"/>
  <c r="BA149" i="13" s="1"/>
  <c r="BA159" i="13" s="1"/>
  <c r="BA137" i="13"/>
  <c r="BA147" i="13" s="1"/>
  <c r="BA157" i="13" s="1"/>
  <c r="BA136" i="13"/>
  <c r="BA146" i="13" s="1"/>
  <c r="BA156" i="13" s="1"/>
  <c r="BA135" i="13"/>
  <c r="BA145" i="13" s="1"/>
  <c r="BA155" i="13" s="1"/>
  <c r="BA134" i="13"/>
  <c r="BA144" i="13" s="1"/>
  <c r="BA154" i="13" s="1"/>
  <c r="AZ190" i="13"/>
  <c r="AZ200" i="13" s="1"/>
  <c r="AZ210" i="13" s="1"/>
  <c r="AZ192" i="13"/>
  <c r="AZ202" i="13" s="1"/>
  <c r="AZ212" i="13" s="1"/>
  <c r="AZ189" i="13"/>
  <c r="AZ199" i="13" s="1"/>
  <c r="AZ209" i="13" s="1"/>
  <c r="AZ186" i="13"/>
  <c r="AZ196" i="13" s="1"/>
  <c r="AZ206" i="13" s="1"/>
  <c r="AZ191" i="13"/>
  <c r="AZ201" i="13" s="1"/>
  <c r="AZ211" i="13" s="1"/>
  <c r="AZ187" i="13"/>
  <c r="AZ197" i="13" s="1"/>
  <c r="AZ207" i="13" s="1"/>
  <c r="AZ188" i="13"/>
  <c r="AZ198" i="13" s="1"/>
  <c r="AZ208" i="13" s="1"/>
  <c r="BA36" i="13"/>
  <c r="BA46" i="13" s="1"/>
  <c r="BA56" i="13" s="1"/>
  <c r="BA33" i="13"/>
  <c r="BA43" i="13" s="1"/>
  <c r="BA53" i="13" s="1"/>
  <c r="BA31" i="13"/>
  <c r="BA41" i="13" s="1"/>
  <c r="BA51" i="13" s="1"/>
  <c r="BA34" i="13"/>
  <c r="BA44" i="13" s="1"/>
  <c r="BA54" i="13" s="1"/>
  <c r="BA32" i="13"/>
  <c r="BA42" i="13" s="1"/>
  <c r="BA52" i="13" s="1"/>
  <c r="BA30" i="13"/>
  <c r="BA40" i="13" s="1"/>
  <c r="BA50" i="13" s="1"/>
  <c r="BA35" i="13"/>
  <c r="BA45" i="13" s="1"/>
  <c r="BA55" i="13" s="1"/>
  <c r="BB36" i="12"/>
  <c r="BB46" i="12" s="1"/>
  <c r="BB56" i="12" s="1"/>
  <c r="BB32" i="12"/>
  <c r="BB42" i="12" s="1"/>
  <c r="BB52" i="12" s="1"/>
  <c r="BB33" i="12"/>
  <c r="BB43" i="12" s="1"/>
  <c r="BB53" i="12" s="1"/>
  <c r="BB34" i="12"/>
  <c r="BB44" i="12" s="1"/>
  <c r="BB54" i="12" s="1"/>
  <c r="BB35" i="12"/>
  <c r="BB45" i="12" s="1"/>
  <c r="BB55" i="12" s="1"/>
  <c r="BB84" i="12"/>
  <c r="BB94" i="12" s="1"/>
  <c r="BB104" i="12" s="1"/>
  <c r="BB87" i="12"/>
  <c r="BB97" i="12" s="1"/>
  <c r="BB107" i="12" s="1"/>
  <c r="BB85" i="12"/>
  <c r="BB95" i="12" s="1"/>
  <c r="BB105" i="12" s="1"/>
  <c r="BB86" i="12"/>
  <c r="BB96" i="12" s="1"/>
  <c r="BB106" i="12" s="1"/>
  <c r="BB88" i="12"/>
  <c r="BB98" i="12" s="1"/>
  <c r="BB108" i="12" s="1"/>
  <c r="N83" i="13"/>
  <c r="N93" i="13" s="1"/>
  <c r="N103" i="13" s="1"/>
  <c r="N85" i="13"/>
  <c r="N95" i="13" s="1"/>
  <c r="N105" i="13" s="1"/>
  <c r="N84" i="13"/>
  <c r="N94" i="13" s="1"/>
  <c r="N104" i="13" s="1"/>
  <c r="N87" i="13"/>
  <c r="N97" i="13" s="1"/>
  <c r="N107" i="13" s="1"/>
  <c r="N86" i="13"/>
  <c r="N96" i="13" s="1"/>
  <c r="N106" i="13" s="1"/>
  <c r="N82" i="13"/>
  <c r="N92" i="13" s="1"/>
  <c r="N102" i="13" s="1"/>
  <c r="N88" i="13"/>
  <c r="N98" i="13" s="1"/>
  <c r="N108" i="13" s="1"/>
  <c r="M140" i="13"/>
  <c r="M150" i="13" s="1"/>
  <c r="M160" i="13" s="1"/>
  <c r="M139" i="13"/>
  <c r="M149" i="13" s="1"/>
  <c r="M159" i="13" s="1"/>
  <c r="M137" i="13"/>
  <c r="M147" i="13" s="1"/>
  <c r="M157" i="13" s="1"/>
  <c r="M138" i="13"/>
  <c r="M148" i="13" s="1"/>
  <c r="M158" i="13" s="1"/>
  <c r="M134" i="13"/>
  <c r="M144" i="13" s="1"/>
  <c r="M154" i="13" s="1"/>
  <c r="M135" i="13"/>
  <c r="M145" i="13" s="1"/>
  <c r="M155" i="13" s="1"/>
  <c r="M136" i="13"/>
  <c r="M146" i="13" s="1"/>
  <c r="M156" i="13" s="1"/>
  <c r="AY242" i="12"/>
  <c r="AY252" i="12" s="1"/>
  <c r="AY262" i="12" s="1"/>
  <c r="AY243" i="12"/>
  <c r="AY253" i="12" s="1"/>
  <c r="AY263" i="12" s="1"/>
  <c r="AY244" i="12"/>
  <c r="AY254" i="12" s="1"/>
  <c r="AY264" i="12" s="1"/>
  <c r="AY241" i="12"/>
  <c r="AY251" i="12" s="1"/>
  <c r="AY261" i="12" s="1"/>
  <c r="AY240" i="12"/>
  <c r="AY250" i="12" s="1"/>
  <c r="AY260" i="12" s="1"/>
  <c r="BB84" i="13"/>
  <c r="BB94" i="13" s="1"/>
  <c r="BB104" i="13" s="1"/>
  <c r="BB87" i="13"/>
  <c r="BB97" i="13" s="1"/>
  <c r="BB107" i="13" s="1"/>
  <c r="BB85" i="13"/>
  <c r="BB95" i="13" s="1"/>
  <c r="BB105" i="13" s="1"/>
  <c r="BB83" i="13"/>
  <c r="BB93" i="13" s="1"/>
  <c r="BB103" i="13" s="1"/>
  <c r="BB88" i="13"/>
  <c r="BB98" i="13" s="1"/>
  <c r="BB108" i="13" s="1"/>
  <c r="BB82" i="13"/>
  <c r="BB92" i="13" s="1"/>
  <c r="BB102" i="13" s="1"/>
  <c r="BB86" i="13"/>
  <c r="BB96" i="13" s="1"/>
  <c r="BB106" i="13" s="1"/>
  <c r="L192" i="13"/>
  <c r="L202" i="13" s="1"/>
  <c r="L212" i="13" s="1"/>
  <c r="L186" i="13"/>
  <c r="L196" i="13" s="1"/>
  <c r="L206" i="13" s="1"/>
  <c r="L187" i="13"/>
  <c r="L197" i="13" s="1"/>
  <c r="L207" i="13" s="1"/>
  <c r="L190" i="13"/>
  <c r="L200" i="13" s="1"/>
  <c r="L210" i="13" s="1"/>
  <c r="L189" i="13"/>
  <c r="L199" i="13" s="1"/>
  <c r="L209" i="13" s="1"/>
  <c r="L191" i="13"/>
  <c r="L201" i="13" s="1"/>
  <c r="L211" i="13" s="1"/>
  <c r="L188" i="13"/>
  <c r="L198" i="13" s="1"/>
  <c r="L208" i="13" s="1"/>
  <c r="BA139" i="12"/>
  <c r="BA149" i="12" s="1"/>
  <c r="BA159" i="12" s="1"/>
  <c r="BA136" i="12"/>
  <c r="BA146" i="12" s="1"/>
  <c r="BA156" i="12" s="1"/>
  <c r="BA140" i="12"/>
  <c r="BA150" i="12" s="1"/>
  <c r="BA160" i="12" s="1"/>
  <c r="BA137" i="12"/>
  <c r="BA147" i="12" s="1"/>
  <c r="BA157" i="12" s="1"/>
  <c r="BA138" i="12"/>
  <c r="BA148" i="12" s="1"/>
  <c r="BA158" i="12" s="1"/>
  <c r="L192" i="12"/>
  <c r="L202" i="12" s="1"/>
  <c r="L212" i="12" s="1"/>
  <c r="L188" i="12"/>
  <c r="L198" i="12" s="1"/>
  <c r="L208" i="12" s="1"/>
  <c r="L191" i="12"/>
  <c r="L201" i="12" s="1"/>
  <c r="L211" i="12" s="1"/>
  <c r="L190" i="12"/>
  <c r="L200" i="12" s="1"/>
  <c r="L210" i="12" s="1"/>
  <c r="L189" i="12"/>
  <c r="L199" i="12" s="1"/>
  <c r="L209" i="12" s="1"/>
  <c r="K240" i="13"/>
  <c r="K250" i="13" s="1"/>
  <c r="K260" i="13" s="1"/>
  <c r="K241" i="13"/>
  <c r="K251" i="13" s="1"/>
  <c r="K261" i="13" s="1"/>
  <c r="K238" i="13"/>
  <c r="K248" i="13" s="1"/>
  <c r="K258" i="13" s="1"/>
  <c r="K244" i="13"/>
  <c r="K254" i="13" s="1"/>
  <c r="K264" i="13" s="1"/>
  <c r="K243" i="13"/>
  <c r="K253" i="13" s="1"/>
  <c r="K263" i="13" s="1"/>
  <c r="K242" i="13"/>
  <c r="K252" i="13" s="1"/>
  <c r="K262" i="13" s="1"/>
  <c r="K239" i="13"/>
  <c r="K249" i="13" s="1"/>
  <c r="K259" i="13" s="1"/>
  <c r="K243" i="12"/>
  <c r="K253" i="12" s="1"/>
  <c r="K263" i="12" s="1"/>
  <c r="K244" i="12"/>
  <c r="K254" i="12" s="1"/>
  <c r="K264" i="12" s="1"/>
  <c r="K242" i="12"/>
  <c r="K252" i="12" s="1"/>
  <c r="K262" i="12" s="1"/>
  <c r="K241" i="12"/>
  <c r="K251" i="12" s="1"/>
  <c r="K261" i="12" s="1"/>
  <c r="K240" i="12"/>
  <c r="K250" i="12" s="1"/>
  <c r="K260" i="12" s="1"/>
  <c r="K60" i="12"/>
  <c r="J63" i="12" s="1"/>
  <c r="I216" i="13"/>
  <c r="J164" i="12"/>
  <c r="I167" i="12" s="1"/>
  <c r="H268" i="13"/>
  <c r="AU271" i="13"/>
  <c r="AV270" i="13"/>
  <c r="AW218" i="13"/>
  <c r="AX164" i="12"/>
  <c r="AW167" i="12" s="1"/>
  <c r="K215" i="13"/>
  <c r="J216" i="13" s="1"/>
  <c r="AX267" i="13"/>
  <c r="AW268" i="13" s="1"/>
  <c r="AV271" i="13" s="1"/>
  <c r="AY114" i="13"/>
  <c r="H268" i="12"/>
  <c r="G271" i="12" s="1"/>
  <c r="J267" i="13"/>
  <c r="I270" i="13" s="1"/>
  <c r="J267" i="12"/>
  <c r="I270" i="12" s="1"/>
  <c r="AY215" i="13"/>
  <c r="AX218" i="13" s="1"/>
  <c r="BA59" i="12"/>
  <c r="AZ62" i="12" s="1"/>
  <c r="M59" i="12"/>
  <c r="L62" i="12" s="1"/>
  <c r="L163" i="12"/>
  <c r="K164" i="12" s="1"/>
  <c r="AZ59" i="13"/>
  <c r="AY62" i="13" s="1"/>
  <c r="AX267" i="12"/>
  <c r="AW268" i="12" s="1"/>
  <c r="AZ163" i="12"/>
  <c r="AY164" i="12" s="1"/>
  <c r="BA111" i="12"/>
  <c r="AZ114" i="12" s="1"/>
  <c r="BA111" i="13"/>
  <c r="AZ114" i="13" s="1"/>
  <c r="BB89" i="13"/>
  <c r="BB99" i="13" s="1"/>
  <c r="BB109" i="13" s="1"/>
  <c r="BB80" i="13"/>
  <c r="BB90" i="13" s="1"/>
  <c r="BB100" i="13" s="1"/>
  <c r="O121" i="12"/>
  <c r="N131" i="12"/>
  <c r="N135" i="12" s="1"/>
  <c r="N145" i="12" s="1"/>
  <c r="N155" i="12" s="1"/>
  <c r="N122" i="12"/>
  <c r="N162" i="12"/>
  <c r="N173" i="13"/>
  <c r="M183" i="13"/>
  <c r="M185" i="13" s="1"/>
  <c r="M195" i="13" s="1"/>
  <c r="M205" i="13" s="1"/>
  <c r="M174" i="13"/>
  <c r="M214" i="13"/>
  <c r="BB89" i="12"/>
  <c r="BB99" i="12" s="1"/>
  <c r="BB109" i="12" s="1"/>
  <c r="BB80" i="12"/>
  <c r="BB90" i="12" s="1"/>
  <c r="BB100" i="12" s="1"/>
  <c r="BB81" i="12"/>
  <c r="BB91" i="12" s="1"/>
  <c r="BB101" i="12" s="1"/>
  <c r="BB82" i="12"/>
  <c r="BB92" i="12" s="1"/>
  <c r="BB102" i="12" s="1"/>
  <c r="P17" i="12"/>
  <c r="O27" i="12"/>
  <c r="O31" i="12" s="1"/>
  <c r="O41" i="12" s="1"/>
  <c r="O51" i="12" s="1"/>
  <c r="O18" i="12"/>
  <c r="O58" i="12"/>
  <c r="M28" i="13"/>
  <c r="M38" i="13" s="1"/>
  <c r="M48" i="13" s="1"/>
  <c r="M37" i="13"/>
  <c r="M47" i="13" s="1"/>
  <c r="M57" i="13" s="1"/>
  <c r="K236" i="13"/>
  <c r="K246" i="13" s="1"/>
  <c r="K256" i="13" s="1"/>
  <c r="K245" i="13"/>
  <c r="K255" i="13" s="1"/>
  <c r="K265" i="13" s="1"/>
  <c r="K236" i="12"/>
  <c r="K246" i="12" s="1"/>
  <c r="K256" i="12" s="1"/>
  <c r="K245" i="12"/>
  <c r="K255" i="12" s="1"/>
  <c r="K265" i="12" s="1"/>
  <c r="K238" i="12"/>
  <c r="K248" i="12" s="1"/>
  <c r="K258" i="12" s="1"/>
  <c r="K237" i="12"/>
  <c r="K247" i="12" s="1"/>
  <c r="K257" i="12" s="1"/>
  <c r="AY288" i="13"/>
  <c r="AY298" i="13" s="1"/>
  <c r="AY308" i="13" s="1"/>
  <c r="AY297" i="13"/>
  <c r="AY307" i="13" s="1"/>
  <c r="AY317" i="13" s="1"/>
  <c r="AY290" i="13"/>
  <c r="AY300" i="13" s="1"/>
  <c r="AY310" i="13" s="1"/>
  <c r="AY292" i="13"/>
  <c r="AY302" i="13" s="1"/>
  <c r="AY312" i="13" s="1"/>
  <c r="AY295" i="13"/>
  <c r="AY305" i="13" s="1"/>
  <c r="AY315" i="13" s="1"/>
  <c r="AY294" i="13"/>
  <c r="AY304" i="13" s="1"/>
  <c r="AY314" i="13" s="1"/>
  <c r="AY293" i="13"/>
  <c r="AY303" i="13" s="1"/>
  <c r="AY313" i="13" s="1"/>
  <c r="AY291" i="13"/>
  <c r="AY301" i="13" s="1"/>
  <c r="AY311" i="13" s="1"/>
  <c r="AY296" i="13"/>
  <c r="AY306" i="13" s="1"/>
  <c r="AY316" i="13" s="1"/>
  <c r="BC121" i="12"/>
  <c r="BB131" i="12"/>
  <c r="BB135" i="12" s="1"/>
  <c r="BB145" i="12" s="1"/>
  <c r="BB155" i="12" s="1"/>
  <c r="BB122" i="12"/>
  <c r="BB162" i="12"/>
  <c r="L193" i="12"/>
  <c r="L203" i="12" s="1"/>
  <c r="L213" i="12" s="1"/>
  <c r="L184" i="12"/>
  <c r="L194" i="12" s="1"/>
  <c r="L204" i="12" s="1"/>
  <c r="L185" i="12"/>
  <c r="L195" i="12" s="1"/>
  <c r="L205" i="12" s="1"/>
  <c r="L186" i="12"/>
  <c r="L196" i="12" s="1"/>
  <c r="L206" i="12" s="1"/>
  <c r="K288" i="12"/>
  <c r="K298" i="12" s="1"/>
  <c r="K308" i="12" s="1"/>
  <c r="K297" i="12"/>
  <c r="K307" i="12" s="1"/>
  <c r="K317" i="12" s="1"/>
  <c r="K292" i="12"/>
  <c r="K302" i="12" s="1"/>
  <c r="K312" i="12" s="1"/>
  <c r="K295" i="12"/>
  <c r="K305" i="12" s="1"/>
  <c r="K315" i="12" s="1"/>
  <c r="K296" i="12"/>
  <c r="K306" i="12" s="1"/>
  <c r="K316" i="12" s="1"/>
  <c r="K293" i="12"/>
  <c r="K303" i="12" s="1"/>
  <c r="K313" i="12" s="1"/>
  <c r="K294" i="12"/>
  <c r="K304" i="12" s="1"/>
  <c r="K314" i="12" s="1"/>
  <c r="AZ278" i="12"/>
  <c r="AZ287" i="12"/>
  <c r="BA277" i="12"/>
  <c r="AZ318" i="12"/>
  <c r="P69" i="13"/>
  <c r="O70" i="13"/>
  <c r="O79" i="13"/>
  <c r="O81" i="13" s="1"/>
  <c r="O91" i="13" s="1"/>
  <c r="O101" i="13" s="1"/>
  <c r="O110" i="13"/>
  <c r="M225" i="13"/>
  <c r="L235" i="13"/>
  <c r="L237" i="13" s="1"/>
  <c r="L247" i="13" s="1"/>
  <c r="L257" i="13" s="1"/>
  <c r="L226" i="13"/>
  <c r="L266" i="13"/>
  <c r="O121" i="13"/>
  <c r="N122" i="13"/>
  <c r="N131" i="13"/>
  <c r="N133" i="13" s="1"/>
  <c r="N143" i="13" s="1"/>
  <c r="N153" i="13" s="1"/>
  <c r="N162" i="13"/>
  <c r="K288" i="13"/>
  <c r="K298" i="13" s="1"/>
  <c r="K308" i="13" s="1"/>
  <c r="K297" i="13"/>
  <c r="K307" i="13" s="1"/>
  <c r="K317" i="13" s="1"/>
  <c r="K293" i="13"/>
  <c r="K303" i="13" s="1"/>
  <c r="K313" i="13" s="1"/>
  <c r="K295" i="13"/>
  <c r="K305" i="13" s="1"/>
  <c r="K315" i="13" s="1"/>
  <c r="K294" i="13"/>
  <c r="K304" i="13" s="1"/>
  <c r="K314" i="13" s="1"/>
  <c r="K296" i="13"/>
  <c r="K306" i="13" s="1"/>
  <c r="K316" i="13" s="1"/>
  <c r="K290" i="13"/>
  <c r="K300" i="13" s="1"/>
  <c r="K310" i="13" s="1"/>
  <c r="K292" i="13"/>
  <c r="K302" i="13" s="1"/>
  <c r="K312" i="13" s="1"/>
  <c r="K291" i="13"/>
  <c r="K301" i="13" s="1"/>
  <c r="K311" i="13" s="1"/>
  <c r="BA132" i="13"/>
  <c r="BA142" i="13" s="1"/>
  <c r="BA152" i="13" s="1"/>
  <c r="BA141" i="13"/>
  <c r="BA151" i="13" s="1"/>
  <c r="BA161" i="13" s="1"/>
  <c r="M225" i="12"/>
  <c r="L235" i="12"/>
  <c r="L239" i="12" s="1"/>
  <c r="L249" i="12" s="1"/>
  <c r="L259" i="12" s="1"/>
  <c r="L226" i="12"/>
  <c r="L266" i="12"/>
  <c r="BA225" i="12"/>
  <c r="AZ226" i="12"/>
  <c r="AZ235" i="12"/>
  <c r="AZ239" i="12" s="1"/>
  <c r="AZ249" i="12" s="1"/>
  <c r="AZ259" i="12" s="1"/>
  <c r="AZ266" i="12"/>
  <c r="L193" i="13"/>
  <c r="L203" i="13" s="1"/>
  <c r="L213" i="13" s="1"/>
  <c r="L184" i="13"/>
  <c r="L194" i="13" s="1"/>
  <c r="L204" i="13" s="1"/>
  <c r="BA225" i="13"/>
  <c r="AZ226" i="13"/>
  <c r="AZ235" i="13"/>
  <c r="AZ237" i="13" s="1"/>
  <c r="AZ247" i="13" s="1"/>
  <c r="AZ257" i="13" s="1"/>
  <c r="AZ266" i="13"/>
  <c r="BB28" i="12"/>
  <c r="BB38" i="12" s="1"/>
  <c r="BB48" i="12" s="1"/>
  <c r="BB37" i="12"/>
  <c r="BB47" i="12" s="1"/>
  <c r="BB57" i="12" s="1"/>
  <c r="BB29" i="12"/>
  <c r="BB39" i="12" s="1"/>
  <c r="BB49" i="12" s="1"/>
  <c r="BB30" i="12"/>
  <c r="BB40" i="12" s="1"/>
  <c r="BB50" i="12" s="1"/>
  <c r="N173" i="12"/>
  <c r="M183" i="12"/>
  <c r="M187" i="12" s="1"/>
  <c r="M197" i="12" s="1"/>
  <c r="M207" i="12" s="1"/>
  <c r="M174" i="12"/>
  <c r="M214" i="12"/>
  <c r="M277" i="12"/>
  <c r="L287" i="12"/>
  <c r="L278" i="12"/>
  <c r="L318" i="12"/>
  <c r="BA174" i="13"/>
  <c r="BB173" i="13"/>
  <c r="BA183" i="13"/>
  <c r="BA185" i="13" s="1"/>
  <c r="BA195" i="13" s="1"/>
  <c r="BA205" i="13" s="1"/>
  <c r="BA214" i="13"/>
  <c r="BA28" i="13"/>
  <c r="BA38" i="13" s="1"/>
  <c r="BA48" i="13" s="1"/>
  <c r="BA37" i="13"/>
  <c r="BA47" i="13" s="1"/>
  <c r="BA57" i="13" s="1"/>
  <c r="BD69" i="13"/>
  <c r="BC70" i="13"/>
  <c r="BC79" i="13"/>
  <c r="BC81" i="13" s="1"/>
  <c r="BC91" i="13" s="1"/>
  <c r="BC101" i="13" s="1"/>
  <c r="BC110" i="13"/>
  <c r="M141" i="12"/>
  <c r="M151" i="12" s="1"/>
  <c r="M161" i="12" s="1"/>
  <c r="M132" i="12"/>
  <c r="M142" i="12" s="1"/>
  <c r="M152" i="12" s="1"/>
  <c r="M134" i="12"/>
  <c r="M144" i="12" s="1"/>
  <c r="M154" i="12" s="1"/>
  <c r="M133" i="12"/>
  <c r="M143" i="12" s="1"/>
  <c r="M153" i="12" s="1"/>
  <c r="AY245" i="13"/>
  <c r="AY255" i="13" s="1"/>
  <c r="AY265" i="13" s="1"/>
  <c r="AY236" i="13"/>
  <c r="AY246" i="13" s="1"/>
  <c r="AY256" i="13" s="1"/>
  <c r="BD17" i="12"/>
  <c r="BC27" i="12"/>
  <c r="BC31" i="12" s="1"/>
  <c r="BC41" i="12" s="1"/>
  <c r="BC51" i="12" s="1"/>
  <c r="BC18" i="12"/>
  <c r="BC58" i="12"/>
  <c r="BA132" i="12"/>
  <c r="BA142" i="12" s="1"/>
  <c r="BA152" i="12" s="1"/>
  <c r="BA141" i="12"/>
  <c r="BA151" i="12" s="1"/>
  <c r="BA161" i="12" s="1"/>
  <c r="BA133" i="12"/>
  <c r="BA143" i="12" s="1"/>
  <c r="BA153" i="12" s="1"/>
  <c r="BA134" i="12"/>
  <c r="BA144" i="12" s="1"/>
  <c r="BA154" i="12" s="1"/>
  <c r="BD69" i="12"/>
  <c r="BC79" i="12"/>
  <c r="BC83" i="12" s="1"/>
  <c r="BC93" i="12" s="1"/>
  <c r="BC103" i="12" s="1"/>
  <c r="BC70" i="12"/>
  <c r="BC110" i="12"/>
  <c r="N37" i="12"/>
  <c r="N47" i="12" s="1"/>
  <c r="N57" i="12" s="1"/>
  <c r="N28" i="12"/>
  <c r="N38" i="12" s="1"/>
  <c r="N48" i="12" s="1"/>
  <c r="N30" i="12"/>
  <c r="N40" i="12" s="1"/>
  <c r="N50" i="12" s="1"/>
  <c r="N29" i="12"/>
  <c r="N39" i="12" s="1"/>
  <c r="N49" i="12" s="1"/>
  <c r="AY288" i="12"/>
  <c r="AY298" i="12" s="1"/>
  <c r="AY308" i="12" s="1"/>
  <c r="AY297" i="12"/>
  <c r="AY307" i="12" s="1"/>
  <c r="AY317" i="12" s="1"/>
  <c r="AY295" i="12"/>
  <c r="AY305" i="12" s="1"/>
  <c r="AY315" i="12" s="1"/>
  <c r="AY294" i="12"/>
  <c r="AY304" i="12" s="1"/>
  <c r="AY314" i="12" s="1"/>
  <c r="AY296" i="12"/>
  <c r="AY306" i="12" s="1"/>
  <c r="AY316" i="12" s="1"/>
  <c r="AY293" i="12"/>
  <c r="AY303" i="12" s="1"/>
  <c r="AY313" i="12" s="1"/>
  <c r="AY292" i="12"/>
  <c r="AY302" i="12" s="1"/>
  <c r="AY312" i="12" s="1"/>
  <c r="N89" i="13"/>
  <c r="N99" i="13" s="1"/>
  <c r="N109" i="13" s="1"/>
  <c r="N80" i="13"/>
  <c r="N90" i="13" s="1"/>
  <c r="N100" i="13" s="1"/>
  <c r="M132" i="13"/>
  <c r="M142" i="13" s="1"/>
  <c r="M152" i="13" s="1"/>
  <c r="M141" i="13"/>
  <c r="M151" i="13" s="1"/>
  <c r="M161" i="13" s="1"/>
  <c r="AZ184" i="13"/>
  <c r="AZ194" i="13" s="1"/>
  <c r="AZ204" i="13" s="1"/>
  <c r="AZ193" i="13"/>
  <c r="AZ203" i="13" s="1"/>
  <c r="AZ213" i="13" s="1"/>
  <c r="M277" i="13"/>
  <c r="L287" i="13"/>
  <c r="L289" i="13" s="1"/>
  <c r="L299" i="13" s="1"/>
  <c r="L309" i="13" s="1"/>
  <c r="L278" i="13"/>
  <c r="L318" i="13"/>
  <c r="BC17" i="13"/>
  <c r="BB18" i="13"/>
  <c r="BB27" i="13"/>
  <c r="BB29" i="13" s="1"/>
  <c r="BB39" i="13" s="1"/>
  <c r="BB49" i="13" s="1"/>
  <c r="BB58" i="13"/>
  <c r="AY245" i="12"/>
  <c r="AY255" i="12" s="1"/>
  <c r="AY265" i="12" s="1"/>
  <c r="AY236" i="12"/>
  <c r="AY246" i="12" s="1"/>
  <c r="AY256" i="12" s="1"/>
  <c r="AY238" i="12"/>
  <c r="AY248" i="12" s="1"/>
  <c r="AY258" i="12" s="1"/>
  <c r="AY237" i="12"/>
  <c r="AY247" i="12" s="1"/>
  <c r="AY257" i="12" s="1"/>
  <c r="BA277" i="13"/>
  <c r="AZ278" i="13"/>
  <c r="AZ287" i="13"/>
  <c r="AZ289" i="13" s="1"/>
  <c r="AZ299" i="13" s="1"/>
  <c r="AZ309" i="13" s="1"/>
  <c r="AZ318" i="13"/>
  <c r="AR219" i="12" l="1"/>
  <c r="U8" i="12"/>
  <c r="Z7" i="12" s="1"/>
  <c r="O17" i="13"/>
  <c r="N58" i="13"/>
  <c r="N18" i="13"/>
  <c r="L59" i="13"/>
  <c r="K60" i="13" s="1"/>
  <c r="J60" i="13"/>
  <c r="I63" i="13" s="1"/>
  <c r="G271" i="13"/>
  <c r="M87" i="12"/>
  <c r="M97" i="12" s="1"/>
  <c r="M107" i="12" s="1"/>
  <c r="M85" i="12"/>
  <c r="M95" i="12" s="1"/>
  <c r="M105" i="12" s="1"/>
  <c r="M86" i="12"/>
  <c r="M96" i="12" s="1"/>
  <c r="M106" i="12" s="1"/>
  <c r="M88" i="12"/>
  <c r="M98" i="12" s="1"/>
  <c r="M108" i="12" s="1"/>
  <c r="H320" i="12"/>
  <c r="G323" i="12" s="1"/>
  <c r="BB131" i="13"/>
  <c r="BB133" i="13" s="1"/>
  <c r="BB143" i="13" s="1"/>
  <c r="BB153" i="13" s="1"/>
  <c r="J319" i="12"/>
  <c r="I320" i="12" s="1"/>
  <c r="BB122" i="13"/>
  <c r="BC121" i="13"/>
  <c r="BC122" i="13" s="1"/>
  <c r="AX166" i="13"/>
  <c r="AZ163" i="13"/>
  <c r="AY166" i="13" s="1"/>
  <c r="AX115" i="12"/>
  <c r="L111" i="13"/>
  <c r="K112" i="13" s="1"/>
  <c r="M111" i="13"/>
  <c r="I167" i="13"/>
  <c r="H219" i="13"/>
  <c r="AW115" i="12"/>
  <c r="L163" i="13"/>
  <c r="K164" i="13" s="1"/>
  <c r="J167" i="13" s="1"/>
  <c r="I216" i="12"/>
  <c r="H219" i="12" s="1"/>
  <c r="J114" i="13"/>
  <c r="J112" i="13"/>
  <c r="I115" i="13" s="1"/>
  <c r="K215" i="12"/>
  <c r="J218" i="12" s="1"/>
  <c r="J112" i="12"/>
  <c r="I115" i="12" s="1"/>
  <c r="N110" i="12"/>
  <c r="O69" i="12"/>
  <c r="N79" i="12"/>
  <c r="N70" i="12"/>
  <c r="L111" i="12"/>
  <c r="M83" i="12"/>
  <c r="M93" i="12" s="1"/>
  <c r="M103" i="12" s="1"/>
  <c r="M80" i="12"/>
  <c r="M90" i="12" s="1"/>
  <c r="M100" i="12" s="1"/>
  <c r="M82" i="12"/>
  <c r="M92" i="12" s="1"/>
  <c r="M102" i="12" s="1"/>
  <c r="M84" i="12"/>
  <c r="M94" i="12" s="1"/>
  <c r="M104" i="12" s="1"/>
  <c r="M81" i="12"/>
  <c r="M91" i="12" s="1"/>
  <c r="M101" i="12" s="1"/>
  <c r="M89" i="12"/>
  <c r="M99" i="12" s="1"/>
  <c r="M109" i="12" s="1"/>
  <c r="AY192" i="12"/>
  <c r="AY202" i="12" s="1"/>
  <c r="AY212" i="12" s="1"/>
  <c r="AY191" i="12"/>
  <c r="AY201" i="12" s="1"/>
  <c r="AY211" i="12" s="1"/>
  <c r="AY189" i="12"/>
  <c r="AY199" i="12" s="1"/>
  <c r="AY209" i="12" s="1"/>
  <c r="AY190" i="12"/>
  <c r="AY200" i="12" s="1"/>
  <c r="AY210" i="12" s="1"/>
  <c r="AX215" i="12"/>
  <c r="AW218" i="12" s="1"/>
  <c r="AY187" i="12"/>
  <c r="AY197" i="12" s="1"/>
  <c r="AY207" i="12" s="1"/>
  <c r="AY185" i="12"/>
  <c r="AY195" i="12" s="1"/>
  <c r="AY205" i="12" s="1"/>
  <c r="AY186" i="12"/>
  <c r="AY196" i="12" s="1"/>
  <c r="AY206" i="12" s="1"/>
  <c r="AY193" i="12"/>
  <c r="AY203" i="12" s="1"/>
  <c r="AY213" i="12" s="1"/>
  <c r="AY184" i="12"/>
  <c r="AY194" i="12" s="1"/>
  <c r="AY204" i="12" s="1"/>
  <c r="AZ214" i="12"/>
  <c r="BA173" i="12"/>
  <c r="AZ183" i="12"/>
  <c r="AZ188" i="12" s="1"/>
  <c r="AZ198" i="12" s="1"/>
  <c r="AZ208" i="12" s="1"/>
  <c r="AZ174" i="12"/>
  <c r="AV216" i="12"/>
  <c r="AU219" i="12" s="1"/>
  <c r="AV323" i="12"/>
  <c r="AW322" i="12"/>
  <c r="AV271" i="12"/>
  <c r="I268" i="12"/>
  <c r="H271" i="12" s="1"/>
  <c r="J167" i="12"/>
  <c r="AW320" i="13"/>
  <c r="AV323" i="13" s="1"/>
  <c r="I320" i="13"/>
  <c r="H323" i="13" s="1"/>
  <c r="AY319" i="12"/>
  <c r="AX322" i="12" s="1"/>
  <c r="AZ291" i="12"/>
  <c r="AZ301" i="12" s="1"/>
  <c r="AZ311" i="12" s="1"/>
  <c r="AZ290" i="12"/>
  <c r="AZ300" i="12" s="1"/>
  <c r="AZ310" i="12" s="1"/>
  <c r="AZ289" i="12"/>
  <c r="AZ299" i="12" s="1"/>
  <c r="AZ309" i="12" s="1"/>
  <c r="K319" i="12"/>
  <c r="K319" i="13"/>
  <c r="J322" i="13" s="1"/>
  <c r="AY319" i="13"/>
  <c r="AX320" i="13" s="1"/>
  <c r="AX216" i="13"/>
  <c r="AW219" i="13" s="1"/>
  <c r="L291" i="12"/>
  <c r="L301" i="12" s="1"/>
  <c r="L311" i="12" s="1"/>
  <c r="L289" i="12"/>
  <c r="L299" i="12" s="1"/>
  <c r="L309" i="12" s="1"/>
  <c r="L290" i="12"/>
  <c r="L300" i="12" s="1"/>
  <c r="L310" i="12" s="1"/>
  <c r="I219" i="13"/>
  <c r="J218" i="13"/>
  <c r="L60" i="12"/>
  <c r="K63" i="12" s="1"/>
  <c r="BB36" i="13"/>
  <c r="BB46" i="13" s="1"/>
  <c r="BB56" i="13" s="1"/>
  <c r="BB31" i="13"/>
  <c r="BB41" i="13" s="1"/>
  <c r="BB51" i="13" s="1"/>
  <c r="BB33" i="13"/>
  <c r="BB43" i="13" s="1"/>
  <c r="BB53" i="13" s="1"/>
  <c r="BB30" i="13"/>
  <c r="BB40" i="13" s="1"/>
  <c r="BB50" i="13" s="1"/>
  <c r="BB32" i="13"/>
  <c r="BB42" i="13" s="1"/>
  <c r="BB52" i="13" s="1"/>
  <c r="BB35" i="13"/>
  <c r="BB45" i="13" s="1"/>
  <c r="BB55" i="13" s="1"/>
  <c r="BB34" i="13"/>
  <c r="BB44" i="13" s="1"/>
  <c r="BB54" i="13" s="1"/>
  <c r="BC87" i="12"/>
  <c r="BC97" i="12" s="1"/>
  <c r="BC107" i="12" s="1"/>
  <c r="BC85" i="12"/>
  <c r="BC95" i="12" s="1"/>
  <c r="BC105" i="12" s="1"/>
  <c r="BC84" i="12"/>
  <c r="BC94" i="12" s="1"/>
  <c r="BC104" i="12" s="1"/>
  <c r="BC86" i="12"/>
  <c r="BC96" i="12" s="1"/>
  <c r="BC106" i="12" s="1"/>
  <c r="BC88" i="12"/>
  <c r="BC98" i="12" s="1"/>
  <c r="BC108" i="12" s="1"/>
  <c r="N36" i="13"/>
  <c r="N46" i="13" s="1"/>
  <c r="N56" i="13" s="1"/>
  <c r="N31" i="13"/>
  <c r="N41" i="13" s="1"/>
  <c r="N51" i="13" s="1"/>
  <c r="N33" i="13"/>
  <c r="N43" i="13" s="1"/>
  <c r="N53" i="13" s="1"/>
  <c r="N30" i="13"/>
  <c r="N40" i="13" s="1"/>
  <c r="N50" i="13" s="1"/>
  <c r="N34" i="13"/>
  <c r="N44" i="13" s="1"/>
  <c r="N54" i="13" s="1"/>
  <c r="N35" i="13"/>
  <c r="N45" i="13" s="1"/>
  <c r="N55" i="13" s="1"/>
  <c r="N32" i="13"/>
  <c r="N42" i="13" s="1"/>
  <c r="N52" i="13" s="1"/>
  <c r="AZ240" i="13"/>
  <c r="AZ250" i="13" s="1"/>
  <c r="AZ260" i="13" s="1"/>
  <c r="AZ241" i="13"/>
  <c r="AZ251" i="13" s="1"/>
  <c r="AZ261" i="13" s="1"/>
  <c r="AZ243" i="13"/>
  <c r="AZ253" i="13" s="1"/>
  <c r="AZ263" i="13" s="1"/>
  <c r="AZ239" i="13"/>
  <c r="AZ249" i="13" s="1"/>
  <c r="AZ259" i="13" s="1"/>
  <c r="AZ244" i="13"/>
  <c r="AZ254" i="13" s="1"/>
  <c r="AZ264" i="13" s="1"/>
  <c r="AZ242" i="13"/>
  <c r="AZ252" i="13" s="1"/>
  <c r="AZ262" i="13" s="1"/>
  <c r="AZ238" i="13"/>
  <c r="AZ248" i="13" s="1"/>
  <c r="AZ258" i="13" s="1"/>
  <c r="AZ240" i="12"/>
  <c r="AZ250" i="12" s="1"/>
  <c r="AZ260" i="12" s="1"/>
  <c r="AZ242" i="12"/>
  <c r="AZ252" i="12" s="1"/>
  <c r="AZ262" i="12" s="1"/>
  <c r="AZ241" i="12"/>
  <c r="AZ251" i="12" s="1"/>
  <c r="AZ261" i="12" s="1"/>
  <c r="AZ243" i="12"/>
  <c r="AZ253" i="12" s="1"/>
  <c r="AZ263" i="12" s="1"/>
  <c r="AZ244" i="12"/>
  <c r="AZ254" i="12" s="1"/>
  <c r="AZ264" i="12" s="1"/>
  <c r="N137" i="12"/>
  <c r="N147" i="12" s="1"/>
  <c r="N157" i="12" s="1"/>
  <c r="N140" i="12"/>
  <c r="N150" i="12" s="1"/>
  <c r="N160" i="12" s="1"/>
  <c r="N139" i="12"/>
  <c r="N149" i="12" s="1"/>
  <c r="N159" i="12" s="1"/>
  <c r="N136" i="12"/>
  <c r="N146" i="12" s="1"/>
  <c r="N156" i="12" s="1"/>
  <c r="N138" i="12"/>
  <c r="N148" i="12" s="1"/>
  <c r="N158" i="12" s="1"/>
  <c r="M189" i="12"/>
  <c r="M199" i="12" s="1"/>
  <c r="M209" i="12" s="1"/>
  <c r="M192" i="12"/>
  <c r="M202" i="12" s="1"/>
  <c r="M212" i="12" s="1"/>
  <c r="M188" i="12"/>
  <c r="M198" i="12" s="1"/>
  <c r="M208" i="12" s="1"/>
  <c r="M191" i="12"/>
  <c r="M201" i="12" s="1"/>
  <c r="M211" i="12" s="1"/>
  <c r="M190" i="12"/>
  <c r="M200" i="12" s="1"/>
  <c r="M210" i="12" s="1"/>
  <c r="N140" i="13"/>
  <c r="N150" i="13" s="1"/>
  <c r="N160" i="13" s="1"/>
  <c r="N139" i="13"/>
  <c r="N149" i="13" s="1"/>
  <c r="N159" i="13" s="1"/>
  <c r="N137" i="13"/>
  <c r="N147" i="13" s="1"/>
  <c r="N157" i="13" s="1"/>
  <c r="N138" i="13"/>
  <c r="N148" i="13" s="1"/>
  <c r="N158" i="13" s="1"/>
  <c r="N134" i="13"/>
  <c r="N144" i="13" s="1"/>
  <c r="N154" i="13" s="1"/>
  <c r="N135" i="13"/>
  <c r="N145" i="13" s="1"/>
  <c r="N155" i="13" s="1"/>
  <c r="N136" i="13"/>
  <c r="N146" i="13" s="1"/>
  <c r="N156" i="13" s="1"/>
  <c r="O85" i="13"/>
  <c r="O95" i="13" s="1"/>
  <c r="O105" i="13" s="1"/>
  <c r="O84" i="13"/>
  <c r="O94" i="13" s="1"/>
  <c r="O104" i="13" s="1"/>
  <c r="O83" i="13"/>
  <c r="O93" i="13" s="1"/>
  <c r="O103" i="13" s="1"/>
  <c r="O87" i="13"/>
  <c r="O97" i="13" s="1"/>
  <c r="O107" i="13" s="1"/>
  <c r="O88" i="13"/>
  <c r="O98" i="13" s="1"/>
  <c r="O108" i="13" s="1"/>
  <c r="O86" i="13"/>
  <c r="O96" i="13" s="1"/>
  <c r="O106" i="13" s="1"/>
  <c r="O82" i="13"/>
  <c r="O92" i="13" s="1"/>
  <c r="O102" i="13" s="1"/>
  <c r="BC33" i="12"/>
  <c r="BC43" i="12" s="1"/>
  <c r="BC53" i="12" s="1"/>
  <c r="BC32" i="12"/>
  <c r="BC42" i="12" s="1"/>
  <c r="BC52" i="12" s="1"/>
  <c r="BC36" i="12"/>
  <c r="BC46" i="12" s="1"/>
  <c r="BC56" i="12" s="1"/>
  <c r="BC34" i="12"/>
  <c r="BC44" i="12" s="1"/>
  <c r="BC54" i="12" s="1"/>
  <c r="BC35" i="12"/>
  <c r="BC45" i="12" s="1"/>
  <c r="BC55" i="12" s="1"/>
  <c r="L240" i="13"/>
  <c r="L250" i="13" s="1"/>
  <c r="L260" i="13" s="1"/>
  <c r="L241" i="13"/>
  <c r="L251" i="13" s="1"/>
  <c r="L261" i="13" s="1"/>
  <c r="L238" i="13"/>
  <c r="L248" i="13" s="1"/>
  <c r="L258" i="13" s="1"/>
  <c r="L239" i="13"/>
  <c r="L249" i="13" s="1"/>
  <c r="L259" i="13" s="1"/>
  <c r="L243" i="13"/>
  <c r="L253" i="13" s="1"/>
  <c r="L263" i="13" s="1"/>
  <c r="L244" i="13"/>
  <c r="L254" i="13" s="1"/>
  <c r="L264" i="13" s="1"/>
  <c r="L242" i="13"/>
  <c r="L252" i="13" s="1"/>
  <c r="L262" i="13" s="1"/>
  <c r="K267" i="13"/>
  <c r="J268" i="13" s="1"/>
  <c r="O36" i="12"/>
  <c r="O46" i="12" s="1"/>
  <c r="O56" i="12" s="1"/>
  <c r="O33" i="12"/>
  <c r="O43" i="12" s="1"/>
  <c r="O53" i="12" s="1"/>
  <c r="O32" i="12"/>
  <c r="O42" i="12" s="1"/>
  <c r="O52" i="12" s="1"/>
  <c r="O34" i="12"/>
  <c r="O44" i="12" s="1"/>
  <c r="O54" i="12" s="1"/>
  <c r="O35" i="12"/>
  <c r="O45" i="12" s="1"/>
  <c r="O55" i="12" s="1"/>
  <c r="M187" i="13"/>
  <c r="M197" i="13" s="1"/>
  <c r="M207" i="13" s="1"/>
  <c r="M192" i="13"/>
  <c r="M202" i="13" s="1"/>
  <c r="M212" i="13" s="1"/>
  <c r="M186" i="13"/>
  <c r="M196" i="13" s="1"/>
  <c r="M206" i="13" s="1"/>
  <c r="M189" i="13"/>
  <c r="M199" i="13" s="1"/>
  <c r="M209" i="13" s="1"/>
  <c r="M190" i="13"/>
  <c r="M200" i="13" s="1"/>
  <c r="M210" i="13" s="1"/>
  <c r="M191" i="13"/>
  <c r="M201" i="13" s="1"/>
  <c r="M211" i="13" s="1"/>
  <c r="M188" i="13"/>
  <c r="M198" i="13" s="1"/>
  <c r="M208" i="13" s="1"/>
  <c r="BC84" i="13"/>
  <c r="BC94" i="13" s="1"/>
  <c r="BC104" i="13" s="1"/>
  <c r="BC85" i="13"/>
  <c r="BC95" i="13" s="1"/>
  <c r="BC105" i="13" s="1"/>
  <c r="BC83" i="13"/>
  <c r="BC93" i="13" s="1"/>
  <c r="BC103" i="13" s="1"/>
  <c r="BC87" i="13"/>
  <c r="BC97" i="13" s="1"/>
  <c r="BC107" i="13" s="1"/>
  <c r="BC88" i="13"/>
  <c r="BC98" i="13" s="1"/>
  <c r="BC108" i="13" s="1"/>
  <c r="BC86" i="13"/>
  <c r="BC96" i="13" s="1"/>
  <c r="BC106" i="13" s="1"/>
  <c r="BC82" i="13"/>
  <c r="BC92" i="13" s="1"/>
  <c r="BC102" i="13" s="1"/>
  <c r="BA192" i="13"/>
  <c r="BA202" i="13" s="1"/>
  <c r="BA212" i="13" s="1"/>
  <c r="BA191" i="13"/>
  <c r="BA201" i="13" s="1"/>
  <c r="BA211" i="13" s="1"/>
  <c r="BA186" i="13"/>
  <c r="BA196" i="13" s="1"/>
  <c r="BA206" i="13" s="1"/>
  <c r="BA190" i="13"/>
  <c r="BA200" i="13" s="1"/>
  <c r="BA210" i="13" s="1"/>
  <c r="BA189" i="13"/>
  <c r="BA199" i="13" s="1"/>
  <c r="BA209" i="13" s="1"/>
  <c r="BA187" i="13"/>
  <c r="BA197" i="13" s="1"/>
  <c r="BA207" i="13" s="1"/>
  <c r="BA188" i="13"/>
  <c r="BA198" i="13" s="1"/>
  <c r="BA208" i="13" s="1"/>
  <c r="L240" i="12"/>
  <c r="L250" i="12" s="1"/>
  <c r="L260" i="12" s="1"/>
  <c r="L241" i="12"/>
  <c r="L251" i="12" s="1"/>
  <c r="L261" i="12" s="1"/>
  <c r="L243" i="12"/>
  <c r="L253" i="12" s="1"/>
  <c r="L263" i="12" s="1"/>
  <c r="L244" i="12"/>
  <c r="L254" i="12" s="1"/>
  <c r="L264" i="12" s="1"/>
  <c r="L242" i="12"/>
  <c r="L252" i="12" s="1"/>
  <c r="L262" i="12" s="1"/>
  <c r="BB139" i="12"/>
  <c r="BB149" i="12" s="1"/>
  <c r="BB159" i="12" s="1"/>
  <c r="BB140" i="12"/>
  <c r="BB150" i="12" s="1"/>
  <c r="BB160" i="12" s="1"/>
  <c r="BB136" i="12"/>
  <c r="BB146" i="12" s="1"/>
  <c r="BB156" i="12" s="1"/>
  <c r="BB137" i="12"/>
  <c r="BB147" i="12" s="1"/>
  <c r="BB157" i="12" s="1"/>
  <c r="BB138" i="12"/>
  <c r="BB148" i="12" s="1"/>
  <c r="BB158" i="12" s="1"/>
  <c r="K267" i="12"/>
  <c r="J270" i="12" s="1"/>
  <c r="AY166" i="12"/>
  <c r="K166" i="12"/>
  <c r="BA163" i="13"/>
  <c r="AW270" i="12"/>
  <c r="AZ112" i="13"/>
  <c r="AY115" i="13" s="1"/>
  <c r="I268" i="13"/>
  <c r="H271" i="13" s="1"/>
  <c r="AY60" i="13"/>
  <c r="AX63" i="13" s="1"/>
  <c r="AW270" i="13"/>
  <c r="BB111" i="12"/>
  <c r="BA114" i="12" s="1"/>
  <c r="AX167" i="12"/>
  <c r="L215" i="13"/>
  <c r="K218" i="13" s="1"/>
  <c r="L215" i="12"/>
  <c r="AZ112" i="12"/>
  <c r="AY115" i="12" s="1"/>
  <c r="AZ60" i="12"/>
  <c r="AY63" i="12" s="1"/>
  <c r="AY267" i="13"/>
  <c r="AX268" i="13" s="1"/>
  <c r="AW271" i="13" s="1"/>
  <c r="N59" i="12"/>
  <c r="M60" i="12" s="1"/>
  <c r="AY267" i="12"/>
  <c r="AX270" i="12" s="1"/>
  <c r="N111" i="13"/>
  <c r="BA59" i="13"/>
  <c r="AZ62" i="13" s="1"/>
  <c r="M163" i="12"/>
  <c r="L166" i="12" s="1"/>
  <c r="BB59" i="12"/>
  <c r="BA62" i="12" s="1"/>
  <c r="AZ215" i="13"/>
  <c r="AY216" i="13" s="1"/>
  <c r="M163" i="13"/>
  <c r="BA163" i="12"/>
  <c r="AZ166" i="12" s="1"/>
  <c r="M59" i="13"/>
  <c r="BB111" i="13"/>
  <c r="BA114" i="13" s="1"/>
  <c r="BD27" i="12"/>
  <c r="BD31" i="12" s="1"/>
  <c r="BD41" i="12" s="1"/>
  <c r="BD51" i="12" s="1"/>
  <c r="BE17" i="12"/>
  <c r="BD18" i="12"/>
  <c r="BD58" i="12"/>
  <c r="BC89" i="13"/>
  <c r="BC99" i="13" s="1"/>
  <c r="BC109" i="13" s="1"/>
  <c r="BC80" i="13"/>
  <c r="BC90" i="13" s="1"/>
  <c r="BC100" i="13" s="1"/>
  <c r="BE69" i="12"/>
  <c r="BD79" i="12"/>
  <c r="BD83" i="12" s="1"/>
  <c r="BD93" i="12" s="1"/>
  <c r="BD103" i="12" s="1"/>
  <c r="BD70" i="12"/>
  <c r="BD110" i="12"/>
  <c r="BC173" i="13"/>
  <c r="BB183" i="13"/>
  <c r="BB185" i="13" s="1"/>
  <c r="BB195" i="13" s="1"/>
  <c r="BB205" i="13" s="1"/>
  <c r="BB174" i="13"/>
  <c r="BB214" i="13"/>
  <c r="N28" i="13"/>
  <c r="N38" i="13" s="1"/>
  <c r="N48" i="13" s="1"/>
  <c r="N37" i="13"/>
  <c r="N47" i="13" s="1"/>
  <c r="N57" i="13" s="1"/>
  <c r="N277" i="12"/>
  <c r="M287" i="12"/>
  <c r="M278" i="12"/>
  <c r="M318" i="12"/>
  <c r="BA226" i="13"/>
  <c r="BB225" i="13"/>
  <c r="BA235" i="13"/>
  <c r="BA237" i="13" s="1"/>
  <c r="BA247" i="13" s="1"/>
  <c r="BA257" i="13" s="1"/>
  <c r="BA266" i="13"/>
  <c r="AZ245" i="12"/>
  <c r="AZ255" i="12" s="1"/>
  <c r="AZ265" i="12" s="1"/>
  <c r="AZ236" i="12"/>
  <c r="AZ246" i="12" s="1"/>
  <c r="AZ256" i="12" s="1"/>
  <c r="AZ238" i="12"/>
  <c r="AZ248" i="12" s="1"/>
  <c r="AZ258" i="12" s="1"/>
  <c r="AZ237" i="12"/>
  <c r="AZ247" i="12" s="1"/>
  <c r="AZ257" i="12" s="1"/>
  <c r="N225" i="12"/>
  <c r="M235" i="12"/>
  <c r="M239" i="12" s="1"/>
  <c r="M249" i="12" s="1"/>
  <c r="M259" i="12" s="1"/>
  <c r="M226" i="12"/>
  <c r="M266" i="12"/>
  <c r="L245" i="13"/>
  <c r="L255" i="13" s="1"/>
  <c r="L265" i="13" s="1"/>
  <c r="L236" i="13"/>
  <c r="L246" i="13" s="1"/>
  <c r="L256" i="13" s="1"/>
  <c r="BD121" i="12"/>
  <c r="BC131" i="12"/>
  <c r="BC135" i="12" s="1"/>
  <c r="BC145" i="12" s="1"/>
  <c r="BC155" i="12" s="1"/>
  <c r="BC122" i="12"/>
  <c r="BC162" i="12"/>
  <c r="O28" i="12"/>
  <c r="O38" i="12" s="1"/>
  <c r="O48" i="12" s="1"/>
  <c r="O37" i="12"/>
  <c r="O47" i="12" s="1"/>
  <c r="O57" i="12" s="1"/>
  <c r="O29" i="12"/>
  <c r="O39" i="12" s="1"/>
  <c r="O49" i="12" s="1"/>
  <c r="O30" i="12"/>
  <c r="O40" i="12" s="1"/>
  <c r="O50" i="12" s="1"/>
  <c r="O173" i="13"/>
  <c r="N174" i="13"/>
  <c r="N183" i="13"/>
  <c r="N185" i="13" s="1"/>
  <c r="N195" i="13" s="1"/>
  <c r="N205" i="13" s="1"/>
  <c r="N214" i="13"/>
  <c r="P121" i="12"/>
  <c r="O131" i="12"/>
  <c r="O135" i="12" s="1"/>
  <c r="O145" i="12" s="1"/>
  <c r="O155" i="12" s="1"/>
  <c r="O122" i="12"/>
  <c r="O162" i="12"/>
  <c r="BB37" i="13"/>
  <c r="BB47" i="13" s="1"/>
  <c r="BB57" i="13" s="1"/>
  <c r="BB28" i="13"/>
  <c r="BB38" i="13" s="1"/>
  <c r="BB48" i="13" s="1"/>
  <c r="BC89" i="12"/>
  <c r="BC99" i="12" s="1"/>
  <c r="BC109" i="12" s="1"/>
  <c r="BC80" i="12"/>
  <c r="BC90" i="12" s="1"/>
  <c r="BC100" i="12" s="1"/>
  <c r="BC81" i="12"/>
  <c r="BC91" i="12" s="1"/>
  <c r="BC101" i="12" s="1"/>
  <c r="BC82" i="12"/>
  <c r="BC92" i="12" s="1"/>
  <c r="BC102" i="12" s="1"/>
  <c r="AZ288" i="13"/>
  <c r="AZ298" i="13" s="1"/>
  <c r="AZ308" i="13" s="1"/>
  <c r="AZ297" i="13"/>
  <c r="AZ307" i="13" s="1"/>
  <c r="AZ317" i="13" s="1"/>
  <c r="AZ293" i="13"/>
  <c r="AZ303" i="13" s="1"/>
  <c r="AZ313" i="13" s="1"/>
  <c r="AZ290" i="13"/>
  <c r="AZ300" i="13" s="1"/>
  <c r="AZ310" i="13" s="1"/>
  <c r="AZ291" i="13"/>
  <c r="AZ301" i="13" s="1"/>
  <c r="AZ311" i="13" s="1"/>
  <c r="AZ294" i="13"/>
  <c r="AZ304" i="13" s="1"/>
  <c r="AZ314" i="13" s="1"/>
  <c r="AZ296" i="13"/>
  <c r="AZ306" i="13" s="1"/>
  <c r="AZ316" i="13" s="1"/>
  <c r="AZ292" i="13"/>
  <c r="AZ302" i="13" s="1"/>
  <c r="AZ312" i="13" s="1"/>
  <c r="AZ295" i="13"/>
  <c r="AZ305" i="13" s="1"/>
  <c r="AZ315" i="13" s="1"/>
  <c r="BC27" i="13"/>
  <c r="BC29" i="13" s="1"/>
  <c r="BC39" i="13" s="1"/>
  <c r="BC49" i="13" s="1"/>
  <c r="BC18" i="13"/>
  <c r="BD17" i="13"/>
  <c r="BC58" i="13"/>
  <c r="L288" i="13"/>
  <c r="L298" i="13" s="1"/>
  <c r="L308" i="13" s="1"/>
  <c r="L297" i="13"/>
  <c r="L307" i="13" s="1"/>
  <c r="L317" i="13" s="1"/>
  <c r="L290" i="13"/>
  <c r="L300" i="13" s="1"/>
  <c r="L310" i="13" s="1"/>
  <c r="L293" i="13"/>
  <c r="L303" i="13" s="1"/>
  <c r="L313" i="13" s="1"/>
  <c r="L295" i="13"/>
  <c r="L305" i="13" s="1"/>
  <c r="L315" i="13" s="1"/>
  <c r="L291" i="13"/>
  <c r="L301" i="13" s="1"/>
  <c r="L311" i="13" s="1"/>
  <c r="L294" i="13"/>
  <c r="L304" i="13" s="1"/>
  <c r="L314" i="13" s="1"/>
  <c r="L292" i="13"/>
  <c r="L302" i="13" s="1"/>
  <c r="L312" i="13" s="1"/>
  <c r="L296" i="13"/>
  <c r="L306" i="13" s="1"/>
  <c r="L316" i="13" s="1"/>
  <c r="BC37" i="12"/>
  <c r="BC47" i="12" s="1"/>
  <c r="BC57" i="12" s="1"/>
  <c r="BC28" i="12"/>
  <c r="BC38" i="12" s="1"/>
  <c r="BC48" i="12" s="1"/>
  <c r="BC30" i="12"/>
  <c r="BC40" i="12" s="1"/>
  <c r="BC50" i="12" s="1"/>
  <c r="BC29" i="12"/>
  <c r="BC39" i="12" s="1"/>
  <c r="BC49" i="12" s="1"/>
  <c r="BD79" i="13"/>
  <c r="BD81" i="13" s="1"/>
  <c r="BD91" i="13" s="1"/>
  <c r="BD101" i="13" s="1"/>
  <c r="BD70" i="13"/>
  <c r="BE69" i="13"/>
  <c r="BD110" i="13"/>
  <c r="P17" i="13"/>
  <c r="O18" i="13"/>
  <c r="O27" i="13"/>
  <c r="O29" i="13" s="1"/>
  <c r="O39" i="13" s="1"/>
  <c r="O49" i="13" s="1"/>
  <c r="O58" i="13"/>
  <c r="P121" i="13"/>
  <c r="O122" i="13"/>
  <c r="O131" i="13"/>
  <c r="O133" i="13" s="1"/>
  <c r="O143" i="13" s="1"/>
  <c r="O153" i="13" s="1"/>
  <c r="O162" i="13"/>
  <c r="N225" i="13"/>
  <c r="M235" i="13"/>
  <c r="M237" i="13" s="1"/>
  <c r="M247" i="13" s="1"/>
  <c r="M257" i="13" s="1"/>
  <c r="M226" i="13"/>
  <c r="M266" i="13"/>
  <c r="Q69" i="13"/>
  <c r="P79" i="13"/>
  <c r="P81" i="13" s="1"/>
  <c r="P91" i="13" s="1"/>
  <c r="P101" i="13" s="1"/>
  <c r="P70" i="13"/>
  <c r="P110" i="13"/>
  <c r="Q17" i="12"/>
  <c r="P27" i="12"/>
  <c r="P31" i="12" s="1"/>
  <c r="P41" i="12" s="1"/>
  <c r="P51" i="12" s="1"/>
  <c r="P18" i="12"/>
  <c r="P58" i="12"/>
  <c r="M184" i="12"/>
  <c r="M194" i="12" s="1"/>
  <c r="M204" i="12" s="1"/>
  <c r="M193" i="12"/>
  <c r="M203" i="12" s="1"/>
  <c r="M213" i="12" s="1"/>
  <c r="M186" i="12"/>
  <c r="M196" i="12" s="1"/>
  <c r="M206" i="12" s="1"/>
  <c r="M185" i="12"/>
  <c r="M195" i="12" s="1"/>
  <c r="M205" i="12" s="1"/>
  <c r="AZ236" i="13"/>
  <c r="AZ246" i="13" s="1"/>
  <c r="AZ256" i="13" s="1"/>
  <c r="AZ245" i="13"/>
  <c r="AZ255" i="13" s="1"/>
  <c r="AZ265" i="13" s="1"/>
  <c r="BB225" i="12"/>
  <c r="BA226" i="12"/>
  <c r="BA235" i="12"/>
  <c r="BA239" i="12" s="1"/>
  <c r="BA249" i="12" s="1"/>
  <c r="BA259" i="12" s="1"/>
  <c r="BA266" i="12"/>
  <c r="BA278" i="12"/>
  <c r="BA287" i="12"/>
  <c r="BB277" i="12"/>
  <c r="BA318" i="12"/>
  <c r="N277" i="13"/>
  <c r="M278" i="13"/>
  <c r="M287" i="13"/>
  <c r="M289" i="13" s="1"/>
  <c r="M299" i="13" s="1"/>
  <c r="M309" i="13" s="1"/>
  <c r="M318" i="13"/>
  <c r="BA278" i="13"/>
  <c r="BA287" i="13"/>
  <c r="BA289" i="13" s="1"/>
  <c r="BA299" i="13" s="1"/>
  <c r="BA309" i="13" s="1"/>
  <c r="BB277" i="13"/>
  <c r="BA318" i="13"/>
  <c r="BA184" i="13"/>
  <c r="BA194" i="13" s="1"/>
  <c r="BA204" i="13" s="1"/>
  <c r="BA193" i="13"/>
  <c r="BA203" i="13" s="1"/>
  <c r="BA213" i="13" s="1"/>
  <c r="L288" i="12"/>
  <c r="L298" i="12" s="1"/>
  <c r="L308" i="12" s="1"/>
  <c r="L297" i="12"/>
  <c r="L307" i="12" s="1"/>
  <c r="L317" i="12" s="1"/>
  <c r="L294" i="12"/>
  <c r="L304" i="12" s="1"/>
  <c r="L314" i="12" s="1"/>
  <c r="L295" i="12"/>
  <c r="L305" i="12" s="1"/>
  <c r="L315" i="12" s="1"/>
  <c r="L292" i="12"/>
  <c r="L302" i="12" s="1"/>
  <c r="L312" i="12" s="1"/>
  <c r="L293" i="12"/>
  <c r="L303" i="12" s="1"/>
  <c r="L313" i="12" s="1"/>
  <c r="L296" i="12"/>
  <c r="L306" i="12" s="1"/>
  <c r="L316" i="12" s="1"/>
  <c r="O173" i="12"/>
  <c r="N183" i="12"/>
  <c r="N187" i="12" s="1"/>
  <c r="N197" i="12" s="1"/>
  <c r="N207" i="12" s="1"/>
  <c r="N174" i="12"/>
  <c r="N214" i="12"/>
  <c r="L245" i="12"/>
  <c r="L255" i="12" s="1"/>
  <c r="L265" i="12" s="1"/>
  <c r="L236" i="12"/>
  <c r="L246" i="12" s="1"/>
  <c r="L256" i="12" s="1"/>
  <c r="L237" i="12"/>
  <c r="L247" i="12" s="1"/>
  <c r="L257" i="12" s="1"/>
  <c r="L238" i="12"/>
  <c r="L248" i="12" s="1"/>
  <c r="L258" i="12" s="1"/>
  <c r="N141" i="13"/>
  <c r="N151" i="13" s="1"/>
  <c r="N161" i="13" s="1"/>
  <c r="N132" i="13"/>
  <c r="N142" i="13" s="1"/>
  <c r="N152" i="13" s="1"/>
  <c r="O89" i="13"/>
  <c r="O99" i="13" s="1"/>
  <c r="O109" i="13" s="1"/>
  <c r="O80" i="13"/>
  <c r="O90" i="13" s="1"/>
  <c r="O100" i="13" s="1"/>
  <c r="AZ288" i="12"/>
  <c r="AZ298" i="12" s="1"/>
  <c r="AZ308" i="12" s="1"/>
  <c r="AZ297" i="12"/>
  <c r="AZ307" i="12" s="1"/>
  <c r="AZ317" i="12" s="1"/>
  <c r="AZ294" i="12"/>
  <c r="AZ304" i="12" s="1"/>
  <c r="AZ314" i="12" s="1"/>
  <c r="AZ292" i="12"/>
  <c r="AZ302" i="12" s="1"/>
  <c r="AZ312" i="12" s="1"/>
  <c r="AZ295" i="12"/>
  <c r="AZ305" i="12" s="1"/>
  <c r="AZ315" i="12" s="1"/>
  <c r="AZ293" i="12"/>
  <c r="AZ303" i="12" s="1"/>
  <c r="AZ313" i="12" s="1"/>
  <c r="AZ296" i="12"/>
  <c r="AZ306" i="12" s="1"/>
  <c r="AZ316" i="12" s="1"/>
  <c r="BB141" i="12"/>
  <c r="BB151" i="12" s="1"/>
  <c r="BB161" i="12" s="1"/>
  <c r="BB132" i="12"/>
  <c r="BB142" i="12" s="1"/>
  <c r="BB152" i="12" s="1"/>
  <c r="BB133" i="12"/>
  <c r="BB143" i="12" s="1"/>
  <c r="BB153" i="12" s="1"/>
  <c r="BB134" i="12"/>
  <c r="BB144" i="12" s="1"/>
  <c r="BB154" i="12" s="1"/>
  <c r="M184" i="13"/>
  <c r="M194" i="13" s="1"/>
  <c r="M204" i="13" s="1"/>
  <c r="M193" i="13"/>
  <c r="M203" i="13" s="1"/>
  <c r="M213" i="13" s="1"/>
  <c r="N132" i="12"/>
  <c r="N142" i="12" s="1"/>
  <c r="N152" i="12" s="1"/>
  <c r="N141" i="12"/>
  <c r="N151" i="12" s="1"/>
  <c r="N161" i="12" s="1"/>
  <c r="N133" i="12"/>
  <c r="N143" i="12" s="1"/>
  <c r="N153" i="12" s="1"/>
  <c r="N134" i="12"/>
  <c r="N144" i="12" s="1"/>
  <c r="N154" i="12" s="1"/>
  <c r="BB138" i="13" l="1"/>
  <c r="BB148" i="13" s="1"/>
  <c r="BB158" i="13" s="1"/>
  <c r="BB135" i="13"/>
  <c r="BB145" i="13" s="1"/>
  <c r="BB155" i="13" s="1"/>
  <c r="BB134" i="13"/>
  <c r="BB144" i="13" s="1"/>
  <c r="BB154" i="13" s="1"/>
  <c r="BB137" i="13"/>
  <c r="BB147" i="13" s="1"/>
  <c r="BB157" i="13" s="1"/>
  <c r="BB139" i="13"/>
  <c r="BB149" i="13" s="1"/>
  <c r="BB159" i="13" s="1"/>
  <c r="BB140" i="13"/>
  <c r="BB150" i="13" s="1"/>
  <c r="BB160" i="13" s="1"/>
  <c r="BB136" i="13"/>
  <c r="BB146" i="13" s="1"/>
  <c r="BB156" i="13" s="1"/>
  <c r="K62" i="13"/>
  <c r="BB132" i="13"/>
  <c r="BB142" i="13" s="1"/>
  <c r="BB152" i="13" s="1"/>
  <c r="L62" i="13"/>
  <c r="J63" i="13"/>
  <c r="BB141" i="13"/>
  <c r="BB151" i="13" s="1"/>
  <c r="BB161" i="13" s="1"/>
  <c r="N85" i="12"/>
  <c r="N95" i="12" s="1"/>
  <c r="N105" i="12" s="1"/>
  <c r="N86" i="12"/>
  <c r="N96" i="12" s="1"/>
  <c r="N106" i="12" s="1"/>
  <c r="N88" i="12"/>
  <c r="N98" i="12" s="1"/>
  <c r="N108" i="12" s="1"/>
  <c r="N87" i="12"/>
  <c r="N97" i="12" s="1"/>
  <c r="N107" i="12" s="1"/>
  <c r="H323" i="12"/>
  <c r="J320" i="12"/>
  <c r="I323" i="12" s="1"/>
  <c r="AY164" i="13"/>
  <c r="AX167" i="13" s="1"/>
  <c r="I322" i="12"/>
  <c r="BC131" i="13"/>
  <c r="BC133" i="13" s="1"/>
  <c r="BC143" i="13" s="1"/>
  <c r="BC153" i="13" s="1"/>
  <c r="BD121" i="13"/>
  <c r="BD122" i="13" s="1"/>
  <c r="BC162" i="13"/>
  <c r="AZ164" i="13"/>
  <c r="M112" i="13"/>
  <c r="K114" i="13"/>
  <c r="L114" i="13"/>
  <c r="L112" i="13"/>
  <c r="K115" i="13" s="1"/>
  <c r="L63" i="12"/>
  <c r="L166" i="13"/>
  <c r="K216" i="12"/>
  <c r="K166" i="13"/>
  <c r="J216" i="12"/>
  <c r="I219" i="12" s="1"/>
  <c r="J115" i="13"/>
  <c r="AZ166" i="13"/>
  <c r="N83" i="12"/>
  <c r="N93" i="12" s="1"/>
  <c r="N103" i="12" s="1"/>
  <c r="N84" i="12"/>
  <c r="N94" i="12" s="1"/>
  <c r="N104" i="12" s="1"/>
  <c r="N82" i="12"/>
  <c r="N92" i="12" s="1"/>
  <c r="N102" i="12" s="1"/>
  <c r="N80" i="12"/>
  <c r="N90" i="12" s="1"/>
  <c r="N100" i="12" s="1"/>
  <c r="N89" i="12"/>
  <c r="N99" i="12" s="1"/>
  <c r="N109" i="12" s="1"/>
  <c r="N81" i="12"/>
  <c r="N91" i="12" s="1"/>
  <c r="N101" i="12" s="1"/>
  <c r="P69" i="12"/>
  <c r="O110" i="12"/>
  <c r="O79" i="12"/>
  <c r="O70" i="12"/>
  <c r="M111" i="12"/>
  <c r="K114" i="12"/>
  <c r="K112" i="12"/>
  <c r="J115" i="12" s="1"/>
  <c r="AZ189" i="12"/>
  <c r="AZ199" i="12" s="1"/>
  <c r="AZ209" i="12" s="1"/>
  <c r="AZ191" i="12"/>
  <c r="AZ201" i="12" s="1"/>
  <c r="AZ211" i="12" s="1"/>
  <c r="AZ192" i="12"/>
  <c r="AZ202" i="12" s="1"/>
  <c r="AZ212" i="12" s="1"/>
  <c r="AZ190" i="12"/>
  <c r="AZ200" i="12" s="1"/>
  <c r="AZ210" i="12" s="1"/>
  <c r="AW216" i="12"/>
  <c r="AV219" i="12" s="1"/>
  <c r="M62" i="12"/>
  <c r="AY215" i="12"/>
  <c r="AX218" i="12" s="1"/>
  <c r="J322" i="12"/>
  <c r="BA214" i="12"/>
  <c r="BA174" i="12"/>
  <c r="BA183" i="12"/>
  <c r="BA188" i="12" s="1"/>
  <c r="BA198" i="12" s="1"/>
  <c r="BA208" i="12" s="1"/>
  <c r="BB173" i="12"/>
  <c r="AZ187" i="12"/>
  <c r="AZ197" i="12" s="1"/>
  <c r="AZ207" i="12" s="1"/>
  <c r="AZ193" i="12"/>
  <c r="AZ203" i="12" s="1"/>
  <c r="AZ213" i="12" s="1"/>
  <c r="AZ185" i="12"/>
  <c r="AZ195" i="12" s="1"/>
  <c r="AZ205" i="12" s="1"/>
  <c r="AZ186" i="12"/>
  <c r="AZ196" i="12" s="1"/>
  <c r="AZ206" i="12" s="1"/>
  <c r="AZ184" i="12"/>
  <c r="AZ194" i="12" s="1"/>
  <c r="AZ204" i="12" s="1"/>
  <c r="AX320" i="12"/>
  <c r="AW323" i="12" s="1"/>
  <c r="J268" i="12"/>
  <c r="I271" i="12" s="1"/>
  <c r="AX322" i="13"/>
  <c r="AW323" i="13"/>
  <c r="I271" i="13"/>
  <c r="J270" i="13"/>
  <c r="AX219" i="13"/>
  <c r="BA112" i="12"/>
  <c r="AZ115" i="12" s="1"/>
  <c r="J320" i="13"/>
  <c r="I323" i="13" s="1"/>
  <c r="N59" i="13"/>
  <c r="M62" i="13" s="1"/>
  <c r="AZ319" i="13"/>
  <c r="AY320" i="13" s="1"/>
  <c r="AX323" i="13" s="1"/>
  <c r="L319" i="13"/>
  <c r="K320" i="13" s="1"/>
  <c r="M291" i="12"/>
  <c r="M301" i="12" s="1"/>
  <c r="M311" i="12" s="1"/>
  <c r="M290" i="12"/>
  <c r="M300" i="12" s="1"/>
  <c r="M310" i="12" s="1"/>
  <c r="M289" i="12"/>
  <c r="M299" i="12" s="1"/>
  <c r="M309" i="12" s="1"/>
  <c r="L319" i="12"/>
  <c r="K322" i="12" s="1"/>
  <c r="AZ319" i="12"/>
  <c r="AY322" i="12" s="1"/>
  <c r="BA291" i="12"/>
  <c r="BA301" i="12" s="1"/>
  <c r="BA311" i="12" s="1"/>
  <c r="BA289" i="12"/>
  <c r="BA299" i="12" s="1"/>
  <c r="BA309" i="12" s="1"/>
  <c r="BA290" i="12"/>
  <c r="BA300" i="12" s="1"/>
  <c r="BA310" i="12" s="1"/>
  <c r="K216" i="13"/>
  <c r="J219" i="13" s="1"/>
  <c r="N190" i="12"/>
  <c r="N200" i="12" s="1"/>
  <c r="N210" i="12" s="1"/>
  <c r="N192" i="12"/>
  <c r="N202" i="12" s="1"/>
  <c r="N212" i="12" s="1"/>
  <c r="N189" i="12"/>
  <c r="N199" i="12" s="1"/>
  <c r="N209" i="12" s="1"/>
  <c r="N191" i="12"/>
  <c r="N201" i="12" s="1"/>
  <c r="N211" i="12" s="1"/>
  <c r="N188" i="12"/>
  <c r="N198" i="12" s="1"/>
  <c r="N208" i="12" s="1"/>
  <c r="BD84" i="13"/>
  <c r="BD94" i="13" s="1"/>
  <c r="BD104" i="13" s="1"/>
  <c r="BD85" i="13"/>
  <c r="BD95" i="13" s="1"/>
  <c r="BD105" i="13" s="1"/>
  <c r="BD87" i="13"/>
  <c r="BD97" i="13" s="1"/>
  <c r="BD107" i="13" s="1"/>
  <c r="BD83" i="13"/>
  <c r="BD93" i="13" s="1"/>
  <c r="BD103" i="13" s="1"/>
  <c r="BD88" i="13"/>
  <c r="BD98" i="13" s="1"/>
  <c r="BD108" i="13" s="1"/>
  <c r="BD86" i="13"/>
  <c r="BD96" i="13" s="1"/>
  <c r="BD106" i="13" s="1"/>
  <c r="BD82" i="13"/>
  <c r="BD92" i="13" s="1"/>
  <c r="BD102" i="13" s="1"/>
  <c r="BA238" i="13"/>
  <c r="BA248" i="13" s="1"/>
  <c r="BA258" i="13" s="1"/>
  <c r="BA240" i="13"/>
  <c r="BA250" i="13" s="1"/>
  <c r="BA260" i="13" s="1"/>
  <c r="BA241" i="13"/>
  <c r="BA251" i="13" s="1"/>
  <c r="BA261" i="13" s="1"/>
  <c r="BA243" i="13"/>
  <c r="BA253" i="13" s="1"/>
  <c r="BA263" i="13" s="1"/>
  <c r="BA244" i="13"/>
  <c r="BA254" i="13" s="1"/>
  <c r="BA264" i="13" s="1"/>
  <c r="BA242" i="13"/>
  <c r="BA252" i="13" s="1"/>
  <c r="BA262" i="13" s="1"/>
  <c r="BA239" i="13"/>
  <c r="BA249" i="13" s="1"/>
  <c r="BA259" i="13" s="1"/>
  <c r="BA242" i="12"/>
  <c r="BA252" i="12" s="1"/>
  <c r="BA262" i="12" s="1"/>
  <c r="BA241" i="12"/>
  <c r="BA251" i="12" s="1"/>
  <c r="BA261" i="12" s="1"/>
  <c r="BA240" i="12"/>
  <c r="BA250" i="12" s="1"/>
  <c r="BA260" i="12" s="1"/>
  <c r="BA244" i="12"/>
  <c r="BA254" i="12" s="1"/>
  <c r="BA264" i="12" s="1"/>
  <c r="BA243" i="12"/>
  <c r="BA253" i="12" s="1"/>
  <c r="BA263" i="12" s="1"/>
  <c r="BC136" i="12"/>
  <c r="BC146" i="12" s="1"/>
  <c r="BC156" i="12" s="1"/>
  <c r="BC137" i="12"/>
  <c r="BC147" i="12" s="1"/>
  <c r="BC157" i="12" s="1"/>
  <c r="BC139" i="12"/>
  <c r="BC149" i="12" s="1"/>
  <c r="BC159" i="12" s="1"/>
  <c r="BC140" i="12"/>
  <c r="BC150" i="12" s="1"/>
  <c r="BC160" i="12" s="1"/>
  <c r="BC138" i="12"/>
  <c r="BC148" i="12" s="1"/>
  <c r="BC158" i="12" s="1"/>
  <c r="M243" i="12"/>
  <c r="M253" i="12" s="1"/>
  <c r="M263" i="12" s="1"/>
  <c r="M244" i="12"/>
  <c r="M254" i="12" s="1"/>
  <c r="M264" i="12" s="1"/>
  <c r="M241" i="12"/>
  <c r="M251" i="12" s="1"/>
  <c r="M261" i="12" s="1"/>
  <c r="M240" i="12"/>
  <c r="M250" i="12" s="1"/>
  <c r="M260" i="12" s="1"/>
  <c r="M242" i="12"/>
  <c r="M252" i="12" s="1"/>
  <c r="M262" i="12" s="1"/>
  <c r="BD87" i="12"/>
  <c r="BD97" i="12" s="1"/>
  <c r="BD107" i="12" s="1"/>
  <c r="BD85" i="12"/>
  <c r="BD95" i="12" s="1"/>
  <c r="BD105" i="12" s="1"/>
  <c r="BD84" i="12"/>
  <c r="BD94" i="12" s="1"/>
  <c r="BD104" i="12" s="1"/>
  <c r="BD86" i="12"/>
  <c r="BD96" i="12" s="1"/>
  <c r="BD106" i="12" s="1"/>
  <c r="BD88" i="12"/>
  <c r="BD98" i="12" s="1"/>
  <c r="BD108" i="12" s="1"/>
  <c r="O139" i="13"/>
  <c r="O149" i="13" s="1"/>
  <c r="O159" i="13" s="1"/>
  <c r="O137" i="13"/>
  <c r="O147" i="13" s="1"/>
  <c r="O157" i="13" s="1"/>
  <c r="O138" i="13"/>
  <c r="O148" i="13" s="1"/>
  <c r="O158" i="13" s="1"/>
  <c r="O140" i="13"/>
  <c r="O150" i="13" s="1"/>
  <c r="O160" i="13" s="1"/>
  <c r="O134" i="13"/>
  <c r="O144" i="13" s="1"/>
  <c r="O154" i="13" s="1"/>
  <c r="O136" i="13"/>
  <c r="O146" i="13" s="1"/>
  <c r="O156" i="13" s="1"/>
  <c r="O135" i="13"/>
  <c r="O145" i="13" s="1"/>
  <c r="O155" i="13" s="1"/>
  <c r="O36" i="13"/>
  <c r="O46" i="13" s="1"/>
  <c r="O56" i="13" s="1"/>
  <c r="O31" i="13"/>
  <c r="O41" i="13" s="1"/>
  <c r="O51" i="13" s="1"/>
  <c r="O33" i="13"/>
  <c r="O43" i="13" s="1"/>
  <c r="O53" i="13" s="1"/>
  <c r="O30" i="13"/>
  <c r="O40" i="13" s="1"/>
  <c r="O50" i="13" s="1"/>
  <c r="O34" i="13"/>
  <c r="O44" i="13" s="1"/>
  <c r="O54" i="13" s="1"/>
  <c r="O32" i="13"/>
  <c r="O42" i="13" s="1"/>
  <c r="O52" i="13" s="1"/>
  <c r="O35" i="13"/>
  <c r="O45" i="13" s="1"/>
  <c r="O55" i="13" s="1"/>
  <c r="BC36" i="13"/>
  <c r="BC46" i="13" s="1"/>
  <c r="BC56" i="13" s="1"/>
  <c r="BC31" i="13"/>
  <c r="BC41" i="13" s="1"/>
  <c r="BC51" i="13" s="1"/>
  <c r="BC33" i="13"/>
  <c r="BC43" i="13" s="1"/>
  <c r="BC53" i="13" s="1"/>
  <c r="BC35" i="13"/>
  <c r="BC45" i="13" s="1"/>
  <c r="BC55" i="13" s="1"/>
  <c r="BC32" i="13"/>
  <c r="BC42" i="13" s="1"/>
  <c r="BC52" i="13" s="1"/>
  <c r="BC30" i="13"/>
  <c r="BC40" i="13" s="1"/>
  <c r="BC50" i="13" s="1"/>
  <c r="BC34" i="13"/>
  <c r="BC44" i="13" s="1"/>
  <c r="BC54" i="13" s="1"/>
  <c r="N189" i="13"/>
  <c r="N199" i="13" s="1"/>
  <c r="N209" i="13" s="1"/>
  <c r="N192" i="13"/>
  <c r="N202" i="13" s="1"/>
  <c r="N212" i="13" s="1"/>
  <c r="N186" i="13"/>
  <c r="N196" i="13" s="1"/>
  <c r="N206" i="13" s="1"/>
  <c r="N190" i="13"/>
  <c r="N200" i="13" s="1"/>
  <c r="N210" i="13" s="1"/>
  <c r="N191" i="13"/>
  <c r="N201" i="13" s="1"/>
  <c r="N211" i="13" s="1"/>
  <c r="N188" i="13"/>
  <c r="N198" i="13" s="1"/>
  <c r="N208" i="13" s="1"/>
  <c r="N187" i="13"/>
  <c r="N197" i="13" s="1"/>
  <c r="N207" i="13" s="1"/>
  <c r="P33" i="12"/>
  <c r="P43" i="12" s="1"/>
  <c r="P53" i="12" s="1"/>
  <c r="P36" i="12"/>
  <c r="P46" i="12" s="1"/>
  <c r="P56" i="12" s="1"/>
  <c r="P32" i="12"/>
  <c r="P42" i="12" s="1"/>
  <c r="P52" i="12" s="1"/>
  <c r="P35" i="12"/>
  <c r="P45" i="12" s="1"/>
  <c r="P55" i="12" s="1"/>
  <c r="P34" i="12"/>
  <c r="P44" i="12" s="1"/>
  <c r="P54" i="12" s="1"/>
  <c r="P87" i="13"/>
  <c r="P97" i="13" s="1"/>
  <c r="P107" i="13" s="1"/>
  <c r="P84" i="13"/>
  <c r="P94" i="13" s="1"/>
  <c r="P104" i="13" s="1"/>
  <c r="P85" i="13"/>
  <c r="P95" i="13" s="1"/>
  <c r="P105" i="13" s="1"/>
  <c r="P83" i="13"/>
  <c r="P93" i="13" s="1"/>
  <c r="P103" i="13" s="1"/>
  <c r="P86" i="13"/>
  <c r="P96" i="13" s="1"/>
  <c r="P106" i="13" s="1"/>
  <c r="P82" i="13"/>
  <c r="P92" i="13" s="1"/>
  <c r="P102" i="13" s="1"/>
  <c r="P88" i="13"/>
  <c r="P98" i="13" s="1"/>
  <c r="P108" i="13" s="1"/>
  <c r="M241" i="13"/>
  <c r="M251" i="13" s="1"/>
  <c r="M261" i="13" s="1"/>
  <c r="M243" i="13"/>
  <c r="M253" i="13" s="1"/>
  <c r="M263" i="13" s="1"/>
  <c r="M240" i="13"/>
  <c r="M250" i="13" s="1"/>
  <c r="M260" i="13" s="1"/>
  <c r="M244" i="13"/>
  <c r="M254" i="13" s="1"/>
  <c r="M264" i="13" s="1"/>
  <c r="M238" i="13"/>
  <c r="M248" i="13" s="1"/>
  <c r="M258" i="13" s="1"/>
  <c r="M242" i="13"/>
  <c r="M252" i="13" s="1"/>
  <c r="M262" i="13" s="1"/>
  <c r="M239" i="13"/>
  <c r="M249" i="13" s="1"/>
  <c r="M259" i="13" s="1"/>
  <c r="O136" i="12"/>
  <c r="O146" i="12" s="1"/>
  <c r="O156" i="12" s="1"/>
  <c r="O140" i="12"/>
  <c r="O150" i="12" s="1"/>
  <c r="O160" i="12" s="1"/>
  <c r="O137" i="12"/>
  <c r="O147" i="12" s="1"/>
  <c r="O157" i="12" s="1"/>
  <c r="O139" i="12"/>
  <c r="O149" i="12" s="1"/>
  <c r="O159" i="12" s="1"/>
  <c r="O138" i="12"/>
  <c r="O148" i="12" s="1"/>
  <c r="O158" i="12" s="1"/>
  <c r="BB187" i="13"/>
  <c r="BB197" i="13" s="1"/>
  <c r="BB207" i="13" s="1"/>
  <c r="BB189" i="13"/>
  <c r="BB199" i="13" s="1"/>
  <c r="BB209" i="13" s="1"/>
  <c r="BB192" i="13"/>
  <c r="BB202" i="13" s="1"/>
  <c r="BB212" i="13" s="1"/>
  <c r="BB191" i="13"/>
  <c r="BB201" i="13" s="1"/>
  <c r="BB211" i="13" s="1"/>
  <c r="BB186" i="13"/>
  <c r="BB196" i="13" s="1"/>
  <c r="BB206" i="13" s="1"/>
  <c r="BB190" i="13"/>
  <c r="BB200" i="13" s="1"/>
  <c r="BB210" i="13" s="1"/>
  <c r="BB188" i="13"/>
  <c r="BB198" i="13" s="1"/>
  <c r="BB208" i="13" s="1"/>
  <c r="BD32" i="12"/>
  <c r="BD42" i="12" s="1"/>
  <c r="BD52" i="12" s="1"/>
  <c r="BD36" i="12"/>
  <c r="BD46" i="12" s="1"/>
  <c r="BD56" i="12" s="1"/>
  <c r="BD33" i="12"/>
  <c r="BD43" i="12" s="1"/>
  <c r="BD53" i="12" s="1"/>
  <c r="BD34" i="12"/>
  <c r="BD44" i="12" s="1"/>
  <c r="BD54" i="12" s="1"/>
  <c r="BD35" i="12"/>
  <c r="BD45" i="12" s="1"/>
  <c r="BD55" i="12" s="1"/>
  <c r="AX270" i="13"/>
  <c r="BA112" i="13"/>
  <c r="AZ115" i="13" s="1"/>
  <c r="AY218" i="13"/>
  <c r="K218" i="12"/>
  <c r="O59" i="12"/>
  <c r="N62" i="12" s="1"/>
  <c r="M114" i="13"/>
  <c r="L267" i="13"/>
  <c r="K270" i="13" s="1"/>
  <c r="BA60" i="12"/>
  <c r="AZ63" i="12" s="1"/>
  <c r="AZ164" i="12"/>
  <c r="AY167" i="12" s="1"/>
  <c r="BC111" i="12"/>
  <c r="BB112" i="12" s="1"/>
  <c r="AZ267" i="13"/>
  <c r="AY270" i="13" s="1"/>
  <c r="L60" i="13"/>
  <c r="K63" i="13" s="1"/>
  <c r="L164" i="13"/>
  <c r="K167" i="13" s="1"/>
  <c r="AX268" i="12"/>
  <c r="AW271" i="12" s="1"/>
  <c r="L164" i="12"/>
  <c r="K167" i="12" s="1"/>
  <c r="O111" i="13"/>
  <c r="N114" i="13" s="1"/>
  <c r="AZ60" i="13"/>
  <c r="AY63" i="13" s="1"/>
  <c r="N163" i="12"/>
  <c r="M166" i="12" s="1"/>
  <c r="AZ267" i="12"/>
  <c r="AY268" i="12" s="1"/>
  <c r="M215" i="13"/>
  <c r="L218" i="13" s="1"/>
  <c r="M215" i="12"/>
  <c r="L218" i="12" s="1"/>
  <c r="BB163" i="12"/>
  <c r="BA164" i="12" s="1"/>
  <c r="N163" i="13"/>
  <c r="M166" i="13" s="1"/>
  <c r="L267" i="12"/>
  <c r="K268" i="12" s="1"/>
  <c r="BC59" i="12"/>
  <c r="BB62" i="12" s="1"/>
  <c r="BA215" i="13"/>
  <c r="AZ216" i="13" s="1"/>
  <c r="AY219" i="13" s="1"/>
  <c r="BB59" i="13"/>
  <c r="BA60" i="13" s="1"/>
  <c r="BC111" i="13"/>
  <c r="BB112" i="13" s="1"/>
  <c r="P89" i="13"/>
  <c r="P99" i="13" s="1"/>
  <c r="P109" i="13" s="1"/>
  <c r="P80" i="13"/>
  <c r="P90" i="13" s="1"/>
  <c r="P100" i="13" s="1"/>
  <c r="P173" i="12"/>
  <c r="O183" i="12"/>
  <c r="O187" i="12" s="1"/>
  <c r="O197" i="12" s="1"/>
  <c r="O207" i="12" s="1"/>
  <c r="O174" i="12"/>
  <c r="O214" i="12"/>
  <c r="BB278" i="13"/>
  <c r="BC277" i="13"/>
  <c r="BB287" i="13"/>
  <c r="BB289" i="13" s="1"/>
  <c r="BB299" i="13" s="1"/>
  <c r="BB309" i="13" s="1"/>
  <c r="BB318" i="13"/>
  <c r="O277" i="13"/>
  <c r="N287" i="13"/>
  <c r="N289" i="13" s="1"/>
  <c r="N299" i="13" s="1"/>
  <c r="N309" i="13" s="1"/>
  <c r="N278" i="13"/>
  <c r="N318" i="13"/>
  <c r="BA236" i="12"/>
  <c r="BA246" i="12" s="1"/>
  <c r="BA256" i="12" s="1"/>
  <c r="BA245" i="12"/>
  <c r="BA255" i="12" s="1"/>
  <c r="BA265" i="12" s="1"/>
  <c r="BA238" i="12"/>
  <c r="BA248" i="12" s="1"/>
  <c r="BA258" i="12" s="1"/>
  <c r="BA237" i="12"/>
  <c r="BA247" i="12" s="1"/>
  <c r="BA257" i="12" s="1"/>
  <c r="R17" i="12"/>
  <c r="Q27" i="12"/>
  <c r="Q31" i="12" s="1"/>
  <c r="Q41" i="12" s="1"/>
  <c r="Q51" i="12" s="1"/>
  <c r="Q18" i="12"/>
  <c r="Q58" i="12"/>
  <c r="R69" i="13"/>
  <c r="Q79" i="13"/>
  <c r="Q81" i="13" s="1"/>
  <c r="Q91" i="13" s="1"/>
  <c r="Q101" i="13" s="1"/>
  <c r="Q70" i="13"/>
  <c r="Q110" i="13"/>
  <c r="O225" i="13"/>
  <c r="N235" i="13"/>
  <c r="N237" i="13" s="1"/>
  <c r="N247" i="13" s="1"/>
  <c r="N257" i="13" s="1"/>
  <c r="N226" i="13"/>
  <c r="N266" i="13"/>
  <c r="Q121" i="13"/>
  <c r="P131" i="13"/>
  <c r="P133" i="13" s="1"/>
  <c r="P143" i="13" s="1"/>
  <c r="P153" i="13" s="1"/>
  <c r="P122" i="13"/>
  <c r="P162" i="13"/>
  <c r="O37" i="13"/>
  <c r="O47" i="13" s="1"/>
  <c r="O57" i="13" s="1"/>
  <c r="O28" i="13"/>
  <c r="O38" i="13" s="1"/>
  <c r="O48" i="13" s="1"/>
  <c r="BD80" i="13"/>
  <c r="BD90" i="13" s="1"/>
  <c r="BD100" i="13" s="1"/>
  <c r="BD89" i="13"/>
  <c r="BD99" i="13" s="1"/>
  <c r="BD109" i="13" s="1"/>
  <c r="BC132" i="12"/>
  <c r="BC142" i="12" s="1"/>
  <c r="BC152" i="12" s="1"/>
  <c r="BC141" i="12"/>
  <c r="BC151" i="12" s="1"/>
  <c r="BC161" i="12" s="1"/>
  <c r="BC133" i="12"/>
  <c r="BC143" i="12" s="1"/>
  <c r="BC153" i="12" s="1"/>
  <c r="BC134" i="12"/>
  <c r="BC144" i="12" s="1"/>
  <c r="BC154" i="12" s="1"/>
  <c r="O225" i="12"/>
  <c r="N235" i="12"/>
  <c r="N239" i="12" s="1"/>
  <c r="N249" i="12" s="1"/>
  <c r="N259" i="12" s="1"/>
  <c r="N226" i="12"/>
  <c r="N266" i="12"/>
  <c r="M297" i="12"/>
  <c r="M307" i="12" s="1"/>
  <c r="M317" i="12" s="1"/>
  <c r="M288" i="12"/>
  <c r="M298" i="12" s="1"/>
  <c r="M308" i="12" s="1"/>
  <c r="M292" i="12"/>
  <c r="M302" i="12" s="1"/>
  <c r="M312" i="12" s="1"/>
  <c r="M293" i="12"/>
  <c r="M303" i="12" s="1"/>
  <c r="M313" i="12" s="1"/>
  <c r="M296" i="12"/>
  <c r="M306" i="12" s="1"/>
  <c r="M316" i="12" s="1"/>
  <c r="M294" i="12"/>
  <c r="M304" i="12" s="1"/>
  <c r="M314" i="12" s="1"/>
  <c r="M295" i="12"/>
  <c r="M305" i="12" s="1"/>
  <c r="M315" i="12" s="1"/>
  <c r="BD28" i="12"/>
  <c r="BD38" i="12" s="1"/>
  <c r="BD48" i="12" s="1"/>
  <c r="BD37" i="12"/>
  <c r="BD47" i="12" s="1"/>
  <c r="BD57" i="12" s="1"/>
  <c r="BD30" i="12"/>
  <c r="BD40" i="12" s="1"/>
  <c r="BD50" i="12" s="1"/>
  <c r="BD29" i="12"/>
  <c r="BD39" i="12" s="1"/>
  <c r="BD49" i="12" s="1"/>
  <c r="BC225" i="12"/>
  <c r="BB235" i="12"/>
  <c r="BB239" i="12" s="1"/>
  <c r="BB249" i="12" s="1"/>
  <c r="BB259" i="12" s="1"/>
  <c r="BB226" i="12"/>
  <c r="BB266" i="12"/>
  <c r="N193" i="12"/>
  <c r="N203" i="12" s="1"/>
  <c r="N213" i="12" s="1"/>
  <c r="N184" i="12"/>
  <c r="N194" i="12" s="1"/>
  <c r="N204" i="12" s="1"/>
  <c r="N185" i="12"/>
  <c r="N195" i="12" s="1"/>
  <c r="N205" i="12" s="1"/>
  <c r="N186" i="12"/>
  <c r="N196" i="12" s="1"/>
  <c r="N206" i="12" s="1"/>
  <c r="P28" i="12"/>
  <c r="P38" i="12" s="1"/>
  <c r="P48" i="12" s="1"/>
  <c r="P37" i="12"/>
  <c r="P47" i="12" s="1"/>
  <c r="P57" i="12" s="1"/>
  <c r="P30" i="12"/>
  <c r="P40" i="12" s="1"/>
  <c r="P50" i="12" s="1"/>
  <c r="P29" i="12"/>
  <c r="P39" i="12" s="1"/>
  <c r="P49" i="12" s="1"/>
  <c r="BA288" i="13"/>
  <c r="BA298" i="13" s="1"/>
  <c r="BA308" i="13" s="1"/>
  <c r="BA297" i="13"/>
  <c r="BA307" i="13" s="1"/>
  <c r="BA317" i="13" s="1"/>
  <c r="BA294" i="13"/>
  <c r="BA304" i="13" s="1"/>
  <c r="BA314" i="13" s="1"/>
  <c r="BA291" i="13"/>
  <c r="BA301" i="13" s="1"/>
  <c r="BA311" i="13" s="1"/>
  <c r="BA296" i="13"/>
  <c r="BA306" i="13" s="1"/>
  <c r="BA316" i="13" s="1"/>
  <c r="BA290" i="13"/>
  <c r="BA300" i="13" s="1"/>
  <c r="BA310" i="13" s="1"/>
  <c r="BA292" i="13"/>
  <c r="BA302" i="13" s="1"/>
  <c r="BA312" i="13" s="1"/>
  <c r="BA293" i="13"/>
  <c r="BA303" i="13" s="1"/>
  <c r="BA313" i="13" s="1"/>
  <c r="BA295" i="13"/>
  <c r="BA305" i="13" s="1"/>
  <c r="BA315" i="13" s="1"/>
  <c r="BB287" i="12"/>
  <c r="BC277" i="12"/>
  <c r="BB278" i="12"/>
  <c r="BB318" i="12"/>
  <c r="BE17" i="13"/>
  <c r="BD18" i="13"/>
  <c r="BD27" i="13"/>
  <c r="BD29" i="13" s="1"/>
  <c r="BD39" i="13" s="1"/>
  <c r="BD49" i="13" s="1"/>
  <c r="BD58" i="13"/>
  <c r="N193" i="13"/>
  <c r="N203" i="13" s="1"/>
  <c r="N213" i="13" s="1"/>
  <c r="N184" i="13"/>
  <c r="N194" i="13" s="1"/>
  <c r="N204" i="13" s="1"/>
  <c r="BE121" i="12"/>
  <c r="BD131" i="12"/>
  <c r="BD135" i="12" s="1"/>
  <c r="BD145" i="12" s="1"/>
  <c r="BD155" i="12" s="1"/>
  <c r="BD122" i="12"/>
  <c r="BD162" i="12"/>
  <c r="O277" i="12"/>
  <c r="N287" i="12"/>
  <c r="N278" i="12"/>
  <c r="N318" i="12"/>
  <c r="O141" i="13"/>
  <c r="O151" i="13" s="1"/>
  <c r="O161" i="13" s="1"/>
  <c r="O132" i="13"/>
  <c r="O142" i="13" s="1"/>
  <c r="O152" i="13" s="1"/>
  <c r="Q17" i="13"/>
  <c r="P27" i="13"/>
  <c r="P29" i="13" s="1"/>
  <c r="P39" i="13" s="1"/>
  <c r="P49" i="13" s="1"/>
  <c r="P18" i="13"/>
  <c r="P58" i="13"/>
  <c r="BE79" i="13"/>
  <c r="BE81" i="13" s="1"/>
  <c r="BE91" i="13" s="1"/>
  <c r="BE101" i="13" s="1"/>
  <c r="BF69" i="13"/>
  <c r="BE70" i="13"/>
  <c r="BE110" i="13"/>
  <c r="O141" i="12"/>
  <c r="O151" i="12" s="1"/>
  <c r="O161" i="12" s="1"/>
  <c r="O132" i="12"/>
  <c r="O142" i="12" s="1"/>
  <c r="O152" i="12" s="1"/>
  <c r="O134" i="12"/>
  <c r="O144" i="12" s="1"/>
  <c r="O154" i="12" s="1"/>
  <c r="O133" i="12"/>
  <c r="O143" i="12" s="1"/>
  <c r="O153" i="12" s="1"/>
  <c r="BA245" i="13"/>
  <c r="BA255" i="13" s="1"/>
  <c r="BA265" i="13" s="1"/>
  <c r="BA236" i="13"/>
  <c r="BA246" i="13" s="1"/>
  <c r="BA256" i="13" s="1"/>
  <c r="BB184" i="13"/>
  <c r="BB194" i="13" s="1"/>
  <c r="BB204" i="13" s="1"/>
  <c r="BB193" i="13"/>
  <c r="BB203" i="13" s="1"/>
  <c r="BB213" i="13" s="1"/>
  <c r="BD89" i="12"/>
  <c r="BD99" i="12" s="1"/>
  <c r="BD109" i="12" s="1"/>
  <c r="BD80" i="12"/>
  <c r="BD90" i="12" s="1"/>
  <c r="BD100" i="12" s="1"/>
  <c r="BD82" i="12"/>
  <c r="BD92" i="12" s="1"/>
  <c r="BD102" i="12" s="1"/>
  <c r="BD81" i="12"/>
  <c r="BD91" i="12" s="1"/>
  <c r="BD101" i="12" s="1"/>
  <c r="M297" i="13"/>
  <c r="M307" i="13" s="1"/>
  <c r="M317" i="13" s="1"/>
  <c r="M288" i="13"/>
  <c r="M298" i="13" s="1"/>
  <c r="M308" i="13" s="1"/>
  <c r="M295" i="13"/>
  <c r="M305" i="13" s="1"/>
  <c r="M315" i="13" s="1"/>
  <c r="M291" i="13"/>
  <c r="M301" i="13" s="1"/>
  <c r="M311" i="13" s="1"/>
  <c r="M290" i="13"/>
  <c r="M300" i="13" s="1"/>
  <c r="M310" i="13" s="1"/>
  <c r="M293" i="13"/>
  <c r="M303" i="13" s="1"/>
  <c r="M313" i="13" s="1"/>
  <c r="M292" i="13"/>
  <c r="M302" i="13" s="1"/>
  <c r="M312" i="13" s="1"/>
  <c r="M294" i="13"/>
  <c r="M304" i="13" s="1"/>
  <c r="M314" i="13" s="1"/>
  <c r="M296" i="13"/>
  <c r="M306" i="13" s="1"/>
  <c r="M316" i="13" s="1"/>
  <c r="BA288" i="12"/>
  <c r="BA298" i="12" s="1"/>
  <c r="BA308" i="12" s="1"/>
  <c r="BA297" i="12"/>
  <c r="BA307" i="12" s="1"/>
  <c r="BA317" i="12" s="1"/>
  <c r="BA293" i="12"/>
  <c r="BA303" i="12" s="1"/>
  <c r="BA313" i="12" s="1"/>
  <c r="BA296" i="12"/>
  <c r="BA306" i="12" s="1"/>
  <c r="BA316" i="12" s="1"/>
  <c r="BA294" i="12"/>
  <c r="BA304" i="12" s="1"/>
  <c r="BA314" i="12" s="1"/>
  <c r="BA295" i="12"/>
  <c r="BA305" i="12" s="1"/>
  <c r="BA315" i="12" s="1"/>
  <c r="BA292" i="12"/>
  <c r="BA302" i="12" s="1"/>
  <c r="BA312" i="12" s="1"/>
  <c r="M245" i="13"/>
  <c r="M255" i="13" s="1"/>
  <c r="M265" i="13" s="1"/>
  <c r="M236" i="13"/>
  <c r="M246" i="13" s="1"/>
  <c r="M256" i="13" s="1"/>
  <c r="BC28" i="13"/>
  <c r="BC38" i="13" s="1"/>
  <c r="BC48" i="13" s="1"/>
  <c r="BC37" i="13"/>
  <c r="BC47" i="13" s="1"/>
  <c r="BC57" i="13" s="1"/>
  <c r="Q121" i="12"/>
  <c r="P131" i="12"/>
  <c r="P135" i="12" s="1"/>
  <c r="P145" i="12" s="1"/>
  <c r="P155" i="12" s="1"/>
  <c r="P122" i="12"/>
  <c r="P162" i="12"/>
  <c r="P173" i="13"/>
  <c r="O174" i="13"/>
  <c r="O183" i="13"/>
  <c r="O185" i="13" s="1"/>
  <c r="O195" i="13" s="1"/>
  <c r="O205" i="13" s="1"/>
  <c r="O214" i="13"/>
  <c r="M245" i="12"/>
  <c r="M255" i="12" s="1"/>
  <c r="M265" i="12" s="1"/>
  <c r="M236" i="12"/>
  <c r="M246" i="12" s="1"/>
  <c r="M256" i="12" s="1"/>
  <c r="M238" i="12"/>
  <c r="M248" i="12" s="1"/>
  <c r="M258" i="12" s="1"/>
  <c r="M237" i="12"/>
  <c r="M247" i="12" s="1"/>
  <c r="M257" i="12" s="1"/>
  <c r="BC225" i="13"/>
  <c r="BB235" i="13"/>
  <c r="BB237" i="13" s="1"/>
  <c r="BB247" i="13" s="1"/>
  <c r="BB257" i="13" s="1"/>
  <c r="BB226" i="13"/>
  <c r="BB266" i="13"/>
  <c r="BD173" i="13"/>
  <c r="BC174" i="13"/>
  <c r="BC183" i="13"/>
  <c r="BC185" i="13" s="1"/>
  <c r="BC195" i="13" s="1"/>
  <c r="BC205" i="13" s="1"/>
  <c r="BC214" i="13"/>
  <c r="BF69" i="12"/>
  <c r="BE79" i="12"/>
  <c r="BE83" i="12" s="1"/>
  <c r="BE93" i="12" s="1"/>
  <c r="BE103" i="12" s="1"/>
  <c r="BE70" i="12"/>
  <c r="BE110" i="12"/>
  <c r="BE27" i="12"/>
  <c r="BE31" i="12" s="1"/>
  <c r="BE41" i="12" s="1"/>
  <c r="BE51" i="12" s="1"/>
  <c r="BF17" i="12"/>
  <c r="BE18" i="12"/>
  <c r="BE58" i="12"/>
  <c r="BC136" i="13" l="1"/>
  <c r="BC146" i="13" s="1"/>
  <c r="BC156" i="13" s="1"/>
  <c r="BC135" i="13"/>
  <c r="BC145" i="13" s="1"/>
  <c r="BC155" i="13" s="1"/>
  <c r="BC134" i="13"/>
  <c r="BC144" i="13" s="1"/>
  <c r="BC154" i="13" s="1"/>
  <c r="BC140" i="13"/>
  <c r="BC150" i="13" s="1"/>
  <c r="BC160" i="13" s="1"/>
  <c r="BC139" i="13"/>
  <c r="BC149" i="13" s="1"/>
  <c r="BC159" i="13" s="1"/>
  <c r="BC137" i="13"/>
  <c r="BC147" i="13" s="1"/>
  <c r="BC157" i="13" s="1"/>
  <c r="BC138" i="13"/>
  <c r="BC148" i="13" s="1"/>
  <c r="BC158" i="13" s="1"/>
  <c r="BB163" i="13"/>
  <c r="BA166" i="13" s="1"/>
  <c r="BE121" i="13"/>
  <c r="BF121" i="13" s="1"/>
  <c r="BD131" i="13"/>
  <c r="BD133" i="13" s="1"/>
  <c r="BD143" i="13" s="1"/>
  <c r="BD153" i="13" s="1"/>
  <c r="O86" i="12"/>
  <c r="O96" i="12" s="1"/>
  <c r="O106" i="12" s="1"/>
  <c r="O88" i="12"/>
  <c r="O98" i="12" s="1"/>
  <c r="O108" i="12" s="1"/>
  <c r="O87" i="12"/>
  <c r="O97" i="12" s="1"/>
  <c r="O107" i="12" s="1"/>
  <c r="O85" i="12"/>
  <c r="O95" i="12" s="1"/>
  <c r="O105" i="12" s="1"/>
  <c r="AY167" i="13"/>
  <c r="BC141" i="13"/>
  <c r="BC151" i="13" s="1"/>
  <c r="BC161" i="13" s="1"/>
  <c r="BC132" i="13"/>
  <c r="BC142" i="13" s="1"/>
  <c r="BC152" i="13" s="1"/>
  <c r="BD162" i="13"/>
  <c r="M319" i="12"/>
  <c r="L322" i="12" s="1"/>
  <c r="L115" i="13"/>
  <c r="J219" i="12"/>
  <c r="N111" i="12"/>
  <c r="M112" i="12" s="1"/>
  <c r="O83" i="12"/>
  <c r="O93" i="12" s="1"/>
  <c r="O103" i="12" s="1"/>
  <c r="O80" i="12"/>
  <c r="O90" i="12" s="1"/>
  <c r="O100" i="12" s="1"/>
  <c r="O81" i="12"/>
  <c r="O91" i="12" s="1"/>
  <c r="O101" i="12" s="1"/>
  <c r="O84" i="12"/>
  <c r="O94" i="12" s="1"/>
  <c r="O104" i="12" s="1"/>
  <c r="O82" i="12"/>
  <c r="O92" i="12" s="1"/>
  <c r="O102" i="12" s="1"/>
  <c r="O89" i="12"/>
  <c r="O99" i="12" s="1"/>
  <c r="O109" i="12" s="1"/>
  <c r="L114" i="12"/>
  <c r="L112" i="12"/>
  <c r="K115" i="12" s="1"/>
  <c r="P110" i="12"/>
  <c r="P79" i="12"/>
  <c r="Q69" i="12"/>
  <c r="P70" i="12"/>
  <c r="BA192" i="12"/>
  <c r="BA202" i="12" s="1"/>
  <c r="BA212" i="12" s="1"/>
  <c r="BA191" i="12"/>
  <c r="BA201" i="12" s="1"/>
  <c r="BA211" i="12" s="1"/>
  <c r="BA189" i="12"/>
  <c r="BA199" i="12" s="1"/>
  <c r="BA209" i="12" s="1"/>
  <c r="BA190" i="12"/>
  <c r="BA200" i="12" s="1"/>
  <c r="BA210" i="12" s="1"/>
  <c r="BA115" i="13"/>
  <c r="AZ167" i="12"/>
  <c r="AX216" i="12"/>
  <c r="AW219" i="12" s="1"/>
  <c r="BB183" i="12"/>
  <c r="BB188" i="12" s="1"/>
  <c r="BB198" i="12" s="1"/>
  <c r="BB208" i="12" s="1"/>
  <c r="BB174" i="12"/>
  <c r="BC173" i="12"/>
  <c r="BB214" i="12"/>
  <c r="J271" i="12"/>
  <c r="BA187" i="12"/>
  <c r="BA197" i="12" s="1"/>
  <c r="BA207" i="12" s="1"/>
  <c r="BA185" i="12"/>
  <c r="BA195" i="12" s="1"/>
  <c r="BA205" i="12" s="1"/>
  <c r="BA193" i="12"/>
  <c r="BA203" i="12" s="1"/>
  <c r="BA213" i="12" s="1"/>
  <c r="BA184" i="12"/>
  <c r="BA194" i="12" s="1"/>
  <c r="BA204" i="12" s="1"/>
  <c r="BA186" i="12"/>
  <c r="BA196" i="12" s="1"/>
  <c r="BA206" i="12" s="1"/>
  <c r="N60" i="12"/>
  <c r="M63" i="12" s="1"/>
  <c r="K322" i="13"/>
  <c r="AZ215" i="12"/>
  <c r="AY322" i="13"/>
  <c r="K268" i="13"/>
  <c r="J271" i="13" s="1"/>
  <c r="M60" i="13"/>
  <c r="L63" i="13" s="1"/>
  <c r="AY268" i="13"/>
  <c r="AX271" i="13" s="1"/>
  <c r="K270" i="12"/>
  <c r="BA115" i="12"/>
  <c r="K320" i="12"/>
  <c r="J323" i="12" s="1"/>
  <c r="J323" i="13"/>
  <c r="BA62" i="13"/>
  <c r="AY320" i="12"/>
  <c r="AX323" i="12" s="1"/>
  <c r="BB114" i="12"/>
  <c r="BA319" i="12"/>
  <c r="AZ322" i="12" s="1"/>
  <c r="M319" i="13"/>
  <c r="L320" i="13" s="1"/>
  <c r="K323" i="13" s="1"/>
  <c r="N291" i="12"/>
  <c r="N301" i="12" s="1"/>
  <c r="N311" i="12" s="1"/>
  <c r="N290" i="12"/>
  <c r="N300" i="12" s="1"/>
  <c r="N310" i="12" s="1"/>
  <c r="N289" i="12"/>
  <c r="N299" i="12" s="1"/>
  <c r="N309" i="12" s="1"/>
  <c r="BB291" i="12"/>
  <c r="BB301" i="12" s="1"/>
  <c r="BB311" i="12" s="1"/>
  <c r="BB289" i="12"/>
  <c r="BB299" i="12" s="1"/>
  <c r="BB309" i="12" s="1"/>
  <c r="BB290" i="12"/>
  <c r="BB300" i="12" s="1"/>
  <c r="BB310" i="12" s="1"/>
  <c r="BA319" i="13"/>
  <c r="AZ322" i="13" s="1"/>
  <c r="BC163" i="12"/>
  <c r="BB166" i="12" s="1"/>
  <c r="P111" i="13"/>
  <c r="O112" i="13" s="1"/>
  <c r="L216" i="12"/>
  <c r="K219" i="12" s="1"/>
  <c r="BB243" i="13"/>
  <c r="BB253" i="13" s="1"/>
  <c r="BB263" i="13" s="1"/>
  <c r="BB240" i="13"/>
  <c r="BB250" i="13" s="1"/>
  <c r="BB260" i="13" s="1"/>
  <c r="BB238" i="13"/>
  <c r="BB248" i="13" s="1"/>
  <c r="BB258" i="13" s="1"/>
  <c r="BB241" i="13"/>
  <c r="BB251" i="13" s="1"/>
  <c r="BB261" i="13" s="1"/>
  <c r="BB244" i="13"/>
  <c r="BB254" i="13" s="1"/>
  <c r="BB264" i="13" s="1"/>
  <c r="BB242" i="13"/>
  <c r="BB252" i="13" s="1"/>
  <c r="BB262" i="13" s="1"/>
  <c r="BB239" i="13"/>
  <c r="BB249" i="13" s="1"/>
  <c r="BB259" i="13" s="1"/>
  <c r="O191" i="13"/>
  <c r="O201" i="13" s="1"/>
  <c r="O211" i="13" s="1"/>
  <c r="O192" i="13"/>
  <c r="O202" i="13" s="1"/>
  <c r="O212" i="13" s="1"/>
  <c r="O186" i="13"/>
  <c r="O196" i="13" s="1"/>
  <c r="O206" i="13" s="1"/>
  <c r="O189" i="13"/>
  <c r="O199" i="13" s="1"/>
  <c r="O209" i="13" s="1"/>
  <c r="O190" i="13"/>
  <c r="O200" i="13" s="1"/>
  <c r="O210" i="13" s="1"/>
  <c r="O188" i="13"/>
  <c r="O198" i="13" s="1"/>
  <c r="O208" i="13" s="1"/>
  <c r="O187" i="13"/>
  <c r="O197" i="13" s="1"/>
  <c r="O207" i="13" s="1"/>
  <c r="BE84" i="13"/>
  <c r="BE94" i="13" s="1"/>
  <c r="BE104" i="13" s="1"/>
  <c r="BE85" i="13"/>
  <c r="BE95" i="13" s="1"/>
  <c r="BE105" i="13" s="1"/>
  <c r="BE87" i="13"/>
  <c r="BE97" i="13" s="1"/>
  <c r="BE107" i="13" s="1"/>
  <c r="BE83" i="13"/>
  <c r="BE93" i="13" s="1"/>
  <c r="BE103" i="13" s="1"/>
  <c r="BE88" i="13"/>
  <c r="BE98" i="13" s="1"/>
  <c r="BE108" i="13" s="1"/>
  <c r="BE86" i="13"/>
  <c r="BE96" i="13" s="1"/>
  <c r="BE106" i="13" s="1"/>
  <c r="BE82" i="13"/>
  <c r="BE92" i="13" s="1"/>
  <c r="BE102" i="13" s="1"/>
  <c r="BD136" i="12"/>
  <c r="BD146" i="12" s="1"/>
  <c r="BD156" i="12" s="1"/>
  <c r="BD137" i="12"/>
  <c r="BD147" i="12" s="1"/>
  <c r="BD157" i="12" s="1"/>
  <c r="BD139" i="12"/>
  <c r="BD149" i="12" s="1"/>
  <c r="BD159" i="12" s="1"/>
  <c r="BD140" i="12"/>
  <c r="BD150" i="12" s="1"/>
  <c r="BD160" i="12" s="1"/>
  <c r="BD138" i="12"/>
  <c r="BD148" i="12" s="1"/>
  <c r="BD158" i="12" s="1"/>
  <c r="P137" i="13"/>
  <c r="P147" i="13" s="1"/>
  <c r="P157" i="13" s="1"/>
  <c r="P140" i="13"/>
  <c r="P150" i="13" s="1"/>
  <c r="P160" i="13" s="1"/>
  <c r="P138" i="13"/>
  <c r="P148" i="13" s="1"/>
  <c r="P158" i="13" s="1"/>
  <c r="P139" i="13"/>
  <c r="P149" i="13" s="1"/>
  <c r="P159" i="13" s="1"/>
  <c r="P134" i="13"/>
  <c r="P144" i="13" s="1"/>
  <c r="P154" i="13" s="1"/>
  <c r="P135" i="13"/>
  <c r="P145" i="13" s="1"/>
  <c r="P155" i="13" s="1"/>
  <c r="P136" i="13"/>
  <c r="P146" i="13" s="1"/>
  <c r="P156" i="13" s="1"/>
  <c r="N242" i="13"/>
  <c r="N252" i="13" s="1"/>
  <c r="N262" i="13" s="1"/>
  <c r="N239" i="13"/>
  <c r="N249" i="13" s="1"/>
  <c r="N259" i="13" s="1"/>
  <c r="N240" i="13"/>
  <c r="N250" i="13" s="1"/>
  <c r="N260" i="13" s="1"/>
  <c r="N241" i="13"/>
  <c r="N251" i="13" s="1"/>
  <c r="N261" i="13" s="1"/>
  <c r="N238" i="13"/>
  <c r="N248" i="13" s="1"/>
  <c r="N258" i="13" s="1"/>
  <c r="N244" i="13"/>
  <c r="N254" i="13" s="1"/>
  <c r="N264" i="13" s="1"/>
  <c r="N243" i="13"/>
  <c r="N253" i="13" s="1"/>
  <c r="N263" i="13" s="1"/>
  <c r="Q83" i="13"/>
  <c r="Q93" i="13" s="1"/>
  <c r="Q103" i="13" s="1"/>
  <c r="Q84" i="13"/>
  <c r="Q94" i="13" s="1"/>
  <c r="Q104" i="13" s="1"/>
  <c r="Q85" i="13"/>
  <c r="Q95" i="13" s="1"/>
  <c r="Q105" i="13" s="1"/>
  <c r="Q87" i="13"/>
  <c r="Q97" i="13" s="1"/>
  <c r="Q107" i="13" s="1"/>
  <c r="Q88" i="13"/>
  <c r="Q98" i="13" s="1"/>
  <c r="Q108" i="13" s="1"/>
  <c r="Q86" i="13"/>
  <c r="Q96" i="13" s="1"/>
  <c r="Q106" i="13" s="1"/>
  <c r="Q82" i="13"/>
  <c r="Q92" i="13" s="1"/>
  <c r="Q102" i="13" s="1"/>
  <c r="BD31" i="13"/>
  <c r="BD41" i="13" s="1"/>
  <c r="BD51" i="13" s="1"/>
  <c r="BD33" i="13"/>
  <c r="BD43" i="13" s="1"/>
  <c r="BD53" i="13" s="1"/>
  <c r="BD36" i="13"/>
  <c r="BD46" i="13" s="1"/>
  <c r="BD56" i="13" s="1"/>
  <c r="BD35" i="13"/>
  <c r="BD45" i="13" s="1"/>
  <c r="BD55" i="13" s="1"/>
  <c r="BD30" i="13"/>
  <c r="BD40" i="13" s="1"/>
  <c r="BD50" i="13" s="1"/>
  <c r="BD34" i="13"/>
  <c r="BD44" i="13" s="1"/>
  <c r="BD54" i="13" s="1"/>
  <c r="BD32" i="13"/>
  <c r="BD42" i="13" s="1"/>
  <c r="BD52" i="13" s="1"/>
  <c r="BB244" i="12"/>
  <c r="BB254" i="12" s="1"/>
  <c r="BB264" i="12" s="1"/>
  <c r="BB240" i="12"/>
  <c r="BB250" i="12" s="1"/>
  <c r="BB260" i="12" s="1"/>
  <c r="BB243" i="12"/>
  <c r="BB253" i="12" s="1"/>
  <c r="BB263" i="12" s="1"/>
  <c r="BB241" i="12"/>
  <c r="BB251" i="12" s="1"/>
  <c r="BB261" i="12" s="1"/>
  <c r="BB242" i="12"/>
  <c r="BB252" i="12" s="1"/>
  <c r="BB262" i="12" s="1"/>
  <c r="O191" i="12"/>
  <c r="O201" i="12" s="1"/>
  <c r="O211" i="12" s="1"/>
  <c r="O188" i="12"/>
  <c r="O198" i="12" s="1"/>
  <c r="O208" i="12" s="1"/>
  <c r="O190" i="12"/>
  <c r="O200" i="12" s="1"/>
  <c r="O210" i="12" s="1"/>
  <c r="O192" i="12"/>
  <c r="O202" i="12" s="1"/>
  <c r="O212" i="12" s="1"/>
  <c r="O189" i="12"/>
  <c r="O199" i="12" s="1"/>
  <c r="O209" i="12" s="1"/>
  <c r="BC190" i="13"/>
  <c r="BC200" i="13" s="1"/>
  <c r="BC210" i="13" s="1"/>
  <c r="BC191" i="13"/>
  <c r="BC201" i="13" s="1"/>
  <c r="BC211" i="13" s="1"/>
  <c r="BC189" i="13"/>
  <c r="BC199" i="13" s="1"/>
  <c r="BC209" i="13" s="1"/>
  <c r="BC192" i="13"/>
  <c r="BC202" i="13" s="1"/>
  <c r="BC212" i="13" s="1"/>
  <c r="BC186" i="13"/>
  <c r="BC196" i="13" s="1"/>
  <c r="BC206" i="13" s="1"/>
  <c r="BC187" i="13"/>
  <c r="BC197" i="13" s="1"/>
  <c r="BC207" i="13" s="1"/>
  <c r="BC188" i="13"/>
  <c r="BC198" i="13" s="1"/>
  <c r="BC208" i="13" s="1"/>
  <c r="Q36" i="12"/>
  <c r="Q46" i="12" s="1"/>
  <c r="Q56" i="12" s="1"/>
  <c r="Q33" i="12"/>
  <c r="Q43" i="12" s="1"/>
  <c r="Q53" i="12" s="1"/>
  <c r="Q32" i="12"/>
  <c r="Q42" i="12" s="1"/>
  <c r="Q52" i="12" s="1"/>
  <c r="Q34" i="12"/>
  <c r="Q44" i="12" s="1"/>
  <c r="Q54" i="12" s="1"/>
  <c r="Q35" i="12"/>
  <c r="Q45" i="12" s="1"/>
  <c r="Q55" i="12" s="1"/>
  <c r="BE33" i="12"/>
  <c r="BE43" i="12" s="1"/>
  <c r="BE53" i="12" s="1"/>
  <c r="BE36" i="12"/>
  <c r="BE46" i="12" s="1"/>
  <c r="BE56" i="12" s="1"/>
  <c r="BE32" i="12"/>
  <c r="BE42" i="12" s="1"/>
  <c r="BE52" i="12" s="1"/>
  <c r="BE35" i="12"/>
  <c r="BE45" i="12" s="1"/>
  <c r="BE55" i="12" s="1"/>
  <c r="BE34" i="12"/>
  <c r="BE44" i="12" s="1"/>
  <c r="BE54" i="12" s="1"/>
  <c r="BE87" i="12"/>
  <c r="BE97" i="12" s="1"/>
  <c r="BE107" i="12" s="1"/>
  <c r="BE85" i="12"/>
  <c r="BE95" i="12" s="1"/>
  <c r="BE105" i="12" s="1"/>
  <c r="BE84" i="12"/>
  <c r="BE94" i="12" s="1"/>
  <c r="BE104" i="12" s="1"/>
  <c r="BE86" i="12"/>
  <c r="BE96" i="12" s="1"/>
  <c r="BE106" i="12" s="1"/>
  <c r="BE88" i="12"/>
  <c r="BE98" i="12" s="1"/>
  <c r="BE108" i="12" s="1"/>
  <c r="BD134" i="13"/>
  <c r="BD144" i="13" s="1"/>
  <c r="BD154" i="13" s="1"/>
  <c r="BD135" i="13"/>
  <c r="BD145" i="13" s="1"/>
  <c r="BD155" i="13" s="1"/>
  <c r="P137" i="12"/>
  <c r="P147" i="12" s="1"/>
  <c r="P157" i="12" s="1"/>
  <c r="P139" i="12"/>
  <c r="P149" i="12" s="1"/>
  <c r="P159" i="12" s="1"/>
  <c r="P136" i="12"/>
  <c r="P146" i="12" s="1"/>
  <c r="P156" i="12" s="1"/>
  <c r="P140" i="12"/>
  <c r="P150" i="12" s="1"/>
  <c r="P160" i="12" s="1"/>
  <c r="P138" i="12"/>
  <c r="P148" i="12" s="1"/>
  <c r="P158" i="12" s="1"/>
  <c r="P31" i="13"/>
  <c r="P41" i="13" s="1"/>
  <c r="P51" i="13" s="1"/>
  <c r="P36" i="13"/>
  <c r="P46" i="13" s="1"/>
  <c r="P56" i="13" s="1"/>
  <c r="P33" i="13"/>
  <c r="P43" i="13" s="1"/>
  <c r="P53" i="13" s="1"/>
  <c r="P32" i="13"/>
  <c r="P42" i="13" s="1"/>
  <c r="P52" i="13" s="1"/>
  <c r="P35" i="13"/>
  <c r="P45" i="13" s="1"/>
  <c r="P55" i="13" s="1"/>
  <c r="P30" i="13"/>
  <c r="P40" i="13" s="1"/>
  <c r="P50" i="13" s="1"/>
  <c r="P34" i="13"/>
  <c r="P44" i="13" s="1"/>
  <c r="P54" i="13" s="1"/>
  <c r="N240" i="12"/>
  <c r="N250" i="12" s="1"/>
  <c r="N260" i="12" s="1"/>
  <c r="N243" i="12"/>
  <c r="N253" i="12" s="1"/>
  <c r="N263" i="12" s="1"/>
  <c r="N244" i="12"/>
  <c r="N254" i="12" s="1"/>
  <c r="N264" i="12" s="1"/>
  <c r="N242" i="12"/>
  <c r="N252" i="12" s="1"/>
  <c r="N262" i="12" s="1"/>
  <c r="N241" i="12"/>
  <c r="N251" i="12" s="1"/>
  <c r="N261" i="12" s="1"/>
  <c r="BA166" i="12"/>
  <c r="M164" i="12"/>
  <c r="L167" i="12" s="1"/>
  <c r="AZ63" i="13"/>
  <c r="BD111" i="13"/>
  <c r="BC114" i="13" s="1"/>
  <c r="O163" i="13"/>
  <c r="N164" i="13" s="1"/>
  <c r="BD59" i="12"/>
  <c r="BC62" i="12" s="1"/>
  <c r="BB60" i="12"/>
  <c r="BA63" i="12" s="1"/>
  <c r="AX271" i="12"/>
  <c r="BA267" i="12"/>
  <c r="AZ268" i="12" s="1"/>
  <c r="AY271" i="12" s="1"/>
  <c r="M164" i="13"/>
  <c r="L167" i="13" s="1"/>
  <c r="N112" i="13"/>
  <c r="M115" i="13" s="1"/>
  <c r="AY270" i="12"/>
  <c r="AZ218" i="13"/>
  <c r="BB114" i="13"/>
  <c r="N215" i="13"/>
  <c r="M216" i="13" s="1"/>
  <c r="BA267" i="13"/>
  <c r="AZ268" i="13" s="1"/>
  <c r="N215" i="12"/>
  <c r="M216" i="12" s="1"/>
  <c r="L216" i="13"/>
  <c r="K219" i="13" s="1"/>
  <c r="BD111" i="12"/>
  <c r="BC112" i="12" s="1"/>
  <c r="BB115" i="12" s="1"/>
  <c r="BB215" i="13"/>
  <c r="BA218" i="13" s="1"/>
  <c r="O59" i="13"/>
  <c r="N60" i="13" s="1"/>
  <c r="M267" i="12"/>
  <c r="L268" i="12" s="1"/>
  <c r="K271" i="12" s="1"/>
  <c r="BC59" i="13"/>
  <c r="BB60" i="13" s="1"/>
  <c r="BA63" i="13" s="1"/>
  <c r="O163" i="12"/>
  <c r="N164" i="12" s="1"/>
  <c r="M267" i="13"/>
  <c r="L270" i="13" s="1"/>
  <c r="P59" i="12"/>
  <c r="O60" i="12" s="1"/>
  <c r="BF27" i="12"/>
  <c r="BF31" i="12" s="1"/>
  <c r="BF41" i="12" s="1"/>
  <c r="BF51" i="12" s="1"/>
  <c r="BG17" i="12"/>
  <c r="BF18" i="12"/>
  <c r="BF58" i="12"/>
  <c r="BE37" i="12"/>
  <c r="BE47" i="12" s="1"/>
  <c r="BE57" i="12" s="1"/>
  <c r="BE28" i="12"/>
  <c r="BE38" i="12" s="1"/>
  <c r="BE48" i="12" s="1"/>
  <c r="BE29" i="12"/>
  <c r="BE39" i="12" s="1"/>
  <c r="BE49" i="12" s="1"/>
  <c r="BE30" i="12"/>
  <c r="BE40" i="12" s="1"/>
  <c r="BE50" i="12" s="1"/>
  <c r="BC184" i="13"/>
  <c r="BC194" i="13" s="1"/>
  <c r="BC204" i="13" s="1"/>
  <c r="BC193" i="13"/>
  <c r="BC203" i="13" s="1"/>
  <c r="BC213" i="13" s="1"/>
  <c r="BE80" i="12"/>
  <c r="BE90" i="12" s="1"/>
  <c r="BE100" i="12" s="1"/>
  <c r="BE89" i="12"/>
  <c r="BE99" i="12" s="1"/>
  <c r="BE109" i="12" s="1"/>
  <c r="BE81" i="12"/>
  <c r="BE91" i="12" s="1"/>
  <c r="BE101" i="12" s="1"/>
  <c r="BE82" i="12"/>
  <c r="BE92" i="12" s="1"/>
  <c r="BE102" i="12" s="1"/>
  <c r="P132" i="12"/>
  <c r="P142" i="12" s="1"/>
  <c r="P152" i="12" s="1"/>
  <c r="P141" i="12"/>
  <c r="P151" i="12" s="1"/>
  <c r="P161" i="12" s="1"/>
  <c r="P133" i="12"/>
  <c r="P143" i="12" s="1"/>
  <c r="P153" i="12" s="1"/>
  <c r="P134" i="12"/>
  <c r="P144" i="12" s="1"/>
  <c r="P154" i="12" s="1"/>
  <c r="BE80" i="13"/>
  <c r="BE90" i="13" s="1"/>
  <c r="BE100" i="13" s="1"/>
  <c r="BE89" i="13"/>
  <c r="BE99" i="13" s="1"/>
  <c r="BE109" i="13" s="1"/>
  <c r="R17" i="13"/>
  <c r="Q27" i="13"/>
  <c r="Q29" i="13" s="1"/>
  <c r="Q39" i="13" s="1"/>
  <c r="Q49" i="13" s="1"/>
  <c r="Q18" i="13"/>
  <c r="Q58" i="13"/>
  <c r="N288" i="12"/>
  <c r="N298" i="12" s="1"/>
  <c r="N308" i="12" s="1"/>
  <c r="N297" i="12"/>
  <c r="N307" i="12" s="1"/>
  <c r="N317" i="12" s="1"/>
  <c r="N293" i="12"/>
  <c r="N303" i="12" s="1"/>
  <c r="N313" i="12" s="1"/>
  <c r="N292" i="12"/>
  <c r="N302" i="12" s="1"/>
  <c r="N312" i="12" s="1"/>
  <c r="N294" i="12"/>
  <c r="N304" i="12" s="1"/>
  <c r="N314" i="12" s="1"/>
  <c r="N296" i="12"/>
  <c r="N306" i="12" s="1"/>
  <c r="N316" i="12" s="1"/>
  <c r="N295" i="12"/>
  <c r="N305" i="12" s="1"/>
  <c r="N315" i="12" s="1"/>
  <c r="BD28" i="13"/>
  <c r="BD38" i="13" s="1"/>
  <c r="BD48" i="13" s="1"/>
  <c r="BD37" i="13"/>
  <c r="BD47" i="13" s="1"/>
  <c r="BD57" i="13" s="1"/>
  <c r="BD225" i="12"/>
  <c r="BC235" i="12"/>
  <c r="BC239" i="12" s="1"/>
  <c r="BC249" i="12" s="1"/>
  <c r="BC259" i="12" s="1"/>
  <c r="BC226" i="12"/>
  <c r="BC266" i="12"/>
  <c r="N245" i="12"/>
  <c r="N255" i="12" s="1"/>
  <c r="N265" i="12" s="1"/>
  <c r="N236" i="12"/>
  <c r="N246" i="12" s="1"/>
  <c r="N256" i="12" s="1"/>
  <c r="N237" i="12"/>
  <c r="N247" i="12" s="1"/>
  <c r="N257" i="12" s="1"/>
  <c r="N238" i="12"/>
  <c r="N248" i="12" s="1"/>
  <c r="N258" i="12" s="1"/>
  <c r="Q28" i="12"/>
  <c r="Q38" i="12" s="1"/>
  <c r="Q48" i="12" s="1"/>
  <c r="Q37" i="12"/>
  <c r="Q47" i="12" s="1"/>
  <c r="Q57" i="12" s="1"/>
  <c r="Q30" i="12"/>
  <c r="Q40" i="12" s="1"/>
  <c r="Q50" i="12" s="1"/>
  <c r="Q29" i="12"/>
  <c r="Q39" i="12" s="1"/>
  <c r="Q49" i="12" s="1"/>
  <c r="O193" i="12"/>
  <c r="O203" i="12" s="1"/>
  <c r="O213" i="12" s="1"/>
  <c r="O184" i="12"/>
  <c r="O194" i="12" s="1"/>
  <c r="O204" i="12" s="1"/>
  <c r="O186" i="12"/>
  <c r="O196" i="12" s="1"/>
  <c r="O206" i="12" s="1"/>
  <c r="O185" i="12"/>
  <c r="O195" i="12" s="1"/>
  <c r="O205" i="12" s="1"/>
  <c r="BD225" i="13"/>
  <c r="BC235" i="13"/>
  <c r="BC237" i="13" s="1"/>
  <c r="BC247" i="13" s="1"/>
  <c r="BC257" i="13" s="1"/>
  <c r="BC226" i="13"/>
  <c r="BC266" i="13"/>
  <c r="BF79" i="12"/>
  <c r="BF83" i="12" s="1"/>
  <c r="BF93" i="12" s="1"/>
  <c r="BF103" i="12" s="1"/>
  <c r="BG69" i="12"/>
  <c r="BF70" i="12"/>
  <c r="BF110" i="12"/>
  <c r="BE173" i="13"/>
  <c r="BD174" i="13"/>
  <c r="BD183" i="13"/>
  <c r="BD185" i="13" s="1"/>
  <c r="BD195" i="13" s="1"/>
  <c r="BD205" i="13" s="1"/>
  <c r="BD214" i="13"/>
  <c r="BB245" i="13"/>
  <c r="BB255" i="13" s="1"/>
  <c r="BB265" i="13" s="1"/>
  <c r="BB236" i="13"/>
  <c r="BB246" i="13" s="1"/>
  <c r="BB256" i="13" s="1"/>
  <c r="O193" i="13"/>
  <c r="O203" i="13" s="1"/>
  <c r="O213" i="13" s="1"/>
  <c r="O184" i="13"/>
  <c r="O194" i="13" s="1"/>
  <c r="O204" i="13" s="1"/>
  <c r="R121" i="12"/>
  <c r="Q131" i="12"/>
  <c r="Q135" i="12" s="1"/>
  <c r="Q145" i="12" s="1"/>
  <c r="Q155" i="12" s="1"/>
  <c r="Q122" i="12"/>
  <c r="Q162" i="12"/>
  <c r="P277" i="12"/>
  <c r="O278" i="12"/>
  <c r="O287" i="12"/>
  <c r="O318" i="12"/>
  <c r="BD277" i="12"/>
  <c r="BC278" i="12"/>
  <c r="BC287" i="12"/>
  <c r="BC318" i="12"/>
  <c r="P225" i="12"/>
  <c r="O235" i="12"/>
  <c r="O239" i="12" s="1"/>
  <c r="O249" i="12" s="1"/>
  <c r="O259" i="12" s="1"/>
  <c r="O226" i="12"/>
  <c r="O266" i="12"/>
  <c r="S17" i="12"/>
  <c r="R27" i="12"/>
  <c r="R31" i="12" s="1"/>
  <c r="R41" i="12" s="1"/>
  <c r="R51" i="12" s="1"/>
  <c r="R18" i="12"/>
  <c r="R58" i="12"/>
  <c r="N288" i="13"/>
  <c r="N298" i="13" s="1"/>
  <c r="N308" i="13" s="1"/>
  <c r="N297" i="13"/>
  <c r="N307" i="13" s="1"/>
  <c r="N317" i="13" s="1"/>
  <c r="N294" i="13"/>
  <c r="N304" i="13" s="1"/>
  <c r="N314" i="13" s="1"/>
  <c r="N290" i="13"/>
  <c r="N300" i="13" s="1"/>
  <c r="N310" i="13" s="1"/>
  <c r="N293" i="13"/>
  <c r="N303" i="13" s="1"/>
  <c r="N313" i="13" s="1"/>
  <c r="N295" i="13"/>
  <c r="N305" i="13" s="1"/>
  <c r="N315" i="13" s="1"/>
  <c r="N292" i="13"/>
  <c r="N302" i="13" s="1"/>
  <c r="N312" i="13" s="1"/>
  <c r="N291" i="13"/>
  <c r="N301" i="13" s="1"/>
  <c r="N311" i="13" s="1"/>
  <c r="N296" i="13"/>
  <c r="N306" i="13" s="1"/>
  <c r="N316" i="13" s="1"/>
  <c r="BB288" i="13"/>
  <c r="BB298" i="13" s="1"/>
  <c r="BB308" i="13" s="1"/>
  <c r="BB297" i="13"/>
  <c r="BB307" i="13" s="1"/>
  <c r="BB317" i="13" s="1"/>
  <c r="BB292" i="13"/>
  <c r="BB302" i="13" s="1"/>
  <c r="BB312" i="13" s="1"/>
  <c r="BB294" i="13"/>
  <c r="BB304" i="13" s="1"/>
  <c r="BB314" i="13" s="1"/>
  <c r="BB291" i="13"/>
  <c r="BB301" i="13" s="1"/>
  <c r="BB311" i="13" s="1"/>
  <c r="BB296" i="13"/>
  <c r="BB306" i="13" s="1"/>
  <c r="BB316" i="13" s="1"/>
  <c r="BB290" i="13"/>
  <c r="BB300" i="13" s="1"/>
  <c r="BB310" i="13" s="1"/>
  <c r="BB293" i="13"/>
  <c r="BB303" i="13" s="1"/>
  <c r="BB313" i="13" s="1"/>
  <c r="BB295" i="13"/>
  <c r="BB305" i="13" s="1"/>
  <c r="BB315" i="13" s="1"/>
  <c r="Q173" i="12"/>
  <c r="P183" i="12"/>
  <c r="P187" i="12" s="1"/>
  <c r="P197" i="12" s="1"/>
  <c r="P207" i="12" s="1"/>
  <c r="P174" i="12"/>
  <c r="P214" i="12"/>
  <c r="BD141" i="12"/>
  <c r="BD151" i="12" s="1"/>
  <c r="BD161" i="12" s="1"/>
  <c r="BD132" i="12"/>
  <c r="BD142" i="12" s="1"/>
  <c r="BD152" i="12" s="1"/>
  <c r="BD134" i="12"/>
  <c r="BD144" i="12" s="1"/>
  <c r="BD154" i="12" s="1"/>
  <c r="BD133" i="12"/>
  <c r="BD143" i="12" s="1"/>
  <c r="BD153" i="12" s="1"/>
  <c r="BF17" i="13"/>
  <c r="BE18" i="13"/>
  <c r="BE27" i="13"/>
  <c r="BE29" i="13" s="1"/>
  <c r="BE39" i="13" s="1"/>
  <c r="BE49" i="13" s="1"/>
  <c r="BE58" i="13"/>
  <c r="BB288" i="12"/>
  <c r="BB298" i="12" s="1"/>
  <c r="BB308" i="12" s="1"/>
  <c r="BB297" i="12"/>
  <c r="BB307" i="12" s="1"/>
  <c r="BB317" i="12" s="1"/>
  <c r="BB292" i="12"/>
  <c r="BB302" i="12" s="1"/>
  <c r="BB312" i="12" s="1"/>
  <c r="BB293" i="12"/>
  <c r="BB303" i="12" s="1"/>
  <c r="BB313" i="12" s="1"/>
  <c r="BB295" i="12"/>
  <c r="BB305" i="12" s="1"/>
  <c r="BB315" i="12" s="1"/>
  <c r="BB294" i="12"/>
  <c r="BB304" i="12" s="1"/>
  <c r="BB314" i="12" s="1"/>
  <c r="BB296" i="12"/>
  <c r="BB306" i="12" s="1"/>
  <c r="BB316" i="12" s="1"/>
  <c r="P141" i="13"/>
  <c r="P151" i="13" s="1"/>
  <c r="P161" i="13" s="1"/>
  <c r="P132" i="13"/>
  <c r="P142" i="13" s="1"/>
  <c r="P152" i="13" s="1"/>
  <c r="N236" i="13"/>
  <c r="N246" i="13" s="1"/>
  <c r="N256" i="13" s="1"/>
  <c r="N245" i="13"/>
  <c r="N255" i="13" s="1"/>
  <c r="N265" i="13" s="1"/>
  <c r="Q89" i="13"/>
  <c r="Q99" i="13" s="1"/>
  <c r="Q109" i="13" s="1"/>
  <c r="Q80" i="13"/>
  <c r="Q90" i="13" s="1"/>
  <c r="Q100" i="13" s="1"/>
  <c r="P277" i="13"/>
  <c r="O287" i="13"/>
  <c r="O289" i="13" s="1"/>
  <c r="O299" i="13" s="1"/>
  <c r="O309" i="13" s="1"/>
  <c r="O278" i="13"/>
  <c r="O318" i="13"/>
  <c r="BC287" i="13"/>
  <c r="BC289" i="13" s="1"/>
  <c r="BC299" i="13" s="1"/>
  <c r="BC309" i="13" s="1"/>
  <c r="BC278" i="13"/>
  <c r="BD277" i="13"/>
  <c r="BC318" i="13"/>
  <c r="Q173" i="13"/>
  <c r="P174" i="13"/>
  <c r="P183" i="13"/>
  <c r="P185" i="13" s="1"/>
  <c r="P195" i="13" s="1"/>
  <c r="P205" i="13" s="1"/>
  <c r="P214" i="13"/>
  <c r="BG69" i="13"/>
  <c r="BF70" i="13"/>
  <c r="BF79" i="13"/>
  <c r="BF81" i="13" s="1"/>
  <c r="BF91" i="13" s="1"/>
  <c r="BF101" i="13" s="1"/>
  <c r="BF110" i="13"/>
  <c r="P28" i="13"/>
  <c r="P38" i="13" s="1"/>
  <c r="P48" i="13" s="1"/>
  <c r="P37" i="13"/>
  <c r="P47" i="13" s="1"/>
  <c r="P57" i="13" s="1"/>
  <c r="BE122" i="12"/>
  <c r="BE131" i="12"/>
  <c r="BE135" i="12" s="1"/>
  <c r="BE145" i="12" s="1"/>
  <c r="BE155" i="12" s="1"/>
  <c r="BF121" i="12"/>
  <c r="BE162" i="12"/>
  <c r="BB245" i="12"/>
  <c r="BB255" i="12" s="1"/>
  <c r="BB265" i="12" s="1"/>
  <c r="BB236" i="12"/>
  <c r="BB246" i="12" s="1"/>
  <c r="BB256" i="12" s="1"/>
  <c r="BB238" i="12"/>
  <c r="BB248" i="12" s="1"/>
  <c r="BB258" i="12" s="1"/>
  <c r="BB237" i="12"/>
  <c r="BB247" i="12" s="1"/>
  <c r="BB257" i="12" s="1"/>
  <c r="R121" i="13"/>
  <c r="Q131" i="13"/>
  <c r="Q133" i="13" s="1"/>
  <c r="Q143" i="13" s="1"/>
  <c r="Q153" i="13" s="1"/>
  <c r="Q122" i="13"/>
  <c r="Q162" i="13"/>
  <c r="P225" i="13"/>
  <c r="O235" i="13"/>
  <c r="O237" i="13" s="1"/>
  <c r="O247" i="13" s="1"/>
  <c r="O257" i="13" s="1"/>
  <c r="O226" i="13"/>
  <c r="O266" i="13"/>
  <c r="S69" i="13"/>
  <c r="R70" i="13"/>
  <c r="R79" i="13"/>
  <c r="R81" i="13" s="1"/>
  <c r="R91" i="13" s="1"/>
  <c r="R101" i="13" s="1"/>
  <c r="R110" i="13"/>
  <c r="BD137" i="13" l="1"/>
  <c r="BD147" i="13" s="1"/>
  <c r="BD157" i="13" s="1"/>
  <c r="BD139" i="13"/>
  <c r="BD149" i="13" s="1"/>
  <c r="BD159" i="13" s="1"/>
  <c r="BD140" i="13"/>
  <c r="BD150" i="13" s="1"/>
  <c r="BD160" i="13" s="1"/>
  <c r="BD138" i="13"/>
  <c r="BD148" i="13" s="1"/>
  <c r="BD158" i="13" s="1"/>
  <c r="BD136" i="13"/>
  <c r="BD146" i="13" s="1"/>
  <c r="BD156" i="13" s="1"/>
  <c r="BA164" i="13"/>
  <c r="AZ167" i="13" s="1"/>
  <c r="BE122" i="13"/>
  <c r="BE131" i="13"/>
  <c r="BE133" i="13" s="1"/>
  <c r="BE143" i="13" s="1"/>
  <c r="BE153" i="13" s="1"/>
  <c r="BE162" i="13"/>
  <c r="BD132" i="13"/>
  <c r="BD142" i="13" s="1"/>
  <c r="BD152" i="13" s="1"/>
  <c r="BD141" i="13"/>
  <c r="BD151" i="13" s="1"/>
  <c r="BD161" i="13" s="1"/>
  <c r="P87" i="12"/>
  <c r="P97" i="12" s="1"/>
  <c r="P107" i="12" s="1"/>
  <c r="P86" i="12"/>
  <c r="P96" i="12" s="1"/>
  <c r="P106" i="12" s="1"/>
  <c r="P88" i="12"/>
  <c r="P98" i="12" s="1"/>
  <c r="P108" i="12" s="1"/>
  <c r="P85" i="12"/>
  <c r="P95" i="12" s="1"/>
  <c r="P105" i="12" s="1"/>
  <c r="BC163" i="13"/>
  <c r="BB164" i="13" s="1"/>
  <c r="L320" i="12"/>
  <c r="K323" i="12" s="1"/>
  <c r="N319" i="12"/>
  <c r="M322" i="12" s="1"/>
  <c r="M114" i="12"/>
  <c r="AY271" i="13"/>
  <c r="P83" i="12"/>
  <c r="P93" i="12" s="1"/>
  <c r="P103" i="12" s="1"/>
  <c r="P82" i="12"/>
  <c r="P92" i="12" s="1"/>
  <c r="P102" i="12" s="1"/>
  <c r="P81" i="12"/>
  <c r="P91" i="12" s="1"/>
  <c r="P101" i="12" s="1"/>
  <c r="P84" i="12"/>
  <c r="P94" i="12" s="1"/>
  <c r="P104" i="12" s="1"/>
  <c r="P80" i="12"/>
  <c r="P90" i="12" s="1"/>
  <c r="P100" i="12" s="1"/>
  <c r="P89" i="12"/>
  <c r="P99" i="12" s="1"/>
  <c r="P109" i="12" s="1"/>
  <c r="O111" i="12"/>
  <c r="Q70" i="12"/>
  <c r="R69" i="12"/>
  <c r="Q110" i="12"/>
  <c r="Q79" i="12"/>
  <c r="L115" i="12"/>
  <c r="BB192" i="12"/>
  <c r="BB202" i="12" s="1"/>
  <c r="BB212" i="12" s="1"/>
  <c r="BB191" i="12"/>
  <c r="BB201" i="12" s="1"/>
  <c r="BB211" i="12" s="1"/>
  <c r="BB190" i="12"/>
  <c r="BB200" i="12" s="1"/>
  <c r="BB210" i="12" s="1"/>
  <c r="BB189" i="12"/>
  <c r="BB199" i="12" s="1"/>
  <c r="BB209" i="12" s="1"/>
  <c r="M63" i="13"/>
  <c r="N63" i="12"/>
  <c r="AY216" i="12"/>
  <c r="AX219" i="12" s="1"/>
  <c r="AY218" i="12"/>
  <c r="BA215" i="12"/>
  <c r="BC183" i="12"/>
  <c r="BC188" i="12" s="1"/>
  <c r="BC198" i="12" s="1"/>
  <c r="BC208" i="12" s="1"/>
  <c r="BC174" i="12"/>
  <c r="BC214" i="12"/>
  <c r="BD173" i="12"/>
  <c r="BB187" i="12"/>
  <c r="BB197" i="12" s="1"/>
  <c r="BB207" i="12" s="1"/>
  <c r="BB186" i="12"/>
  <c r="BB196" i="12" s="1"/>
  <c r="BB206" i="12" s="1"/>
  <c r="BB185" i="12"/>
  <c r="BB195" i="12" s="1"/>
  <c r="BB205" i="12" s="1"/>
  <c r="BB193" i="12"/>
  <c r="BB203" i="12" s="1"/>
  <c r="BB213" i="12" s="1"/>
  <c r="BB184" i="12"/>
  <c r="BB194" i="12" s="1"/>
  <c r="BB204" i="12" s="1"/>
  <c r="O114" i="13"/>
  <c r="BB164" i="12"/>
  <c r="BA167" i="12" s="1"/>
  <c r="O62" i="12"/>
  <c r="AZ320" i="12"/>
  <c r="AY323" i="12" s="1"/>
  <c r="N115" i="13"/>
  <c r="AZ320" i="13"/>
  <c r="AY323" i="13" s="1"/>
  <c r="L219" i="12"/>
  <c r="N267" i="12"/>
  <c r="M268" i="12" s="1"/>
  <c r="L271" i="12" s="1"/>
  <c r="L322" i="13"/>
  <c r="BC60" i="12"/>
  <c r="BB63" i="12" s="1"/>
  <c r="BE111" i="13"/>
  <c r="BD114" i="13" s="1"/>
  <c r="M218" i="13"/>
  <c r="BC112" i="13"/>
  <c r="BB115" i="13" s="1"/>
  <c r="BC291" i="12"/>
  <c r="BC301" i="12" s="1"/>
  <c r="BC311" i="12" s="1"/>
  <c r="BC289" i="12"/>
  <c r="BC299" i="12" s="1"/>
  <c r="BC309" i="12" s="1"/>
  <c r="BC290" i="12"/>
  <c r="BC300" i="12" s="1"/>
  <c r="BC310" i="12" s="1"/>
  <c r="BB319" i="12"/>
  <c r="BA322" i="12" s="1"/>
  <c r="BB319" i="13"/>
  <c r="BA320" i="13" s="1"/>
  <c r="O291" i="12"/>
  <c r="O301" i="12" s="1"/>
  <c r="O311" i="12" s="1"/>
  <c r="O290" i="12"/>
  <c r="O300" i="12" s="1"/>
  <c r="O310" i="12" s="1"/>
  <c r="O289" i="12"/>
  <c r="O299" i="12" s="1"/>
  <c r="O309" i="12" s="1"/>
  <c r="N319" i="13"/>
  <c r="M322" i="13" s="1"/>
  <c r="Q59" i="12"/>
  <c r="P62" i="12" s="1"/>
  <c r="P163" i="12"/>
  <c r="O166" i="12" s="1"/>
  <c r="O215" i="12"/>
  <c r="N216" i="12" s="1"/>
  <c r="M219" i="12" s="1"/>
  <c r="M218" i="12"/>
  <c r="M167" i="12"/>
  <c r="N166" i="13"/>
  <c r="BC242" i="12"/>
  <c r="BC252" i="12" s="1"/>
  <c r="BC262" i="12" s="1"/>
  <c r="BC244" i="12"/>
  <c r="BC254" i="12" s="1"/>
  <c r="BC264" i="12" s="1"/>
  <c r="BC240" i="12"/>
  <c r="BC250" i="12" s="1"/>
  <c r="BC260" i="12" s="1"/>
  <c r="BC241" i="12"/>
  <c r="BC251" i="12" s="1"/>
  <c r="BC261" i="12" s="1"/>
  <c r="BC243" i="12"/>
  <c r="BC253" i="12" s="1"/>
  <c r="BC263" i="12" s="1"/>
  <c r="R83" i="13"/>
  <c r="R93" i="13" s="1"/>
  <c r="R103" i="13" s="1"/>
  <c r="R84" i="13"/>
  <c r="R94" i="13" s="1"/>
  <c r="R104" i="13" s="1"/>
  <c r="R85" i="13"/>
  <c r="R95" i="13" s="1"/>
  <c r="R105" i="13" s="1"/>
  <c r="R87" i="13"/>
  <c r="R97" i="13" s="1"/>
  <c r="R107" i="13" s="1"/>
  <c r="R88" i="13"/>
  <c r="R98" i="13" s="1"/>
  <c r="R108" i="13" s="1"/>
  <c r="R86" i="13"/>
  <c r="R96" i="13" s="1"/>
  <c r="R106" i="13" s="1"/>
  <c r="R82" i="13"/>
  <c r="R92" i="13" s="1"/>
  <c r="R102" i="13" s="1"/>
  <c r="BE139" i="12"/>
  <c r="BE149" i="12" s="1"/>
  <c r="BE159" i="12" s="1"/>
  <c r="BE137" i="12"/>
  <c r="BE147" i="12" s="1"/>
  <c r="BE157" i="12" s="1"/>
  <c r="BE138" i="12"/>
  <c r="BE148" i="12" s="1"/>
  <c r="BE158" i="12" s="1"/>
  <c r="BE136" i="12"/>
  <c r="BE146" i="12" s="1"/>
  <c r="BE156" i="12" s="1"/>
  <c r="BE140" i="12"/>
  <c r="BE150" i="12" s="1"/>
  <c r="BE160" i="12" s="1"/>
  <c r="R36" i="12"/>
  <c r="R46" i="12" s="1"/>
  <c r="R56" i="12" s="1"/>
  <c r="R32" i="12"/>
  <c r="R42" i="12" s="1"/>
  <c r="R52" i="12" s="1"/>
  <c r="R33" i="12"/>
  <c r="R43" i="12" s="1"/>
  <c r="R53" i="12" s="1"/>
  <c r="R34" i="12"/>
  <c r="R44" i="12" s="1"/>
  <c r="R54" i="12" s="1"/>
  <c r="R35" i="12"/>
  <c r="R45" i="12" s="1"/>
  <c r="R55" i="12" s="1"/>
  <c r="BC241" i="13"/>
  <c r="BC251" i="13" s="1"/>
  <c r="BC261" i="13" s="1"/>
  <c r="BC240" i="13"/>
  <c r="BC250" i="13" s="1"/>
  <c r="BC260" i="13" s="1"/>
  <c r="BC243" i="13"/>
  <c r="BC253" i="13" s="1"/>
  <c r="BC263" i="13" s="1"/>
  <c r="BC238" i="13"/>
  <c r="BC248" i="13" s="1"/>
  <c r="BC258" i="13" s="1"/>
  <c r="BC244" i="13"/>
  <c r="BC254" i="13" s="1"/>
  <c r="BC264" i="13" s="1"/>
  <c r="BC242" i="13"/>
  <c r="BC252" i="13" s="1"/>
  <c r="BC262" i="13" s="1"/>
  <c r="BC239" i="13"/>
  <c r="BC249" i="13" s="1"/>
  <c r="BC259" i="13" s="1"/>
  <c r="BF36" i="12"/>
  <c r="BF46" i="12" s="1"/>
  <c r="BF56" i="12" s="1"/>
  <c r="BF33" i="12"/>
  <c r="BF43" i="12" s="1"/>
  <c r="BF53" i="12" s="1"/>
  <c r="BF34" i="12"/>
  <c r="BF44" i="12" s="1"/>
  <c r="BF54" i="12" s="1"/>
  <c r="BF32" i="12"/>
  <c r="BF42" i="12" s="1"/>
  <c r="BF52" i="12" s="1"/>
  <c r="BF35" i="12"/>
  <c r="BF45" i="12" s="1"/>
  <c r="BF55" i="12" s="1"/>
  <c r="P190" i="13"/>
  <c r="P200" i="13" s="1"/>
  <c r="P210" i="13" s="1"/>
  <c r="P191" i="13"/>
  <c r="P201" i="13" s="1"/>
  <c r="P211" i="13" s="1"/>
  <c r="P189" i="13"/>
  <c r="P199" i="13" s="1"/>
  <c r="P209" i="13" s="1"/>
  <c r="P192" i="13"/>
  <c r="P202" i="13" s="1"/>
  <c r="P212" i="13" s="1"/>
  <c r="P186" i="13"/>
  <c r="P196" i="13" s="1"/>
  <c r="P206" i="13" s="1"/>
  <c r="P187" i="13"/>
  <c r="P197" i="13" s="1"/>
  <c r="P207" i="13" s="1"/>
  <c r="P188" i="13"/>
  <c r="P198" i="13" s="1"/>
  <c r="P208" i="13" s="1"/>
  <c r="BE31" i="13"/>
  <c r="BE41" i="13" s="1"/>
  <c r="BE51" i="13" s="1"/>
  <c r="BE33" i="13"/>
  <c r="BE43" i="13" s="1"/>
  <c r="BE53" i="13" s="1"/>
  <c r="BE36" i="13"/>
  <c r="BE46" i="13" s="1"/>
  <c r="BE56" i="13" s="1"/>
  <c r="BE32" i="13"/>
  <c r="BE42" i="13" s="1"/>
  <c r="BE52" i="13" s="1"/>
  <c r="BE30" i="13"/>
  <c r="BE40" i="13" s="1"/>
  <c r="BE50" i="13" s="1"/>
  <c r="BE35" i="13"/>
  <c r="BE45" i="13" s="1"/>
  <c r="BE55" i="13" s="1"/>
  <c r="BE34" i="13"/>
  <c r="BE44" i="13" s="1"/>
  <c r="BE54" i="13" s="1"/>
  <c r="BD189" i="13"/>
  <c r="BD199" i="13" s="1"/>
  <c r="BD209" i="13" s="1"/>
  <c r="BD190" i="13"/>
  <c r="BD200" i="13" s="1"/>
  <c r="BD210" i="13" s="1"/>
  <c r="BD191" i="13"/>
  <c r="BD201" i="13" s="1"/>
  <c r="BD211" i="13" s="1"/>
  <c r="BD192" i="13"/>
  <c r="BD202" i="13" s="1"/>
  <c r="BD212" i="13" s="1"/>
  <c r="BD186" i="13"/>
  <c r="BD196" i="13" s="1"/>
  <c r="BD206" i="13" s="1"/>
  <c r="BD187" i="13"/>
  <c r="BD197" i="13" s="1"/>
  <c r="BD207" i="13" s="1"/>
  <c r="BD188" i="13"/>
  <c r="BD198" i="13" s="1"/>
  <c r="BD208" i="13" s="1"/>
  <c r="BF87" i="12"/>
  <c r="BF97" i="12" s="1"/>
  <c r="BF107" i="12" s="1"/>
  <c r="BF84" i="12"/>
  <c r="BF94" i="12" s="1"/>
  <c r="BF104" i="12" s="1"/>
  <c r="BF85" i="12"/>
  <c r="BF95" i="12" s="1"/>
  <c r="BF105" i="12" s="1"/>
  <c r="BF86" i="12"/>
  <c r="BF96" i="12" s="1"/>
  <c r="BF106" i="12" s="1"/>
  <c r="BF88" i="12"/>
  <c r="BF98" i="12" s="1"/>
  <c r="BF108" i="12" s="1"/>
  <c r="Q36" i="13"/>
  <c r="Q46" i="13" s="1"/>
  <c r="Q56" i="13" s="1"/>
  <c r="Q31" i="13"/>
  <c r="Q41" i="13" s="1"/>
  <c r="Q51" i="13" s="1"/>
  <c r="Q33" i="13"/>
  <c r="Q43" i="13" s="1"/>
  <c r="Q53" i="13" s="1"/>
  <c r="Q35" i="13"/>
  <c r="Q45" i="13" s="1"/>
  <c r="Q55" i="13" s="1"/>
  <c r="Q32" i="13"/>
  <c r="Q42" i="13" s="1"/>
  <c r="Q52" i="13" s="1"/>
  <c r="Q30" i="13"/>
  <c r="Q40" i="13" s="1"/>
  <c r="Q50" i="13" s="1"/>
  <c r="Q34" i="13"/>
  <c r="Q44" i="13" s="1"/>
  <c r="Q54" i="13" s="1"/>
  <c r="O240" i="13"/>
  <c r="O250" i="13" s="1"/>
  <c r="O260" i="13" s="1"/>
  <c r="O242" i="13"/>
  <c r="O252" i="13" s="1"/>
  <c r="O262" i="13" s="1"/>
  <c r="O243" i="13"/>
  <c r="O253" i="13" s="1"/>
  <c r="O263" i="13" s="1"/>
  <c r="O244" i="13"/>
  <c r="O254" i="13" s="1"/>
  <c r="O264" i="13" s="1"/>
  <c r="O241" i="13"/>
  <c r="O251" i="13" s="1"/>
  <c r="O261" i="13" s="1"/>
  <c r="O238" i="13"/>
  <c r="O248" i="13" s="1"/>
  <c r="O258" i="13" s="1"/>
  <c r="O239" i="13"/>
  <c r="O249" i="13" s="1"/>
  <c r="O259" i="13" s="1"/>
  <c r="Q137" i="13"/>
  <c r="Q147" i="13" s="1"/>
  <c r="Q157" i="13" s="1"/>
  <c r="Q138" i="13"/>
  <c r="Q148" i="13" s="1"/>
  <c r="Q158" i="13" s="1"/>
  <c r="Q140" i="13"/>
  <c r="Q150" i="13" s="1"/>
  <c r="Q160" i="13" s="1"/>
  <c r="Q139" i="13"/>
  <c r="Q149" i="13" s="1"/>
  <c r="Q159" i="13" s="1"/>
  <c r="Q134" i="13"/>
  <c r="Q144" i="13" s="1"/>
  <c r="Q154" i="13" s="1"/>
  <c r="Q135" i="13"/>
  <c r="Q145" i="13" s="1"/>
  <c r="Q155" i="13" s="1"/>
  <c r="Q136" i="13"/>
  <c r="Q146" i="13" s="1"/>
  <c r="Q156" i="13" s="1"/>
  <c r="BF87" i="13"/>
  <c r="BF97" i="13" s="1"/>
  <c r="BF107" i="13" s="1"/>
  <c r="BF85" i="13"/>
  <c r="BF95" i="13" s="1"/>
  <c r="BF105" i="13" s="1"/>
  <c r="BF83" i="13"/>
  <c r="BF93" i="13" s="1"/>
  <c r="BF103" i="13" s="1"/>
  <c r="BF84" i="13"/>
  <c r="BF94" i="13" s="1"/>
  <c r="BF104" i="13" s="1"/>
  <c r="BF88" i="13"/>
  <c r="BF98" i="13" s="1"/>
  <c r="BF108" i="13" s="1"/>
  <c r="BF82" i="13"/>
  <c r="BF92" i="13" s="1"/>
  <c r="BF102" i="13" s="1"/>
  <c r="BF86" i="13"/>
  <c r="BF96" i="13" s="1"/>
  <c r="BF106" i="13" s="1"/>
  <c r="P190" i="12"/>
  <c r="P200" i="12" s="1"/>
  <c r="P210" i="12" s="1"/>
  <c r="P189" i="12"/>
  <c r="P199" i="12" s="1"/>
  <c r="P209" i="12" s="1"/>
  <c r="P191" i="12"/>
  <c r="P201" i="12" s="1"/>
  <c r="P211" i="12" s="1"/>
  <c r="P188" i="12"/>
  <c r="P198" i="12" s="1"/>
  <c r="P208" i="12" s="1"/>
  <c r="P192" i="12"/>
  <c r="P202" i="12" s="1"/>
  <c r="P212" i="12" s="1"/>
  <c r="O243" i="12"/>
  <c r="O253" i="12" s="1"/>
  <c r="O263" i="12" s="1"/>
  <c r="O244" i="12"/>
  <c r="O254" i="12" s="1"/>
  <c r="O264" i="12" s="1"/>
  <c r="O240" i="12"/>
  <c r="O250" i="12" s="1"/>
  <c r="O260" i="12" s="1"/>
  <c r="O241" i="12"/>
  <c r="O251" i="12" s="1"/>
  <c r="O261" i="12" s="1"/>
  <c r="O242" i="12"/>
  <c r="O252" i="12" s="1"/>
  <c r="O262" i="12" s="1"/>
  <c r="Q137" i="12"/>
  <c r="Q147" i="12" s="1"/>
  <c r="Q157" i="12" s="1"/>
  <c r="Q139" i="12"/>
  <c r="Q149" i="12" s="1"/>
  <c r="Q159" i="12" s="1"/>
  <c r="Q136" i="12"/>
  <c r="Q146" i="12" s="1"/>
  <c r="Q156" i="12" s="1"/>
  <c r="Q140" i="12"/>
  <c r="Q150" i="12" s="1"/>
  <c r="Q160" i="12" s="1"/>
  <c r="Q138" i="12"/>
  <c r="Q148" i="12" s="1"/>
  <c r="Q158" i="12" s="1"/>
  <c r="BA216" i="13"/>
  <c r="AZ219" i="13" s="1"/>
  <c r="M167" i="13"/>
  <c r="AZ270" i="13"/>
  <c r="BC114" i="12"/>
  <c r="BB62" i="13"/>
  <c r="N166" i="12"/>
  <c r="AZ270" i="12"/>
  <c r="BE111" i="12"/>
  <c r="BD114" i="12" s="1"/>
  <c r="L270" i="12"/>
  <c r="L268" i="13"/>
  <c r="K271" i="13" s="1"/>
  <c r="BC215" i="13"/>
  <c r="BB218" i="13" s="1"/>
  <c r="BE59" i="12"/>
  <c r="BD62" i="12" s="1"/>
  <c r="N62" i="13"/>
  <c r="N267" i="13"/>
  <c r="M268" i="13" s="1"/>
  <c r="L219" i="13"/>
  <c r="P59" i="13"/>
  <c r="O62" i="13" s="1"/>
  <c r="Q111" i="13"/>
  <c r="P114" i="13" s="1"/>
  <c r="P163" i="13"/>
  <c r="O166" i="13" s="1"/>
  <c r="O215" i="13"/>
  <c r="N218" i="13" s="1"/>
  <c r="BB267" i="12"/>
  <c r="BA270" i="12" s="1"/>
  <c r="BD163" i="12"/>
  <c r="BC166" i="12" s="1"/>
  <c r="BB267" i="13"/>
  <c r="BA268" i="13" s="1"/>
  <c r="AZ271" i="13" s="1"/>
  <c r="BD59" i="13"/>
  <c r="BC62" i="13" s="1"/>
  <c r="BF80" i="13"/>
  <c r="BF90" i="13" s="1"/>
  <c r="BF100" i="13" s="1"/>
  <c r="BF89" i="13"/>
  <c r="BF99" i="13" s="1"/>
  <c r="BF109" i="13" s="1"/>
  <c r="BE277" i="13"/>
  <c r="BD278" i="13"/>
  <c r="BD287" i="13"/>
  <c r="BD289" i="13" s="1"/>
  <c r="BD299" i="13" s="1"/>
  <c r="BD309" i="13" s="1"/>
  <c r="BD318" i="13"/>
  <c r="O236" i="13"/>
  <c r="O246" i="13" s="1"/>
  <c r="O256" i="13" s="1"/>
  <c r="O245" i="13"/>
  <c r="O255" i="13" s="1"/>
  <c r="O265" i="13" s="1"/>
  <c r="T69" i="13"/>
  <c r="S79" i="13"/>
  <c r="S81" i="13" s="1"/>
  <c r="S91" i="13" s="1"/>
  <c r="S101" i="13" s="1"/>
  <c r="S70" i="13"/>
  <c r="S110" i="13"/>
  <c r="Q225" i="13"/>
  <c r="P235" i="13"/>
  <c r="P237" i="13" s="1"/>
  <c r="P247" i="13" s="1"/>
  <c r="P257" i="13" s="1"/>
  <c r="P226" i="13"/>
  <c r="P266" i="13"/>
  <c r="S121" i="13"/>
  <c r="R122" i="13"/>
  <c r="R131" i="13"/>
  <c r="R133" i="13" s="1"/>
  <c r="R143" i="13" s="1"/>
  <c r="R153" i="13" s="1"/>
  <c r="R162" i="13"/>
  <c r="BE132" i="12"/>
  <c r="BE142" i="12" s="1"/>
  <c r="BE152" i="12" s="1"/>
  <c r="BE141" i="12"/>
  <c r="BE151" i="12" s="1"/>
  <c r="BE161" i="12" s="1"/>
  <c r="BE134" i="12"/>
  <c r="BE144" i="12" s="1"/>
  <c r="BE154" i="12" s="1"/>
  <c r="BE133" i="12"/>
  <c r="BE143" i="12" s="1"/>
  <c r="BE153" i="12" s="1"/>
  <c r="BH69" i="13"/>
  <c r="BG79" i="13"/>
  <c r="BG81" i="13" s="1"/>
  <c r="BG91" i="13" s="1"/>
  <c r="BG101" i="13" s="1"/>
  <c r="BG70" i="13"/>
  <c r="BG110" i="13"/>
  <c r="BC288" i="13"/>
  <c r="BC298" i="13" s="1"/>
  <c r="BC308" i="13" s="1"/>
  <c r="BC297" i="13"/>
  <c r="BC307" i="13" s="1"/>
  <c r="BC317" i="13" s="1"/>
  <c r="BC290" i="13"/>
  <c r="BC300" i="13" s="1"/>
  <c r="BC310" i="13" s="1"/>
  <c r="BC294" i="13"/>
  <c r="BC304" i="13" s="1"/>
  <c r="BC314" i="13" s="1"/>
  <c r="BC296" i="13"/>
  <c r="BC306" i="13" s="1"/>
  <c r="BC316" i="13" s="1"/>
  <c r="BC295" i="13"/>
  <c r="BC305" i="13" s="1"/>
  <c r="BC315" i="13" s="1"/>
  <c r="BC291" i="13"/>
  <c r="BC301" i="13" s="1"/>
  <c r="BC311" i="13" s="1"/>
  <c r="BC292" i="13"/>
  <c r="BC302" i="13" s="1"/>
  <c r="BC312" i="13" s="1"/>
  <c r="BC293" i="13"/>
  <c r="BC303" i="13" s="1"/>
  <c r="BC313" i="13" s="1"/>
  <c r="O288" i="13"/>
  <c r="O298" i="13" s="1"/>
  <c r="O308" i="13" s="1"/>
  <c r="O297" i="13"/>
  <c r="O307" i="13" s="1"/>
  <c r="O317" i="13" s="1"/>
  <c r="O290" i="13"/>
  <c r="O300" i="13" s="1"/>
  <c r="O310" i="13" s="1"/>
  <c r="O291" i="13"/>
  <c r="O301" i="13" s="1"/>
  <c r="O311" i="13" s="1"/>
  <c r="O292" i="13"/>
  <c r="O302" i="13" s="1"/>
  <c r="O312" i="13" s="1"/>
  <c r="O293" i="13"/>
  <c r="O303" i="13" s="1"/>
  <c r="O313" i="13" s="1"/>
  <c r="O295" i="13"/>
  <c r="O305" i="13" s="1"/>
  <c r="O315" i="13" s="1"/>
  <c r="O294" i="13"/>
  <c r="O304" i="13" s="1"/>
  <c r="O314" i="13" s="1"/>
  <c r="O296" i="13"/>
  <c r="O306" i="13" s="1"/>
  <c r="O316" i="13" s="1"/>
  <c r="P184" i="12"/>
  <c r="P194" i="12" s="1"/>
  <c r="P204" i="12" s="1"/>
  <c r="P193" i="12"/>
  <c r="P203" i="12" s="1"/>
  <c r="P213" i="12" s="1"/>
  <c r="P185" i="12"/>
  <c r="P195" i="12" s="1"/>
  <c r="P205" i="12" s="1"/>
  <c r="P186" i="12"/>
  <c r="P196" i="12" s="1"/>
  <c r="P206" i="12" s="1"/>
  <c r="Q225" i="12"/>
  <c r="P235" i="12"/>
  <c r="P239" i="12" s="1"/>
  <c r="P249" i="12" s="1"/>
  <c r="P259" i="12" s="1"/>
  <c r="P226" i="12"/>
  <c r="P266" i="12"/>
  <c r="Q277" i="12"/>
  <c r="P287" i="12"/>
  <c r="P278" i="12"/>
  <c r="P318" i="12"/>
  <c r="BD184" i="13"/>
  <c r="BD194" i="13" s="1"/>
  <c r="BD204" i="13" s="1"/>
  <c r="BD193" i="13"/>
  <c r="BD203" i="13" s="1"/>
  <c r="BD213" i="13" s="1"/>
  <c r="BF131" i="13"/>
  <c r="BF133" i="13" s="1"/>
  <c r="BF143" i="13" s="1"/>
  <c r="BF153" i="13" s="1"/>
  <c r="BF122" i="13"/>
  <c r="BG121" i="13"/>
  <c r="BF162" i="13"/>
  <c r="BF89" i="12"/>
  <c r="BF99" i="12" s="1"/>
  <c r="BF109" i="12" s="1"/>
  <c r="BF80" i="12"/>
  <c r="BF90" i="12" s="1"/>
  <c r="BF100" i="12" s="1"/>
  <c r="BF81" i="12"/>
  <c r="BF91" i="12" s="1"/>
  <c r="BF101" i="12" s="1"/>
  <c r="BF82" i="12"/>
  <c r="BF92" i="12" s="1"/>
  <c r="BF102" i="12" s="1"/>
  <c r="S17" i="13"/>
  <c r="R18" i="13"/>
  <c r="R27" i="13"/>
  <c r="R29" i="13" s="1"/>
  <c r="R39" i="13" s="1"/>
  <c r="R49" i="13" s="1"/>
  <c r="R58" i="13"/>
  <c r="R173" i="13"/>
  <c r="Q183" i="13"/>
  <c r="Q185" i="13" s="1"/>
  <c r="Q195" i="13" s="1"/>
  <c r="Q205" i="13" s="1"/>
  <c r="Q174" i="13"/>
  <c r="Q214" i="13"/>
  <c r="Q277" i="13"/>
  <c r="P287" i="13"/>
  <c r="P289" i="13" s="1"/>
  <c r="P299" i="13" s="1"/>
  <c r="P309" i="13" s="1"/>
  <c r="P278" i="13"/>
  <c r="P318" i="13"/>
  <c r="BE28" i="13"/>
  <c r="BE38" i="13" s="1"/>
  <c r="BE48" i="13" s="1"/>
  <c r="BE37" i="13"/>
  <c r="BE47" i="13" s="1"/>
  <c r="BE57" i="13" s="1"/>
  <c r="R173" i="12"/>
  <c r="Q183" i="12"/>
  <c r="Q187" i="12" s="1"/>
  <c r="Q197" i="12" s="1"/>
  <c r="Q207" i="12" s="1"/>
  <c r="Q174" i="12"/>
  <c r="Q214" i="12"/>
  <c r="BC288" i="12"/>
  <c r="BC298" i="12" s="1"/>
  <c r="BC308" i="12" s="1"/>
  <c r="BC297" i="12"/>
  <c r="BC307" i="12" s="1"/>
  <c r="BC317" i="12" s="1"/>
  <c r="BC295" i="12"/>
  <c r="BC305" i="12" s="1"/>
  <c r="BC315" i="12" s="1"/>
  <c r="BC296" i="12"/>
  <c r="BC306" i="12" s="1"/>
  <c r="BC316" i="12" s="1"/>
  <c r="BC293" i="12"/>
  <c r="BC303" i="12" s="1"/>
  <c r="BC313" i="12" s="1"/>
  <c r="BC294" i="12"/>
  <c r="BC304" i="12" s="1"/>
  <c r="BC314" i="12" s="1"/>
  <c r="BC292" i="12"/>
  <c r="BC302" i="12" s="1"/>
  <c r="BC312" i="12" s="1"/>
  <c r="Q132" i="12"/>
  <c r="Q142" i="12" s="1"/>
  <c r="Q152" i="12" s="1"/>
  <c r="Q141" i="12"/>
  <c r="Q151" i="12" s="1"/>
  <c r="Q161" i="12" s="1"/>
  <c r="Q133" i="12"/>
  <c r="Q143" i="12" s="1"/>
  <c r="Q153" i="12" s="1"/>
  <c r="Q134" i="12"/>
  <c r="Q144" i="12" s="1"/>
  <c r="Q154" i="12" s="1"/>
  <c r="R80" i="13"/>
  <c r="R90" i="13" s="1"/>
  <c r="R100" i="13" s="1"/>
  <c r="R89" i="13"/>
  <c r="R99" i="13" s="1"/>
  <c r="R109" i="13" s="1"/>
  <c r="R37" i="12"/>
  <c r="R47" i="12" s="1"/>
  <c r="R57" i="12" s="1"/>
  <c r="R28" i="12"/>
  <c r="R38" i="12" s="1"/>
  <c r="R48" i="12" s="1"/>
  <c r="R30" i="12"/>
  <c r="R40" i="12" s="1"/>
  <c r="R50" i="12" s="1"/>
  <c r="R29" i="12"/>
  <c r="R39" i="12" s="1"/>
  <c r="R49" i="12" s="1"/>
  <c r="O297" i="12"/>
  <c r="O307" i="12" s="1"/>
  <c r="O317" i="12" s="1"/>
  <c r="O288" i="12"/>
  <c r="O298" i="12" s="1"/>
  <c r="O308" i="12" s="1"/>
  <c r="O293" i="12"/>
  <c r="O303" i="12" s="1"/>
  <c r="O313" i="12" s="1"/>
  <c r="O296" i="12"/>
  <c r="O306" i="12" s="1"/>
  <c r="O316" i="12" s="1"/>
  <c r="O292" i="12"/>
  <c r="O302" i="12" s="1"/>
  <c r="O312" i="12" s="1"/>
  <c r="O294" i="12"/>
  <c r="O304" i="12" s="1"/>
  <c r="O314" i="12" s="1"/>
  <c r="O295" i="12"/>
  <c r="O305" i="12" s="1"/>
  <c r="O315" i="12" s="1"/>
  <c r="S121" i="12"/>
  <c r="R131" i="12"/>
  <c r="R135" i="12" s="1"/>
  <c r="R145" i="12" s="1"/>
  <c r="R155" i="12" s="1"/>
  <c r="R122" i="12"/>
  <c r="R162" i="12"/>
  <c r="BE183" i="13"/>
  <c r="BE185" i="13" s="1"/>
  <c r="BE195" i="13" s="1"/>
  <c r="BE205" i="13" s="1"/>
  <c r="BE174" i="13"/>
  <c r="BF173" i="13"/>
  <c r="BE214" i="13"/>
  <c r="BC236" i="13"/>
  <c r="BC246" i="13" s="1"/>
  <c r="BC256" i="13" s="1"/>
  <c r="BC245" i="13"/>
  <c r="BC255" i="13" s="1"/>
  <c r="BC265" i="13" s="1"/>
  <c r="BC245" i="12"/>
  <c r="BC255" i="12" s="1"/>
  <c r="BC265" i="12" s="1"/>
  <c r="BC236" i="12"/>
  <c r="BC246" i="12" s="1"/>
  <c r="BC256" i="12" s="1"/>
  <c r="BC238" i="12"/>
  <c r="BC248" i="12" s="1"/>
  <c r="BC258" i="12" s="1"/>
  <c r="BC237" i="12"/>
  <c r="BC247" i="12" s="1"/>
  <c r="BC257" i="12" s="1"/>
  <c r="BH17" i="12"/>
  <c r="BG27" i="12"/>
  <c r="BG31" i="12" s="1"/>
  <c r="BG41" i="12" s="1"/>
  <c r="BG51" i="12" s="1"/>
  <c r="BG18" i="12"/>
  <c r="BG58" i="12"/>
  <c r="Q132" i="13"/>
  <c r="Q142" i="13" s="1"/>
  <c r="Q152" i="13" s="1"/>
  <c r="Q141" i="13"/>
  <c r="Q151" i="13" s="1"/>
  <c r="Q161" i="13" s="1"/>
  <c r="BG121" i="12"/>
  <c r="BF131" i="12"/>
  <c r="BF135" i="12" s="1"/>
  <c r="BF145" i="12" s="1"/>
  <c r="BF155" i="12" s="1"/>
  <c r="BF122" i="12"/>
  <c r="BF162" i="12"/>
  <c r="P184" i="13"/>
  <c r="P194" i="13" s="1"/>
  <c r="P204" i="13" s="1"/>
  <c r="P193" i="13"/>
  <c r="P203" i="13" s="1"/>
  <c r="P213" i="13" s="1"/>
  <c r="BF18" i="13"/>
  <c r="BG17" i="13"/>
  <c r="BF27" i="13"/>
  <c r="BF29" i="13" s="1"/>
  <c r="BF39" i="13" s="1"/>
  <c r="BF49" i="13" s="1"/>
  <c r="BF58" i="13"/>
  <c r="T17" i="12"/>
  <c r="S27" i="12"/>
  <c r="S31" i="12" s="1"/>
  <c r="S41" i="12" s="1"/>
  <c r="S51" i="12" s="1"/>
  <c r="S18" i="12"/>
  <c r="S58" i="12"/>
  <c r="O245" i="12"/>
  <c r="O255" i="12" s="1"/>
  <c r="O265" i="12" s="1"/>
  <c r="O236" i="12"/>
  <c r="O246" i="12" s="1"/>
  <c r="O256" i="12" s="1"/>
  <c r="O238" i="12"/>
  <c r="O248" i="12" s="1"/>
  <c r="O258" i="12" s="1"/>
  <c r="O237" i="12"/>
  <c r="O247" i="12" s="1"/>
  <c r="O257" i="12" s="1"/>
  <c r="BD278" i="12"/>
  <c r="BD287" i="12"/>
  <c r="BE277" i="12"/>
  <c r="BD318" i="12"/>
  <c r="BG79" i="12"/>
  <c r="BG83" i="12" s="1"/>
  <c r="BG93" i="12" s="1"/>
  <c r="BG103" i="12" s="1"/>
  <c r="BH69" i="12"/>
  <c r="BG70" i="12"/>
  <c r="BG110" i="12"/>
  <c r="BE225" i="13"/>
  <c r="BD235" i="13"/>
  <c r="BD237" i="13" s="1"/>
  <c r="BD247" i="13" s="1"/>
  <c r="BD257" i="13" s="1"/>
  <c r="BD226" i="13"/>
  <c r="BD266" i="13"/>
  <c r="BE225" i="12"/>
  <c r="BD235" i="12"/>
  <c r="BD239" i="12" s="1"/>
  <c r="BD249" i="12" s="1"/>
  <c r="BD259" i="12" s="1"/>
  <c r="BD226" i="12"/>
  <c r="BD266" i="12"/>
  <c r="Q37" i="13"/>
  <c r="Q47" i="13" s="1"/>
  <c r="Q57" i="13" s="1"/>
  <c r="Q28" i="13"/>
  <c r="Q38" i="13" s="1"/>
  <c r="Q48" i="13" s="1"/>
  <c r="BF28" i="12"/>
  <c r="BF38" i="12" s="1"/>
  <c r="BF48" i="12" s="1"/>
  <c r="BF37" i="12"/>
  <c r="BF47" i="12" s="1"/>
  <c r="BF57" i="12" s="1"/>
  <c r="BF30" i="12"/>
  <c r="BF40" i="12" s="1"/>
  <c r="BF50" i="12" s="1"/>
  <c r="BF29" i="12"/>
  <c r="BF39" i="12" s="1"/>
  <c r="BF49" i="12" s="1"/>
  <c r="BE139" i="13" l="1"/>
  <c r="BE149" i="13" s="1"/>
  <c r="BE159" i="13" s="1"/>
  <c r="BE138" i="13"/>
  <c r="BE148" i="13" s="1"/>
  <c r="BE158" i="13" s="1"/>
  <c r="BE135" i="13"/>
  <c r="BE145" i="13" s="1"/>
  <c r="BE155" i="13" s="1"/>
  <c r="BE134" i="13"/>
  <c r="BE144" i="13" s="1"/>
  <c r="BE154" i="13" s="1"/>
  <c r="BE140" i="13"/>
  <c r="BE150" i="13" s="1"/>
  <c r="BE160" i="13" s="1"/>
  <c r="BE132" i="13"/>
  <c r="BE142" i="13" s="1"/>
  <c r="BE152" i="13" s="1"/>
  <c r="BE141" i="13"/>
  <c r="BE151" i="13" s="1"/>
  <c r="BE161" i="13" s="1"/>
  <c r="BA167" i="13"/>
  <c r="BE136" i="13"/>
  <c r="BE146" i="13" s="1"/>
  <c r="BE156" i="13" s="1"/>
  <c r="BE137" i="13"/>
  <c r="BE147" i="13" s="1"/>
  <c r="BE157" i="13" s="1"/>
  <c r="BD163" i="13"/>
  <c r="BC166" i="13" s="1"/>
  <c r="BB166" i="13"/>
  <c r="Q88" i="12"/>
  <c r="Q98" i="12" s="1"/>
  <c r="Q108" i="12" s="1"/>
  <c r="Q85" i="12"/>
  <c r="Q95" i="12" s="1"/>
  <c r="Q105" i="12" s="1"/>
  <c r="Q87" i="12"/>
  <c r="Q97" i="12" s="1"/>
  <c r="Q107" i="12" s="1"/>
  <c r="Q86" i="12"/>
  <c r="Q96" i="12" s="1"/>
  <c r="Q106" i="12" s="1"/>
  <c r="M320" i="12"/>
  <c r="L323" i="12" s="1"/>
  <c r="Q83" i="12"/>
  <c r="Q93" i="12" s="1"/>
  <c r="Q103" i="12" s="1"/>
  <c r="Q81" i="12"/>
  <c r="Q91" i="12" s="1"/>
  <c r="Q101" i="12" s="1"/>
  <c r="Q84" i="12"/>
  <c r="Q94" i="12" s="1"/>
  <c r="Q104" i="12" s="1"/>
  <c r="Q89" i="12"/>
  <c r="Q99" i="12" s="1"/>
  <c r="Q109" i="12" s="1"/>
  <c r="Q82" i="12"/>
  <c r="Q92" i="12" s="1"/>
  <c r="Q102" i="12" s="1"/>
  <c r="Q80" i="12"/>
  <c r="Q90" i="12" s="1"/>
  <c r="Q100" i="12" s="1"/>
  <c r="N112" i="12"/>
  <c r="M115" i="12" s="1"/>
  <c r="N114" i="12"/>
  <c r="R110" i="12"/>
  <c r="S69" i="12"/>
  <c r="R79" i="12"/>
  <c r="R70" i="12"/>
  <c r="P111" i="12"/>
  <c r="O114" i="12" s="1"/>
  <c r="M320" i="13"/>
  <c r="L323" i="13" s="1"/>
  <c r="BC189" i="12"/>
  <c r="BC199" i="12" s="1"/>
  <c r="BC209" i="12" s="1"/>
  <c r="BC190" i="12"/>
  <c r="BC200" i="12" s="1"/>
  <c r="BC210" i="12" s="1"/>
  <c r="BC192" i="12"/>
  <c r="BC202" i="12" s="1"/>
  <c r="BC212" i="12" s="1"/>
  <c r="BC191" i="12"/>
  <c r="BC201" i="12" s="1"/>
  <c r="BC211" i="12" s="1"/>
  <c r="BB215" i="12"/>
  <c r="BD112" i="12"/>
  <c r="BC115" i="12" s="1"/>
  <c r="BC187" i="12"/>
  <c r="BC197" i="12" s="1"/>
  <c r="BC207" i="12" s="1"/>
  <c r="BC186" i="12"/>
  <c r="BC196" i="12" s="1"/>
  <c r="BC206" i="12" s="1"/>
  <c r="BC185" i="12"/>
  <c r="BC195" i="12" s="1"/>
  <c r="BC205" i="12" s="1"/>
  <c r="BC193" i="12"/>
  <c r="BC203" i="12" s="1"/>
  <c r="BC213" i="12" s="1"/>
  <c r="BC184" i="12"/>
  <c r="BC194" i="12" s="1"/>
  <c r="BC204" i="12" s="1"/>
  <c r="BD214" i="12"/>
  <c r="BE173" i="12"/>
  <c r="BD183" i="12"/>
  <c r="BD188" i="12" s="1"/>
  <c r="BD198" i="12" s="1"/>
  <c r="BD208" i="12" s="1"/>
  <c r="BD174" i="12"/>
  <c r="AZ216" i="12"/>
  <c r="AY219" i="12" s="1"/>
  <c r="AZ218" i="12"/>
  <c r="BA322" i="13"/>
  <c r="O164" i="12"/>
  <c r="N167" i="12" s="1"/>
  <c r="AZ323" i="13"/>
  <c r="P60" i="12"/>
  <c r="O63" i="12" s="1"/>
  <c r="BD112" i="13"/>
  <c r="BC115" i="13" s="1"/>
  <c r="M270" i="12"/>
  <c r="N218" i="12"/>
  <c r="BA320" i="12"/>
  <c r="AZ323" i="12" s="1"/>
  <c r="BD291" i="12"/>
  <c r="BD301" i="12" s="1"/>
  <c r="BD311" i="12" s="1"/>
  <c r="BD289" i="12"/>
  <c r="BD299" i="12" s="1"/>
  <c r="BD309" i="12" s="1"/>
  <c r="BD290" i="12"/>
  <c r="BD300" i="12" s="1"/>
  <c r="BD310" i="12" s="1"/>
  <c r="BC319" i="12"/>
  <c r="BB320" i="12" s="1"/>
  <c r="O319" i="13"/>
  <c r="N322" i="13" s="1"/>
  <c r="O319" i="12"/>
  <c r="N320" i="12" s="1"/>
  <c r="BC319" i="13"/>
  <c r="BB320" i="13" s="1"/>
  <c r="BA323" i="13" s="1"/>
  <c r="P291" i="12"/>
  <c r="P301" i="12" s="1"/>
  <c r="P311" i="12" s="1"/>
  <c r="P289" i="12"/>
  <c r="P299" i="12" s="1"/>
  <c r="P309" i="12" s="1"/>
  <c r="P290" i="12"/>
  <c r="P300" i="12" s="1"/>
  <c r="P310" i="12" s="1"/>
  <c r="BD60" i="12"/>
  <c r="BC63" i="12" s="1"/>
  <c r="BF111" i="13"/>
  <c r="BE114" i="13" s="1"/>
  <c r="BB216" i="13"/>
  <c r="BA219" i="13" s="1"/>
  <c r="P215" i="12"/>
  <c r="O216" i="12" s="1"/>
  <c r="N219" i="12" s="1"/>
  <c r="BF36" i="13"/>
  <c r="BF46" i="13" s="1"/>
  <c r="BF56" i="13" s="1"/>
  <c r="BF33" i="13"/>
  <c r="BF43" i="13" s="1"/>
  <c r="BF53" i="13" s="1"/>
  <c r="BF31" i="13"/>
  <c r="BF41" i="13" s="1"/>
  <c r="BF51" i="13" s="1"/>
  <c r="BF32" i="13"/>
  <c r="BF42" i="13" s="1"/>
  <c r="BF52" i="13" s="1"/>
  <c r="BF30" i="13"/>
  <c r="BF40" i="13" s="1"/>
  <c r="BF50" i="13" s="1"/>
  <c r="BF35" i="13"/>
  <c r="BF45" i="13" s="1"/>
  <c r="BF55" i="13" s="1"/>
  <c r="BF34" i="13"/>
  <c r="BF44" i="13" s="1"/>
  <c r="BF54" i="13" s="1"/>
  <c r="BF139" i="12"/>
  <c r="BF149" i="12" s="1"/>
  <c r="BF159" i="12" s="1"/>
  <c r="BF140" i="12"/>
  <c r="BF150" i="12" s="1"/>
  <c r="BF160" i="12" s="1"/>
  <c r="BF136" i="12"/>
  <c r="BF146" i="12" s="1"/>
  <c r="BF156" i="12" s="1"/>
  <c r="BF137" i="12"/>
  <c r="BF147" i="12" s="1"/>
  <c r="BF157" i="12" s="1"/>
  <c r="BF138" i="12"/>
  <c r="BF148" i="12" s="1"/>
  <c r="BF158" i="12" s="1"/>
  <c r="BF138" i="13"/>
  <c r="BF148" i="13" s="1"/>
  <c r="BF158" i="13" s="1"/>
  <c r="BF137" i="13"/>
  <c r="BF147" i="13" s="1"/>
  <c r="BF157" i="13" s="1"/>
  <c r="BF140" i="13"/>
  <c r="BF150" i="13" s="1"/>
  <c r="BF160" i="13" s="1"/>
  <c r="BF139" i="13"/>
  <c r="BF149" i="13" s="1"/>
  <c r="BF159" i="13" s="1"/>
  <c r="BF135" i="13"/>
  <c r="BF145" i="13" s="1"/>
  <c r="BF155" i="13" s="1"/>
  <c r="BF136" i="13"/>
  <c r="BF146" i="13" s="1"/>
  <c r="BF156" i="13" s="1"/>
  <c r="BF134" i="13"/>
  <c r="BF144" i="13" s="1"/>
  <c r="BF154" i="13" s="1"/>
  <c r="BG87" i="13"/>
  <c r="BG97" i="13" s="1"/>
  <c r="BG107" i="13" s="1"/>
  <c r="BG84" i="13"/>
  <c r="BG94" i="13" s="1"/>
  <c r="BG104" i="13" s="1"/>
  <c r="BG83" i="13"/>
  <c r="BG93" i="13" s="1"/>
  <c r="BG103" i="13" s="1"/>
  <c r="BG85" i="13"/>
  <c r="BG95" i="13" s="1"/>
  <c r="BG105" i="13" s="1"/>
  <c r="BG88" i="13"/>
  <c r="BG98" i="13" s="1"/>
  <c r="BG108" i="13" s="1"/>
  <c r="BG82" i="13"/>
  <c r="BG92" i="13" s="1"/>
  <c r="BG102" i="13" s="1"/>
  <c r="BG86" i="13"/>
  <c r="BG96" i="13" s="1"/>
  <c r="BG106" i="13" s="1"/>
  <c r="P239" i="13"/>
  <c r="P249" i="13" s="1"/>
  <c r="P259" i="13" s="1"/>
  <c r="P241" i="13"/>
  <c r="P251" i="13" s="1"/>
  <c r="P261" i="13" s="1"/>
  <c r="P238" i="13"/>
  <c r="P248" i="13" s="1"/>
  <c r="P258" i="13" s="1"/>
  <c r="P244" i="13"/>
  <c r="P254" i="13" s="1"/>
  <c r="P264" i="13" s="1"/>
  <c r="P240" i="13"/>
  <c r="P250" i="13" s="1"/>
  <c r="P260" i="13" s="1"/>
  <c r="P243" i="13"/>
  <c r="P253" i="13" s="1"/>
  <c r="P263" i="13" s="1"/>
  <c r="P242" i="13"/>
  <c r="P252" i="13" s="1"/>
  <c r="P262" i="13" s="1"/>
  <c r="S87" i="13"/>
  <c r="S97" i="13" s="1"/>
  <c r="S107" i="13" s="1"/>
  <c r="S85" i="13"/>
  <c r="S95" i="13" s="1"/>
  <c r="S105" i="13" s="1"/>
  <c r="S83" i="13"/>
  <c r="S93" i="13" s="1"/>
  <c r="S103" i="13" s="1"/>
  <c r="S84" i="13"/>
  <c r="S94" i="13" s="1"/>
  <c r="S104" i="13" s="1"/>
  <c r="S88" i="13"/>
  <c r="S98" i="13" s="1"/>
  <c r="S108" i="13" s="1"/>
  <c r="S86" i="13"/>
  <c r="S96" i="13" s="1"/>
  <c r="S106" i="13" s="1"/>
  <c r="S82" i="13"/>
  <c r="S92" i="13" s="1"/>
  <c r="S102" i="13" s="1"/>
  <c r="BG87" i="12"/>
  <c r="BG97" i="12" s="1"/>
  <c r="BG107" i="12" s="1"/>
  <c r="BG85" i="12"/>
  <c r="BG95" i="12" s="1"/>
  <c r="BG105" i="12" s="1"/>
  <c r="BG84" i="12"/>
  <c r="BG94" i="12" s="1"/>
  <c r="BG104" i="12" s="1"/>
  <c r="BG86" i="12"/>
  <c r="BG96" i="12" s="1"/>
  <c r="BG106" i="12" s="1"/>
  <c r="BG88" i="12"/>
  <c r="BG98" i="12" s="1"/>
  <c r="BG108" i="12" s="1"/>
  <c r="S36" i="12"/>
  <c r="S46" i="12" s="1"/>
  <c r="S56" i="12" s="1"/>
  <c r="S33" i="12"/>
  <c r="S43" i="12" s="1"/>
  <c r="S53" i="12" s="1"/>
  <c r="S34" i="12"/>
  <c r="S44" i="12" s="1"/>
  <c r="S54" i="12" s="1"/>
  <c r="S32" i="12"/>
  <c r="S42" i="12" s="1"/>
  <c r="S52" i="12" s="1"/>
  <c r="S35" i="12"/>
  <c r="S45" i="12" s="1"/>
  <c r="S55" i="12" s="1"/>
  <c r="BE191" i="13"/>
  <c r="BE201" i="13" s="1"/>
  <c r="BE211" i="13" s="1"/>
  <c r="BE187" i="13"/>
  <c r="BE197" i="13" s="1"/>
  <c r="BE207" i="13" s="1"/>
  <c r="BE189" i="13"/>
  <c r="BE199" i="13" s="1"/>
  <c r="BE209" i="13" s="1"/>
  <c r="BE190" i="13"/>
  <c r="BE200" i="13" s="1"/>
  <c r="BE210" i="13" s="1"/>
  <c r="BE192" i="13"/>
  <c r="BE202" i="13" s="1"/>
  <c r="BE212" i="13" s="1"/>
  <c r="BE186" i="13"/>
  <c r="BE196" i="13" s="1"/>
  <c r="BE206" i="13" s="1"/>
  <c r="BE188" i="13"/>
  <c r="BE198" i="13" s="1"/>
  <c r="BE208" i="13" s="1"/>
  <c r="Q188" i="12"/>
  <c r="Q198" i="12" s="1"/>
  <c r="Q208" i="12" s="1"/>
  <c r="Q191" i="12"/>
  <c r="Q201" i="12" s="1"/>
  <c r="Q211" i="12" s="1"/>
  <c r="Q190" i="12"/>
  <c r="Q200" i="12" s="1"/>
  <c r="Q210" i="12" s="1"/>
  <c r="Q192" i="12"/>
  <c r="Q202" i="12" s="1"/>
  <c r="Q212" i="12" s="1"/>
  <c r="Q189" i="12"/>
  <c r="Q199" i="12" s="1"/>
  <c r="Q209" i="12" s="1"/>
  <c r="Q186" i="13"/>
  <c r="Q196" i="13" s="1"/>
  <c r="Q206" i="13" s="1"/>
  <c r="Q187" i="13"/>
  <c r="Q197" i="13" s="1"/>
  <c r="Q207" i="13" s="1"/>
  <c r="Q190" i="13"/>
  <c r="Q200" i="13" s="1"/>
  <c r="Q210" i="13" s="1"/>
  <c r="Q191" i="13"/>
  <c r="Q201" i="13" s="1"/>
  <c r="Q211" i="13" s="1"/>
  <c r="Q189" i="13"/>
  <c r="Q199" i="13" s="1"/>
  <c r="Q209" i="13" s="1"/>
  <c r="Q192" i="13"/>
  <c r="Q202" i="13" s="1"/>
  <c r="Q212" i="13" s="1"/>
  <c r="Q188" i="13"/>
  <c r="Q198" i="13" s="1"/>
  <c r="Q208" i="13" s="1"/>
  <c r="R31" i="13"/>
  <c r="R41" i="13" s="1"/>
  <c r="R51" i="13" s="1"/>
  <c r="R36" i="13"/>
  <c r="R46" i="13" s="1"/>
  <c r="R56" i="13" s="1"/>
  <c r="R34" i="13"/>
  <c r="R44" i="13" s="1"/>
  <c r="R54" i="13" s="1"/>
  <c r="R30" i="13"/>
  <c r="R40" i="13" s="1"/>
  <c r="R50" i="13" s="1"/>
  <c r="R35" i="13"/>
  <c r="R45" i="13" s="1"/>
  <c r="R55" i="13" s="1"/>
  <c r="R32" i="13"/>
  <c r="R42" i="13" s="1"/>
  <c r="R52" i="13" s="1"/>
  <c r="R33" i="13"/>
  <c r="R43" i="13" s="1"/>
  <c r="R53" i="13" s="1"/>
  <c r="P242" i="12"/>
  <c r="P252" i="12" s="1"/>
  <c r="P262" i="12" s="1"/>
  <c r="P241" i="12"/>
  <c r="P251" i="12" s="1"/>
  <c r="P261" i="12" s="1"/>
  <c r="P244" i="12"/>
  <c r="P254" i="12" s="1"/>
  <c r="P264" i="12" s="1"/>
  <c r="P240" i="12"/>
  <c r="P250" i="12" s="1"/>
  <c r="P260" i="12" s="1"/>
  <c r="P243" i="12"/>
  <c r="P253" i="12" s="1"/>
  <c r="P263" i="12" s="1"/>
  <c r="BD244" i="12"/>
  <c r="BD254" i="12" s="1"/>
  <c r="BD264" i="12" s="1"/>
  <c r="BD240" i="12"/>
  <c r="BD250" i="12" s="1"/>
  <c r="BD260" i="12" s="1"/>
  <c r="BD243" i="12"/>
  <c r="BD253" i="12" s="1"/>
  <c r="BD263" i="12" s="1"/>
  <c r="BD242" i="12"/>
  <c r="BD252" i="12" s="1"/>
  <c r="BD262" i="12" s="1"/>
  <c r="BD241" i="12"/>
  <c r="BD251" i="12" s="1"/>
  <c r="BD261" i="12" s="1"/>
  <c r="BD243" i="13"/>
  <c r="BD253" i="13" s="1"/>
  <c r="BD263" i="13" s="1"/>
  <c r="BD244" i="13"/>
  <c r="BD254" i="13" s="1"/>
  <c r="BD264" i="13" s="1"/>
  <c r="BD240" i="13"/>
  <c r="BD250" i="13" s="1"/>
  <c r="BD260" i="13" s="1"/>
  <c r="BD238" i="13"/>
  <c r="BD248" i="13" s="1"/>
  <c r="BD258" i="13" s="1"/>
  <c r="BD241" i="13"/>
  <c r="BD251" i="13" s="1"/>
  <c r="BD261" i="13" s="1"/>
  <c r="BD239" i="13"/>
  <c r="BD249" i="13" s="1"/>
  <c r="BD259" i="13" s="1"/>
  <c r="BD242" i="13"/>
  <c r="BD252" i="13" s="1"/>
  <c r="BD262" i="13" s="1"/>
  <c r="BG36" i="12"/>
  <c r="BG46" i="12" s="1"/>
  <c r="BG56" i="12" s="1"/>
  <c r="BG33" i="12"/>
  <c r="BG43" i="12" s="1"/>
  <c r="BG53" i="12" s="1"/>
  <c r="BG32" i="12"/>
  <c r="BG42" i="12" s="1"/>
  <c r="BG52" i="12" s="1"/>
  <c r="BG34" i="12"/>
  <c r="BG44" i="12" s="1"/>
  <c r="BG54" i="12" s="1"/>
  <c r="BG35" i="12"/>
  <c r="BG45" i="12" s="1"/>
  <c r="BG55" i="12" s="1"/>
  <c r="R137" i="12"/>
  <c r="R147" i="12" s="1"/>
  <c r="R157" i="12" s="1"/>
  <c r="R139" i="12"/>
  <c r="R149" i="12" s="1"/>
  <c r="R159" i="12" s="1"/>
  <c r="R136" i="12"/>
  <c r="R146" i="12" s="1"/>
  <c r="R156" i="12" s="1"/>
  <c r="R140" i="12"/>
  <c r="R150" i="12" s="1"/>
  <c r="R160" i="12" s="1"/>
  <c r="R138" i="12"/>
  <c r="R148" i="12" s="1"/>
  <c r="R158" i="12" s="1"/>
  <c r="R137" i="13"/>
  <c r="R147" i="13" s="1"/>
  <c r="R157" i="13" s="1"/>
  <c r="R138" i="13"/>
  <c r="R148" i="13" s="1"/>
  <c r="R158" i="13" s="1"/>
  <c r="R140" i="13"/>
  <c r="R150" i="13" s="1"/>
  <c r="R160" i="13" s="1"/>
  <c r="R139" i="13"/>
  <c r="R149" i="13" s="1"/>
  <c r="R159" i="13" s="1"/>
  <c r="R136" i="13"/>
  <c r="R146" i="13" s="1"/>
  <c r="R156" i="13" s="1"/>
  <c r="R135" i="13"/>
  <c r="R145" i="13" s="1"/>
  <c r="R155" i="13" s="1"/>
  <c r="R134" i="13"/>
  <c r="R144" i="13" s="1"/>
  <c r="R154" i="13" s="1"/>
  <c r="BC60" i="13"/>
  <c r="BB63" i="13" s="1"/>
  <c r="M270" i="13"/>
  <c r="Q59" i="13"/>
  <c r="P62" i="13" s="1"/>
  <c r="BA270" i="13"/>
  <c r="BC164" i="12"/>
  <c r="BB167" i="12" s="1"/>
  <c r="O164" i="13"/>
  <c r="N167" i="13" s="1"/>
  <c r="BA268" i="12"/>
  <c r="AZ271" i="12" s="1"/>
  <c r="BF111" i="12"/>
  <c r="BE112" i="12" s="1"/>
  <c r="BE163" i="12"/>
  <c r="BD164" i="12" s="1"/>
  <c r="BE59" i="13"/>
  <c r="BD62" i="13" s="1"/>
  <c r="O60" i="13"/>
  <c r="N63" i="13" s="1"/>
  <c r="L271" i="13"/>
  <c r="BD215" i="13"/>
  <c r="BC216" i="13" s="1"/>
  <c r="N216" i="13"/>
  <c r="M219" i="13" s="1"/>
  <c r="O267" i="12"/>
  <c r="N268" i="12" s="1"/>
  <c r="M271" i="12" s="1"/>
  <c r="P215" i="13"/>
  <c r="O218" i="13" s="1"/>
  <c r="BC267" i="13"/>
  <c r="BB268" i="13" s="1"/>
  <c r="BA271" i="13" s="1"/>
  <c r="O267" i="13"/>
  <c r="N268" i="13" s="1"/>
  <c r="M271" i="13" s="1"/>
  <c r="P112" i="13"/>
  <c r="O115" i="13" s="1"/>
  <c r="R111" i="13"/>
  <c r="Q112" i="13" s="1"/>
  <c r="BF59" i="12"/>
  <c r="BE62" i="12" s="1"/>
  <c r="BC267" i="12"/>
  <c r="BB270" i="12" s="1"/>
  <c r="R59" i="12"/>
  <c r="Q60" i="12" s="1"/>
  <c r="Q163" i="13"/>
  <c r="P166" i="13" s="1"/>
  <c r="Q163" i="12"/>
  <c r="P164" i="12" s="1"/>
  <c r="BG80" i="12"/>
  <c r="BG90" i="12" s="1"/>
  <c r="BG100" i="12" s="1"/>
  <c r="BG89" i="12"/>
  <c r="BG99" i="12" s="1"/>
  <c r="BG109" i="12" s="1"/>
  <c r="BG81" i="12"/>
  <c r="BG91" i="12" s="1"/>
  <c r="BG101" i="12" s="1"/>
  <c r="BG82" i="12"/>
  <c r="BG92" i="12" s="1"/>
  <c r="BG102" i="12" s="1"/>
  <c r="BH17" i="13"/>
  <c r="BG18" i="13"/>
  <c r="BG27" i="13"/>
  <c r="BG29" i="13" s="1"/>
  <c r="BG39" i="13" s="1"/>
  <c r="BG49" i="13" s="1"/>
  <c r="BG58" i="13"/>
  <c r="BE184" i="13"/>
  <c r="BE194" i="13" s="1"/>
  <c r="BE204" i="13" s="1"/>
  <c r="BE193" i="13"/>
  <c r="BE203" i="13" s="1"/>
  <c r="BE213" i="13" s="1"/>
  <c r="P288" i="13"/>
  <c r="P298" i="13" s="1"/>
  <c r="P308" i="13" s="1"/>
  <c r="P297" i="13"/>
  <c r="P307" i="13" s="1"/>
  <c r="P317" i="13" s="1"/>
  <c r="P292" i="13"/>
  <c r="P302" i="13" s="1"/>
  <c r="P312" i="13" s="1"/>
  <c r="P290" i="13"/>
  <c r="P300" i="13" s="1"/>
  <c r="P310" i="13" s="1"/>
  <c r="P296" i="13"/>
  <c r="P306" i="13" s="1"/>
  <c r="P316" i="13" s="1"/>
  <c r="P293" i="13"/>
  <c r="P303" i="13" s="1"/>
  <c r="P313" i="13" s="1"/>
  <c r="P295" i="13"/>
  <c r="P305" i="13" s="1"/>
  <c r="P315" i="13" s="1"/>
  <c r="P291" i="13"/>
  <c r="P301" i="13" s="1"/>
  <c r="P311" i="13" s="1"/>
  <c r="P294" i="13"/>
  <c r="P304" i="13" s="1"/>
  <c r="P314" i="13" s="1"/>
  <c r="Q193" i="13"/>
  <c r="Q203" i="13" s="1"/>
  <c r="Q213" i="13" s="1"/>
  <c r="Q184" i="13"/>
  <c r="Q194" i="13" s="1"/>
  <c r="Q204" i="13" s="1"/>
  <c r="P236" i="12"/>
  <c r="P246" i="12" s="1"/>
  <c r="P256" i="12" s="1"/>
  <c r="P245" i="12"/>
  <c r="P255" i="12" s="1"/>
  <c r="P265" i="12" s="1"/>
  <c r="P237" i="12"/>
  <c r="P247" i="12" s="1"/>
  <c r="P257" i="12" s="1"/>
  <c r="P238" i="12"/>
  <c r="P248" i="12" s="1"/>
  <c r="P258" i="12" s="1"/>
  <c r="BI69" i="13"/>
  <c r="BH79" i="13"/>
  <c r="BH81" i="13" s="1"/>
  <c r="BH91" i="13" s="1"/>
  <c r="BH101" i="13" s="1"/>
  <c r="BH70" i="13"/>
  <c r="BH110" i="13"/>
  <c r="T121" i="13"/>
  <c r="S131" i="13"/>
  <c r="S133" i="13" s="1"/>
  <c r="S143" i="13" s="1"/>
  <c r="S153" i="13" s="1"/>
  <c r="S122" i="13"/>
  <c r="S162" i="13"/>
  <c r="R225" i="13"/>
  <c r="Q235" i="13"/>
  <c r="Q237" i="13" s="1"/>
  <c r="Q247" i="13" s="1"/>
  <c r="Q257" i="13" s="1"/>
  <c r="Q226" i="13"/>
  <c r="Q266" i="13"/>
  <c r="U69" i="13"/>
  <c r="T70" i="13"/>
  <c r="T79" i="13"/>
  <c r="T81" i="13" s="1"/>
  <c r="T91" i="13" s="1"/>
  <c r="T101" i="13" s="1"/>
  <c r="T110" i="13"/>
  <c r="BD245" i="12"/>
  <c r="BD255" i="12" s="1"/>
  <c r="BD265" i="12" s="1"/>
  <c r="BD236" i="12"/>
  <c r="BD246" i="12" s="1"/>
  <c r="BD256" i="12" s="1"/>
  <c r="BD237" i="12"/>
  <c r="BD247" i="12" s="1"/>
  <c r="BD257" i="12" s="1"/>
  <c r="BD238" i="12"/>
  <c r="BD248" i="12" s="1"/>
  <c r="BD258" i="12" s="1"/>
  <c r="BD236" i="13"/>
  <c r="BD246" i="13" s="1"/>
  <c r="BD256" i="13" s="1"/>
  <c r="BD245" i="13"/>
  <c r="BD255" i="13" s="1"/>
  <c r="BD265" i="13" s="1"/>
  <c r="S37" i="12"/>
  <c r="S47" i="12" s="1"/>
  <c r="S57" i="12" s="1"/>
  <c r="S28" i="12"/>
  <c r="S38" i="12" s="1"/>
  <c r="S48" i="12" s="1"/>
  <c r="S30" i="12"/>
  <c r="S40" i="12" s="1"/>
  <c r="S50" i="12" s="1"/>
  <c r="S29" i="12"/>
  <c r="S39" i="12" s="1"/>
  <c r="S49" i="12" s="1"/>
  <c r="BF132" i="12"/>
  <c r="BF142" i="12" s="1"/>
  <c r="BF152" i="12" s="1"/>
  <c r="BF141" i="12"/>
  <c r="BF151" i="12" s="1"/>
  <c r="BF161" i="12" s="1"/>
  <c r="BF133" i="12"/>
  <c r="BF143" i="12" s="1"/>
  <c r="BF153" i="12" s="1"/>
  <c r="BF134" i="12"/>
  <c r="BF144" i="12" s="1"/>
  <c r="BF154" i="12" s="1"/>
  <c r="BG37" i="12"/>
  <c r="BG47" i="12" s="1"/>
  <c r="BG57" i="12" s="1"/>
  <c r="BG28" i="12"/>
  <c r="BG38" i="12" s="1"/>
  <c r="BG48" i="12" s="1"/>
  <c r="BG30" i="12"/>
  <c r="BG40" i="12" s="1"/>
  <c r="BG50" i="12" s="1"/>
  <c r="BG29" i="12"/>
  <c r="BG39" i="12" s="1"/>
  <c r="BG49" i="12" s="1"/>
  <c r="R132" i="12"/>
  <c r="R142" i="12" s="1"/>
  <c r="R152" i="12" s="1"/>
  <c r="R141" i="12"/>
  <c r="R151" i="12" s="1"/>
  <c r="R161" i="12" s="1"/>
  <c r="R133" i="12"/>
  <c r="R143" i="12" s="1"/>
  <c r="R153" i="12" s="1"/>
  <c r="R134" i="12"/>
  <c r="R144" i="12" s="1"/>
  <c r="R154" i="12" s="1"/>
  <c r="R277" i="13"/>
  <c r="Q278" i="13"/>
  <c r="Q287" i="13"/>
  <c r="Q289" i="13" s="1"/>
  <c r="Q299" i="13" s="1"/>
  <c r="Q309" i="13" s="1"/>
  <c r="Q318" i="13"/>
  <c r="S173" i="13"/>
  <c r="R183" i="13"/>
  <c r="R185" i="13" s="1"/>
  <c r="R195" i="13" s="1"/>
  <c r="R205" i="13" s="1"/>
  <c r="R174" i="13"/>
  <c r="R214" i="13"/>
  <c r="T17" i="13"/>
  <c r="S27" i="13"/>
  <c r="S29" i="13" s="1"/>
  <c r="S39" i="13" s="1"/>
  <c r="S49" i="13" s="1"/>
  <c r="S18" i="13"/>
  <c r="S58" i="13"/>
  <c r="BF132" i="13"/>
  <c r="BF142" i="13" s="1"/>
  <c r="BF152" i="13" s="1"/>
  <c r="BF141" i="13"/>
  <c r="BF151" i="13" s="1"/>
  <c r="BF161" i="13" s="1"/>
  <c r="R225" i="12"/>
  <c r="Q235" i="12"/>
  <c r="Q239" i="12" s="1"/>
  <c r="Q249" i="12" s="1"/>
  <c r="Q259" i="12" s="1"/>
  <c r="Q226" i="12"/>
  <c r="Q266" i="12"/>
  <c r="BE287" i="13"/>
  <c r="BE289" i="13" s="1"/>
  <c r="BE299" i="13" s="1"/>
  <c r="BE309" i="13" s="1"/>
  <c r="BF277" i="13"/>
  <c r="BE278" i="13"/>
  <c r="BE318" i="13"/>
  <c r="BE226" i="12"/>
  <c r="BE235" i="12"/>
  <c r="BE239" i="12" s="1"/>
  <c r="BE249" i="12" s="1"/>
  <c r="BE259" i="12" s="1"/>
  <c r="BF225" i="12"/>
  <c r="BE266" i="12"/>
  <c r="BE235" i="13"/>
  <c r="BE237" i="13" s="1"/>
  <c r="BE247" i="13" s="1"/>
  <c r="BE257" i="13" s="1"/>
  <c r="BE226" i="13"/>
  <c r="BF225" i="13"/>
  <c r="BE266" i="13"/>
  <c r="BE278" i="12"/>
  <c r="BE287" i="12"/>
  <c r="BF277" i="12"/>
  <c r="BE318" i="12"/>
  <c r="U17" i="12"/>
  <c r="T27" i="12"/>
  <c r="T31" i="12" s="1"/>
  <c r="T41" i="12" s="1"/>
  <c r="T51" i="12" s="1"/>
  <c r="T18" i="12"/>
  <c r="T58" i="12"/>
  <c r="BH121" i="12"/>
  <c r="BG131" i="12"/>
  <c r="BG135" i="12" s="1"/>
  <c r="BG145" i="12" s="1"/>
  <c r="BG155" i="12" s="1"/>
  <c r="BG122" i="12"/>
  <c r="BG162" i="12"/>
  <c r="BI17" i="12"/>
  <c r="BH27" i="12"/>
  <c r="BH31" i="12" s="1"/>
  <c r="BH41" i="12" s="1"/>
  <c r="BH51" i="12" s="1"/>
  <c r="BH18" i="12"/>
  <c r="BH58" i="12"/>
  <c r="BF183" i="13"/>
  <c r="BF185" i="13" s="1"/>
  <c r="BF195" i="13" s="1"/>
  <c r="BF205" i="13" s="1"/>
  <c r="BF174" i="13"/>
  <c r="BG173" i="13"/>
  <c r="BF214" i="13"/>
  <c r="T121" i="12"/>
  <c r="S131" i="12"/>
  <c r="S135" i="12" s="1"/>
  <c r="S145" i="12" s="1"/>
  <c r="S155" i="12" s="1"/>
  <c r="S122" i="12"/>
  <c r="S162" i="12"/>
  <c r="Q193" i="12"/>
  <c r="Q203" i="12" s="1"/>
  <c r="Q213" i="12" s="1"/>
  <c r="Q184" i="12"/>
  <c r="Q194" i="12" s="1"/>
  <c r="Q204" i="12" s="1"/>
  <c r="Q186" i="12"/>
  <c r="Q196" i="12" s="1"/>
  <c r="Q206" i="12" s="1"/>
  <c r="Q185" i="12"/>
  <c r="Q195" i="12" s="1"/>
  <c r="Q205" i="12" s="1"/>
  <c r="P288" i="12"/>
  <c r="P298" i="12" s="1"/>
  <c r="P308" i="12" s="1"/>
  <c r="P297" i="12"/>
  <c r="P307" i="12" s="1"/>
  <c r="P317" i="12" s="1"/>
  <c r="P295" i="12"/>
  <c r="P305" i="12" s="1"/>
  <c r="P315" i="12" s="1"/>
  <c r="P293" i="12"/>
  <c r="P303" i="12" s="1"/>
  <c r="P313" i="12" s="1"/>
  <c r="P294" i="12"/>
  <c r="P304" i="12" s="1"/>
  <c r="P314" i="12" s="1"/>
  <c r="P296" i="12"/>
  <c r="P306" i="12" s="1"/>
  <c r="P316" i="12" s="1"/>
  <c r="P292" i="12"/>
  <c r="P302" i="12" s="1"/>
  <c r="P312" i="12" s="1"/>
  <c r="R132" i="13"/>
  <c r="R142" i="13" s="1"/>
  <c r="R152" i="13" s="1"/>
  <c r="R141" i="13"/>
  <c r="R151" i="13" s="1"/>
  <c r="R161" i="13" s="1"/>
  <c r="BI69" i="12"/>
  <c r="BH79" i="12"/>
  <c r="BH83" i="12" s="1"/>
  <c r="BH93" i="12" s="1"/>
  <c r="BH103" i="12" s="1"/>
  <c r="BH70" i="12"/>
  <c r="BH110" i="12"/>
  <c r="BD288" i="12"/>
  <c r="BD298" i="12" s="1"/>
  <c r="BD308" i="12" s="1"/>
  <c r="BD297" i="12"/>
  <c r="BD307" i="12" s="1"/>
  <c r="BD317" i="12" s="1"/>
  <c r="BD292" i="12"/>
  <c r="BD302" i="12" s="1"/>
  <c r="BD312" i="12" s="1"/>
  <c r="BD296" i="12"/>
  <c r="BD306" i="12" s="1"/>
  <c r="BD316" i="12" s="1"/>
  <c r="BD295" i="12"/>
  <c r="BD305" i="12" s="1"/>
  <c r="BD315" i="12" s="1"/>
  <c r="BD293" i="12"/>
  <c r="BD303" i="12" s="1"/>
  <c r="BD313" i="12" s="1"/>
  <c r="BD294" i="12"/>
  <c r="BD304" i="12" s="1"/>
  <c r="BD314" i="12" s="1"/>
  <c r="BF37" i="13"/>
  <c r="BF47" i="13" s="1"/>
  <c r="BF57" i="13" s="1"/>
  <c r="BF28" i="13"/>
  <c r="BF38" i="13" s="1"/>
  <c r="BF48" i="13" s="1"/>
  <c r="S173" i="12"/>
  <c r="R183" i="12"/>
  <c r="R187" i="12" s="1"/>
  <c r="R197" i="12" s="1"/>
  <c r="R207" i="12" s="1"/>
  <c r="R174" i="12"/>
  <c r="R214" i="12"/>
  <c r="R37" i="13"/>
  <c r="R47" i="13" s="1"/>
  <c r="R57" i="13" s="1"/>
  <c r="R28" i="13"/>
  <c r="R38" i="13" s="1"/>
  <c r="R48" i="13" s="1"/>
  <c r="BG131" i="13"/>
  <c r="BG133" i="13" s="1"/>
  <c r="BG143" i="13" s="1"/>
  <c r="BG153" i="13" s="1"/>
  <c r="BH121" i="13"/>
  <c r="BG122" i="13"/>
  <c r="BG162" i="13"/>
  <c r="R277" i="12"/>
  <c r="Q278" i="12"/>
  <c r="Q287" i="12"/>
  <c r="Q318" i="12"/>
  <c r="BG89" i="13"/>
  <c r="BG99" i="13" s="1"/>
  <c r="BG109" i="13" s="1"/>
  <c r="BG80" i="13"/>
  <c r="BG90" i="13" s="1"/>
  <c r="BG100" i="13" s="1"/>
  <c r="P236" i="13"/>
  <c r="P246" i="13" s="1"/>
  <c r="P256" i="13" s="1"/>
  <c r="P245" i="13"/>
  <c r="P255" i="13" s="1"/>
  <c r="P265" i="13" s="1"/>
  <c r="S89" i="13"/>
  <c r="S99" i="13" s="1"/>
  <c r="S109" i="13" s="1"/>
  <c r="S80" i="13"/>
  <c r="S90" i="13" s="1"/>
  <c r="S100" i="13" s="1"/>
  <c r="BD288" i="13"/>
  <c r="BD298" i="13" s="1"/>
  <c r="BD308" i="13" s="1"/>
  <c r="BD297" i="13"/>
  <c r="BD307" i="13" s="1"/>
  <c r="BD317" i="13" s="1"/>
  <c r="BD290" i="13"/>
  <c r="BD300" i="13" s="1"/>
  <c r="BD310" i="13" s="1"/>
  <c r="BD296" i="13"/>
  <c r="BD306" i="13" s="1"/>
  <c r="BD316" i="13" s="1"/>
  <c r="BD292" i="13"/>
  <c r="BD302" i="13" s="1"/>
  <c r="BD312" i="13" s="1"/>
  <c r="BD291" i="13"/>
  <c r="BD301" i="13" s="1"/>
  <c r="BD311" i="13" s="1"/>
  <c r="BD294" i="13"/>
  <c r="BD304" i="13" s="1"/>
  <c r="BD314" i="13" s="1"/>
  <c r="BD295" i="13"/>
  <c r="BD305" i="13" s="1"/>
  <c r="BD315" i="13" s="1"/>
  <c r="BD293" i="13"/>
  <c r="BD303" i="13" s="1"/>
  <c r="BD313" i="13" s="1"/>
  <c r="BE163" i="13" l="1"/>
  <c r="BD166" i="13" s="1"/>
  <c r="BC164" i="13"/>
  <c r="BB167" i="13" s="1"/>
  <c r="M323" i="12"/>
  <c r="R85" i="12"/>
  <c r="R95" i="12" s="1"/>
  <c r="R105" i="12" s="1"/>
  <c r="R86" i="12"/>
  <c r="R96" i="12" s="1"/>
  <c r="R106" i="12" s="1"/>
  <c r="R88" i="12"/>
  <c r="R98" i="12" s="1"/>
  <c r="R108" i="12" s="1"/>
  <c r="R87" i="12"/>
  <c r="R97" i="12" s="1"/>
  <c r="R107" i="12" s="1"/>
  <c r="BC167" i="12"/>
  <c r="Q111" i="12"/>
  <c r="P114" i="12" s="1"/>
  <c r="S70" i="12"/>
  <c r="S110" i="12"/>
  <c r="T69" i="12"/>
  <c r="S79" i="12"/>
  <c r="O112" i="12"/>
  <c r="N115" i="12" s="1"/>
  <c r="R83" i="12"/>
  <c r="R93" i="12" s="1"/>
  <c r="R103" i="12" s="1"/>
  <c r="R80" i="12"/>
  <c r="R90" i="12" s="1"/>
  <c r="R100" i="12" s="1"/>
  <c r="R81" i="12"/>
  <c r="R91" i="12" s="1"/>
  <c r="R101" i="12" s="1"/>
  <c r="R82" i="12"/>
  <c r="R92" i="12" s="1"/>
  <c r="R102" i="12" s="1"/>
  <c r="R84" i="12"/>
  <c r="R94" i="12" s="1"/>
  <c r="R104" i="12" s="1"/>
  <c r="R89" i="12"/>
  <c r="R99" i="12" s="1"/>
  <c r="R109" i="12" s="1"/>
  <c r="BD115" i="12"/>
  <c r="BD192" i="12"/>
  <c r="BD202" i="12" s="1"/>
  <c r="BD212" i="12" s="1"/>
  <c r="BD190" i="12"/>
  <c r="BD200" i="12" s="1"/>
  <c r="BD210" i="12" s="1"/>
  <c r="BD189" i="12"/>
  <c r="BD199" i="12" s="1"/>
  <c r="BD209" i="12" s="1"/>
  <c r="BD191" i="12"/>
  <c r="BD201" i="12" s="1"/>
  <c r="BD211" i="12" s="1"/>
  <c r="BA216" i="12"/>
  <c r="AZ219" i="12" s="1"/>
  <c r="BA218" i="12"/>
  <c r="BC215" i="12"/>
  <c r="BB216" i="12" s="1"/>
  <c r="BE183" i="12"/>
  <c r="BE188" i="12" s="1"/>
  <c r="BE198" i="12" s="1"/>
  <c r="BE208" i="12" s="1"/>
  <c r="BE174" i="12"/>
  <c r="BF173" i="12"/>
  <c r="BE214" i="12"/>
  <c r="BD187" i="12"/>
  <c r="BD197" i="12" s="1"/>
  <c r="BD207" i="12" s="1"/>
  <c r="BD184" i="12"/>
  <c r="BD194" i="12" s="1"/>
  <c r="BD204" i="12" s="1"/>
  <c r="BD193" i="12"/>
  <c r="BD203" i="12" s="1"/>
  <c r="BD213" i="12" s="1"/>
  <c r="BD185" i="12"/>
  <c r="BD195" i="12" s="1"/>
  <c r="BD205" i="12" s="1"/>
  <c r="BD186" i="12"/>
  <c r="BD196" i="12" s="1"/>
  <c r="BD206" i="12" s="1"/>
  <c r="O167" i="12"/>
  <c r="O218" i="12"/>
  <c r="N322" i="12"/>
  <c r="BB322" i="13"/>
  <c r="P63" i="12"/>
  <c r="BB322" i="12"/>
  <c r="BD166" i="12"/>
  <c r="BE112" i="13"/>
  <c r="BD115" i="13" s="1"/>
  <c r="Q215" i="13"/>
  <c r="P216" i="13" s="1"/>
  <c r="BA323" i="12"/>
  <c r="N320" i="13"/>
  <c r="M323" i="13" s="1"/>
  <c r="BB219" i="13"/>
  <c r="BE114" i="12"/>
  <c r="BD319" i="13"/>
  <c r="BC322" i="13" s="1"/>
  <c r="BE291" i="12"/>
  <c r="BE301" i="12" s="1"/>
  <c r="BE311" i="12" s="1"/>
  <c r="BE290" i="12"/>
  <c r="BE300" i="12" s="1"/>
  <c r="BE310" i="12" s="1"/>
  <c r="BE289" i="12"/>
  <c r="BE299" i="12" s="1"/>
  <c r="BE309" i="12" s="1"/>
  <c r="P319" i="13"/>
  <c r="O320" i="13" s="1"/>
  <c r="Q291" i="12"/>
  <c r="Q301" i="12" s="1"/>
  <c r="Q311" i="12" s="1"/>
  <c r="Q290" i="12"/>
  <c r="Q300" i="12" s="1"/>
  <c r="Q310" i="12" s="1"/>
  <c r="Q289" i="12"/>
  <c r="Q299" i="12" s="1"/>
  <c r="Q309" i="12" s="1"/>
  <c r="P319" i="12"/>
  <c r="O320" i="12" s="1"/>
  <c r="N323" i="12" s="1"/>
  <c r="BD319" i="12"/>
  <c r="BC322" i="12" s="1"/>
  <c r="P60" i="13"/>
  <c r="O63" i="13" s="1"/>
  <c r="O216" i="13"/>
  <c r="N219" i="13" s="1"/>
  <c r="BG137" i="13"/>
  <c r="BG147" i="13" s="1"/>
  <c r="BG157" i="13" s="1"/>
  <c r="BG138" i="13"/>
  <c r="BG148" i="13" s="1"/>
  <c r="BG158" i="13" s="1"/>
  <c r="BG140" i="13"/>
  <c r="BG150" i="13" s="1"/>
  <c r="BG160" i="13" s="1"/>
  <c r="BG139" i="13"/>
  <c r="BG149" i="13" s="1"/>
  <c r="BG159" i="13" s="1"/>
  <c r="BG134" i="13"/>
  <c r="BG144" i="13" s="1"/>
  <c r="BG154" i="13" s="1"/>
  <c r="BG135" i="13"/>
  <c r="BG145" i="13" s="1"/>
  <c r="BG155" i="13" s="1"/>
  <c r="BG136" i="13"/>
  <c r="BG146" i="13" s="1"/>
  <c r="BG156" i="13" s="1"/>
  <c r="BH33" i="12"/>
  <c r="BH43" i="12" s="1"/>
  <c r="BH53" i="12" s="1"/>
  <c r="BH36" i="12"/>
  <c r="BH46" i="12" s="1"/>
  <c r="BH56" i="12" s="1"/>
  <c r="BH32" i="12"/>
  <c r="BH42" i="12" s="1"/>
  <c r="BH52" i="12" s="1"/>
  <c r="BH34" i="12"/>
  <c r="BH44" i="12" s="1"/>
  <c r="BH54" i="12" s="1"/>
  <c r="BH35" i="12"/>
  <c r="BH45" i="12" s="1"/>
  <c r="BH55" i="12" s="1"/>
  <c r="S36" i="13"/>
  <c r="S46" i="13" s="1"/>
  <c r="S56" i="13" s="1"/>
  <c r="S31" i="13"/>
  <c r="S41" i="13" s="1"/>
  <c r="S51" i="13" s="1"/>
  <c r="S33" i="13"/>
  <c r="S43" i="13" s="1"/>
  <c r="S53" i="13" s="1"/>
  <c r="S30" i="13"/>
  <c r="S40" i="13" s="1"/>
  <c r="S50" i="13" s="1"/>
  <c r="S34" i="13"/>
  <c r="S44" i="13" s="1"/>
  <c r="S54" i="13" s="1"/>
  <c r="S35" i="13"/>
  <c r="S45" i="13" s="1"/>
  <c r="S55" i="13" s="1"/>
  <c r="S32" i="13"/>
  <c r="S42" i="13" s="1"/>
  <c r="S52" i="13" s="1"/>
  <c r="R190" i="13"/>
  <c r="R200" i="13" s="1"/>
  <c r="R210" i="13" s="1"/>
  <c r="R187" i="13"/>
  <c r="R197" i="13" s="1"/>
  <c r="R207" i="13" s="1"/>
  <c r="R189" i="13"/>
  <c r="R199" i="13" s="1"/>
  <c r="R209" i="13" s="1"/>
  <c r="R191" i="13"/>
  <c r="R201" i="13" s="1"/>
  <c r="R211" i="13" s="1"/>
  <c r="R192" i="13"/>
  <c r="R202" i="13" s="1"/>
  <c r="R212" i="13" s="1"/>
  <c r="R186" i="13"/>
  <c r="R196" i="13" s="1"/>
  <c r="R206" i="13" s="1"/>
  <c r="R188" i="13"/>
  <c r="R198" i="13" s="1"/>
  <c r="R208" i="13" s="1"/>
  <c r="R191" i="12"/>
  <c r="R201" i="12" s="1"/>
  <c r="R211" i="12" s="1"/>
  <c r="R188" i="12"/>
  <c r="R198" i="12" s="1"/>
  <c r="R208" i="12" s="1"/>
  <c r="R190" i="12"/>
  <c r="R200" i="12" s="1"/>
  <c r="R210" i="12" s="1"/>
  <c r="R192" i="12"/>
  <c r="R202" i="12" s="1"/>
  <c r="R212" i="12" s="1"/>
  <c r="R189" i="12"/>
  <c r="R199" i="12" s="1"/>
  <c r="R209" i="12" s="1"/>
  <c r="S140" i="12"/>
  <c r="S150" i="12" s="1"/>
  <c r="S160" i="12" s="1"/>
  <c r="S139" i="12"/>
  <c r="S149" i="12" s="1"/>
  <c r="S159" i="12" s="1"/>
  <c r="S137" i="12"/>
  <c r="S147" i="12" s="1"/>
  <c r="S157" i="12" s="1"/>
  <c r="S136" i="12"/>
  <c r="S146" i="12" s="1"/>
  <c r="S156" i="12" s="1"/>
  <c r="S138" i="12"/>
  <c r="S148" i="12" s="1"/>
  <c r="S158" i="12" s="1"/>
  <c r="BF192" i="13"/>
  <c r="BF202" i="13" s="1"/>
  <c r="BF212" i="13" s="1"/>
  <c r="BF186" i="13"/>
  <c r="BF196" i="13" s="1"/>
  <c r="BF206" i="13" s="1"/>
  <c r="BF187" i="13"/>
  <c r="BF197" i="13" s="1"/>
  <c r="BF207" i="13" s="1"/>
  <c r="BF190" i="13"/>
  <c r="BF200" i="13" s="1"/>
  <c r="BF210" i="13" s="1"/>
  <c r="BF191" i="13"/>
  <c r="BF201" i="13" s="1"/>
  <c r="BF211" i="13" s="1"/>
  <c r="BF189" i="13"/>
  <c r="BF199" i="13" s="1"/>
  <c r="BF209" i="13" s="1"/>
  <c r="BF188" i="13"/>
  <c r="BF198" i="13" s="1"/>
  <c r="BF208" i="13" s="1"/>
  <c r="BG136" i="12"/>
  <c r="BG146" i="12" s="1"/>
  <c r="BG156" i="12" s="1"/>
  <c r="BG140" i="12"/>
  <c r="BG150" i="12" s="1"/>
  <c r="BG160" i="12" s="1"/>
  <c r="BG137" i="12"/>
  <c r="BG147" i="12" s="1"/>
  <c r="BG157" i="12" s="1"/>
  <c r="BG139" i="12"/>
  <c r="BG149" i="12" s="1"/>
  <c r="BG159" i="12" s="1"/>
  <c r="BG138" i="12"/>
  <c r="BG148" i="12" s="1"/>
  <c r="BG158" i="12" s="1"/>
  <c r="T36" i="12"/>
  <c r="T46" i="12" s="1"/>
  <c r="T56" i="12" s="1"/>
  <c r="T33" i="12"/>
  <c r="T43" i="12" s="1"/>
  <c r="T53" i="12" s="1"/>
  <c r="T32" i="12"/>
  <c r="T42" i="12" s="1"/>
  <c r="T52" i="12" s="1"/>
  <c r="T34" i="12"/>
  <c r="T44" i="12" s="1"/>
  <c r="T54" i="12" s="1"/>
  <c r="T35" i="12"/>
  <c r="T45" i="12" s="1"/>
  <c r="T55" i="12" s="1"/>
  <c r="BE240" i="13"/>
  <c r="BE250" i="13" s="1"/>
  <c r="BE260" i="13" s="1"/>
  <c r="BE241" i="13"/>
  <c r="BE251" i="13" s="1"/>
  <c r="BE261" i="13" s="1"/>
  <c r="BE238" i="13"/>
  <c r="BE248" i="13" s="1"/>
  <c r="BE258" i="13" s="1"/>
  <c r="BE243" i="13"/>
  <c r="BE253" i="13" s="1"/>
  <c r="BE263" i="13" s="1"/>
  <c r="BE244" i="13"/>
  <c r="BE254" i="13" s="1"/>
  <c r="BE264" i="13" s="1"/>
  <c r="BE242" i="13"/>
  <c r="BE252" i="13" s="1"/>
  <c r="BE262" i="13" s="1"/>
  <c r="BE239" i="13"/>
  <c r="BE249" i="13" s="1"/>
  <c r="BE259" i="13" s="1"/>
  <c r="Q242" i="12"/>
  <c r="Q252" i="12" s="1"/>
  <c r="Q262" i="12" s="1"/>
  <c r="Q241" i="12"/>
  <c r="Q251" i="12" s="1"/>
  <c r="Q261" i="12" s="1"/>
  <c r="Q243" i="12"/>
  <c r="Q253" i="12" s="1"/>
  <c r="Q263" i="12" s="1"/>
  <c r="Q244" i="12"/>
  <c r="Q254" i="12" s="1"/>
  <c r="Q264" i="12" s="1"/>
  <c r="Q240" i="12"/>
  <c r="Q250" i="12" s="1"/>
  <c r="Q260" i="12" s="1"/>
  <c r="T87" i="13"/>
  <c r="T97" i="13" s="1"/>
  <c r="T107" i="13" s="1"/>
  <c r="T84" i="13"/>
  <c r="T94" i="13" s="1"/>
  <c r="T104" i="13" s="1"/>
  <c r="T83" i="13"/>
  <c r="T93" i="13" s="1"/>
  <c r="T103" i="13" s="1"/>
  <c r="T85" i="13"/>
  <c r="T95" i="13" s="1"/>
  <c r="T105" i="13" s="1"/>
  <c r="T88" i="13"/>
  <c r="T98" i="13" s="1"/>
  <c r="T108" i="13" s="1"/>
  <c r="T82" i="13"/>
  <c r="T92" i="13" s="1"/>
  <c r="T102" i="13" s="1"/>
  <c r="T86" i="13"/>
  <c r="T96" i="13" s="1"/>
  <c r="T106" i="13" s="1"/>
  <c r="BH87" i="12"/>
  <c r="BH97" i="12" s="1"/>
  <c r="BH107" i="12" s="1"/>
  <c r="BH84" i="12"/>
  <c r="BH94" i="12" s="1"/>
  <c r="BH104" i="12" s="1"/>
  <c r="BH85" i="12"/>
  <c r="BH95" i="12" s="1"/>
  <c r="BH105" i="12" s="1"/>
  <c r="BH86" i="12"/>
  <c r="BH96" i="12" s="1"/>
  <c r="BH106" i="12" s="1"/>
  <c r="BH88" i="12"/>
  <c r="BH98" i="12" s="1"/>
  <c r="BH108" i="12" s="1"/>
  <c r="BE244" i="12"/>
  <c r="BE254" i="12" s="1"/>
  <c r="BE264" i="12" s="1"/>
  <c r="BE241" i="12"/>
  <c r="BE251" i="12" s="1"/>
  <c r="BE261" i="12" s="1"/>
  <c r="BE243" i="12"/>
  <c r="BE253" i="12" s="1"/>
  <c r="BE263" i="12" s="1"/>
  <c r="BE240" i="12"/>
  <c r="BE250" i="12" s="1"/>
  <c r="BE260" i="12" s="1"/>
  <c r="BE242" i="12"/>
  <c r="BE252" i="12" s="1"/>
  <c r="BE262" i="12" s="1"/>
  <c r="Q240" i="13"/>
  <c r="Q250" i="13" s="1"/>
  <c r="Q260" i="13" s="1"/>
  <c r="Q241" i="13"/>
  <c r="Q251" i="13" s="1"/>
  <c r="Q261" i="13" s="1"/>
  <c r="Q238" i="13"/>
  <c r="Q248" i="13" s="1"/>
  <c r="Q258" i="13" s="1"/>
  <c r="Q244" i="13"/>
  <c r="Q254" i="13" s="1"/>
  <c r="Q264" i="13" s="1"/>
  <c r="Q243" i="13"/>
  <c r="Q253" i="13" s="1"/>
  <c r="Q263" i="13" s="1"/>
  <c r="Q242" i="13"/>
  <c r="Q252" i="13" s="1"/>
  <c r="Q262" i="13" s="1"/>
  <c r="Q239" i="13"/>
  <c r="Q249" i="13" s="1"/>
  <c r="Q259" i="13" s="1"/>
  <c r="S140" i="13"/>
  <c r="S150" i="13" s="1"/>
  <c r="S160" i="13" s="1"/>
  <c r="S138" i="13"/>
  <c r="S148" i="13" s="1"/>
  <c r="S158" i="13" s="1"/>
  <c r="S137" i="13"/>
  <c r="S147" i="13" s="1"/>
  <c r="S157" i="13" s="1"/>
  <c r="S139" i="13"/>
  <c r="S149" i="13" s="1"/>
  <c r="S159" i="13" s="1"/>
  <c r="S135" i="13"/>
  <c r="S145" i="13" s="1"/>
  <c r="S155" i="13" s="1"/>
  <c r="S136" i="13"/>
  <c r="S146" i="13" s="1"/>
  <c r="S156" i="13" s="1"/>
  <c r="S134" i="13"/>
  <c r="S144" i="13" s="1"/>
  <c r="S154" i="13" s="1"/>
  <c r="BH87" i="13"/>
  <c r="BH97" i="13" s="1"/>
  <c r="BH107" i="13" s="1"/>
  <c r="BH85" i="13"/>
  <c r="BH95" i="13" s="1"/>
  <c r="BH105" i="13" s="1"/>
  <c r="BH83" i="13"/>
  <c r="BH93" i="13" s="1"/>
  <c r="BH103" i="13" s="1"/>
  <c r="BH84" i="13"/>
  <c r="BH94" i="13" s="1"/>
  <c r="BH104" i="13" s="1"/>
  <c r="BH88" i="13"/>
  <c r="BH98" i="13" s="1"/>
  <c r="BH108" i="13" s="1"/>
  <c r="BH86" i="13"/>
  <c r="BH96" i="13" s="1"/>
  <c r="BH106" i="13" s="1"/>
  <c r="BH82" i="13"/>
  <c r="BH92" i="13" s="1"/>
  <c r="BH102" i="13" s="1"/>
  <c r="BG36" i="13"/>
  <c r="BG46" i="13" s="1"/>
  <c r="BG56" i="13" s="1"/>
  <c r="BG31" i="13"/>
  <c r="BG41" i="13" s="1"/>
  <c r="BG51" i="13" s="1"/>
  <c r="BG33" i="13"/>
  <c r="BG43" i="13" s="1"/>
  <c r="BG53" i="13" s="1"/>
  <c r="BG30" i="13"/>
  <c r="BG40" i="13" s="1"/>
  <c r="BG50" i="13" s="1"/>
  <c r="BG35" i="13"/>
  <c r="BG45" i="13" s="1"/>
  <c r="BG55" i="13" s="1"/>
  <c r="BG34" i="13"/>
  <c r="BG44" i="13" s="1"/>
  <c r="BG54" i="13" s="1"/>
  <c r="BG32" i="13"/>
  <c r="BG42" i="13" s="1"/>
  <c r="BG52" i="13" s="1"/>
  <c r="BD60" i="13"/>
  <c r="BC63" i="13" s="1"/>
  <c r="R163" i="13"/>
  <c r="Q166" i="13" s="1"/>
  <c r="BC218" i="13"/>
  <c r="P166" i="12"/>
  <c r="Q62" i="12"/>
  <c r="Q114" i="13"/>
  <c r="P267" i="12"/>
  <c r="O270" i="12" s="1"/>
  <c r="BE215" i="13"/>
  <c r="BD216" i="13" s="1"/>
  <c r="BC219" i="13" s="1"/>
  <c r="P115" i="13"/>
  <c r="BG111" i="12"/>
  <c r="BF112" i="12" s="1"/>
  <c r="BE115" i="12" s="1"/>
  <c r="BB268" i="12"/>
  <c r="BA271" i="12" s="1"/>
  <c r="N270" i="12"/>
  <c r="N270" i="13"/>
  <c r="BB270" i="13"/>
  <c r="BG111" i="13"/>
  <c r="BF112" i="13" s="1"/>
  <c r="P267" i="13"/>
  <c r="O270" i="13" s="1"/>
  <c r="P164" i="13"/>
  <c r="O167" i="13" s="1"/>
  <c r="R59" i="13"/>
  <c r="Q62" i="13" s="1"/>
  <c r="BD267" i="13"/>
  <c r="BC268" i="13" s="1"/>
  <c r="BB271" i="13" s="1"/>
  <c r="BD164" i="13"/>
  <c r="Q215" i="12"/>
  <c r="P218" i="12" s="1"/>
  <c r="S59" i="12"/>
  <c r="R60" i="12" s="1"/>
  <c r="Q63" i="12" s="1"/>
  <c r="BE60" i="12"/>
  <c r="BD63" i="12" s="1"/>
  <c r="BF59" i="13"/>
  <c r="BE60" i="13" s="1"/>
  <c r="R163" i="12"/>
  <c r="Q166" i="12" s="1"/>
  <c r="BF163" i="12"/>
  <c r="BE164" i="12" s="1"/>
  <c r="BD167" i="12" s="1"/>
  <c r="BD267" i="12"/>
  <c r="BC268" i="12" s="1"/>
  <c r="S111" i="13"/>
  <c r="R112" i="13" s="1"/>
  <c r="Q115" i="13" s="1"/>
  <c r="BF163" i="13"/>
  <c r="BE164" i="13" s="1"/>
  <c r="BG59" i="12"/>
  <c r="BF62" i="12" s="1"/>
  <c r="U121" i="12"/>
  <c r="T131" i="12"/>
  <c r="T135" i="12" s="1"/>
  <c r="T145" i="12" s="1"/>
  <c r="T155" i="12" s="1"/>
  <c r="T122" i="12"/>
  <c r="T162" i="12"/>
  <c r="BF193" i="13"/>
  <c r="BF203" i="13" s="1"/>
  <c r="BF213" i="13" s="1"/>
  <c r="BF184" i="13"/>
  <c r="BF194" i="13" s="1"/>
  <c r="BF204" i="13" s="1"/>
  <c r="BI27" i="12"/>
  <c r="BI31" i="12" s="1"/>
  <c r="BI41" i="12" s="1"/>
  <c r="BI51" i="12" s="1"/>
  <c r="BJ17" i="12"/>
  <c r="BI18" i="12"/>
  <c r="BI58" i="12"/>
  <c r="BE288" i="12"/>
  <c r="BE298" i="12" s="1"/>
  <c r="BE308" i="12" s="1"/>
  <c r="BE297" i="12"/>
  <c r="BE307" i="12" s="1"/>
  <c r="BE317" i="12" s="1"/>
  <c r="BE293" i="12"/>
  <c r="BE303" i="12" s="1"/>
  <c r="BE313" i="12" s="1"/>
  <c r="BE292" i="12"/>
  <c r="BE302" i="12" s="1"/>
  <c r="BE312" i="12" s="1"/>
  <c r="BE295" i="12"/>
  <c r="BE305" i="12" s="1"/>
  <c r="BE315" i="12" s="1"/>
  <c r="BE294" i="12"/>
  <c r="BE304" i="12" s="1"/>
  <c r="BE314" i="12" s="1"/>
  <c r="BE296" i="12"/>
  <c r="BE306" i="12" s="1"/>
  <c r="BE316" i="12" s="1"/>
  <c r="BF235" i="13"/>
  <c r="BF237" i="13" s="1"/>
  <c r="BF247" i="13" s="1"/>
  <c r="BF257" i="13" s="1"/>
  <c r="BG225" i="13"/>
  <c r="BF226" i="13"/>
  <c r="BF266" i="13"/>
  <c r="BF278" i="13"/>
  <c r="BG277" i="13"/>
  <c r="BF287" i="13"/>
  <c r="BF289" i="13" s="1"/>
  <c r="BF299" i="13" s="1"/>
  <c r="BF309" i="13" s="1"/>
  <c r="BF318" i="13"/>
  <c r="T80" i="13"/>
  <c r="T90" i="13" s="1"/>
  <c r="T100" i="13" s="1"/>
  <c r="T89" i="13"/>
  <c r="T99" i="13" s="1"/>
  <c r="T109" i="13" s="1"/>
  <c r="Q288" i="12"/>
  <c r="Q298" i="12" s="1"/>
  <c r="Q308" i="12" s="1"/>
  <c r="Q297" i="12"/>
  <c r="Q307" i="12" s="1"/>
  <c r="Q317" i="12" s="1"/>
  <c r="Q296" i="12"/>
  <c r="Q306" i="12" s="1"/>
  <c r="Q316" i="12" s="1"/>
  <c r="Q293" i="12"/>
  <c r="Q303" i="12" s="1"/>
  <c r="Q313" i="12" s="1"/>
  <c r="Q292" i="12"/>
  <c r="Q302" i="12" s="1"/>
  <c r="Q312" i="12" s="1"/>
  <c r="Q295" i="12"/>
  <c r="Q305" i="12" s="1"/>
  <c r="Q315" i="12" s="1"/>
  <c r="Q294" i="12"/>
  <c r="Q304" i="12" s="1"/>
  <c r="Q314" i="12" s="1"/>
  <c r="R184" i="12"/>
  <c r="R194" i="12" s="1"/>
  <c r="R204" i="12" s="1"/>
  <c r="R193" i="12"/>
  <c r="R203" i="12" s="1"/>
  <c r="R213" i="12" s="1"/>
  <c r="R186" i="12"/>
  <c r="R196" i="12" s="1"/>
  <c r="R206" i="12" s="1"/>
  <c r="R185" i="12"/>
  <c r="R195" i="12" s="1"/>
  <c r="R205" i="12" s="1"/>
  <c r="BH80" i="12"/>
  <c r="BH90" i="12" s="1"/>
  <c r="BH100" i="12" s="1"/>
  <c r="BH89" i="12"/>
  <c r="BH99" i="12" s="1"/>
  <c r="BH109" i="12" s="1"/>
  <c r="BH81" i="12"/>
  <c r="BH91" i="12" s="1"/>
  <c r="BH101" i="12" s="1"/>
  <c r="BH82" i="12"/>
  <c r="BH92" i="12" s="1"/>
  <c r="BH102" i="12" s="1"/>
  <c r="BG141" i="12"/>
  <c r="BG151" i="12" s="1"/>
  <c r="BG161" i="12" s="1"/>
  <c r="BG132" i="12"/>
  <c r="BG142" i="12" s="1"/>
  <c r="BG152" i="12" s="1"/>
  <c r="BG133" i="12"/>
  <c r="BG143" i="12" s="1"/>
  <c r="BG153" i="12" s="1"/>
  <c r="BG134" i="12"/>
  <c r="BG144" i="12" s="1"/>
  <c r="BG154" i="12" s="1"/>
  <c r="T37" i="12"/>
  <c r="T47" i="12" s="1"/>
  <c r="T57" i="12" s="1"/>
  <c r="T28" i="12"/>
  <c r="T38" i="12" s="1"/>
  <c r="T48" i="12" s="1"/>
  <c r="T29" i="12"/>
  <c r="T39" i="12" s="1"/>
  <c r="T49" i="12" s="1"/>
  <c r="T30" i="12"/>
  <c r="T40" i="12" s="1"/>
  <c r="T50" i="12" s="1"/>
  <c r="BE288" i="13"/>
  <c r="BE298" i="13" s="1"/>
  <c r="BE308" i="13" s="1"/>
  <c r="BE297" i="13"/>
  <c r="BE307" i="13" s="1"/>
  <c r="BE317" i="13" s="1"/>
  <c r="BE290" i="13"/>
  <c r="BE300" i="13" s="1"/>
  <c r="BE310" i="13" s="1"/>
  <c r="BE291" i="13"/>
  <c r="BE301" i="13" s="1"/>
  <c r="BE311" i="13" s="1"/>
  <c r="BE294" i="13"/>
  <c r="BE304" i="13" s="1"/>
  <c r="BE314" i="13" s="1"/>
  <c r="BE296" i="13"/>
  <c r="BE306" i="13" s="1"/>
  <c r="BE316" i="13" s="1"/>
  <c r="BE292" i="13"/>
  <c r="BE302" i="13" s="1"/>
  <c r="BE312" i="13" s="1"/>
  <c r="BE293" i="13"/>
  <c r="BE303" i="13" s="1"/>
  <c r="BE313" i="13" s="1"/>
  <c r="BE295" i="13"/>
  <c r="BE305" i="13" s="1"/>
  <c r="BE315" i="13" s="1"/>
  <c r="S28" i="13"/>
  <c r="S38" i="13" s="1"/>
  <c r="S48" i="13" s="1"/>
  <c r="S37" i="13"/>
  <c r="S47" i="13" s="1"/>
  <c r="S57" i="13" s="1"/>
  <c r="R184" i="13"/>
  <c r="R194" i="13" s="1"/>
  <c r="R204" i="13" s="1"/>
  <c r="R193" i="13"/>
  <c r="R203" i="13" s="1"/>
  <c r="R213" i="13" s="1"/>
  <c r="Q297" i="13"/>
  <c r="Q307" i="13" s="1"/>
  <c r="Q317" i="13" s="1"/>
  <c r="Q288" i="13"/>
  <c r="Q298" i="13" s="1"/>
  <c r="Q308" i="13" s="1"/>
  <c r="Q292" i="13"/>
  <c r="Q302" i="13" s="1"/>
  <c r="Q312" i="13" s="1"/>
  <c r="Q296" i="13"/>
  <c r="Q306" i="13" s="1"/>
  <c r="Q316" i="13" s="1"/>
  <c r="Q290" i="13"/>
  <c r="Q300" i="13" s="1"/>
  <c r="Q310" i="13" s="1"/>
  <c r="Q294" i="13"/>
  <c r="Q304" i="13" s="1"/>
  <c r="Q314" i="13" s="1"/>
  <c r="Q293" i="13"/>
  <c r="Q303" i="13" s="1"/>
  <c r="Q313" i="13" s="1"/>
  <c r="Q295" i="13"/>
  <c r="Q305" i="13" s="1"/>
  <c r="Q315" i="13" s="1"/>
  <c r="Q291" i="13"/>
  <c r="Q301" i="13" s="1"/>
  <c r="Q311" i="13" s="1"/>
  <c r="Q236" i="13"/>
  <c r="Q246" i="13" s="1"/>
  <c r="Q256" i="13" s="1"/>
  <c r="Q245" i="13"/>
  <c r="Q255" i="13" s="1"/>
  <c r="Q265" i="13" s="1"/>
  <c r="S132" i="13"/>
  <c r="S142" i="13" s="1"/>
  <c r="S152" i="13" s="1"/>
  <c r="S141" i="13"/>
  <c r="S151" i="13" s="1"/>
  <c r="S161" i="13" s="1"/>
  <c r="BH89" i="13"/>
  <c r="BH99" i="13" s="1"/>
  <c r="BH109" i="13" s="1"/>
  <c r="BH80" i="13"/>
  <c r="BH90" i="13" s="1"/>
  <c r="BH100" i="13" s="1"/>
  <c r="BH27" i="13"/>
  <c r="BH29" i="13" s="1"/>
  <c r="BH39" i="13" s="1"/>
  <c r="BH49" i="13" s="1"/>
  <c r="BI17" i="13"/>
  <c r="BH18" i="13"/>
  <c r="BH58" i="13"/>
  <c r="BH131" i="13"/>
  <c r="BH133" i="13" s="1"/>
  <c r="BH143" i="13" s="1"/>
  <c r="BH153" i="13" s="1"/>
  <c r="BH122" i="13"/>
  <c r="BI121" i="13"/>
  <c r="BH162" i="13"/>
  <c r="T173" i="12"/>
  <c r="S183" i="12"/>
  <c r="S187" i="12" s="1"/>
  <c r="S197" i="12" s="1"/>
  <c r="S207" i="12" s="1"/>
  <c r="S174" i="12"/>
  <c r="S214" i="12"/>
  <c r="BJ69" i="12"/>
  <c r="BI79" i="12"/>
  <c r="BI83" i="12" s="1"/>
  <c r="BI93" i="12" s="1"/>
  <c r="BI103" i="12" s="1"/>
  <c r="BI70" i="12"/>
  <c r="BI110" i="12"/>
  <c r="BG183" i="13"/>
  <c r="BG185" i="13" s="1"/>
  <c r="BG195" i="13" s="1"/>
  <c r="BG205" i="13" s="1"/>
  <c r="BH173" i="13"/>
  <c r="BG174" i="13"/>
  <c r="BG214" i="13"/>
  <c r="BI121" i="12"/>
  <c r="BH131" i="12"/>
  <c r="BH135" i="12" s="1"/>
  <c r="BH145" i="12" s="1"/>
  <c r="BH155" i="12" s="1"/>
  <c r="BH122" i="12"/>
  <c r="BH162" i="12"/>
  <c r="V17" i="12"/>
  <c r="U27" i="12"/>
  <c r="U31" i="12" s="1"/>
  <c r="U41" i="12" s="1"/>
  <c r="U51" i="12" s="1"/>
  <c r="U18" i="12"/>
  <c r="U58" i="12"/>
  <c r="BE245" i="13"/>
  <c r="BE255" i="13" s="1"/>
  <c r="BE265" i="13" s="1"/>
  <c r="BE236" i="13"/>
  <c r="BE246" i="13" s="1"/>
  <c r="BE256" i="13" s="1"/>
  <c r="BG225" i="12"/>
  <c r="BF235" i="12"/>
  <c r="BF239" i="12" s="1"/>
  <c r="BF249" i="12" s="1"/>
  <c r="BF259" i="12" s="1"/>
  <c r="BF226" i="12"/>
  <c r="BF266" i="12"/>
  <c r="Q245" i="12"/>
  <c r="Q255" i="12" s="1"/>
  <c r="Q265" i="12" s="1"/>
  <c r="Q236" i="12"/>
  <c r="Q246" i="12" s="1"/>
  <c r="Q256" i="12" s="1"/>
  <c r="Q238" i="12"/>
  <c r="Q248" i="12" s="1"/>
  <c r="Q258" i="12" s="1"/>
  <c r="Q237" i="12"/>
  <c r="Q247" i="12" s="1"/>
  <c r="Q257" i="12" s="1"/>
  <c r="U17" i="13"/>
  <c r="T18" i="13"/>
  <c r="T27" i="13"/>
  <c r="T29" i="13" s="1"/>
  <c r="T39" i="13" s="1"/>
  <c r="T49" i="13" s="1"/>
  <c r="T58" i="13"/>
  <c r="T173" i="13"/>
  <c r="S183" i="13"/>
  <c r="S185" i="13" s="1"/>
  <c r="S195" i="13" s="1"/>
  <c r="S205" i="13" s="1"/>
  <c r="S174" i="13"/>
  <c r="S214" i="13"/>
  <c r="V69" i="13"/>
  <c r="U70" i="13"/>
  <c r="U79" i="13"/>
  <c r="U81" i="13" s="1"/>
  <c r="U91" i="13" s="1"/>
  <c r="U101" i="13" s="1"/>
  <c r="U110" i="13"/>
  <c r="S225" i="13"/>
  <c r="R235" i="13"/>
  <c r="R237" i="13" s="1"/>
  <c r="R247" i="13" s="1"/>
  <c r="R257" i="13" s="1"/>
  <c r="R226" i="13"/>
  <c r="R266" i="13"/>
  <c r="U121" i="13"/>
  <c r="T122" i="13"/>
  <c r="T131" i="13"/>
  <c r="T133" i="13" s="1"/>
  <c r="T143" i="13" s="1"/>
  <c r="T153" i="13" s="1"/>
  <c r="T162" i="13"/>
  <c r="BI79" i="13"/>
  <c r="BI81" i="13" s="1"/>
  <c r="BI91" i="13" s="1"/>
  <c r="BI101" i="13" s="1"/>
  <c r="BJ69" i="13"/>
  <c r="BI70" i="13"/>
  <c r="BI110" i="13"/>
  <c r="S277" i="12"/>
  <c r="R278" i="12"/>
  <c r="R287" i="12"/>
  <c r="R318" i="12"/>
  <c r="BG132" i="13"/>
  <c r="BG142" i="13" s="1"/>
  <c r="BG152" i="13" s="1"/>
  <c r="BG141" i="13"/>
  <c r="BG151" i="13" s="1"/>
  <c r="BG161" i="13" s="1"/>
  <c r="S132" i="12"/>
  <c r="S142" i="12" s="1"/>
  <c r="S152" i="12" s="1"/>
  <c r="S141" i="12"/>
  <c r="S151" i="12" s="1"/>
  <c r="S161" i="12" s="1"/>
  <c r="S133" i="12"/>
  <c r="S143" i="12" s="1"/>
  <c r="S153" i="12" s="1"/>
  <c r="S134" i="12"/>
  <c r="S144" i="12" s="1"/>
  <c r="S154" i="12" s="1"/>
  <c r="BH37" i="12"/>
  <c r="BH47" i="12" s="1"/>
  <c r="BH57" i="12" s="1"/>
  <c r="BH28" i="12"/>
  <c r="BH38" i="12" s="1"/>
  <c r="BH48" i="12" s="1"/>
  <c r="BH30" i="12"/>
  <c r="BH40" i="12" s="1"/>
  <c r="BH50" i="12" s="1"/>
  <c r="BH29" i="12"/>
  <c r="BH39" i="12" s="1"/>
  <c r="BH49" i="12" s="1"/>
  <c r="BF287" i="12"/>
  <c r="BG277" i="12"/>
  <c r="BF278" i="12"/>
  <c r="BF318" i="12"/>
  <c r="BE236" i="12"/>
  <c r="BE246" i="12" s="1"/>
  <c r="BE256" i="12" s="1"/>
  <c r="BE245" i="12"/>
  <c r="BE255" i="12" s="1"/>
  <c r="BE265" i="12" s="1"/>
  <c r="BE238" i="12"/>
  <c r="BE248" i="12" s="1"/>
  <c r="BE258" i="12" s="1"/>
  <c r="BE237" i="12"/>
  <c r="BE247" i="12" s="1"/>
  <c r="BE257" i="12" s="1"/>
  <c r="S225" i="12"/>
  <c r="R235" i="12"/>
  <c r="R239" i="12" s="1"/>
  <c r="R249" i="12" s="1"/>
  <c r="R259" i="12" s="1"/>
  <c r="R226" i="12"/>
  <c r="R266" i="12"/>
  <c r="S277" i="13"/>
  <c r="R278" i="13"/>
  <c r="R287" i="13"/>
  <c r="R289" i="13" s="1"/>
  <c r="R299" i="13" s="1"/>
  <c r="R309" i="13" s="1"/>
  <c r="R318" i="13"/>
  <c r="BG37" i="13"/>
  <c r="BG47" i="13" s="1"/>
  <c r="BG57" i="13" s="1"/>
  <c r="BG28" i="13"/>
  <c r="BG38" i="13" s="1"/>
  <c r="BG48" i="13" s="1"/>
  <c r="BC167" i="13" l="1"/>
  <c r="S86" i="12"/>
  <c r="S96" i="12" s="1"/>
  <c r="S106" i="12" s="1"/>
  <c r="S88" i="12"/>
  <c r="S98" i="12" s="1"/>
  <c r="S108" i="12" s="1"/>
  <c r="S85" i="12"/>
  <c r="S95" i="12" s="1"/>
  <c r="S105" i="12" s="1"/>
  <c r="S87" i="12"/>
  <c r="S97" i="12" s="1"/>
  <c r="S107" i="12" s="1"/>
  <c r="P112" i="12"/>
  <c r="O115" i="12" s="1"/>
  <c r="R111" i="12"/>
  <c r="S83" i="12"/>
  <c r="S93" i="12" s="1"/>
  <c r="S103" i="12" s="1"/>
  <c r="S84" i="12"/>
  <c r="S94" i="12" s="1"/>
  <c r="S104" i="12" s="1"/>
  <c r="S81" i="12"/>
  <c r="S91" i="12" s="1"/>
  <c r="S101" i="12" s="1"/>
  <c r="S82" i="12"/>
  <c r="S92" i="12" s="1"/>
  <c r="S102" i="12" s="1"/>
  <c r="S89" i="12"/>
  <c r="S99" i="12" s="1"/>
  <c r="S109" i="12" s="1"/>
  <c r="S80" i="12"/>
  <c r="S90" i="12" s="1"/>
  <c r="S100" i="12" s="1"/>
  <c r="U69" i="12"/>
  <c r="T110" i="12"/>
  <c r="T79" i="12"/>
  <c r="T70" i="12"/>
  <c r="BA219" i="12"/>
  <c r="BE190" i="12"/>
  <c r="BE200" i="12" s="1"/>
  <c r="BE210" i="12" s="1"/>
  <c r="BE192" i="12"/>
  <c r="BE202" i="12" s="1"/>
  <c r="BE212" i="12" s="1"/>
  <c r="BE191" i="12"/>
  <c r="BE201" i="12" s="1"/>
  <c r="BE211" i="12" s="1"/>
  <c r="BE189" i="12"/>
  <c r="BE199" i="12" s="1"/>
  <c r="BE209" i="12" s="1"/>
  <c r="BB218" i="12"/>
  <c r="BC320" i="12"/>
  <c r="BB323" i="12" s="1"/>
  <c r="BD63" i="13"/>
  <c r="BD215" i="12"/>
  <c r="BC216" i="12" s="1"/>
  <c r="BB219" i="12" s="1"/>
  <c r="BF183" i="12"/>
  <c r="BF188" i="12" s="1"/>
  <c r="BF198" i="12" s="1"/>
  <c r="BF208" i="12" s="1"/>
  <c r="BF174" i="12"/>
  <c r="BF214" i="12"/>
  <c r="BG173" i="12"/>
  <c r="BE187" i="12"/>
  <c r="BE197" i="12" s="1"/>
  <c r="BE207" i="12" s="1"/>
  <c r="BE185" i="12"/>
  <c r="BE195" i="12" s="1"/>
  <c r="BE205" i="12" s="1"/>
  <c r="BE193" i="12"/>
  <c r="BE203" i="12" s="1"/>
  <c r="BE213" i="12" s="1"/>
  <c r="BE184" i="12"/>
  <c r="BE194" i="12" s="1"/>
  <c r="BE204" i="12" s="1"/>
  <c r="BE186" i="12"/>
  <c r="BE196" i="12" s="1"/>
  <c r="BE206" i="12" s="1"/>
  <c r="O268" i="12"/>
  <c r="N271" i="12" s="1"/>
  <c r="BF114" i="12"/>
  <c r="N323" i="13"/>
  <c r="O219" i="13"/>
  <c r="O322" i="12"/>
  <c r="BE115" i="13"/>
  <c r="O322" i="13"/>
  <c r="R62" i="12"/>
  <c r="BC320" i="13"/>
  <c r="BB323" i="13" s="1"/>
  <c r="Q164" i="13"/>
  <c r="P167" i="13" s="1"/>
  <c r="P218" i="13"/>
  <c r="BD218" i="13"/>
  <c r="BE319" i="12"/>
  <c r="BD320" i="12" s="1"/>
  <c r="Q319" i="13"/>
  <c r="P320" i="13" s="1"/>
  <c r="O323" i="13" s="1"/>
  <c r="BF291" i="12"/>
  <c r="BF301" i="12" s="1"/>
  <c r="BF311" i="12" s="1"/>
  <c r="BF289" i="12"/>
  <c r="BF299" i="12" s="1"/>
  <c r="BF309" i="12" s="1"/>
  <c r="BF290" i="12"/>
  <c r="BF300" i="12" s="1"/>
  <c r="BF310" i="12" s="1"/>
  <c r="R291" i="12"/>
  <c r="R301" i="12" s="1"/>
  <c r="R311" i="12" s="1"/>
  <c r="R289" i="12"/>
  <c r="R299" i="12" s="1"/>
  <c r="R309" i="12" s="1"/>
  <c r="R290" i="12"/>
  <c r="R300" i="12" s="1"/>
  <c r="R310" i="12" s="1"/>
  <c r="BE319" i="13"/>
  <c r="BD320" i="13" s="1"/>
  <c r="Q319" i="12"/>
  <c r="P322" i="12" s="1"/>
  <c r="Q164" i="12"/>
  <c r="P167" i="12" s="1"/>
  <c r="BC270" i="13"/>
  <c r="O268" i="13"/>
  <c r="N271" i="13" s="1"/>
  <c r="T140" i="13"/>
  <c r="T150" i="13" s="1"/>
  <c r="T160" i="13" s="1"/>
  <c r="T137" i="13"/>
  <c r="T147" i="13" s="1"/>
  <c r="T157" i="13" s="1"/>
  <c r="T138" i="13"/>
  <c r="T148" i="13" s="1"/>
  <c r="T158" i="13" s="1"/>
  <c r="T139" i="13"/>
  <c r="T149" i="13" s="1"/>
  <c r="T159" i="13" s="1"/>
  <c r="T135" i="13"/>
  <c r="T145" i="13" s="1"/>
  <c r="T155" i="13" s="1"/>
  <c r="T134" i="13"/>
  <c r="T144" i="13" s="1"/>
  <c r="T154" i="13" s="1"/>
  <c r="T136" i="13"/>
  <c r="T146" i="13" s="1"/>
  <c r="T156" i="13" s="1"/>
  <c r="U87" i="13"/>
  <c r="U97" i="13" s="1"/>
  <c r="U107" i="13" s="1"/>
  <c r="U84" i="13"/>
  <c r="U94" i="13" s="1"/>
  <c r="U104" i="13" s="1"/>
  <c r="U83" i="13"/>
  <c r="U93" i="13" s="1"/>
  <c r="U103" i="13" s="1"/>
  <c r="U85" i="13"/>
  <c r="U95" i="13" s="1"/>
  <c r="U105" i="13" s="1"/>
  <c r="U88" i="13"/>
  <c r="U98" i="13" s="1"/>
  <c r="U108" i="13" s="1"/>
  <c r="U82" i="13"/>
  <c r="U92" i="13" s="1"/>
  <c r="U102" i="13" s="1"/>
  <c r="U86" i="13"/>
  <c r="U96" i="13" s="1"/>
  <c r="U106" i="13" s="1"/>
  <c r="BF244" i="12"/>
  <c r="BF254" i="12" s="1"/>
  <c r="BF264" i="12" s="1"/>
  <c r="BF240" i="12"/>
  <c r="BF250" i="12" s="1"/>
  <c r="BF260" i="12" s="1"/>
  <c r="BF242" i="12"/>
  <c r="BF252" i="12" s="1"/>
  <c r="BF262" i="12" s="1"/>
  <c r="BF241" i="12"/>
  <c r="BF251" i="12" s="1"/>
  <c r="BF261" i="12" s="1"/>
  <c r="BF243" i="12"/>
  <c r="BF253" i="12" s="1"/>
  <c r="BF263" i="12" s="1"/>
  <c r="BG189" i="13"/>
  <c r="BG199" i="13" s="1"/>
  <c r="BG209" i="13" s="1"/>
  <c r="BG190" i="13"/>
  <c r="BG200" i="13" s="1"/>
  <c r="BG210" i="13" s="1"/>
  <c r="BG187" i="13"/>
  <c r="BG197" i="13" s="1"/>
  <c r="BG207" i="13" s="1"/>
  <c r="BG191" i="13"/>
  <c r="BG201" i="13" s="1"/>
  <c r="BG211" i="13" s="1"/>
  <c r="BG192" i="13"/>
  <c r="BG202" i="13" s="1"/>
  <c r="BG212" i="13" s="1"/>
  <c r="BG186" i="13"/>
  <c r="BG196" i="13" s="1"/>
  <c r="BG206" i="13" s="1"/>
  <c r="BG188" i="13"/>
  <c r="BG198" i="13" s="1"/>
  <c r="BG208" i="13" s="1"/>
  <c r="BF241" i="13"/>
  <c r="BF251" i="13" s="1"/>
  <c r="BF261" i="13" s="1"/>
  <c r="BF238" i="13"/>
  <c r="BF248" i="13" s="1"/>
  <c r="BF258" i="13" s="1"/>
  <c r="BF244" i="13"/>
  <c r="BF254" i="13" s="1"/>
  <c r="BF264" i="13" s="1"/>
  <c r="BF243" i="13"/>
  <c r="BF253" i="13" s="1"/>
  <c r="BF263" i="13" s="1"/>
  <c r="BF240" i="13"/>
  <c r="BF250" i="13" s="1"/>
  <c r="BF260" i="13" s="1"/>
  <c r="BF242" i="13"/>
  <c r="BF252" i="13" s="1"/>
  <c r="BF262" i="13" s="1"/>
  <c r="BF239" i="13"/>
  <c r="BF249" i="13" s="1"/>
  <c r="BF259" i="13" s="1"/>
  <c r="R241" i="13"/>
  <c r="R251" i="13" s="1"/>
  <c r="R261" i="13" s="1"/>
  <c r="R238" i="13"/>
  <c r="R248" i="13" s="1"/>
  <c r="R258" i="13" s="1"/>
  <c r="R243" i="13"/>
  <c r="R253" i="13" s="1"/>
  <c r="R263" i="13" s="1"/>
  <c r="R242" i="13"/>
  <c r="R252" i="13" s="1"/>
  <c r="R262" i="13" s="1"/>
  <c r="R240" i="13"/>
  <c r="R250" i="13" s="1"/>
  <c r="R260" i="13" s="1"/>
  <c r="R244" i="13"/>
  <c r="R254" i="13" s="1"/>
  <c r="R264" i="13" s="1"/>
  <c r="R239" i="13"/>
  <c r="R249" i="13" s="1"/>
  <c r="R259" i="13" s="1"/>
  <c r="T36" i="13"/>
  <c r="T46" i="13" s="1"/>
  <c r="T56" i="13" s="1"/>
  <c r="T31" i="13"/>
  <c r="T41" i="13" s="1"/>
  <c r="T51" i="13" s="1"/>
  <c r="T34" i="13"/>
  <c r="T44" i="13" s="1"/>
  <c r="T54" i="13" s="1"/>
  <c r="T32" i="13"/>
  <c r="T42" i="13" s="1"/>
  <c r="T52" i="13" s="1"/>
  <c r="T33" i="13"/>
  <c r="T43" i="13" s="1"/>
  <c r="T53" i="13" s="1"/>
  <c r="T30" i="13"/>
  <c r="T40" i="13" s="1"/>
  <c r="T50" i="13" s="1"/>
  <c r="T35" i="13"/>
  <c r="T45" i="13" s="1"/>
  <c r="T55" i="13" s="1"/>
  <c r="U36" i="12"/>
  <c r="U46" i="12" s="1"/>
  <c r="U56" i="12" s="1"/>
  <c r="U33" i="12"/>
  <c r="U43" i="12" s="1"/>
  <c r="U53" i="12" s="1"/>
  <c r="U32" i="12"/>
  <c r="U42" i="12" s="1"/>
  <c r="U52" i="12" s="1"/>
  <c r="U34" i="12"/>
  <c r="U44" i="12" s="1"/>
  <c r="U54" i="12" s="1"/>
  <c r="U35" i="12"/>
  <c r="U45" i="12" s="1"/>
  <c r="U55" i="12" s="1"/>
  <c r="BI84" i="12"/>
  <c r="BI94" i="12" s="1"/>
  <c r="BI104" i="12" s="1"/>
  <c r="BI87" i="12"/>
  <c r="BI97" i="12" s="1"/>
  <c r="BI107" i="12" s="1"/>
  <c r="BI85" i="12"/>
  <c r="BI95" i="12" s="1"/>
  <c r="BI105" i="12" s="1"/>
  <c r="BI86" i="12"/>
  <c r="BI96" i="12" s="1"/>
  <c r="BI106" i="12" s="1"/>
  <c r="BI88" i="12"/>
  <c r="BI98" i="12" s="1"/>
  <c r="BI108" i="12" s="1"/>
  <c r="S190" i="12"/>
  <c r="S200" i="12" s="1"/>
  <c r="S210" i="12" s="1"/>
  <c r="S192" i="12"/>
  <c r="S202" i="12" s="1"/>
  <c r="S212" i="12" s="1"/>
  <c r="S191" i="12"/>
  <c r="S201" i="12" s="1"/>
  <c r="S211" i="12" s="1"/>
  <c r="S189" i="12"/>
  <c r="S199" i="12" s="1"/>
  <c r="S209" i="12" s="1"/>
  <c r="S188" i="12"/>
  <c r="S198" i="12" s="1"/>
  <c r="S208" i="12" s="1"/>
  <c r="R242" i="12"/>
  <c r="R252" i="12" s="1"/>
  <c r="R262" i="12" s="1"/>
  <c r="R243" i="12"/>
  <c r="R253" i="12" s="1"/>
  <c r="R263" i="12" s="1"/>
  <c r="R244" i="12"/>
  <c r="R254" i="12" s="1"/>
  <c r="R264" i="12" s="1"/>
  <c r="R241" i="12"/>
  <c r="R251" i="12" s="1"/>
  <c r="R261" i="12" s="1"/>
  <c r="R240" i="12"/>
  <c r="R250" i="12" s="1"/>
  <c r="R260" i="12" s="1"/>
  <c r="BI87" i="13"/>
  <c r="BI97" i="13" s="1"/>
  <c r="BI107" i="13" s="1"/>
  <c r="BI84" i="13"/>
  <c r="BI94" i="13" s="1"/>
  <c r="BI104" i="13" s="1"/>
  <c r="BI85" i="13"/>
  <c r="BI95" i="13" s="1"/>
  <c r="BI105" i="13" s="1"/>
  <c r="BI83" i="13"/>
  <c r="BI93" i="13" s="1"/>
  <c r="BI103" i="13" s="1"/>
  <c r="BI88" i="13"/>
  <c r="BI98" i="13" s="1"/>
  <c r="BI108" i="13" s="1"/>
  <c r="BI86" i="13"/>
  <c r="BI96" i="13" s="1"/>
  <c r="BI106" i="13" s="1"/>
  <c r="BI82" i="13"/>
  <c r="BI92" i="13" s="1"/>
  <c r="BI102" i="13" s="1"/>
  <c r="S187" i="13"/>
  <c r="S197" i="13" s="1"/>
  <c r="S207" i="13" s="1"/>
  <c r="S189" i="13"/>
  <c r="S199" i="13" s="1"/>
  <c r="S209" i="13" s="1"/>
  <c r="S192" i="13"/>
  <c r="S202" i="13" s="1"/>
  <c r="S212" i="13" s="1"/>
  <c r="S186" i="13"/>
  <c r="S196" i="13" s="1"/>
  <c r="S206" i="13" s="1"/>
  <c r="S190" i="13"/>
  <c r="S200" i="13" s="1"/>
  <c r="S210" i="13" s="1"/>
  <c r="S191" i="13"/>
  <c r="S201" i="13" s="1"/>
  <c r="S211" i="13" s="1"/>
  <c r="S188" i="13"/>
  <c r="S198" i="13" s="1"/>
  <c r="S208" i="13" s="1"/>
  <c r="BH137" i="13"/>
  <c r="BH147" i="13" s="1"/>
  <c r="BH157" i="13" s="1"/>
  <c r="BH140" i="13"/>
  <c r="BH150" i="13" s="1"/>
  <c r="BH160" i="13" s="1"/>
  <c r="BH138" i="13"/>
  <c r="BH148" i="13" s="1"/>
  <c r="BH158" i="13" s="1"/>
  <c r="BH139" i="13"/>
  <c r="BH149" i="13" s="1"/>
  <c r="BH159" i="13" s="1"/>
  <c r="BH134" i="13"/>
  <c r="BH144" i="13" s="1"/>
  <c r="BH154" i="13" s="1"/>
  <c r="BH135" i="13"/>
  <c r="BH145" i="13" s="1"/>
  <c r="BH155" i="13" s="1"/>
  <c r="BH136" i="13"/>
  <c r="BH146" i="13" s="1"/>
  <c r="BH156" i="13" s="1"/>
  <c r="BH36" i="13"/>
  <c r="BH46" i="13" s="1"/>
  <c r="BH56" i="13" s="1"/>
  <c r="BH31" i="13"/>
  <c r="BH41" i="13" s="1"/>
  <c r="BH51" i="13" s="1"/>
  <c r="BH33" i="13"/>
  <c r="BH43" i="13" s="1"/>
  <c r="BH53" i="13" s="1"/>
  <c r="BH30" i="13"/>
  <c r="BH40" i="13" s="1"/>
  <c r="BH50" i="13" s="1"/>
  <c r="BH34" i="13"/>
  <c r="BH44" i="13" s="1"/>
  <c r="BH54" i="13" s="1"/>
  <c r="BH35" i="13"/>
  <c r="BH45" i="13" s="1"/>
  <c r="BH55" i="13" s="1"/>
  <c r="BH32" i="13"/>
  <c r="BH42" i="13" s="1"/>
  <c r="BH52" i="13" s="1"/>
  <c r="T136" i="12"/>
  <c r="T146" i="12" s="1"/>
  <c r="T156" i="12" s="1"/>
  <c r="T140" i="12"/>
  <c r="T150" i="12" s="1"/>
  <c r="T160" i="12" s="1"/>
  <c r="T137" i="12"/>
  <c r="T147" i="12" s="1"/>
  <c r="T157" i="12" s="1"/>
  <c r="T139" i="12"/>
  <c r="T149" i="12" s="1"/>
  <c r="T159" i="12" s="1"/>
  <c r="T138" i="12"/>
  <c r="T148" i="12" s="1"/>
  <c r="T158" i="12" s="1"/>
  <c r="BH136" i="12"/>
  <c r="BH146" i="12" s="1"/>
  <c r="BH156" i="12" s="1"/>
  <c r="BH137" i="12"/>
  <c r="BH147" i="12" s="1"/>
  <c r="BH157" i="12" s="1"/>
  <c r="BH139" i="12"/>
  <c r="BH149" i="12" s="1"/>
  <c r="BH159" i="12" s="1"/>
  <c r="BH140" i="12"/>
  <c r="BH150" i="12" s="1"/>
  <c r="BH160" i="12" s="1"/>
  <c r="BH138" i="12"/>
  <c r="BH148" i="12" s="1"/>
  <c r="BH158" i="12" s="1"/>
  <c r="BI36" i="12"/>
  <c r="BI46" i="12" s="1"/>
  <c r="BI56" i="12" s="1"/>
  <c r="BI33" i="12"/>
  <c r="BI43" i="12" s="1"/>
  <c r="BI53" i="12" s="1"/>
  <c r="BI32" i="12"/>
  <c r="BI42" i="12" s="1"/>
  <c r="BI52" i="12" s="1"/>
  <c r="BI34" i="12"/>
  <c r="BI44" i="12" s="1"/>
  <c r="BI54" i="12" s="1"/>
  <c r="BI35" i="12"/>
  <c r="BI45" i="12" s="1"/>
  <c r="BI55" i="12" s="1"/>
  <c r="BF215" i="13"/>
  <c r="BE216" i="13" s="1"/>
  <c r="BD219" i="13" s="1"/>
  <c r="Q60" i="13"/>
  <c r="P63" i="13" s="1"/>
  <c r="BF114" i="13"/>
  <c r="BE166" i="13"/>
  <c r="BE166" i="12"/>
  <c r="BB271" i="12"/>
  <c r="BD167" i="13"/>
  <c r="BC270" i="12"/>
  <c r="BF60" i="12"/>
  <c r="BE63" i="12" s="1"/>
  <c r="T111" i="13"/>
  <c r="S112" i="13" s="1"/>
  <c r="R115" i="13" s="1"/>
  <c r="BG163" i="13"/>
  <c r="BF164" i="13" s="1"/>
  <c r="BE167" i="13" s="1"/>
  <c r="BE62" i="13"/>
  <c r="BE267" i="13"/>
  <c r="BD268" i="13" s="1"/>
  <c r="BC271" i="13" s="1"/>
  <c r="BH111" i="13"/>
  <c r="BG114" i="13" s="1"/>
  <c r="R114" i="13"/>
  <c r="Q267" i="12"/>
  <c r="P268" i="12" s="1"/>
  <c r="R215" i="12"/>
  <c r="Q218" i="12" s="1"/>
  <c r="P216" i="12"/>
  <c r="O219" i="12" s="1"/>
  <c r="BG59" i="13"/>
  <c r="BF60" i="13" s="1"/>
  <c r="BE63" i="13" s="1"/>
  <c r="BH59" i="12"/>
  <c r="BG60" i="12" s="1"/>
  <c r="S163" i="13"/>
  <c r="R166" i="13" s="1"/>
  <c r="S59" i="13"/>
  <c r="R60" i="13" s="1"/>
  <c r="T59" i="12"/>
  <c r="S62" i="12" s="1"/>
  <c r="BG163" i="12"/>
  <c r="BF164" i="12" s="1"/>
  <c r="BE167" i="12" s="1"/>
  <c r="BE267" i="12"/>
  <c r="BD270" i="12" s="1"/>
  <c r="S163" i="12"/>
  <c r="R164" i="12" s="1"/>
  <c r="Q267" i="13"/>
  <c r="P270" i="13" s="1"/>
  <c r="R215" i="13"/>
  <c r="Q218" i="13" s="1"/>
  <c r="BH111" i="12"/>
  <c r="BG112" i="12" s="1"/>
  <c r="BF115" i="12" s="1"/>
  <c r="T277" i="13"/>
  <c r="S278" i="13"/>
  <c r="S287" i="13"/>
  <c r="S289" i="13" s="1"/>
  <c r="S299" i="13" s="1"/>
  <c r="S309" i="13" s="1"/>
  <c r="S318" i="13"/>
  <c r="R245" i="12"/>
  <c r="R255" i="12" s="1"/>
  <c r="R265" i="12" s="1"/>
  <c r="R236" i="12"/>
  <c r="R246" i="12" s="1"/>
  <c r="R256" i="12" s="1"/>
  <c r="R237" i="12"/>
  <c r="R247" i="12" s="1"/>
  <c r="R257" i="12" s="1"/>
  <c r="R238" i="12"/>
  <c r="R248" i="12" s="1"/>
  <c r="R258" i="12" s="1"/>
  <c r="BH277" i="12"/>
  <c r="BG278" i="12"/>
  <c r="BG287" i="12"/>
  <c r="BG318" i="12"/>
  <c r="BI80" i="13"/>
  <c r="BI90" i="13" s="1"/>
  <c r="BI100" i="13" s="1"/>
  <c r="BI89" i="13"/>
  <c r="BI99" i="13" s="1"/>
  <c r="BI109" i="13" s="1"/>
  <c r="V121" i="13"/>
  <c r="U122" i="13"/>
  <c r="U131" i="13"/>
  <c r="U133" i="13" s="1"/>
  <c r="U143" i="13" s="1"/>
  <c r="U153" i="13" s="1"/>
  <c r="U162" i="13"/>
  <c r="T225" i="13"/>
  <c r="S235" i="13"/>
  <c r="S237" i="13" s="1"/>
  <c r="S247" i="13" s="1"/>
  <c r="S257" i="13" s="1"/>
  <c r="S226" i="13"/>
  <c r="S266" i="13"/>
  <c r="W69" i="13"/>
  <c r="V70" i="13"/>
  <c r="V79" i="13"/>
  <c r="V81" i="13" s="1"/>
  <c r="V91" i="13" s="1"/>
  <c r="V101" i="13" s="1"/>
  <c r="V110" i="13"/>
  <c r="S193" i="13"/>
  <c r="S203" i="13" s="1"/>
  <c r="S213" i="13" s="1"/>
  <c r="S184" i="13"/>
  <c r="S194" i="13" s="1"/>
  <c r="S204" i="13" s="1"/>
  <c r="U28" i="12"/>
  <c r="U38" i="12" s="1"/>
  <c r="U48" i="12" s="1"/>
  <c r="U37" i="12"/>
  <c r="U47" i="12" s="1"/>
  <c r="U57" i="12" s="1"/>
  <c r="U29" i="12"/>
  <c r="U39" i="12" s="1"/>
  <c r="U49" i="12" s="1"/>
  <c r="U30" i="12"/>
  <c r="U40" i="12" s="1"/>
  <c r="U50" i="12" s="1"/>
  <c r="BJ121" i="12"/>
  <c r="BI131" i="12"/>
  <c r="BI135" i="12" s="1"/>
  <c r="BI145" i="12" s="1"/>
  <c r="BI155" i="12" s="1"/>
  <c r="BI122" i="12"/>
  <c r="BI162" i="12"/>
  <c r="BI173" i="13"/>
  <c r="BH174" i="13"/>
  <c r="BH183" i="13"/>
  <c r="BH185" i="13" s="1"/>
  <c r="BH195" i="13" s="1"/>
  <c r="BH205" i="13" s="1"/>
  <c r="BH214" i="13"/>
  <c r="BJ79" i="12"/>
  <c r="BJ83" i="12" s="1"/>
  <c r="BJ93" i="12" s="1"/>
  <c r="BJ103" i="12" s="1"/>
  <c r="BJ70" i="12"/>
  <c r="BJ110" i="12"/>
  <c r="U173" i="12"/>
  <c r="T183" i="12"/>
  <c r="T187" i="12" s="1"/>
  <c r="T197" i="12" s="1"/>
  <c r="T207" i="12" s="1"/>
  <c r="T174" i="12"/>
  <c r="T214" i="12"/>
  <c r="BH141" i="13"/>
  <c r="BH151" i="13" s="1"/>
  <c r="BH161" i="13" s="1"/>
  <c r="BH132" i="13"/>
  <c r="BH142" i="13" s="1"/>
  <c r="BH152" i="13" s="1"/>
  <c r="BI18" i="13"/>
  <c r="BI27" i="13"/>
  <c r="BI29" i="13" s="1"/>
  <c r="BI39" i="13" s="1"/>
  <c r="BI49" i="13" s="1"/>
  <c r="BJ17" i="13"/>
  <c r="BI58" i="13"/>
  <c r="BF245" i="13"/>
  <c r="BF255" i="13" s="1"/>
  <c r="BF265" i="13" s="1"/>
  <c r="BF236" i="13"/>
  <c r="BF246" i="13" s="1"/>
  <c r="BF256" i="13" s="1"/>
  <c r="BJ27" i="12"/>
  <c r="BJ31" i="12" s="1"/>
  <c r="BJ41" i="12" s="1"/>
  <c r="BJ51" i="12" s="1"/>
  <c r="BJ18" i="12"/>
  <c r="BJ58" i="12"/>
  <c r="T141" i="12"/>
  <c r="T151" i="12" s="1"/>
  <c r="T161" i="12" s="1"/>
  <c r="T132" i="12"/>
  <c r="T142" i="12" s="1"/>
  <c r="T152" i="12" s="1"/>
  <c r="T133" i="12"/>
  <c r="T143" i="12" s="1"/>
  <c r="T153" i="12" s="1"/>
  <c r="T134" i="12"/>
  <c r="T144" i="12" s="1"/>
  <c r="T154" i="12" s="1"/>
  <c r="R288" i="13"/>
  <c r="R298" i="13" s="1"/>
  <c r="R308" i="13" s="1"/>
  <c r="R297" i="13"/>
  <c r="R307" i="13" s="1"/>
  <c r="R317" i="13" s="1"/>
  <c r="R293" i="13"/>
  <c r="R303" i="13" s="1"/>
  <c r="R313" i="13" s="1"/>
  <c r="R295" i="13"/>
  <c r="R305" i="13" s="1"/>
  <c r="R315" i="13" s="1"/>
  <c r="R290" i="13"/>
  <c r="R300" i="13" s="1"/>
  <c r="R310" i="13" s="1"/>
  <c r="R292" i="13"/>
  <c r="R302" i="13" s="1"/>
  <c r="R312" i="13" s="1"/>
  <c r="R294" i="13"/>
  <c r="R304" i="13" s="1"/>
  <c r="R314" i="13" s="1"/>
  <c r="R291" i="13"/>
  <c r="R301" i="13" s="1"/>
  <c r="R311" i="13" s="1"/>
  <c r="R296" i="13"/>
  <c r="R306" i="13" s="1"/>
  <c r="R316" i="13" s="1"/>
  <c r="T225" i="12"/>
  <c r="S235" i="12"/>
  <c r="S239" i="12" s="1"/>
  <c r="S249" i="12" s="1"/>
  <c r="S259" i="12" s="1"/>
  <c r="S226" i="12"/>
  <c r="S266" i="12"/>
  <c r="BF288" i="12"/>
  <c r="BF298" i="12" s="1"/>
  <c r="BF308" i="12" s="1"/>
  <c r="BF297" i="12"/>
  <c r="BF307" i="12" s="1"/>
  <c r="BF317" i="12" s="1"/>
  <c r="BF292" i="12"/>
  <c r="BF302" i="12" s="1"/>
  <c r="BF312" i="12" s="1"/>
  <c r="BF294" i="12"/>
  <c r="BF304" i="12" s="1"/>
  <c r="BF314" i="12" s="1"/>
  <c r="BF293" i="12"/>
  <c r="BF303" i="12" s="1"/>
  <c r="BF313" i="12" s="1"/>
  <c r="BF295" i="12"/>
  <c r="BF305" i="12" s="1"/>
  <c r="BF315" i="12" s="1"/>
  <c r="BF296" i="12"/>
  <c r="BF306" i="12" s="1"/>
  <c r="BF316" i="12" s="1"/>
  <c r="R297" i="12"/>
  <c r="R307" i="12" s="1"/>
  <c r="R317" i="12" s="1"/>
  <c r="R288" i="12"/>
  <c r="R298" i="12" s="1"/>
  <c r="R308" i="12" s="1"/>
  <c r="R295" i="12"/>
  <c r="R305" i="12" s="1"/>
  <c r="R315" i="12" s="1"/>
  <c r="R296" i="12"/>
  <c r="R306" i="12" s="1"/>
  <c r="R316" i="12" s="1"/>
  <c r="R292" i="12"/>
  <c r="R302" i="12" s="1"/>
  <c r="R312" i="12" s="1"/>
  <c r="R293" i="12"/>
  <c r="R303" i="12" s="1"/>
  <c r="R313" i="12" s="1"/>
  <c r="R294" i="12"/>
  <c r="R304" i="12" s="1"/>
  <c r="R314" i="12" s="1"/>
  <c r="U173" i="13"/>
  <c r="T174" i="13"/>
  <c r="T183" i="13"/>
  <c r="T185" i="13" s="1"/>
  <c r="T195" i="13" s="1"/>
  <c r="T205" i="13" s="1"/>
  <c r="T214" i="13"/>
  <c r="V17" i="13"/>
  <c r="U18" i="13"/>
  <c r="U27" i="13"/>
  <c r="U29" i="13" s="1"/>
  <c r="U39" i="13" s="1"/>
  <c r="U49" i="13" s="1"/>
  <c r="U58" i="13"/>
  <c r="W17" i="12"/>
  <c r="V27" i="12"/>
  <c r="V31" i="12" s="1"/>
  <c r="V41" i="12" s="1"/>
  <c r="V51" i="12" s="1"/>
  <c r="V18" i="12"/>
  <c r="V58" i="12"/>
  <c r="BG193" i="13"/>
  <c r="BG203" i="13" s="1"/>
  <c r="BG213" i="13" s="1"/>
  <c r="BG184" i="13"/>
  <c r="BG194" i="13" s="1"/>
  <c r="BG204" i="13" s="1"/>
  <c r="BH37" i="13"/>
  <c r="BH47" i="13" s="1"/>
  <c r="BH57" i="13" s="1"/>
  <c r="BH28" i="13"/>
  <c r="BH38" i="13" s="1"/>
  <c r="BH48" i="13" s="1"/>
  <c r="BF288" i="13"/>
  <c r="BF298" i="13" s="1"/>
  <c r="BF308" i="13" s="1"/>
  <c r="BF297" i="13"/>
  <c r="BF307" i="13" s="1"/>
  <c r="BF317" i="13" s="1"/>
  <c r="BF295" i="13"/>
  <c r="BF305" i="13" s="1"/>
  <c r="BF315" i="13" s="1"/>
  <c r="BF294" i="13"/>
  <c r="BF304" i="13" s="1"/>
  <c r="BF314" i="13" s="1"/>
  <c r="BF290" i="13"/>
  <c r="BF300" i="13" s="1"/>
  <c r="BF310" i="13" s="1"/>
  <c r="BF292" i="13"/>
  <c r="BF302" i="13" s="1"/>
  <c r="BF312" i="13" s="1"/>
  <c r="BF291" i="13"/>
  <c r="BF301" i="13" s="1"/>
  <c r="BF311" i="13" s="1"/>
  <c r="BF296" i="13"/>
  <c r="BF306" i="13" s="1"/>
  <c r="BF316" i="13" s="1"/>
  <c r="BF293" i="13"/>
  <c r="BF303" i="13" s="1"/>
  <c r="BF313" i="13" s="1"/>
  <c r="BI37" i="12"/>
  <c r="BI47" i="12" s="1"/>
  <c r="BI57" i="12" s="1"/>
  <c r="BI28" i="12"/>
  <c r="BI38" i="12" s="1"/>
  <c r="BI48" i="12" s="1"/>
  <c r="BI30" i="12"/>
  <c r="BI40" i="12" s="1"/>
  <c r="BI50" i="12" s="1"/>
  <c r="BI29" i="12"/>
  <c r="BI39" i="12" s="1"/>
  <c r="BI49" i="12" s="1"/>
  <c r="V121" i="12"/>
  <c r="U131" i="12"/>
  <c r="U135" i="12" s="1"/>
  <c r="U145" i="12" s="1"/>
  <c r="U155" i="12" s="1"/>
  <c r="U122" i="12"/>
  <c r="U162" i="12"/>
  <c r="T141" i="13"/>
  <c r="T151" i="13" s="1"/>
  <c r="T161" i="13" s="1"/>
  <c r="T132" i="13"/>
  <c r="T142" i="13" s="1"/>
  <c r="T152" i="13" s="1"/>
  <c r="U80" i="13"/>
  <c r="U90" i="13" s="1"/>
  <c r="U100" i="13" s="1"/>
  <c r="U89" i="13"/>
  <c r="U99" i="13" s="1"/>
  <c r="U109" i="13" s="1"/>
  <c r="BF245" i="12"/>
  <c r="BF255" i="12" s="1"/>
  <c r="BF265" i="12" s="1"/>
  <c r="BF236" i="12"/>
  <c r="BF246" i="12" s="1"/>
  <c r="BF256" i="12" s="1"/>
  <c r="BF238" i="12"/>
  <c r="BF248" i="12" s="1"/>
  <c r="BF258" i="12" s="1"/>
  <c r="BF237" i="12"/>
  <c r="BF247" i="12" s="1"/>
  <c r="BF257" i="12" s="1"/>
  <c r="BI122" i="13"/>
  <c r="BI131" i="13"/>
  <c r="BI133" i="13" s="1"/>
  <c r="BI143" i="13" s="1"/>
  <c r="BI153" i="13" s="1"/>
  <c r="BJ121" i="13"/>
  <c r="BI162" i="13"/>
  <c r="BG287" i="13"/>
  <c r="BG289" i="13" s="1"/>
  <c r="BG299" i="13" s="1"/>
  <c r="BG309" i="13" s="1"/>
  <c r="BG278" i="13"/>
  <c r="BH277" i="13"/>
  <c r="BG318" i="13"/>
  <c r="T277" i="12"/>
  <c r="S278" i="12"/>
  <c r="S287" i="12"/>
  <c r="S318" i="12"/>
  <c r="BJ70" i="13"/>
  <c r="BJ79" i="13"/>
  <c r="BJ81" i="13" s="1"/>
  <c r="BJ91" i="13" s="1"/>
  <c r="BJ101" i="13" s="1"/>
  <c r="BJ110" i="13"/>
  <c r="R236" i="13"/>
  <c r="R246" i="13" s="1"/>
  <c r="R256" i="13" s="1"/>
  <c r="R245" i="13"/>
  <c r="R255" i="13" s="1"/>
  <c r="R265" i="13" s="1"/>
  <c r="T28" i="13"/>
  <c r="T38" i="13" s="1"/>
  <c r="T48" i="13" s="1"/>
  <c r="T37" i="13"/>
  <c r="T47" i="13" s="1"/>
  <c r="T57" i="13" s="1"/>
  <c r="BG235" i="12"/>
  <c r="BG239" i="12" s="1"/>
  <c r="BG249" i="12" s="1"/>
  <c r="BG259" i="12" s="1"/>
  <c r="BH225" i="12"/>
  <c r="BG226" i="12"/>
  <c r="BG266" i="12"/>
  <c r="BH132" i="12"/>
  <c r="BH142" i="12" s="1"/>
  <c r="BH152" i="12" s="1"/>
  <c r="BH141" i="12"/>
  <c r="BH151" i="12" s="1"/>
  <c r="BH161" i="12" s="1"/>
  <c r="BH134" i="12"/>
  <c r="BH144" i="12" s="1"/>
  <c r="BH154" i="12" s="1"/>
  <c r="BH133" i="12"/>
  <c r="BH143" i="12" s="1"/>
  <c r="BH153" i="12" s="1"/>
  <c r="BI89" i="12"/>
  <c r="BI99" i="12" s="1"/>
  <c r="BI109" i="12" s="1"/>
  <c r="BI80" i="12"/>
  <c r="BI90" i="12" s="1"/>
  <c r="BI100" i="12" s="1"/>
  <c r="BI82" i="12"/>
  <c r="BI92" i="12" s="1"/>
  <c r="BI102" i="12" s="1"/>
  <c r="BI81" i="12"/>
  <c r="BI91" i="12" s="1"/>
  <c r="BI101" i="12" s="1"/>
  <c r="S184" i="12"/>
  <c r="S194" i="12" s="1"/>
  <c r="S204" i="12" s="1"/>
  <c r="S193" i="12"/>
  <c r="S203" i="12" s="1"/>
  <c r="S213" i="12" s="1"/>
  <c r="S185" i="12"/>
  <c r="S195" i="12" s="1"/>
  <c r="S205" i="12" s="1"/>
  <c r="S186" i="12"/>
  <c r="S196" i="12" s="1"/>
  <c r="S206" i="12" s="1"/>
  <c r="BH225" i="13"/>
  <c r="BG235" i="13"/>
  <c r="BG237" i="13" s="1"/>
  <c r="BG247" i="13" s="1"/>
  <c r="BG257" i="13" s="1"/>
  <c r="BG226" i="13"/>
  <c r="BG266" i="13"/>
  <c r="BC323" i="12" l="1"/>
  <c r="T86" i="12"/>
  <c r="T96" i="12" s="1"/>
  <c r="T106" i="12" s="1"/>
  <c r="T88" i="12"/>
  <c r="T98" i="12" s="1"/>
  <c r="T108" i="12" s="1"/>
  <c r="T87" i="12"/>
  <c r="T97" i="12" s="1"/>
  <c r="T107" i="12" s="1"/>
  <c r="T85" i="12"/>
  <c r="T95" i="12" s="1"/>
  <c r="T105" i="12" s="1"/>
  <c r="S111" i="12"/>
  <c r="T83" i="12"/>
  <c r="T93" i="12" s="1"/>
  <c r="T103" i="12" s="1"/>
  <c r="T84" i="12"/>
  <c r="T94" i="12" s="1"/>
  <c r="T104" i="12" s="1"/>
  <c r="T82" i="12"/>
  <c r="T92" i="12" s="1"/>
  <c r="T102" i="12" s="1"/>
  <c r="T89" i="12"/>
  <c r="T99" i="12" s="1"/>
  <c r="T109" i="12" s="1"/>
  <c r="T81" i="12"/>
  <c r="T91" i="12" s="1"/>
  <c r="T101" i="12" s="1"/>
  <c r="T80" i="12"/>
  <c r="T90" i="12" s="1"/>
  <c r="T100" i="12" s="1"/>
  <c r="U110" i="12"/>
  <c r="U79" i="12"/>
  <c r="U70" i="12"/>
  <c r="V69" i="12"/>
  <c r="Q112" i="12"/>
  <c r="P115" i="12" s="1"/>
  <c r="Q114" i="12"/>
  <c r="BF191" i="12"/>
  <c r="BF201" i="12" s="1"/>
  <c r="BF211" i="12" s="1"/>
  <c r="BF189" i="12"/>
  <c r="BF199" i="12" s="1"/>
  <c r="BF209" i="12" s="1"/>
  <c r="BF190" i="12"/>
  <c r="BF200" i="12" s="1"/>
  <c r="BF210" i="12" s="1"/>
  <c r="BF192" i="12"/>
  <c r="BF202" i="12" s="1"/>
  <c r="BF212" i="12" s="1"/>
  <c r="BC218" i="12"/>
  <c r="P322" i="13"/>
  <c r="BF62" i="13"/>
  <c r="BF187" i="12"/>
  <c r="BF197" i="12" s="1"/>
  <c r="BF207" i="12" s="1"/>
  <c r="BF184" i="12"/>
  <c r="BF194" i="12" s="1"/>
  <c r="BF204" i="12" s="1"/>
  <c r="BF186" i="12"/>
  <c r="BF196" i="12" s="1"/>
  <c r="BF206" i="12" s="1"/>
  <c r="BF185" i="12"/>
  <c r="BF195" i="12" s="1"/>
  <c r="BF205" i="12" s="1"/>
  <c r="BF193" i="12"/>
  <c r="BF203" i="12" s="1"/>
  <c r="BF213" i="12" s="1"/>
  <c r="BE215" i="12"/>
  <c r="BG214" i="12"/>
  <c r="BG183" i="12"/>
  <c r="BG188" i="12" s="1"/>
  <c r="BG198" i="12" s="1"/>
  <c r="BG208" i="12" s="1"/>
  <c r="BH173" i="12"/>
  <c r="BG174" i="12"/>
  <c r="O271" i="12"/>
  <c r="P320" i="12"/>
  <c r="O323" i="12" s="1"/>
  <c r="Q167" i="12"/>
  <c r="BC323" i="13"/>
  <c r="BD322" i="13"/>
  <c r="BD322" i="12"/>
  <c r="BE218" i="13"/>
  <c r="BF319" i="13"/>
  <c r="BE320" i="13" s="1"/>
  <c r="BD323" i="13" s="1"/>
  <c r="BG291" i="12"/>
  <c r="BG301" i="12" s="1"/>
  <c r="BG311" i="12" s="1"/>
  <c r="BG290" i="12"/>
  <c r="BG300" i="12" s="1"/>
  <c r="BG310" i="12" s="1"/>
  <c r="BG289" i="12"/>
  <c r="BG299" i="12" s="1"/>
  <c r="BG309" i="12" s="1"/>
  <c r="BG215" i="13"/>
  <c r="BF218" i="13" s="1"/>
  <c r="R319" i="12"/>
  <c r="Q322" i="12" s="1"/>
  <c r="BF319" i="12"/>
  <c r="BE320" i="12" s="1"/>
  <c r="BD323" i="12" s="1"/>
  <c r="S291" i="12"/>
  <c r="S301" i="12" s="1"/>
  <c r="S311" i="12" s="1"/>
  <c r="S289" i="12"/>
  <c r="S299" i="12" s="1"/>
  <c r="S309" i="12" s="1"/>
  <c r="S290" i="12"/>
  <c r="S300" i="12" s="1"/>
  <c r="S310" i="12" s="1"/>
  <c r="R319" i="13"/>
  <c r="Q320" i="13" s="1"/>
  <c r="P323" i="13" s="1"/>
  <c r="Q63" i="13"/>
  <c r="S114" i="13"/>
  <c r="BF166" i="12"/>
  <c r="BG240" i="13"/>
  <c r="BG250" i="13" s="1"/>
  <c r="BG260" i="13" s="1"/>
  <c r="BG242" i="13"/>
  <c r="BG252" i="13" s="1"/>
  <c r="BG262" i="13" s="1"/>
  <c r="BG239" i="13"/>
  <c r="BG249" i="13" s="1"/>
  <c r="BG259" i="13" s="1"/>
  <c r="BG241" i="13"/>
  <c r="BG251" i="13" s="1"/>
  <c r="BG261" i="13" s="1"/>
  <c r="BG244" i="13"/>
  <c r="BG254" i="13" s="1"/>
  <c r="BG264" i="13" s="1"/>
  <c r="BG238" i="13"/>
  <c r="BG248" i="13" s="1"/>
  <c r="BG258" i="13" s="1"/>
  <c r="BG243" i="13"/>
  <c r="BG253" i="13" s="1"/>
  <c r="BG263" i="13" s="1"/>
  <c r="BJ84" i="13"/>
  <c r="BJ94" i="13" s="1"/>
  <c r="BJ104" i="13" s="1"/>
  <c r="BJ83" i="13"/>
  <c r="BJ93" i="13" s="1"/>
  <c r="BJ103" i="13" s="1"/>
  <c r="BJ87" i="13"/>
  <c r="BJ97" i="13" s="1"/>
  <c r="BJ107" i="13" s="1"/>
  <c r="BJ85" i="13"/>
  <c r="BJ95" i="13" s="1"/>
  <c r="BJ105" i="13" s="1"/>
  <c r="BJ88" i="13"/>
  <c r="BJ98" i="13" s="1"/>
  <c r="BJ108" i="13" s="1"/>
  <c r="BJ86" i="13"/>
  <c r="BJ96" i="13" s="1"/>
  <c r="BJ106" i="13" s="1"/>
  <c r="BJ82" i="13"/>
  <c r="BJ92" i="13" s="1"/>
  <c r="BJ102" i="13" s="1"/>
  <c r="U136" i="12"/>
  <c r="U146" i="12" s="1"/>
  <c r="U156" i="12" s="1"/>
  <c r="U137" i="12"/>
  <c r="U147" i="12" s="1"/>
  <c r="U157" i="12" s="1"/>
  <c r="U139" i="12"/>
  <c r="U149" i="12" s="1"/>
  <c r="U159" i="12" s="1"/>
  <c r="U140" i="12"/>
  <c r="U150" i="12" s="1"/>
  <c r="U160" i="12" s="1"/>
  <c r="U138" i="12"/>
  <c r="U148" i="12" s="1"/>
  <c r="U158" i="12" s="1"/>
  <c r="S243" i="12"/>
  <c r="S253" i="12" s="1"/>
  <c r="S263" i="12" s="1"/>
  <c r="S244" i="12"/>
  <c r="S254" i="12" s="1"/>
  <c r="S264" i="12" s="1"/>
  <c r="S242" i="12"/>
  <c r="S252" i="12" s="1"/>
  <c r="S262" i="12" s="1"/>
  <c r="S241" i="12"/>
  <c r="S251" i="12" s="1"/>
  <c r="S261" i="12" s="1"/>
  <c r="S240" i="12"/>
  <c r="S250" i="12" s="1"/>
  <c r="S260" i="12" s="1"/>
  <c r="BI136" i="12"/>
  <c r="BI146" i="12" s="1"/>
  <c r="BI156" i="12" s="1"/>
  <c r="BI140" i="12"/>
  <c r="BI150" i="12" s="1"/>
  <c r="BI160" i="12" s="1"/>
  <c r="BI138" i="12"/>
  <c r="BI148" i="12" s="1"/>
  <c r="BI158" i="12" s="1"/>
  <c r="BI139" i="12"/>
  <c r="BI149" i="12" s="1"/>
  <c r="BI159" i="12" s="1"/>
  <c r="BI137" i="12"/>
  <c r="BI147" i="12" s="1"/>
  <c r="BI157" i="12" s="1"/>
  <c r="BI33" i="13"/>
  <c r="BI43" i="13" s="1"/>
  <c r="BI53" i="13" s="1"/>
  <c r="BI36" i="13"/>
  <c r="BI46" i="13" s="1"/>
  <c r="BI56" i="13" s="1"/>
  <c r="BI31" i="13"/>
  <c r="BI41" i="13" s="1"/>
  <c r="BI51" i="13" s="1"/>
  <c r="BI30" i="13"/>
  <c r="BI40" i="13" s="1"/>
  <c r="BI50" i="13" s="1"/>
  <c r="BI34" i="13"/>
  <c r="BI44" i="13" s="1"/>
  <c r="BI54" i="13" s="1"/>
  <c r="BI35" i="13"/>
  <c r="BI45" i="13" s="1"/>
  <c r="BI55" i="13" s="1"/>
  <c r="BI32" i="13"/>
  <c r="BI42" i="13" s="1"/>
  <c r="BI52" i="13" s="1"/>
  <c r="T188" i="12"/>
  <c r="T198" i="12" s="1"/>
  <c r="T208" i="12" s="1"/>
  <c r="T190" i="12"/>
  <c r="T200" i="12" s="1"/>
  <c r="T210" i="12" s="1"/>
  <c r="T189" i="12"/>
  <c r="T199" i="12" s="1"/>
  <c r="T209" i="12" s="1"/>
  <c r="T192" i="12"/>
  <c r="T202" i="12" s="1"/>
  <c r="T212" i="12" s="1"/>
  <c r="T191" i="12"/>
  <c r="T201" i="12" s="1"/>
  <c r="T211" i="12" s="1"/>
  <c r="BH192" i="13"/>
  <c r="BH202" i="13" s="1"/>
  <c r="BH212" i="13" s="1"/>
  <c r="BH186" i="13"/>
  <c r="BH196" i="13" s="1"/>
  <c r="BH206" i="13" s="1"/>
  <c r="BH190" i="13"/>
  <c r="BH200" i="13" s="1"/>
  <c r="BH210" i="13" s="1"/>
  <c r="BH187" i="13"/>
  <c r="BH197" i="13" s="1"/>
  <c r="BH207" i="13" s="1"/>
  <c r="BH189" i="13"/>
  <c r="BH199" i="13" s="1"/>
  <c r="BH209" i="13" s="1"/>
  <c r="BH191" i="13"/>
  <c r="BH201" i="13" s="1"/>
  <c r="BH211" i="13" s="1"/>
  <c r="BH188" i="13"/>
  <c r="BH198" i="13" s="1"/>
  <c r="BH208" i="13" s="1"/>
  <c r="V85" i="13"/>
  <c r="V95" i="13" s="1"/>
  <c r="V105" i="13" s="1"/>
  <c r="V84" i="13"/>
  <c r="V94" i="13" s="1"/>
  <c r="V104" i="13" s="1"/>
  <c r="V87" i="13"/>
  <c r="V97" i="13" s="1"/>
  <c r="V107" i="13" s="1"/>
  <c r="V83" i="13"/>
  <c r="V93" i="13" s="1"/>
  <c r="V103" i="13" s="1"/>
  <c r="V88" i="13"/>
  <c r="V98" i="13" s="1"/>
  <c r="V108" i="13" s="1"/>
  <c r="V86" i="13"/>
  <c r="V96" i="13" s="1"/>
  <c r="V106" i="13" s="1"/>
  <c r="V82" i="13"/>
  <c r="V92" i="13" s="1"/>
  <c r="V102" i="13" s="1"/>
  <c r="U137" i="13"/>
  <c r="U147" i="13" s="1"/>
  <c r="U157" i="13" s="1"/>
  <c r="U138" i="13"/>
  <c r="U148" i="13" s="1"/>
  <c r="U158" i="13" s="1"/>
  <c r="U140" i="13"/>
  <c r="U150" i="13" s="1"/>
  <c r="U160" i="13" s="1"/>
  <c r="U139" i="13"/>
  <c r="U149" i="13" s="1"/>
  <c r="U159" i="13" s="1"/>
  <c r="U135" i="13"/>
  <c r="U145" i="13" s="1"/>
  <c r="U155" i="13" s="1"/>
  <c r="U136" i="13"/>
  <c r="U146" i="13" s="1"/>
  <c r="U156" i="13" s="1"/>
  <c r="U134" i="13"/>
  <c r="U144" i="13" s="1"/>
  <c r="U154" i="13" s="1"/>
  <c r="BG241" i="12"/>
  <c r="BG251" i="12" s="1"/>
  <c r="BG261" i="12" s="1"/>
  <c r="BG240" i="12"/>
  <c r="BG250" i="12" s="1"/>
  <c r="BG260" i="12" s="1"/>
  <c r="BG244" i="12"/>
  <c r="BG254" i="12" s="1"/>
  <c r="BG264" i="12" s="1"/>
  <c r="BG242" i="12"/>
  <c r="BG252" i="12" s="1"/>
  <c r="BG262" i="12" s="1"/>
  <c r="BG243" i="12"/>
  <c r="BG253" i="12" s="1"/>
  <c r="BG263" i="12" s="1"/>
  <c r="U31" i="13"/>
  <c r="U41" i="13" s="1"/>
  <c r="U51" i="13" s="1"/>
  <c r="U36" i="13"/>
  <c r="U46" i="13" s="1"/>
  <c r="U56" i="13" s="1"/>
  <c r="U35" i="13"/>
  <c r="U45" i="13" s="1"/>
  <c r="U55" i="13" s="1"/>
  <c r="U34" i="13"/>
  <c r="U44" i="13" s="1"/>
  <c r="U54" i="13" s="1"/>
  <c r="U30" i="13"/>
  <c r="U40" i="13" s="1"/>
  <c r="U50" i="13" s="1"/>
  <c r="U33" i="13"/>
  <c r="U43" i="13" s="1"/>
  <c r="U53" i="13" s="1"/>
  <c r="U32" i="13"/>
  <c r="U42" i="13" s="1"/>
  <c r="U52" i="13" s="1"/>
  <c r="T186" i="13"/>
  <c r="T196" i="13" s="1"/>
  <c r="T206" i="13" s="1"/>
  <c r="T187" i="13"/>
  <c r="T197" i="13" s="1"/>
  <c r="T207" i="13" s="1"/>
  <c r="T190" i="13"/>
  <c r="T200" i="13" s="1"/>
  <c r="T210" i="13" s="1"/>
  <c r="T189" i="13"/>
  <c r="T199" i="13" s="1"/>
  <c r="T209" i="13" s="1"/>
  <c r="T191" i="13"/>
  <c r="T201" i="13" s="1"/>
  <c r="T211" i="13" s="1"/>
  <c r="T192" i="13"/>
  <c r="T202" i="13" s="1"/>
  <c r="T212" i="13" s="1"/>
  <c r="T188" i="13"/>
  <c r="T198" i="13" s="1"/>
  <c r="T208" i="13" s="1"/>
  <c r="S239" i="13"/>
  <c r="S249" i="13" s="1"/>
  <c r="S259" i="13" s="1"/>
  <c r="S244" i="13"/>
  <c r="S254" i="13" s="1"/>
  <c r="S264" i="13" s="1"/>
  <c r="S241" i="13"/>
  <c r="S251" i="13" s="1"/>
  <c r="S261" i="13" s="1"/>
  <c r="S238" i="13"/>
  <c r="S248" i="13" s="1"/>
  <c r="S258" i="13" s="1"/>
  <c r="S243" i="13"/>
  <c r="S253" i="13" s="1"/>
  <c r="S263" i="13" s="1"/>
  <c r="S242" i="13"/>
  <c r="S252" i="13" s="1"/>
  <c r="S262" i="13" s="1"/>
  <c r="S240" i="13"/>
  <c r="S250" i="13" s="1"/>
  <c r="S260" i="13" s="1"/>
  <c r="BI137" i="13"/>
  <c r="BI147" i="13" s="1"/>
  <c r="BI157" i="13" s="1"/>
  <c r="BI139" i="13"/>
  <c r="BI149" i="13" s="1"/>
  <c r="BI159" i="13" s="1"/>
  <c r="BI138" i="13"/>
  <c r="BI148" i="13" s="1"/>
  <c r="BI158" i="13" s="1"/>
  <c r="BI140" i="13"/>
  <c r="BI150" i="13" s="1"/>
  <c r="BI160" i="13" s="1"/>
  <c r="BI136" i="13"/>
  <c r="BI146" i="13" s="1"/>
  <c r="BI156" i="13" s="1"/>
  <c r="BI135" i="13"/>
  <c r="BI145" i="13" s="1"/>
  <c r="BI155" i="13" s="1"/>
  <c r="BI134" i="13"/>
  <c r="BI144" i="13" s="1"/>
  <c r="BI154" i="13" s="1"/>
  <c r="V36" i="12"/>
  <c r="V46" i="12" s="1"/>
  <c r="V56" i="12" s="1"/>
  <c r="V32" i="12"/>
  <c r="V42" i="12" s="1"/>
  <c r="V52" i="12" s="1"/>
  <c r="V33" i="12"/>
  <c r="V43" i="12" s="1"/>
  <c r="V53" i="12" s="1"/>
  <c r="V34" i="12"/>
  <c r="V44" i="12" s="1"/>
  <c r="V54" i="12" s="1"/>
  <c r="V35" i="12"/>
  <c r="V45" i="12" s="1"/>
  <c r="V55" i="12" s="1"/>
  <c r="BJ36" i="12"/>
  <c r="BJ46" i="12" s="1"/>
  <c r="BJ56" i="12" s="1"/>
  <c r="BJ33" i="12"/>
  <c r="BJ43" i="12" s="1"/>
  <c r="BJ53" i="12" s="1"/>
  <c r="BJ32" i="12"/>
  <c r="BJ42" i="12" s="1"/>
  <c r="BJ52" i="12" s="1"/>
  <c r="BJ34" i="12"/>
  <c r="BJ44" i="12" s="1"/>
  <c r="BJ54" i="12" s="1"/>
  <c r="BJ35" i="12"/>
  <c r="BJ45" i="12" s="1"/>
  <c r="BJ55" i="12" s="1"/>
  <c r="BJ85" i="12"/>
  <c r="BJ95" i="12" s="1"/>
  <c r="BJ105" i="12" s="1"/>
  <c r="BJ87" i="12"/>
  <c r="BJ97" i="12" s="1"/>
  <c r="BJ107" i="12" s="1"/>
  <c r="BJ84" i="12"/>
  <c r="BJ94" i="12" s="1"/>
  <c r="BJ104" i="12" s="1"/>
  <c r="BJ86" i="12"/>
  <c r="BJ96" i="12" s="1"/>
  <c r="BJ106" i="12" s="1"/>
  <c r="BJ88" i="12"/>
  <c r="BJ98" i="12" s="1"/>
  <c r="BJ108" i="12" s="1"/>
  <c r="BD270" i="13"/>
  <c r="BG112" i="13"/>
  <c r="BF115" i="13" s="1"/>
  <c r="BF267" i="13"/>
  <c r="BE270" i="13" s="1"/>
  <c r="BI111" i="13"/>
  <c r="BH114" i="13" s="1"/>
  <c r="BI59" i="12"/>
  <c r="BH60" i="12" s="1"/>
  <c r="BG63" i="12" s="1"/>
  <c r="BH163" i="13"/>
  <c r="BG164" i="13" s="1"/>
  <c r="BF167" i="13" s="1"/>
  <c r="BH59" i="13"/>
  <c r="BG62" i="13" s="1"/>
  <c r="R166" i="12"/>
  <c r="T163" i="12"/>
  <c r="S164" i="12" s="1"/>
  <c r="R167" i="12" s="1"/>
  <c r="U59" i="12"/>
  <c r="T60" i="12" s="1"/>
  <c r="S215" i="13"/>
  <c r="R216" i="13" s="1"/>
  <c r="BG114" i="12"/>
  <c r="BF166" i="13"/>
  <c r="Q216" i="13"/>
  <c r="P219" i="13" s="1"/>
  <c r="R164" i="13"/>
  <c r="Q167" i="13" s="1"/>
  <c r="BG62" i="12"/>
  <c r="BF63" i="12"/>
  <c r="Q216" i="12"/>
  <c r="P219" i="12" s="1"/>
  <c r="P268" i="13"/>
  <c r="O271" i="13" s="1"/>
  <c r="S60" i="12"/>
  <c r="R63" i="12" s="1"/>
  <c r="R62" i="13"/>
  <c r="P270" i="12"/>
  <c r="BD268" i="12"/>
  <c r="BC271" i="12" s="1"/>
  <c r="T163" i="13"/>
  <c r="S166" i="13" s="1"/>
  <c r="BI111" i="12"/>
  <c r="BH112" i="12" s="1"/>
  <c r="BG115" i="12" s="1"/>
  <c r="U111" i="13"/>
  <c r="T112" i="13" s="1"/>
  <c r="S115" i="13" s="1"/>
  <c r="S215" i="12"/>
  <c r="R216" i="12" s="1"/>
  <c r="BF267" i="12"/>
  <c r="BE268" i="12" s="1"/>
  <c r="R267" i="12"/>
  <c r="Q268" i="12" s="1"/>
  <c r="P271" i="12" s="1"/>
  <c r="BH163" i="12"/>
  <c r="BG164" i="12" s="1"/>
  <c r="BF167" i="12" s="1"/>
  <c r="T59" i="13"/>
  <c r="S62" i="13" s="1"/>
  <c r="R267" i="13"/>
  <c r="Q268" i="13" s="1"/>
  <c r="BI225" i="13"/>
  <c r="BH235" i="13"/>
  <c r="BH237" i="13" s="1"/>
  <c r="BH247" i="13" s="1"/>
  <c r="BH257" i="13" s="1"/>
  <c r="BH226" i="13"/>
  <c r="BH266" i="13"/>
  <c r="BJ89" i="13"/>
  <c r="BJ99" i="13" s="1"/>
  <c r="BJ109" i="13" s="1"/>
  <c r="BJ80" i="13"/>
  <c r="BJ90" i="13" s="1"/>
  <c r="BJ100" i="13" s="1"/>
  <c r="U277" i="12"/>
  <c r="T287" i="12"/>
  <c r="T278" i="12"/>
  <c r="T318" i="12"/>
  <c r="BI277" i="13"/>
  <c r="BH278" i="13"/>
  <c r="BH287" i="13"/>
  <c r="BH289" i="13" s="1"/>
  <c r="BH299" i="13" s="1"/>
  <c r="BH309" i="13" s="1"/>
  <c r="BH318" i="13"/>
  <c r="BJ122" i="13"/>
  <c r="BJ131" i="13"/>
  <c r="BJ133" i="13" s="1"/>
  <c r="BJ143" i="13" s="1"/>
  <c r="BJ153" i="13" s="1"/>
  <c r="BJ162" i="13"/>
  <c r="X17" i="12"/>
  <c r="W27" i="12"/>
  <c r="W31" i="12" s="1"/>
  <c r="W41" i="12" s="1"/>
  <c r="W51" i="12" s="1"/>
  <c r="W18" i="12"/>
  <c r="W58" i="12"/>
  <c r="BJ27" i="13"/>
  <c r="BJ29" i="13" s="1"/>
  <c r="BJ39" i="13" s="1"/>
  <c r="BJ49" i="13" s="1"/>
  <c r="BJ18" i="13"/>
  <c r="BJ58" i="13"/>
  <c r="BJ80" i="12"/>
  <c r="BJ90" i="12" s="1"/>
  <c r="BJ100" i="12" s="1"/>
  <c r="BJ89" i="12"/>
  <c r="BJ99" i="12" s="1"/>
  <c r="BJ109" i="12" s="1"/>
  <c r="BJ81" i="12"/>
  <c r="BJ91" i="12" s="1"/>
  <c r="BJ101" i="12" s="1"/>
  <c r="BJ82" i="12"/>
  <c r="BJ92" i="12" s="1"/>
  <c r="BJ102" i="12" s="1"/>
  <c r="BI183" i="13"/>
  <c r="BI185" i="13" s="1"/>
  <c r="BI195" i="13" s="1"/>
  <c r="BI205" i="13" s="1"/>
  <c r="BI174" i="13"/>
  <c r="BJ173" i="13"/>
  <c r="BI214" i="13"/>
  <c r="S236" i="13"/>
  <c r="S246" i="13" s="1"/>
  <c r="S256" i="13" s="1"/>
  <c r="S245" i="13"/>
  <c r="S255" i="13" s="1"/>
  <c r="S265" i="13" s="1"/>
  <c r="BG288" i="12"/>
  <c r="BG298" i="12" s="1"/>
  <c r="BG308" i="12" s="1"/>
  <c r="BG297" i="12"/>
  <c r="BG307" i="12" s="1"/>
  <c r="BG317" i="12" s="1"/>
  <c r="BG294" i="12"/>
  <c r="BG304" i="12" s="1"/>
  <c r="BG314" i="12" s="1"/>
  <c r="BG292" i="12"/>
  <c r="BG302" i="12" s="1"/>
  <c r="BG312" i="12" s="1"/>
  <c r="BG295" i="12"/>
  <c r="BG305" i="12" s="1"/>
  <c r="BG315" i="12" s="1"/>
  <c r="BG293" i="12"/>
  <c r="BG303" i="12" s="1"/>
  <c r="BG313" i="12" s="1"/>
  <c r="BG296" i="12"/>
  <c r="BG306" i="12" s="1"/>
  <c r="BG316" i="12" s="1"/>
  <c r="BI132" i="13"/>
  <c r="BI142" i="13" s="1"/>
  <c r="BI152" i="13" s="1"/>
  <c r="BI141" i="13"/>
  <c r="BI151" i="13" s="1"/>
  <c r="BI161" i="13" s="1"/>
  <c r="W17" i="13"/>
  <c r="V27" i="13"/>
  <c r="V29" i="13" s="1"/>
  <c r="V39" i="13" s="1"/>
  <c r="V49" i="13" s="1"/>
  <c r="V18" i="13"/>
  <c r="V58" i="13"/>
  <c r="V173" i="13"/>
  <c r="U183" i="13"/>
  <c r="U185" i="13" s="1"/>
  <c r="U195" i="13" s="1"/>
  <c r="U205" i="13" s="1"/>
  <c r="U174" i="13"/>
  <c r="U214" i="13"/>
  <c r="BJ28" i="12"/>
  <c r="BJ38" i="12" s="1"/>
  <c r="BJ48" i="12" s="1"/>
  <c r="BJ37" i="12"/>
  <c r="BJ47" i="12" s="1"/>
  <c r="BJ57" i="12" s="1"/>
  <c r="BJ30" i="12"/>
  <c r="BJ40" i="12" s="1"/>
  <c r="BJ50" i="12" s="1"/>
  <c r="BJ29" i="12"/>
  <c r="BJ39" i="12" s="1"/>
  <c r="BJ49" i="12" s="1"/>
  <c r="BI37" i="13"/>
  <c r="BI47" i="13" s="1"/>
  <c r="BI57" i="13" s="1"/>
  <c r="BI28" i="13"/>
  <c r="BI38" i="13" s="1"/>
  <c r="BI48" i="13" s="1"/>
  <c r="T193" i="12"/>
  <c r="T203" i="12" s="1"/>
  <c r="T213" i="12" s="1"/>
  <c r="T184" i="12"/>
  <c r="T194" i="12" s="1"/>
  <c r="T204" i="12" s="1"/>
  <c r="T186" i="12"/>
  <c r="T196" i="12" s="1"/>
  <c r="T206" i="12" s="1"/>
  <c r="T185" i="12"/>
  <c r="T195" i="12" s="1"/>
  <c r="T205" i="12" s="1"/>
  <c r="BI141" i="12"/>
  <c r="BI151" i="12" s="1"/>
  <c r="BI161" i="12" s="1"/>
  <c r="BI132" i="12"/>
  <c r="BI142" i="12" s="1"/>
  <c r="BI152" i="12" s="1"/>
  <c r="BI134" i="12"/>
  <c r="BI144" i="12" s="1"/>
  <c r="BI154" i="12" s="1"/>
  <c r="BI133" i="12"/>
  <c r="BI143" i="12" s="1"/>
  <c r="BI153" i="12" s="1"/>
  <c r="X69" i="13"/>
  <c r="W70" i="13"/>
  <c r="W79" i="13"/>
  <c r="W81" i="13" s="1"/>
  <c r="W91" i="13" s="1"/>
  <c r="W101" i="13" s="1"/>
  <c r="W110" i="13"/>
  <c r="U225" i="13"/>
  <c r="T235" i="13"/>
  <c r="T237" i="13" s="1"/>
  <c r="T247" i="13" s="1"/>
  <c r="T257" i="13" s="1"/>
  <c r="T226" i="13"/>
  <c r="T266" i="13"/>
  <c r="W121" i="13"/>
  <c r="V131" i="13"/>
  <c r="V133" i="13" s="1"/>
  <c r="V143" i="13" s="1"/>
  <c r="V153" i="13" s="1"/>
  <c r="V122" i="13"/>
  <c r="V162" i="13"/>
  <c r="U277" i="13"/>
  <c r="T287" i="13"/>
  <c r="T289" i="13" s="1"/>
  <c r="T299" i="13" s="1"/>
  <c r="T309" i="13" s="1"/>
  <c r="T278" i="13"/>
  <c r="T318" i="13"/>
  <c r="BI225" i="12"/>
  <c r="BH235" i="12"/>
  <c r="BH239" i="12" s="1"/>
  <c r="BH249" i="12" s="1"/>
  <c r="BH259" i="12" s="1"/>
  <c r="BH226" i="12"/>
  <c r="BH266" i="12"/>
  <c r="S297" i="12"/>
  <c r="S307" i="12" s="1"/>
  <c r="S317" i="12" s="1"/>
  <c r="S288" i="12"/>
  <c r="S298" i="12" s="1"/>
  <c r="S308" i="12" s="1"/>
  <c r="S292" i="12"/>
  <c r="S302" i="12" s="1"/>
  <c r="S312" i="12" s="1"/>
  <c r="S295" i="12"/>
  <c r="S305" i="12" s="1"/>
  <c r="S315" i="12" s="1"/>
  <c r="S294" i="12"/>
  <c r="S304" i="12" s="1"/>
  <c r="S314" i="12" s="1"/>
  <c r="S296" i="12"/>
  <c r="S306" i="12" s="1"/>
  <c r="S316" i="12" s="1"/>
  <c r="S293" i="12"/>
  <c r="S303" i="12" s="1"/>
  <c r="S313" i="12" s="1"/>
  <c r="BG288" i="13"/>
  <c r="BG298" i="13" s="1"/>
  <c r="BG308" i="13" s="1"/>
  <c r="BG297" i="13"/>
  <c r="BG307" i="13" s="1"/>
  <c r="BG317" i="13" s="1"/>
  <c r="BG293" i="13"/>
  <c r="BG303" i="13" s="1"/>
  <c r="BG313" i="13" s="1"/>
  <c r="BG295" i="13"/>
  <c r="BG305" i="13" s="1"/>
  <c r="BG315" i="13" s="1"/>
  <c r="BG291" i="13"/>
  <c r="BG301" i="13" s="1"/>
  <c r="BG311" i="13" s="1"/>
  <c r="BG296" i="13"/>
  <c r="BG306" i="13" s="1"/>
  <c r="BG316" i="13" s="1"/>
  <c r="BG290" i="13"/>
  <c r="BG300" i="13" s="1"/>
  <c r="BG310" i="13" s="1"/>
  <c r="BG292" i="13"/>
  <c r="BG302" i="13" s="1"/>
  <c r="BG312" i="13" s="1"/>
  <c r="BG294" i="13"/>
  <c r="BG304" i="13" s="1"/>
  <c r="BG314" i="13" s="1"/>
  <c r="U132" i="12"/>
  <c r="U142" i="12" s="1"/>
  <c r="U152" i="12" s="1"/>
  <c r="U141" i="12"/>
  <c r="U151" i="12" s="1"/>
  <c r="U161" i="12" s="1"/>
  <c r="U134" i="12"/>
  <c r="U144" i="12" s="1"/>
  <c r="U154" i="12" s="1"/>
  <c r="U133" i="12"/>
  <c r="U143" i="12" s="1"/>
  <c r="U153" i="12" s="1"/>
  <c r="S236" i="12"/>
  <c r="S246" i="12" s="1"/>
  <c r="S256" i="12" s="1"/>
  <c r="S245" i="12"/>
  <c r="S255" i="12" s="1"/>
  <c r="S265" i="12" s="1"/>
  <c r="S238" i="12"/>
  <c r="S248" i="12" s="1"/>
  <c r="S258" i="12" s="1"/>
  <c r="S237" i="12"/>
  <c r="S247" i="12" s="1"/>
  <c r="S257" i="12" s="1"/>
  <c r="V173" i="12"/>
  <c r="U183" i="12"/>
  <c r="U187" i="12" s="1"/>
  <c r="U197" i="12" s="1"/>
  <c r="U207" i="12" s="1"/>
  <c r="U174" i="12"/>
  <c r="U214" i="12"/>
  <c r="BH193" i="13"/>
  <c r="BH203" i="13" s="1"/>
  <c r="BH213" i="13" s="1"/>
  <c r="BH184" i="13"/>
  <c r="BH194" i="13" s="1"/>
  <c r="BH204" i="13" s="1"/>
  <c r="BJ131" i="12"/>
  <c r="BJ135" i="12" s="1"/>
  <c r="BJ145" i="12" s="1"/>
  <c r="BJ155" i="12" s="1"/>
  <c r="BJ122" i="12"/>
  <c r="BJ162" i="12"/>
  <c r="BH278" i="12"/>
  <c r="BH287" i="12"/>
  <c r="BI277" i="12"/>
  <c r="BH318" i="12"/>
  <c r="BG245" i="13"/>
  <c r="BG255" i="13" s="1"/>
  <c r="BG265" i="13" s="1"/>
  <c r="BG236" i="13"/>
  <c r="BG246" i="13" s="1"/>
  <c r="BG256" i="13" s="1"/>
  <c r="BG236" i="12"/>
  <c r="BG246" i="12" s="1"/>
  <c r="BG256" i="12" s="1"/>
  <c r="BG245" i="12"/>
  <c r="BG255" i="12" s="1"/>
  <c r="BG265" i="12" s="1"/>
  <c r="BG237" i="12"/>
  <c r="BG247" i="12" s="1"/>
  <c r="BG257" i="12" s="1"/>
  <c r="BG238" i="12"/>
  <c r="BG248" i="12" s="1"/>
  <c r="BG258" i="12" s="1"/>
  <c r="W121" i="12"/>
  <c r="V131" i="12"/>
  <c r="V135" i="12" s="1"/>
  <c r="V145" i="12" s="1"/>
  <c r="V155" i="12" s="1"/>
  <c r="V122" i="12"/>
  <c r="V162" i="12"/>
  <c r="V28" i="12"/>
  <c r="V38" i="12" s="1"/>
  <c r="V48" i="12" s="1"/>
  <c r="V37" i="12"/>
  <c r="V47" i="12" s="1"/>
  <c r="V57" i="12" s="1"/>
  <c r="V30" i="12"/>
  <c r="V40" i="12" s="1"/>
  <c r="V50" i="12" s="1"/>
  <c r="V29" i="12"/>
  <c r="V39" i="12" s="1"/>
  <c r="V49" i="12" s="1"/>
  <c r="U37" i="13"/>
  <c r="U47" i="13" s="1"/>
  <c r="U57" i="13" s="1"/>
  <c r="U28" i="13"/>
  <c r="U38" i="13" s="1"/>
  <c r="U48" i="13" s="1"/>
  <c r="T193" i="13"/>
  <c r="T203" i="13" s="1"/>
  <c r="T213" i="13" s="1"/>
  <c r="T184" i="13"/>
  <c r="T194" i="13" s="1"/>
  <c r="T204" i="13" s="1"/>
  <c r="U225" i="12"/>
  <c r="T235" i="12"/>
  <c r="T239" i="12" s="1"/>
  <c r="T249" i="12" s="1"/>
  <c r="T259" i="12" s="1"/>
  <c r="T226" i="12"/>
  <c r="T266" i="12"/>
  <c r="V89" i="13"/>
  <c r="V99" i="13" s="1"/>
  <c r="V109" i="13" s="1"/>
  <c r="V80" i="13"/>
  <c r="V90" i="13" s="1"/>
  <c r="V100" i="13" s="1"/>
  <c r="U132" i="13"/>
  <c r="U142" i="13" s="1"/>
  <c r="U152" i="13" s="1"/>
  <c r="U141" i="13"/>
  <c r="U151" i="13" s="1"/>
  <c r="U161" i="13" s="1"/>
  <c r="S288" i="13"/>
  <c r="S298" i="13" s="1"/>
  <c r="S308" i="13" s="1"/>
  <c r="S297" i="13"/>
  <c r="S307" i="13" s="1"/>
  <c r="S317" i="13" s="1"/>
  <c r="S292" i="13"/>
  <c r="S302" i="13" s="1"/>
  <c r="S312" i="13" s="1"/>
  <c r="S293" i="13"/>
  <c r="S303" i="13" s="1"/>
  <c r="S313" i="13" s="1"/>
  <c r="S295" i="13"/>
  <c r="S305" i="13" s="1"/>
  <c r="S315" i="13" s="1"/>
  <c r="S294" i="13"/>
  <c r="S304" i="13" s="1"/>
  <c r="S314" i="13" s="1"/>
  <c r="S290" i="13"/>
  <c r="S300" i="13" s="1"/>
  <c r="S310" i="13" s="1"/>
  <c r="S291" i="13"/>
  <c r="S301" i="13" s="1"/>
  <c r="S311" i="13" s="1"/>
  <c r="S296" i="13"/>
  <c r="S306" i="13" s="1"/>
  <c r="S316" i="13" s="1"/>
  <c r="U85" i="12" l="1"/>
  <c r="U95" i="12" s="1"/>
  <c r="U105" i="12" s="1"/>
  <c r="U86" i="12"/>
  <c r="U96" i="12" s="1"/>
  <c r="U106" i="12" s="1"/>
  <c r="U88" i="12"/>
  <c r="U98" i="12" s="1"/>
  <c r="U108" i="12" s="1"/>
  <c r="U87" i="12"/>
  <c r="U97" i="12" s="1"/>
  <c r="U107" i="12" s="1"/>
  <c r="R114" i="12"/>
  <c r="R112" i="12"/>
  <c r="Q115" i="12" s="1"/>
  <c r="V70" i="12"/>
  <c r="V110" i="12"/>
  <c r="W69" i="12"/>
  <c r="V79" i="12"/>
  <c r="T111" i="12"/>
  <c r="U83" i="12"/>
  <c r="U93" i="12" s="1"/>
  <c r="U103" i="12" s="1"/>
  <c r="U89" i="12"/>
  <c r="U99" i="12" s="1"/>
  <c r="U109" i="12" s="1"/>
  <c r="U81" i="12"/>
  <c r="U91" i="12" s="1"/>
  <c r="U101" i="12" s="1"/>
  <c r="U84" i="12"/>
  <c r="U94" i="12" s="1"/>
  <c r="U104" i="12" s="1"/>
  <c r="U82" i="12"/>
  <c r="U92" i="12" s="1"/>
  <c r="U102" i="12" s="1"/>
  <c r="U80" i="12"/>
  <c r="U90" i="12" s="1"/>
  <c r="U100" i="12" s="1"/>
  <c r="BG192" i="12"/>
  <c r="BG202" i="12" s="1"/>
  <c r="BG212" i="12" s="1"/>
  <c r="BG190" i="12"/>
  <c r="BG200" i="12" s="1"/>
  <c r="BG210" i="12" s="1"/>
  <c r="BG189" i="12"/>
  <c r="BG199" i="12" s="1"/>
  <c r="BG209" i="12" s="1"/>
  <c r="BG191" i="12"/>
  <c r="BG201" i="12" s="1"/>
  <c r="BG211" i="12" s="1"/>
  <c r="R218" i="12"/>
  <c r="BF215" i="12"/>
  <c r="BE218" i="12" s="1"/>
  <c r="BH183" i="12"/>
  <c r="BH188" i="12" s="1"/>
  <c r="BH198" i="12" s="1"/>
  <c r="BH208" i="12" s="1"/>
  <c r="BH174" i="12"/>
  <c r="BH214" i="12"/>
  <c r="BI173" i="12"/>
  <c r="BD218" i="12"/>
  <c r="BD216" i="12"/>
  <c r="BC219" i="12" s="1"/>
  <c r="BG187" i="12"/>
  <c r="BG197" i="12" s="1"/>
  <c r="BG207" i="12" s="1"/>
  <c r="BG184" i="12"/>
  <c r="BG194" i="12" s="1"/>
  <c r="BG204" i="12" s="1"/>
  <c r="BG193" i="12"/>
  <c r="BG203" i="12" s="1"/>
  <c r="BG213" i="12" s="1"/>
  <c r="BG185" i="12"/>
  <c r="BG195" i="12" s="1"/>
  <c r="BG205" i="12" s="1"/>
  <c r="BG186" i="12"/>
  <c r="BG196" i="12" s="1"/>
  <c r="BG206" i="12" s="1"/>
  <c r="S164" i="13"/>
  <c r="R167" i="13" s="1"/>
  <c r="BE268" i="13"/>
  <c r="BD271" i="13" s="1"/>
  <c r="R218" i="13"/>
  <c r="T62" i="12"/>
  <c r="S166" i="12"/>
  <c r="BG166" i="13"/>
  <c r="S63" i="12"/>
  <c r="Q320" i="12"/>
  <c r="P323" i="12" s="1"/>
  <c r="BF216" i="13"/>
  <c r="BE219" i="13" s="1"/>
  <c r="BE322" i="13"/>
  <c r="BH114" i="12"/>
  <c r="Q219" i="13"/>
  <c r="BH291" i="12"/>
  <c r="BH301" i="12" s="1"/>
  <c r="BH311" i="12" s="1"/>
  <c r="BH289" i="12"/>
  <c r="BH299" i="12" s="1"/>
  <c r="BH309" i="12" s="1"/>
  <c r="BH290" i="12"/>
  <c r="BH300" i="12" s="1"/>
  <c r="BH310" i="12" s="1"/>
  <c r="BG319" i="12"/>
  <c r="BF322" i="12" s="1"/>
  <c r="Q322" i="13"/>
  <c r="BG60" i="13"/>
  <c r="BF63" i="13" s="1"/>
  <c r="S319" i="12"/>
  <c r="R320" i="12" s="1"/>
  <c r="T291" i="12"/>
  <c r="T301" i="12" s="1"/>
  <c r="T311" i="12" s="1"/>
  <c r="T290" i="12"/>
  <c r="T300" i="12" s="1"/>
  <c r="T310" i="12" s="1"/>
  <c r="T289" i="12"/>
  <c r="T299" i="12" s="1"/>
  <c r="T309" i="12" s="1"/>
  <c r="BE322" i="12"/>
  <c r="S319" i="13"/>
  <c r="R320" i="13" s="1"/>
  <c r="Q323" i="13" s="1"/>
  <c r="BG319" i="13"/>
  <c r="BF320" i="13" s="1"/>
  <c r="BE323" i="13" s="1"/>
  <c r="BH62" i="12"/>
  <c r="Q219" i="12"/>
  <c r="BI163" i="13"/>
  <c r="BH164" i="13" s="1"/>
  <c r="BG167" i="13" s="1"/>
  <c r="BH112" i="13"/>
  <c r="BG115" i="13" s="1"/>
  <c r="BG166" i="12"/>
  <c r="S267" i="13"/>
  <c r="R270" i="13" s="1"/>
  <c r="T243" i="12"/>
  <c r="T253" i="12" s="1"/>
  <c r="T263" i="12" s="1"/>
  <c r="T240" i="12"/>
  <c r="T250" i="12" s="1"/>
  <c r="T260" i="12" s="1"/>
  <c r="T244" i="12"/>
  <c r="T254" i="12" s="1"/>
  <c r="T264" i="12" s="1"/>
  <c r="T242" i="12"/>
  <c r="T252" i="12" s="1"/>
  <c r="T262" i="12" s="1"/>
  <c r="T241" i="12"/>
  <c r="T251" i="12" s="1"/>
  <c r="T261" i="12" s="1"/>
  <c r="BJ136" i="12"/>
  <c r="BJ146" i="12" s="1"/>
  <c r="BJ156" i="12" s="1"/>
  <c r="BJ140" i="12"/>
  <c r="BJ150" i="12" s="1"/>
  <c r="BJ160" i="12" s="1"/>
  <c r="BJ139" i="12"/>
  <c r="BJ149" i="12" s="1"/>
  <c r="BJ159" i="12" s="1"/>
  <c r="BJ137" i="12"/>
  <c r="BJ147" i="12" s="1"/>
  <c r="BJ157" i="12" s="1"/>
  <c r="BJ138" i="12"/>
  <c r="BJ148" i="12" s="1"/>
  <c r="BJ158" i="12" s="1"/>
  <c r="V140" i="13"/>
  <c r="V150" i="13" s="1"/>
  <c r="V160" i="13" s="1"/>
  <c r="V139" i="13"/>
  <c r="V149" i="13" s="1"/>
  <c r="V159" i="13" s="1"/>
  <c r="V137" i="13"/>
  <c r="V147" i="13" s="1"/>
  <c r="V157" i="13" s="1"/>
  <c r="V138" i="13"/>
  <c r="V148" i="13" s="1"/>
  <c r="V158" i="13" s="1"/>
  <c r="V134" i="13"/>
  <c r="V144" i="13" s="1"/>
  <c r="V154" i="13" s="1"/>
  <c r="V135" i="13"/>
  <c r="V145" i="13" s="1"/>
  <c r="V155" i="13" s="1"/>
  <c r="V136" i="13"/>
  <c r="V146" i="13" s="1"/>
  <c r="V156" i="13" s="1"/>
  <c r="T238" i="13"/>
  <c r="T248" i="13" s="1"/>
  <c r="T258" i="13" s="1"/>
  <c r="T244" i="13"/>
  <c r="T254" i="13" s="1"/>
  <c r="T264" i="13" s="1"/>
  <c r="T243" i="13"/>
  <c r="T253" i="13" s="1"/>
  <c r="T263" i="13" s="1"/>
  <c r="T240" i="13"/>
  <c r="T250" i="13" s="1"/>
  <c r="T260" i="13" s="1"/>
  <c r="T241" i="13"/>
  <c r="T251" i="13" s="1"/>
  <c r="T261" i="13" s="1"/>
  <c r="T242" i="13"/>
  <c r="T252" i="13" s="1"/>
  <c r="T262" i="13" s="1"/>
  <c r="T239" i="13"/>
  <c r="T249" i="13" s="1"/>
  <c r="T259" i="13" s="1"/>
  <c r="BJ36" i="13"/>
  <c r="BJ46" i="13" s="1"/>
  <c r="BJ56" i="13" s="1"/>
  <c r="BJ31" i="13"/>
  <c r="BJ41" i="13" s="1"/>
  <c r="BJ51" i="13" s="1"/>
  <c r="BJ30" i="13"/>
  <c r="BJ40" i="13" s="1"/>
  <c r="BJ50" i="13" s="1"/>
  <c r="BJ35" i="13"/>
  <c r="BJ45" i="13" s="1"/>
  <c r="BJ55" i="13" s="1"/>
  <c r="BJ34" i="13"/>
  <c r="BJ44" i="13" s="1"/>
  <c r="BJ54" i="13" s="1"/>
  <c r="BJ32" i="13"/>
  <c r="BJ42" i="13" s="1"/>
  <c r="BJ52" i="13" s="1"/>
  <c r="BJ33" i="13"/>
  <c r="BJ43" i="13" s="1"/>
  <c r="BJ53" i="13" s="1"/>
  <c r="BJ137" i="13"/>
  <c r="BJ147" i="13" s="1"/>
  <c r="BJ157" i="13" s="1"/>
  <c r="BJ139" i="13"/>
  <c r="BJ149" i="13" s="1"/>
  <c r="BJ159" i="13" s="1"/>
  <c r="BJ140" i="13"/>
  <c r="BJ150" i="13" s="1"/>
  <c r="BJ160" i="13" s="1"/>
  <c r="BJ138" i="13"/>
  <c r="BJ148" i="13" s="1"/>
  <c r="BJ158" i="13" s="1"/>
  <c r="BJ134" i="13"/>
  <c r="BJ144" i="13" s="1"/>
  <c r="BJ154" i="13" s="1"/>
  <c r="BJ135" i="13"/>
  <c r="BJ145" i="13" s="1"/>
  <c r="BJ155" i="13" s="1"/>
  <c r="BJ136" i="13"/>
  <c r="BJ146" i="13" s="1"/>
  <c r="BJ156" i="13" s="1"/>
  <c r="V137" i="12"/>
  <c r="V147" i="12" s="1"/>
  <c r="V157" i="12" s="1"/>
  <c r="V139" i="12"/>
  <c r="V149" i="12" s="1"/>
  <c r="V159" i="12" s="1"/>
  <c r="V140" i="12"/>
  <c r="V150" i="12" s="1"/>
  <c r="V160" i="12" s="1"/>
  <c r="V136" i="12"/>
  <c r="V146" i="12" s="1"/>
  <c r="V156" i="12" s="1"/>
  <c r="V138" i="12"/>
  <c r="V148" i="12" s="1"/>
  <c r="V158" i="12" s="1"/>
  <c r="BH242" i="12"/>
  <c r="BH252" i="12" s="1"/>
  <c r="BH262" i="12" s="1"/>
  <c r="BH241" i="12"/>
  <c r="BH251" i="12" s="1"/>
  <c r="BH261" i="12" s="1"/>
  <c r="BH244" i="12"/>
  <c r="BH254" i="12" s="1"/>
  <c r="BH264" i="12" s="1"/>
  <c r="BH240" i="12"/>
  <c r="BH250" i="12" s="1"/>
  <c r="BH260" i="12" s="1"/>
  <c r="BH243" i="12"/>
  <c r="BH253" i="12" s="1"/>
  <c r="BH263" i="12" s="1"/>
  <c r="BI189" i="13"/>
  <c r="BI199" i="13" s="1"/>
  <c r="BI209" i="13" s="1"/>
  <c r="BI192" i="13"/>
  <c r="BI202" i="13" s="1"/>
  <c r="BI212" i="13" s="1"/>
  <c r="BI186" i="13"/>
  <c r="BI196" i="13" s="1"/>
  <c r="BI206" i="13" s="1"/>
  <c r="BI190" i="13"/>
  <c r="BI200" i="13" s="1"/>
  <c r="BI210" i="13" s="1"/>
  <c r="BI191" i="13"/>
  <c r="BI201" i="13" s="1"/>
  <c r="BI211" i="13" s="1"/>
  <c r="BI187" i="13"/>
  <c r="BI197" i="13" s="1"/>
  <c r="BI207" i="13" s="1"/>
  <c r="BI188" i="13"/>
  <c r="BI198" i="13" s="1"/>
  <c r="BI208" i="13" s="1"/>
  <c r="W36" i="12"/>
  <c r="W46" i="12" s="1"/>
  <c r="W56" i="12" s="1"/>
  <c r="W33" i="12"/>
  <c r="W43" i="12" s="1"/>
  <c r="W53" i="12" s="1"/>
  <c r="W32" i="12"/>
  <c r="W42" i="12" s="1"/>
  <c r="W52" i="12" s="1"/>
  <c r="W34" i="12"/>
  <c r="W44" i="12" s="1"/>
  <c r="W54" i="12" s="1"/>
  <c r="W35" i="12"/>
  <c r="W45" i="12" s="1"/>
  <c r="W55" i="12" s="1"/>
  <c r="U187" i="13"/>
  <c r="U197" i="13" s="1"/>
  <c r="U207" i="13" s="1"/>
  <c r="U192" i="13"/>
  <c r="U202" i="13" s="1"/>
  <c r="U212" i="13" s="1"/>
  <c r="U186" i="13"/>
  <c r="U196" i="13" s="1"/>
  <c r="U206" i="13" s="1"/>
  <c r="U189" i="13"/>
  <c r="U199" i="13" s="1"/>
  <c r="U209" i="13" s="1"/>
  <c r="U190" i="13"/>
  <c r="U200" i="13" s="1"/>
  <c r="U210" i="13" s="1"/>
  <c r="U191" i="13"/>
  <c r="U201" i="13" s="1"/>
  <c r="U211" i="13" s="1"/>
  <c r="U188" i="13"/>
  <c r="U198" i="13" s="1"/>
  <c r="U208" i="13" s="1"/>
  <c r="V36" i="13"/>
  <c r="V46" i="13" s="1"/>
  <c r="V56" i="13" s="1"/>
  <c r="V31" i="13"/>
  <c r="V41" i="13" s="1"/>
  <c r="V51" i="13" s="1"/>
  <c r="V33" i="13"/>
  <c r="V43" i="13" s="1"/>
  <c r="V53" i="13" s="1"/>
  <c r="V30" i="13"/>
  <c r="V40" i="13" s="1"/>
  <c r="V50" i="13" s="1"/>
  <c r="V35" i="13"/>
  <c r="V45" i="13" s="1"/>
  <c r="V55" i="13" s="1"/>
  <c r="V32" i="13"/>
  <c r="V42" i="13" s="1"/>
  <c r="V52" i="13" s="1"/>
  <c r="V34" i="13"/>
  <c r="V44" i="13" s="1"/>
  <c r="V54" i="13" s="1"/>
  <c r="U189" i="12"/>
  <c r="U199" i="12" s="1"/>
  <c r="U209" i="12" s="1"/>
  <c r="U188" i="12"/>
  <c r="U198" i="12" s="1"/>
  <c r="U208" i="12" s="1"/>
  <c r="U191" i="12"/>
  <c r="U201" i="12" s="1"/>
  <c r="U211" i="12" s="1"/>
  <c r="U190" i="12"/>
  <c r="U200" i="12" s="1"/>
  <c r="U210" i="12" s="1"/>
  <c r="U192" i="12"/>
  <c r="U202" i="12" s="1"/>
  <c r="U212" i="12" s="1"/>
  <c r="W84" i="13"/>
  <c r="W94" i="13" s="1"/>
  <c r="W104" i="13" s="1"/>
  <c r="W83" i="13"/>
  <c r="W93" i="13" s="1"/>
  <c r="W103" i="13" s="1"/>
  <c r="W87" i="13"/>
  <c r="W97" i="13" s="1"/>
  <c r="W107" i="13" s="1"/>
  <c r="W85" i="13"/>
  <c r="W95" i="13" s="1"/>
  <c r="W105" i="13" s="1"/>
  <c r="W88" i="13"/>
  <c r="W98" i="13" s="1"/>
  <c r="W108" i="13" s="1"/>
  <c r="W86" i="13"/>
  <c r="W96" i="13" s="1"/>
  <c r="W106" i="13" s="1"/>
  <c r="W82" i="13"/>
  <c r="W92" i="13" s="1"/>
  <c r="W102" i="13" s="1"/>
  <c r="BH244" i="13"/>
  <c r="BH254" i="13" s="1"/>
  <c r="BH264" i="13" s="1"/>
  <c r="BH242" i="13"/>
  <c r="BH252" i="13" s="1"/>
  <c r="BH262" i="13" s="1"/>
  <c r="BH240" i="13"/>
  <c r="BH250" i="13" s="1"/>
  <c r="BH260" i="13" s="1"/>
  <c r="BH238" i="13"/>
  <c r="BH248" i="13" s="1"/>
  <c r="BH258" i="13" s="1"/>
  <c r="BH243" i="13"/>
  <c r="BH253" i="13" s="1"/>
  <c r="BH263" i="13" s="1"/>
  <c r="BH241" i="13"/>
  <c r="BH251" i="13" s="1"/>
  <c r="BH261" i="13" s="1"/>
  <c r="BH239" i="13"/>
  <c r="BH249" i="13" s="1"/>
  <c r="BH259" i="13" s="1"/>
  <c r="Q270" i="13"/>
  <c r="BJ111" i="13"/>
  <c r="BI112" i="13" s="1"/>
  <c r="Q270" i="12"/>
  <c r="P271" i="13"/>
  <c r="BI59" i="13"/>
  <c r="BH60" i="13" s="1"/>
  <c r="BD271" i="12"/>
  <c r="BJ111" i="12"/>
  <c r="BI114" i="12" s="1"/>
  <c r="BE270" i="12"/>
  <c r="T114" i="13"/>
  <c r="S60" i="13"/>
  <c r="R63" i="13" s="1"/>
  <c r="BH215" i="13"/>
  <c r="BG216" i="13" s="1"/>
  <c r="BG267" i="13"/>
  <c r="BF268" i="13" s="1"/>
  <c r="S267" i="12"/>
  <c r="R268" i="12" s="1"/>
  <c r="Q271" i="12" s="1"/>
  <c r="U163" i="12"/>
  <c r="T166" i="12" s="1"/>
  <c r="BJ59" i="12"/>
  <c r="BI60" i="12" s="1"/>
  <c r="BH63" i="12" s="1"/>
  <c r="V59" i="12"/>
  <c r="U62" i="12" s="1"/>
  <c r="U163" i="13"/>
  <c r="T164" i="13" s="1"/>
  <c r="T215" i="13"/>
  <c r="S218" i="13" s="1"/>
  <c r="BG267" i="12"/>
  <c r="BF270" i="12" s="1"/>
  <c r="V111" i="13"/>
  <c r="U114" i="13" s="1"/>
  <c r="U59" i="13"/>
  <c r="T62" i="13" s="1"/>
  <c r="BI163" i="12"/>
  <c r="BH164" i="12" s="1"/>
  <c r="BG167" i="12" s="1"/>
  <c r="T215" i="12"/>
  <c r="S218" i="12" s="1"/>
  <c r="U184" i="12"/>
  <c r="U194" i="12" s="1"/>
  <c r="U204" i="12" s="1"/>
  <c r="U193" i="12"/>
  <c r="U203" i="12" s="1"/>
  <c r="U213" i="12" s="1"/>
  <c r="U185" i="12"/>
  <c r="U195" i="12" s="1"/>
  <c r="U205" i="12" s="1"/>
  <c r="U186" i="12"/>
  <c r="U196" i="12" s="1"/>
  <c r="U206" i="12" s="1"/>
  <c r="BI235" i="12"/>
  <c r="BI239" i="12" s="1"/>
  <c r="BI249" i="12" s="1"/>
  <c r="BI259" i="12" s="1"/>
  <c r="BJ225" i="12"/>
  <c r="BI226" i="12"/>
  <c r="BI266" i="12"/>
  <c r="V277" i="13"/>
  <c r="U287" i="13"/>
  <c r="U289" i="13" s="1"/>
  <c r="U299" i="13" s="1"/>
  <c r="U309" i="13" s="1"/>
  <c r="U278" i="13"/>
  <c r="U318" i="13"/>
  <c r="V141" i="13"/>
  <c r="V151" i="13" s="1"/>
  <c r="V161" i="13" s="1"/>
  <c r="V132" i="13"/>
  <c r="V142" i="13" s="1"/>
  <c r="V152" i="13" s="1"/>
  <c r="T236" i="13"/>
  <c r="T246" i="13" s="1"/>
  <c r="T256" i="13" s="1"/>
  <c r="T245" i="13"/>
  <c r="T255" i="13" s="1"/>
  <c r="T265" i="13" s="1"/>
  <c r="W173" i="13"/>
  <c r="V174" i="13"/>
  <c r="V183" i="13"/>
  <c r="V185" i="13" s="1"/>
  <c r="V195" i="13" s="1"/>
  <c r="V205" i="13" s="1"/>
  <c r="V214" i="13"/>
  <c r="X17" i="13"/>
  <c r="W18" i="13"/>
  <c r="W27" i="13"/>
  <c r="W29" i="13" s="1"/>
  <c r="W39" i="13" s="1"/>
  <c r="W49" i="13" s="1"/>
  <c r="W58" i="13"/>
  <c r="BJ141" i="13"/>
  <c r="BJ151" i="13" s="1"/>
  <c r="BJ161" i="13" s="1"/>
  <c r="BJ132" i="13"/>
  <c r="BJ142" i="13" s="1"/>
  <c r="BJ152" i="13" s="1"/>
  <c r="BH288" i="13"/>
  <c r="BH298" i="13" s="1"/>
  <c r="BH308" i="13" s="1"/>
  <c r="BH297" i="13"/>
  <c r="BH307" i="13" s="1"/>
  <c r="BH317" i="13" s="1"/>
  <c r="BH291" i="13"/>
  <c r="BH301" i="13" s="1"/>
  <c r="BH311" i="13" s="1"/>
  <c r="BH296" i="13"/>
  <c r="BH306" i="13" s="1"/>
  <c r="BH316" i="13" s="1"/>
  <c r="BH292" i="13"/>
  <c r="BH302" i="13" s="1"/>
  <c r="BH312" i="13" s="1"/>
  <c r="BH293" i="13"/>
  <c r="BH303" i="13" s="1"/>
  <c r="BH313" i="13" s="1"/>
  <c r="BH294" i="13"/>
  <c r="BH304" i="13" s="1"/>
  <c r="BH314" i="13" s="1"/>
  <c r="BH290" i="13"/>
  <c r="BH300" i="13" s="1"/>
  <c r="BH310" i="13" s="1"/>
  <c r="BH295" i="13"/>
  <c r="BH305" i="13" s="1"/>
  <c r="BH315" i="13" s="1"/>
  <c r="T297" i="12"/>
  <c r="T307" i="12" s="1"/>
  <c r="T317" i="12" s="1"/>
  <c r="T288" i="12"/>
  <c r="T298" i="12" s="1"/>
  <c r="T308" i="12" s="1"/>
  <c r="T295" i="12"/>
  <c r="T305" i="12" s="1"/>
  <c r="T315" i="12" s="1"/>
  <c r="T294" i="12"/>
  <c r="T304" i="12" s="1"/>
  <c r="T314" i="12" s="1"/>
  <c r="T296" i="12"/>
  <c r="T306" i="12" s="1"/>
  <c r="T316" i="12" s="1"/>
  <c r="T292" i="12"/>
  <c r="T302" i="12" s="1"/>
  <c r="T312" i="12" s="1"/>
  <c r="T293" i="12"/>
  <c r="T303" i="12" s="1"/>
  <c r="T313" i="12" s="1"/>
  <c r="BH236" i="13"/>
  <c r="BH246" i="13" s="1"/>
  <c r="BH256" i="13" s="1"/>
  <c r="BH245" i="13"/>
  <c r="BH255" i="13" s="1"/>
  <c r="BH265" i="13" s="1"/>
  <c r="T236" i="12"/>
  <c r="T246" i="12" s="1"/>
  <c r="T256" i="12" s="1"/>
  <c r="T245" i="12"/>
  <c r="T255" i="12" s="1"/>
  <c r="T265" i="12" s="1"/>
  <c r="T238" i="12"/>
  <c r="T248" i="12" s="1"/>
  <c r="T258" i="12" s="1"/>
  <c r="T237" i="12"/>
  <c r="T247" i="12" s="1"/>
  <c r="T257" i="12" s="1"/>
  <c r="V141" i="12"/>
  <c r="V151" i="12" s="1"/>
  <c r="V161" i="12" s="1"/>
  <c r="V132" i="12"/>
  <c r="V142" i="12" s="1"/>
  <c r="V152" i="12" s="1"/>
  <c r="V134" i="12"/>
  <c r="V144" i="12" s="1"/>
  <c r="V154" i="12" s="1"/>
  <c r="V133" i="12"/>
  <c r="V143" i="12" s="1"/>
  <c r="V153" i="12" s="1"/>
  <c r="BJ141" i="12"/>
  <c r="BJ151" i="12" s="1"/>
  <c r="BJ161" i="12" s="1"/>
  <c r="BJ132" i="12"/>
  <c r="BJ142" i="12" s="1"/>
  <c r="BJ152" i="12" s="1"/>
  <c r="BJ134" i="12"/>
  <c r="BJ144" i="12" s="1"/>
  <c r="BJ154" i="12" s="1"/>
  <c r="BJ133" i="12"/>
  <c r="BJ143" i="12" s="1"/>
  <c r="BJ153" i="12" s="1"/>
  <c r="W173" i="12"/>
  <c r="V183" i="12"/>
  <c r="V187" i="12" s="1"/>
  <c r="V197" i="12" s="1"/>
  <c r="V207" i="12" s="1"/>
  <c r="V174" i="12"/>
  <c r="V214" i="12"/>
  <c r="X121" i="13"/>
  <c r="W122" i="13"/>
  <c r="W131" i="13"/>
  <c r="W133" i="13" s="1"/>
  <c r="W143" i="13" s="1"/>
  <c r="W153" i="13" s="1"/>
  <c r="W162" i="13"/>
  <c r="V225" i="13"/>
  <c r="U235" i="13"/>
  <c r="U237" i="13" s="1"/>
  <c r="U247" i="13" s="1"/>
  <c r="U257" i="13" s="1"/>
  <c r="U226" i="13"/>
  <c r="U266" i="13"/>
  <c r="Y69" i="13"/>
  <c r="X70" i="13"/>
  <c r="X79" i="13"/>
  <c r="X81" i="13" s="1"/>
  <c r="X91" i="13" s="1"/>
  <c r="X101" i="13" s="1"/>
  <c r="X110" i="13"/>
  <c r="BI184" i="13"/>
  <c r="BI194" i="13" s="1"/>
  <c r="BI204" i="13" s="1"/>
  <c r="BI193" i="13"/>
  <c r="BI203" i="13" s="1"/>
  <c r="BI213" i="13" s="1"/>
  <c r="BJ37" i="13"/>
  <c r="BJ47" i="13" s="1"/>
  <c r="BJ57" i="13" s="1"/>
  <c r="BJ28" i="13"/>
  <c r="BJ38" i="13" s="1"/>
  <c r="BJ48" i="13" s="1"/>
  <c r="W37" i="12"/>
  <c r="W47" i="12" s="1"/>
  <c r="W57" i="12" s="1"/>
  <c r="W28" i="12"/>
  <c r="W38" i="12" s="1"/>
  <c r="W48" i="12" s="1"/>
  <c r="W29" i="12"/>
  <c r="W39" i="12" s="1"/>
  <c r="W49" i="12" s="1"/>
  <c r="W30" i="12"/>
  <c r="W40" i="12" s="1"/>
  <c r="W50" i="12" s="1"/>
  <c r="V277" i="12"/>
  <c r="U278" i="12"/>
  <c r="U287" i="12"/>
  <c r="U318" i="12"/>
  <c r="BJ225" i="13"/>
  <c r="BI235" i="13"/>
  <c r="BI237" i="13" s="1"/>
  <c r="BI247" i="13" s="1"/>
  <c r="BI257" i="13" s="1"/>
  <c r="BI226" i="13"/>
  <c r="BI266" i="13"/>
  <c r="V225" i="12"/>
  <c r="U235" i="12"/>
  <c r="U239" i="12" s="1"/>
  <c r="U249" i="12" s="1"/>
  <c r="U259" i="12" s="1"/>
  <c r="U226" i="12"/>
  <c r="U266" i="12"/>
  <c r="X121" i="12"/>
  <c r="W131" i="12"/>
  <c r="W135" i="12" s="1"/>
  <c r="W145" i="12" s="1"/>
  <c r="W155" i="12" s="1"/>
  <c r="W122" i="12"/>
  <c r="W162" i="12"/>
  <c r="BI278" i="12"/>
  <c r="BI287" i="12"/>
  <c r="BJ277" i="12"/>
  <c r="BI318" i="12"/>
  <c r="Y17" i="12"/>
  <c r="X27" i="12"/>
  <c r="X31" i="12" s="1"/>
  <c r="X41" i="12" s="1"/>
  <c r="X51" i="12" s="1"/>
  <c r="X18" i="12"/>
  <c r="X58" i="12"/>
  <c r="BI287" i="13"/>
  <c r="BI289" i="13" s="1"/>
  <c r="BI299" i="13" s="1"/>
  <c r="BI309" i="13" s="1"/>
  <c r="BJ277" i="13"/>
  <c r="BI278" i="13"/>
  <c r="BI318" i="13"/>
  <c r="BH288" i="12"/>
  <c r="BH298" i="12" s="1"/>
  <c r="BH308" i="12" s="1"/>
  <c r="BH297" i="12"/>
  <c r="BH307" i="12" s="1"/>
  <c r="BH317" i="12" s="1"/>
  <c r="BH292" i="12"/>
  <c r="BH302" i="12" s="1"/>
  <c r="BH312" i="12" s="1"/>
  <c r="BH295" i="12"/>
  <c r="BH305" i="12" s="1"/>
  <c r="BH315" i="12" s="1"/>
  <c r="BH296" i="12"/>
  <c r="BH306" i="12" s="1"/>
  <c r="BH316" i="12" s="1"/>
  <c r="BH293" i="12"/>
  <c r="BH303" i="12" s="1"/>
  <c r="BH313" i="12" s="1"/>
  <c r="BH294" i="12"/>
  <c r="BH304" i="12" s="1"/>
  <c r="BH314" i="12" s="1"/>
  <c r="BH236" i="12"/>
  <c r="BH246" i="12" s="1"/>
  <c r="BH256" i="12" s="1"/>
  <c r="BH245" i="12"/>
  <c r="BH255" i="12" s="1"/>
  <c r="BH265" i="12" s="1"/>
  <c r="BH238" i="12"/>
  <c r="BH248" i="12" s="1"/>
  <c r="BH258" i="12" s="1"/>
  <c r="BH237" i="12"/>
  <c r="BH247" i="12" s="1"/>
  <c r="BH257" i="12" s="1"/>
  <c r="T297" i="13"/>
  <c r="T307" i="13" s="1"/>
  <c r="T317" i="13" s="1"/>
  <c r="T288" i="13"/>
  <c r="T298" i="13" s="1"/>
  <c r="T308" i="13" s="1"/>
  <c r="T294" i="13"/>
  <c r="T304" i="13" s="1"/>
  <c r="T314" i="13" s="1"/>
  <c r="T293" i="13"/>
  <c r="T303" i="13" s="1"/>
  <c r="T313" i="13" s="1"/>
  <c r="T292" i="13"/>
  <c r="T302" i="13" s="1"/>
  <c r="T312" i="13" s="1"/>
  <c r="T295" i="13"/>
  <c r="T305" i="13" s="1"/>
  <c r="T315" i="13" s="1"/>
  <c r="T291" i="13"/>
  <c r="T301" i="13" s="1"/>
  <c r="T311" i="13" s="1"/>
  <c r="T290" i="13"/>
  <c r="T300" i="13" s="1"/>
  <c r="T310" i="13" s="1"/>
  <c r="T296" i="13"/>
  <c r="T306" i="13" s="1"/>
  <c r="T316" i="13" s="1"/>
  <c r="W89" i="13"/>
  <c r="W99" i="13" s="1"/>
  <c r="W109" i="13" s="1"/>
  <c r="W80" i="13"/>
  <c r="W90" i="13" s="1"/>
  <c r="W100" i="13" s="1"/>
  <c r="U184" i="13"/>
  <c r="U194" i="13" s="1"/>
  <c r="U204" i="13" s="1"/>
  <c r="U193" i="13"/>
  <c r="U203" i="13" s="1"/>
  <c r="U213" i="13" s="1"/>
  <c r="V37" i="13"/>
  <c r="V47" i="13" s="1"/>
  <c r="V57" i="13" s="1"/>
  <c r="V28" i="13"/>
  <c r="V38" i="13" s="1"/>
  <c r="V48" i="13" s="1"/>
  <c r="BJ174" i="13"/>
  <c r="BJ183" i="13"/>
  <c r="BJ185" i="13" s="1"/>
  <c r="BJ195" i="13" s="1"/>
  <c r="BJ205" i="13" s="1"/>
  <c r="BJ214" i="13"/>
  <c r="V87" i="12" l="1"/>
  <c r="V97" i="12" s="1"/>
  <c r="V107" i="12" s="1"/>
  <c r="V86" i="12"/>
  <c r="V96" i="12" s="1"/>
  <c r="V106" i="12" s="1"/>
  <c r="V88" i="12"/>
  <c r="V98" i="12" s="1"/>
  <c r="V108" i="12" s="1"/>
  <c r="V85" i="12"/>
  <c r="V95" i="12" s="1"/>
  <c r="V105" i="12" s="1"/>
  <c r="BE216" i="12"/>
  <c r="BD219" i="12" s="1"/>
  <c r="V83" i="12"/>
  <c r="V93" i="12" s="1"/>
  <c r="V103" i="12" s="1"/>
  <c r="V81" i="12"/>
  <c r="V91" i="12" s="1"/>
  <c r="V101" i="12" s="1"/>
  <c r="V80" i="12"/>
  <c r="V90" i="12" s="1"/>
  <c r="V100" i="12" s="1"/>
  <c r="V84" i="12"/>
  <c r="V94" i="12" s="1"/>
  <c r="V104" i="12" s="1"/>
  <c r="V89" i="12"/>
  <c r="V99" i="12" s="1"/>
  <c r="V109" i="12" s="1"/>
  <c r="V82" i="12"/>
  <c r="V92" i="12" s="1"/>
  <c r="V102" i="12" s="1"/>
  <c r="U111" i="12"/>
  <c r="T114" i="12" s="1"/>
  <c r="S112" i="12"/>
  <c r="R115" i="12" s="1"/>
  <c r="S114" i="12"/>
  <c r="W79" i="12"/>
  <c r="X69" i="12"/>
  <c r="W70" i="12"/>
  <c r="W110" i="12"/>
  <c r="Q323" i="12"/>
  <c r="BH192" i="12"/>
  <c r="BH202" i="12" s="1"/>
  <c r="BH212" i="12" s="1"/>
  <c r="BH190" i="12"/>
  <c r="BH200" i="12" s="1"/>
  <c r="BH210" i="12" s="1"/>
  <c r="BH191" i="12"/>
  <c r="BH201" i="12" s="1"/>
  <c r="BH211" i="12" s="1"/>
  <c r="BH189" i="12"/>
  <c r="BH199" i="12" s="1"/>
  <c r="BH209" i="12" s="1"/>
  <c r="S167" i="13"/>
  <c r="BH187" i="12"/>
  <c r="BH197" i="12" s="1"/>
  <c r="BH207" i="12" s="1"/>
  <c r="BH185" i="12"/>
  <c r="BH195" i="12" s="1"/>
  <c r="BH205" i="12" s="1"/>
  <c r="BH184" i="12"/>
  <c r="BH194" i="12" s="1"/>
  <c r="BH204" i="12" s="1"/>
  <c r="BH186" i="12"/>
  <c r="BH196" i="12" s="1"/>
  <c r="BH206" i="12" s="1"/>
  <c r="BH193" i="12"/>
  <c r="BH203" i="12" s="1"/>
  <c r="BH213" i="12" s="1"/>
  <c r="BG215" i="12"/>
  <c r="BJ173" i="12"/>
  <c r="BI183" i="12"/>
  <c r="BI188" i="12" s="1"/>
  <c r="BI198" i="12" s="1"/>
  <c r="BI208" i="12" s="1"/>
  <c r="BI174" i="12"/>
  <c r="BI214" i="12"/>
  <c r="BF322" i="13"/>
  <c r="BE271" i="13"/>
  <c r="BI114" i="13"/>
  <c r="BF219" i="13"/>
  <c r="BG63" i="13"/>
  <c r="R322" i="13"/>
  <c r="BJ114" i="12"/>
  <c r="S216" i="13"/>
  <c r="R219" i="13" s="1"/>
  <c r="T267" i="13"/>
  <c r="S270" i="13" s="1"/>
  <c r="BH319" i="12"/>
  <c r="BG322" i="12" s="1"/>
  <c r="BH166" i="13"/>
  <c r="BH319" i="13"/>
  <c r="BG320" i="13" s="1"/>
  <c r="BF323" i="13" s="1"/>
  <c r="R268" i="13"/>
  <c r="Q271" i="13" s="1"/>
  <c r="R322" i="12"/>
  <c r="BI291" i="12"/>
  <c r="BI301" i="12" s="1"/>
  <c r="BI311" i="12" s="1"/>
  <c r="BI289" i="12"/>
  <c r="BI299" i="12" s="1"/>
  <c r="BI309" i="12" s="1"/>
  <c r="BI290" i="12"/>
  <c r="BI300" i="12" s="1"/>
  <c r="BI310" i="12" s="1"/>
  <c r="U291" i="12"/>
  <c r="U301" i="12" s="1"/>
  <c r="U311" i="12" s="1"/>
  <c r="U289" i="12"/>
  <c r="U299" i="12" s="1"/>
  <c r="U309" i="12" s="1"/>
  <c r="U290" i="12"/>
  <c r="U300" i="12" s="1"/>
  <c r="U310" i="12" s="1"/>
  <c r="T319" i="13"/>
  <c r="S320" i="13" s="1"/>
  <c r="R323" i="13" s="1"/>
  <c r="BF320" i="12"/>
  <c r="BE323" i="12" s="1"/>
  <c r="T319" i="12"/>
  <c r="S320" i="12" s="1"/>
  <c r="R323" i="12" s="1"/>
  <c r="BJ114" i="13"/>
  <c r="BI112" i="12"/>
  <c r="BH115" i="12" s="1"/>
  <c r="BH115" i="13"/>
  <c r="BH166" i="12"/>
  <c r="T164" i="12"/>
  <c r="S167" i="12" s="1"/>
  <c r="X87" i="13"/>
  <c r="X97" i="13" s="1"/>
  <c r="X107" i="13" s="1"/>
  <c r="X84" i="13"/>
  <c r="X94" i="13" s="1"/>
  <c r="X104" i="13" s="1"/>
  <c r="X85" i="13"/>
  <c r="X95" i="13" s="1"/>
  <c r="X105" i="13" s="1"/>
  <c r="X83" i="13"/>
  <c r="X93" i="13" s="1"/>
  <c r="X103" i="13" s="1"/>
  <c r="X88" i="13"/>
  <c r="X98" i="13" s="1"/>
  <c r="X108" i="13" s="1"/>
  <c r="X86" i="13"/>
  <c r="X96" i="13" s="1"/>
  <c r="X106" i="13" s="1"/>
  <c r="X82" i="13"/>
  <c r="X92" i="13" s="1"/>
  <c r="X102" i="13" s="1"/>
  <c r="W138" i="13"/>
  <c r="W148" i="13" s="1"/>
  <c r="W158" i="13" s="1"/>
  <c r="W137" i="13"/>
  <c r="W147" i="13" s="1"/>
  <c r="W157" i="13" s="1"/>
  <c r="W140" i="13"/>
  <c r="W150" i="13" s="1"/>
  <c r="W160" i="13" s="1"/>
  <c r="W139" i="13"/>
  <c r="W149" i="13" s="1"/>
  <c r="W159" i="13" s="1"/>
  <c r="W136" i="13"/>
  <c r="W146" i="13" s="1"/>
  <c r="W156" i="13" s="1"/>
  <c r="W135" i="13"/>
  <c r="W145" i="13" s="1"/>
  <c r="W155" i="13" s="1"/>
  <c r="W134" i="13"/>
  <c r="W144" i="13" s="1"/>
  <c r="W154" i="13" s="1"/>
  <c r="V191" i="12"/>
  <c r="V201" i="12" s="1"/>
  <c r="V211" i="12" s="1"/>
  <c r="V192" i="12"/>
  <c r="V202" i="12" s="1"/>
  <c r="V212" i="12" s="1"/>
  <c r="V188" i="12"/>
  <c r="V198" i="12" s="1"/>
  <c r="V208" i="12" s="1"/>
  <c r="V190" i="12"/>
  <c r="V200" i="12" s="1"/>
  <c r="V210" i="12" s="1"/>
  <c r="V189" i="12"/>
  <c r="V199" i="12" s="1"/>
  <c r="V209" i="12" s="1"/>
  <c r="W31" i="13"/>
  <c r="W41" i="13" s="1"/>
  <c r="W51" i="13" s="1"/>
  <c r="W33" i="13"/>
  <c r="W43" i="13" s="1"/>
  <c r="W53" i="13" s="1"/>
  <c r="W36" i="13"/>
  <c r="W46" i="13" s="1"/>
  <c r="W56" i="13" s="1"/>
  <c r="W32" i="13"/>
  <c r="W42" i="13" s="1"/>
  <c r="W52" i="13" s="1"/>
  <c r="W35" i="13"/>
  <c r="W45" i="13" s="1"/>
  <c r="W55" i="13" s="1"/>
  <c r="W30" i="13"/>
  <c r="W40" i="13" s="1"/>
  <c r="W50" i="13" s="1"/>
  <c r="W34" i="13"/>
  <c r="W44" i="13" s="1"/>
  <c r="W54" i="13" s="1"/>
  <c r="V189" i="13"/>
  <c r="V199" i="13" s="1"/>
  <c r="V209" i="13" s="1"/>
  <c r="V192" i="13"/>
  <c r="V202" i="13" s="1"/>
  <c r="V212" i="13" s="1"/>
  <c r="V186" i="13"/>
  <c r="V196" i="13" s="1"/>
  <c r="V206" i="13" s="1"/>
  <c r="V190" i="13"/>
  <c r="V200" i="13" s="1"/>
  <c r="V210" i="13" s="1"/>
  <c r="V191" i="13"/>
  <c r="V201" i="13" s="1"/>
  <c r="V211" i="13" s="1"/>
  <c r="V188" i="13"/>
  <c r="V198" i="13" s="1"/>
  <c r="V208" i="13" s="1"/>
  <c r="V187" i="13"/>
  <c r="V197" i="13" s="1"/>
  <c r="V207" i="13" s="1"/>
  <c r="X36" i="12"/>
  <c r="X46" i="12" s="1"/>
  <c r="X56" i="12" s="1"/>
  <c r="X33" i="12"/>
  <c r="X43" i="12" s="1"/>
  <c r="X53" i="12" s="1"/>
  <c r="X32" i="12"/>
  <c r="X42" i="12" s="1"/>
  <c r="X52" i="12" s="1"/>
  <c r="X34" i="12"/>
  <c r="X44" i="12" s="1"/>
  <c r="X54" i="12" s="1"/>
  <c r="X35" i="12"/>
  <c r="X45" i="12" s="1"/>
  <c r="X55" i="12" s="1"/>
  <c r="W139" i="12"/>
  <c r="W149" i="12" s="1"/>
  <c r="W159" i="12" s="1"/>
  <c r="W136" i="12"/>
  <c r="W146" i="12" s="1"/>
  <c r="W156" i="12" s="1"/>
  <c r="W140" i="12"/>
  <c r="W150" i="12" s="1"/>
  <c r="W160" i="12" s="1"/>
  <c r="W137" i="12"/>
  <c r="W147" i="12" s="1"/>
  <c r="W157" i="12" s="1"/>
  <c r="W138" i="12"/>
  <c r="W148" i="12" s="1"/>
  <c r="W158" i="12" s="1"/>
  <c r="U240" i="13"/>
  <c r="U250" i="13" s="1"/>
  <c r="U260" i="13" s="1"/>
  <c r="U244" i="13"/>
  <c r="U254" i="13" s="1"/>
  <c r="U264" i="13" s="1"/>
  <c r="U241" i="13"/>
  <c r="U251" i="13" s="1"/>
  <c r="U261" i="13" s="1"/>
  <c r="U238" i="13"/>
  <c r="U248" i="13" s="1"/>
  <c r="U258" i="13" s="1"/>
  <c r="U243" i="13"/>
  <c r="U253" i="13" s="1"/>
  <c r="U263" i="13" s="1"/>
  <c r="U242" i="13"/>
  <c r="U252" i="13" s="1"/>
  <c r="U262" i="13" s="1"/>
  <c r="U239" i="13"/>
  <c r="U249" i="13" s="1"/>
  <c r="U259" i="13" s="1"/>
  <c r="BI244" i="12"/>
  <c r="BI254" i="12" s="1"/>
  <c r="BI264" i="12" s="1"/>
  <c r="BI240" i="12"/>
  <c r="BI250" i="12" s="1"/>
  <c r="BI260" i="12" s="1"/>
  <c r="BI241" i="12"/>
  <c r="BI251" i="12" s="1"/>
  <c r="BI261" i="12" s="1"/>
  <c r="BI242" i="12"/>
  <c r="BI252" i="12" s="1"/>
  <c r="BI262" i="12" s="1"/>
  <c r="BI243" i="12"/>
  <c r="BI253" i="12" s="1"/>
  <c r="BI263" i="12" s="1"/>
  <c r="BJ189" i="13"/>
  <c r="BJ199" i="13" s="1"/>
  <c r="BJ209" i="13" s="1"/>
  <c r="BJ192" i="13"/>
  <c r="BJ202" i="13" s="1"/>
  <c r="BJ212" i="13" s="1"/>
  <c r="BJ186" i="13"/>
  <c r="BJ196" i="13" s="1"/>
  <c r="BJ206" i="13" s="1"/>
  <c r="BJ190" i="13"/>
  <c r="BJ200" i="13" s="1"/>
  <c r="BJ210" i="13" s="1"/>
  <c r="BJ191" i="13"/>
  <c r="BJ201" i="13" s="1"/>
  <c r="BJ211" i="13" s="1"/>
  <c r="BJ187" i="13"/>
  <c r="BJ197" i="13" s="1"/>
  <c r="BJ207" i="13" s="1"/>
  <c r="BJ188" i="13"/>
  <c r="BJ198" i="13" s="1"/>
  <c r="BJ208" i="13" s="1"/>
  <c r="U240" i="12"/>
  <c r="U250" i="12" s="1"/>
  <c r="U260" i="12" s="1"/>
  <c r="U241" i="12"/>
  <c r="U251" i="12" s="1"/>
  <c r="U261" i="12" s="1"/>
  <c r="U244" i="12"/>
  <c r="U254" i="12" s="1"/>
  <c r="U264" i="12" s="1"/>
  <c r="U242" i="12"/>
  <c r="U252" i="12" s="1"/>
  <c r="U262" i="12" s="1"/>
  <c r="U243" i="12"/>
  <c r="U253" i="12" s="1"/>
  <c r="U263" i="12" s="1"/>
  <c r="BI240" i="13"/>
  <c r="BI250" i="13" s="1"/>
  <c r="BI260" i="13" s="1"/>
  <c r="BI241" i="13"/>
  <c r="BI251" i="13" s="1"/>
  <c r="BI261" i="13" s="1"/>
  <c r="BI238" i="13"/>
  <c r="BI248" i="13" s="1"/>
  <c r="BI258" i="13" s="1"/>
  <c r="BI243" i="13"/>
  <c r="BI253" i="13" s="1"/>
  <c r="BI263" i="13" s="1"/>
  <c r="BI244" i="13"/>
  <c r="BI254" i="13" s="1"/>
  <c r="BI264" i="13" s="1"/>
  <c r="BI242" i="13"/>
  <c r="BI252" i="13" s="1"/>
  <c r="BI262" i="13" s="1"/>
  <c r="BI239" i="13"/>
  <c r="BI249" i="13" s="1"/>
  <c r="BI259" i="13" s="1"/>
  <c r="V59" i="13"/>
  <c r="U60" i="13" s="1"/>
  <c r="W111" i="13"/>
  <c r="V112" i="13" s="1"/>
  <c r="BJ112" i="13"/>
  <c r="BI115" i="13" s="1"/>
  <c r="BJ163" i="13"/>
  <c r="BI164" i="13" s="1"/>
  <c r="BH167" i="13" s="1"/>
  <c r="BH267" i="13"/>
  <c r="BG270" i="13" s="1"/>
  <c r="BG218" i="13"/>
  <c r="BH62" i="13"/>
  <c r="BI215" i="13"/>
  <c r="BH218" i="13" s="1"/>
  <c r="U60" i="12"/>
  <c r="T63" i="12" s="1"/>
  <c r="V163" i="13"/>
  <c r="U164" i="13" s="1"/>
  <c r="T167" i="13" s="1"/>
  <c r="U215" i="12"/>
  <c r="T218" i="12" s="1"/>
  <c r="BJ112" i="12"/>
  <c r="BJ60" i="12"/>
  <c r="BJ63" i="12" s="1"/>
  <c r="BF270" i="13"/>
  <c r="BJ62" i="12"/>
  <c r="BI62" i="12"/>
  <c r="T166" i="13"/>
  <c r="T60" i="13"/>
  <c r="S63" i="13" s="1"/>
  <c r="R270" i="12"/>
  <c r="T267" i="12"/>
  <c r="S268" i="12" s="1"/>
  <c r="R271" i="12" s="1"/>
  <c r="BF268" i="12"/>
  <c r="BE271" i="12" s="1"/>
  <c r="U112" i="13"/>
  <c r="T115" i="13" s="1"/>
  <c r="S216" i="12"/>
  <c r="R219" i="12" s="1"/>
  <c r="U215" i="13"/>
  <c r="T216" i="13" s="1"/>
  <c r="W59" i="12"/>
  <c r="V62" i="12" s="1"/>
  <c r="BH267" i="12"/>
  <c r="BG268" i="12" s="1"/>
  <c r="BJ59" i="13"/>
  <c r="BI62" i="13" s="1"/>
  <c r="BJ163" i="12"/>
  <c r="BJ166" i="12" s="1"/>
  <c r="V163" i="12"/>
  <c r="U164" i="12" s="1"/>
  <c r="BJ193" i="13"/>
  <c r="BJ203" i="13" s="1"/>
  <c r="BJ213" i="13" s="1"/>
  <c r="BJ184" i="13"/>
  <c r="BJ194" i="13" s="1"/>
  <c r="BJ204" i="13" s="1"/>
  <c r="X37" i="12"/>
  <c r="X47" i="12" s="1"/>
  <c r="X57" i="12" s="1"/>
  <c r="X28" i="12"/>
  <c r="X38" i="12" s="1"/>
  <c r="X48" i="12" s="1"/>
  <c r="X29" i="12"/>
  <c r="X39" i="12" s="1"/>
  <c r="X49" i="12" s="1"/>
  <c r="X30" i="12"/>
  <c r="X40" i="12" s="1"/>
  <c r="X50" i="12" s="1"/>
  <c r="BI288" i="12"/>
  <c r="BI298" i="12" s="1"/>
  <c r="BI308" i="12" s="1"/>
  <c r="BI297" i="12"/>
  <c r="BI307" i="12" s="1"/>
  <c r="BI317" i="12" s="1"/>
  <c r="BI294" i="12"/>
  <c r="BI304" i="12" s="1"/>
  <c r="BI314" i="12" s="1"/>
  <c r="BI292" i="12"/>
  <c r="BI302" i="12" s="1"/>
  <c r="BI312" i="12" s="1"/>
  <c r="BI293" i="12"/>
  <c r="BI303" i="12" s="1"/>
  <c r="BI313" i="12" s="1"/>
  <c r="BI295" i="12"/>
  <c r="BI305" i="12" s="1"/>
  <c r="BI315" i="12" s="1"/>
  <c r="BI296" i="12"/>
  <c r="BI306" i="12" s="1"/>
  <c r="BI316" i="12" s="1"/>
  <c r="W141" i="12"/>
  <c r="W151" i="12" s="1"/>
  <c r="W161" i="12" s="1"/>
  <c r="W132" i="12"/>
  <c r="W142" i="12" s="1"/>
  <c r="W152" i="12" s="1"/>
  <c r="W134" i="12"/>
  <c r="W144" i="12" s="1"/>
  <c r="W154" i="12" s="1"/>
  <c r="W133" i="12"/>
  <c r="W143" i="12" s="1"/>
  <c r="W153" i="12" s="1"/>
  <c r="U288" i="12"/>
  <c r="U298" i="12" s="1"/>
  <c r="U308" i="12" s="1"/>
  <c r="U297" i="12"/>
  <c r="U307" i="12" s="1"/>
  <c r="U317" i="12" s="1"/>
  <c r="U292" i="12"/>
  <c r="U302" i="12" s="1"/>
  <c r="U312" i="12" s="1"/>
  <c r="U295" i="12"/>
  <c r="U305" i="12" s="1"/>
  <c r="U315" i="12" s="1"/>
  <c r="U294" i="12"/>
  <c r="U304" i="12" s="1"/>
  <c r="U314" i="12" s="1"/>
  <c r="U296" i="12"/>
  <c r="U306" i="12" s="1"/>
  <c r="U316" i="12" s="1"/>
  <c r="U293" i="12"/>
  <c r="U303" i="12" s="1"/>
  <c r="U313" i="12" s="1"/>
  <c r="Z69" i="13"/>
  <c r="Y79" i="13"/>
  <c r="Y81" i="13" s="1"/>
  <c r="Y91" i="13" s="1"/>
  <c r="Y101" i="13" s="1"/>
  <c r="Y70" i="13"/>
  <c r="Y110" i="13"/>
  <c r="W225" i="13"/>
  <c r="V235" i="13"/>
  <c r="V237" i="13" s="1"/>
  <c r="V247" i="13" s="1"/>
  <c r="V257" i="13" s="1"/>
  <c r="V226" i="13"/>
  <c r="V266" i="13"/>
  <c r="Y121" i="13"/>
  <c r="X122" i="13"/>
  <c r="X131" i="13"/>
  <c r="X133" i="13" s="1"/>
  <c r="X143" i="13" s="1"/>
  <c r="X153" i="13" s="1"/>
  <c r="X162" i="13"/>
  <c r="X173" i="12"/>
  <c r="W183" i="12"/>
  <c r="W187" i="12" s="1"/>
  <c r="W197" i="12" s="1"/>
  <c r="W207" i="12" s="1"/>
  <c r="W174" i="12"/>
  <c r="W214" i="12"/>
  <c r="BJ235" i="12"/>
  <c r="BJ239" i="12" s="1"/>
  <c r="BJ249" i="12" s="1"/>
  <c r="BJ259" i="12" s="1"/>
  <c r="BJ226" i="12"/>
  <c r="BJ266" i="12"/>
  <c r="Z17" i="12"/>
  <c r="Y27" i="12"/>
  <c r="Y31" i="12" s="1"/>
  <c r="Y41" i="12" s="1"/>
  <c r="Y51" i="12" s="1"/>
  <c r="Y18" i="12"/>
  <c r="Y58" i="12"/>
  <c r="Y121" i="12"/>
  <c r="X131" i="12"/>
  <c r="X135" i="12" s="1"/>
  <c r="X145" i="12" s="1"/>
  <c r="X155" i="12" s="1"/>
  <c r="X122" i="12"/>
  <c r="X162" i="12"/>
  <c r="Y17" i="13"/>
  <c r="X27" i="13"/>
  <c r="X29" i="13" s="1"/>
  <c r="X39" i="13" s="1"/>
  <c r="X49" i="13" s="1"/>
  <c r="X18" i="13"/>
  <c r="X58" i="13"/>
  <c r="X173" i="13"/>
  <c r="W174" i="13"/>
  <c r="W183" i="13"/>
  <c r="W185" i="13" s="1"/>
  <c r="W195" i="13" s="1"/>
  <c r="W205" i="13" s="1"/>
  <c r="W214" i="13"/>
  <c r="BI245" i="12"/>
  <c r="BI255" i="12" s="1"/>
  <c r="BI265" i="12" s="1"/>
  <c r="BI236" i="12"/>
  <c r="BI246" i="12" s="1"/>
  <c r="BI256" i="12" s="1"/>
  <c r="BI237" i="12"/>
  <c r="BI247" i="12" s="1"/>
  <c r="BI257" i="12" s="1"/>
  <c r="BI238" i="12"/>
  <c r="BI248" i="12" s="1"/>
  <c r="BI258" i="12" s="1"/>
  <c r="BJ278" i="13"/>
  <c r="BJ287" i="13"/>
  <c r="BJ289" i="13" s="1"/>
  <c r="BJ299" i="13" s="1"/>
  <c r="BJ309" i="13" s="1"/>
  <c r="BJ318" i="13"/>
  <c r="U236" i="12"/>
  <c r="U246" i="12" s="1"/>
  <c r="U256" i="12" s="1"/>
  <c r="U245" i="12"/>
  <c r="U255" i="12" s="1"/>
  <c r="U265" i="12" s="1"/>
  <c r="U238" i="12"/>
  <c r="U248" i="12" s="1"/>
  <c r="U258" i="12" s="1"/>
  <c r="U237" i="12"/>
  <c r="U247" i="12" s="1"/>
  <c r="U257" i="12" s="1"/>
  <c r="BI236" i="13"/>
  <c r="BI246" i="13" s="1"/>
  <c r="BI256" i="13" s="1"/>
  <c r="BI245" i="13"/>
  <c r="BI255" i="13" s="1"/>
  <c r="BI265" i="13" s="1"/>
  <c r="W277" i="12"/>
  <c r="V278" i="12"/>
  <c r="V287" i="12"/>
  <c r="V318" i="12"/>
  <c r="X89" i="13"/>
  <c r="X99" i="13" s="1"/>
  <c r="X109" i="13" s="1"/>
  <c r="X80" i="13"/>
  <c r="X90" i="13" s="1"/>
  <c r="X100" i="13" s="1"/>
  <c r="W141" i="13"/>
  <c r="W151" i="13" s="1"/>
  <c r="W161" i="13" s="1"/>
  <c r="W132" i="13"/>
  <c r="W142" i="13" s="1"/>
  <c r="W152" i="13" s="1"/>
  <c r="U297" i="13"/>
  <c r="U307" i="13" s="1"/>
  <c r="U317" i="13" s="1"/>
  <c r="U288" i="13"/>
  <c r="U298" i="13" s="1"/>
  <c r="U308" i="13" s="1"/>
  <c r="U294" i="13"/>
  <c r="U304" i="13" s="1"/>
  <c r="U314" i="13" s="1"/>
  <c r="U295" i="13"/>
  <c r="U305" i="13" s="1"/>
  <c r="U315" i="13" s="1"/>
  <c r="U296" i="13"/>
  <c r="U306" i="13" s="1"/>
  <c r="U316" i="13" s="1"/>
  <c r="U290" i="13"/>
  <c r="U300" i="13" s="1"/>
  <c r="U310" i="13" s="1"/>
  <c r="U292" i="13"/>
  <c r="U302" i="13" s="1"/>
  <c r="U312" i="13" s="1"/>
  <c r="U293" i="13"/>
  <c r="U303" i="13" s="1"/>
  <c r="U313" i="13" s="1"/>
  <c r="U291" i="13"/>
  <c r="U301" i="13" s="1"/>
  <c r="U311" i="13" s="1"/>
  <c r="BI288" i="13"/>
  <c r="BI298" i="13" s="1"/>
  <c r="BI308" i="13" s="1"/>
  <c r="BI297" i="13"/>
  <c r="BI307" i="13" s="1"/>
  <c r="BI317" i="13" s="1"/>
  <c r="BI295" i="13"/>
  <c r="BI305" i="13" s="1"/>
  <c r="BI315" i="13" s="1"/>
  <c r="BI296" i="13"/>
  <c r="BI306" i="13" s="1"/>
  <c r="BI316" i="13" s="1"/>
  <c r="BI292" i="13"/>
  <c r="BI302" i="13" s="1"/>
  <c r="BI312" i="13" s="1"/>
  <c r="BI293" i="13"/>
  <c r="BI303" i="13" s="1"/>
  <c r="BI313" i="13" s="1"/>
  <c r="BI291" i="13"/>
  <c r="BI301" i="13" s="1"/>
  <c r="BI311" i="13" s="1"/>
  <c r="BI290" i="13"/>
  <c r="BI300" i="13" s="1"/>
  <c r="BI310" i="13" s="1"/>
  <c r="BI294" i="13"/>
  <c r="BI304" i="13" s="1"/>
  <c r="BI314" i="13" s="1"/>
  <c r="BJ287" i="12"/>
  <c r="BJ278" i="12"/>
  <c r="BJ318" i="12"/>
  <c r="W225" i="12"/>
  <c r="V235" i="12"/>
  <c r="V239" i="12" s="1"/>
  <c r="V249" i="12" s="1"/>
  <c r="V259" i="12" s="1"/>
  <c r="V226" i="12"/>
  <c r="V266" i="12"/>
  <c r="BJ235" i="13"/>
  <c r="BJ237" i="13" s="1"/>
  <c r="BJ247" i="13" s="1"/>
  <c r="BJ257" i="13" s="1"/>
  <c r="BJ226" i="13"/>
  <c r="BJ266" i="13"/>
  <c r="U245" i="13"/>
  <c r="U255" i="13" s="1"/>
  <c r="U265" i="13" s="1"/>
  <c r="U236" i="13"/>
  <c r="U246" i="13" s="1"/>
  <c r="U256" i="13" s="1"/>
  <c r="V184" i="12"/>
  <c r="V194" i="12" s="1"/>
  <c r="V204" i="12" s="1"/>
  <c r="V193" i="12"/>
  <c r="V203" i="12" s="1"/>
  <c r="V213" i="12" s="1"/>
  <c r="V186" i="12"/>
  <c r="V196" i="12" s="1"/>
  <c r="V206" i="12" s="1"/>
  <c r="V185" i="12"/>
  <c r="V195" i="12" s="1"/>
  <c r="V205" i="12" s="1"/>
  <c r="W37" i="13"/>
  <c r="W47" i="13" s="1"/>
  <c r="W57" i="13" s="1"/>
  <c r="W28" i="13"/>
  <c r="W38" i="13" s="1"/>
  <c r="W48" i="13" s="1"/>
  <c r="V184" i="13"/>
  <c r="V194" i="13" s="1"/>
  <c r="V204" i="13" s="1"/>
  <c r="V193" i="13"/>
  <c r="V203" i="13" s="1"/>
  <c r="V213" i="13" s="1"/>
  <c r="W277" i="13"/>
  <c r="V278" i="13"/>
  <c r="V287" i="13"/>
  <c r="V289" i="13" s="1"/>
  <c r="V299" i="13" s="1"/>
  <c r="V309" i="13" s="1"/>
  <c r="V318" i="13"/>
  <c r="W86" i="12" l="1"/>
  <c r="W96" i="12" s="1"/>
  <c r="W106" i="12" s="1"/>
  <c r="W88" i="12"/>
  <c r="W98" i="12" s="1"/>
  <c r="W108" i="12" s="1"/>
  <c r="W85" i="12"/>
  <c r="W95" i="12" s="1"/>
  <c r="W105" i="12" s="1"/>
  <c r="W87" i="12"/>
  <c r="W97" i="12" s="1"/>
  <c r="W107" i="12" s="1"/>
  <c r="T112" i="12"/>
  <c r="S115" i="12" s="1"/>
  <c r="X79" i="12"/>
  <c r="Y69" i="12"/>
  <c r="X70" i="12"/>
  <c r="X110" i="12"/>
  <c r="V111" i="12"/>
  <c r="W83" i="12"/>
  <c r="W93" i="12" s="1"/>
  <c r="W103" i="12" s="1"/>
  <c r="W80" i="12"/>
  <c r="W90" i="12" s="1"/>
  <c r="W100" i="12" s="1"/>
  <c r="W81" i="12"/>
  <c r="W91" i="12" s="1"/>
  <c r="W101" i="12" s="1"/>
  <c r="W89" i="12"/>
  <c r="W99" i="12" s="1"/>
  <c r="W109" i="12" s="1"/>
  <c r="W84" i="12"/>
  <c r="W94" i="12" s="1"/>
  <c r="W104" i="12" s="1"/>
  <c r="W82" i="12"/>
  <c r="W92" i="12" s="1"/>
  <c r="W102" i="12" s="1"/>
  <c r="BI191" i="12"/>
  <c r="BI201" i="12" s="1"/>
  <c r="BI211" i="12" s="1"/>
  <c r="BI192" i="12"/>
  <c r="BI202" i="12" s="1"/>
  <c r="BI212" i="12" s="1"/>
  <c r="BI189" i="12"/>
  <c r="BI199" i="12" s="1"/>
  <c r="BI209" i="12" s="1"/>
  <c r="BI190" i="12"/>
  <c r="BI200" i="12" s="1"/>
  <c r="BI210" i="12" s="1"/>
  <c r="BI115" i="12"/>
  <c r="V114" i="13"/>
  <c r="BH215" i="12"/>
  <c r="BG218" i="12" s="1"/>
  <c r="BF218" i="12"/>
  <c r="BF216" i="12"/>
  <c r="BE219" i="12" s="1"/>
  <c r="BJ174" i="12"/>
  <c r="BJ183" i="12"/>
  <c r="BJ188" i="12" s="1"/>
  <c r="BJ198" i="12" s="1"/>
  <c r="BJ208" i="12" s="1"/>
  <c r="BJ214" i="12"/>
  <c r="BI187" i="12"/>
  <c r="BI197" i="12" s="1"/>
  <c r="BI207" i="12" s="1"/>
  <c r="BI186" i="12"/>
  <c r="BI196" i="12" s="1"/>
  <c r="BI206" i="12" s="1"/>
  <c r="BI185" i="12"/>
  <c r="BI195" i="12" s="1"/>
  <c r="BI205" i="12" s="1"/>
  <c r="BI193" i="12"/>
  <c r="BI203" i="12" s="1"/>
  <c r="BI213" i="12" s="1"/>
  <c r="BI184" i="12"/>
  <c r="BI194" i="12" s="1"/>
  <c r="BI204" i="12" s="1"/>
  <c r="BG320" i="12"/>
  <c r="BF323" i="12" s="1"/>
  <c r="S322" i="13"/>
  <c r="T167" i="12"/>
  <c r="S219" i="13"/>
  <c r="BG322" i="13"/>
  <c r="BG268" i="13"/>
  <c r="BF271" i="13" s="1"/>
  <c r="S322" i="12"/>
  <c r="U62" i="13"/>
  <c r="S268" i="13"/>
  <c r="R271" i="13" s="1"/>
  <c r="BJ115" i="13"/>
  <c r="T218" i="13"/>
  <c r="U319" i="13"/>
  <c r="T322" i="13" s="1"/>
  <c r="BI319" i="12"/>
  <c r="BH320" i="12" s="1"/>
  <c r="U319" i="12"/>
  <c r="T320" i="12" s="1"/>
  <c r="S323" i="12" s="1"/>
  <c r="BJ291" i="12"/>
  <c r="BJ301" i="12" s="1"/>
  <c r="BJ311" i="12" s="1"/>
  <c r="BJ290" i="12"/>
  <c r="BJ300" i="12" s="1"/>
  <c r="BJ310" i="12" s="1"/>
  <c r="BJ289" i="12"/>
  <c r="BJ299" i="12" s="1"/>
  <c r="BJ309" i="12" s="1"/>
  <c r="V291" i="12"/>
  <c r="V301" i="12" s="1"/>
  <c r="V311" i="12" s="1"/>
  <c r="V290" i="12"/>
  <c r="V300" i="12" s="1"/>
  <c r="V310" i="12" s="1"/>
  <c r="V289" i="12"/>
  <c r="V299" i="12" s="1"/>
  <c r="V309" i="12" s="1"/>
  <c r="BI319" i="13"/>
  <c r="BH322" i="13" s="1"/>
  <c r="BI63" i="12"/>
  <c r="BI166" i="12"/>
  <c r="T63" i="13"/>
  <c r="BJ166" i="13"/>
  <c r="BJ115" i="12"/>
  <c r="BJ164" i="13"/>
  <c r="BJ167" i="13" s="1"/>
  <c r="BH216" i="13"/>
  <c r="BG219" i="13" s="1"/>
  <c r="S270" i="12"/>
  <c r="BI166" i="13"/>
  <c r="BJ243" i="13"/>
  <c r="BJ253" i="13" s="1"/>
  <c r="BJ263" i="13" s="1"/>
  <c r="BJ241" i="13"/>
  <c r="BJ251" i="13" s="1"/>
  <c r="BJ261" i="13" s="1"/>
  <c r="BJ238" i="13"/>
  <c r="BJ248" i="13" s="1"/>
  <c r="BJ258" i="13" s="1"/>
  <c r="BJ244" i="13"/>
  <c r="BJ254" i="13" s="1"/>
  <c r="BJ264" i="13" s="1"/>
  <c r="BJ240" i="13"/>
  <c r="BJ250" i="13" s="1"/>
  <c r="BJ260" i="13" s="1"/>
  <c r="BJ242" i="13"/>
  <c r="BJ252" i="13" s="1"/>
  <c r="BJ262" i="13" s="1"/>
  <c r="BJ239" i="13"/>
  <c r="BJ249" i="13" s="1"/>
  <c r="BJ259" i="13" s="1"/>
  <c r="Y36" i="12"/>
  <c r="Y46" i="12" s="1"/>
  <c r="Y56" i="12" s="1"/>
  <c r="Y33" i="12"/>
  <c r="Y43" i="12" s="1"/>
  <c r="Y53" i="12" s="1"/>
  <c r="Y32" i="12"/>
  <c r="Y42" i="12" s="1"/>
  <c r="Y52" i="12" s="1"/>
  <c r="Y34" i="12"/>
  <c r="Y44" i="12" s="1"/>
  <c r="Y54" i="12" s="1"/>
  <c r="Y35" i="12"/>
  <c r="Y45" i="12" s="1"/>
  <c r="Y55" i="12" s="1"/>
  <c r="V244" i="12"/>
  <c r="V254" i="12" s="1"/>
  <c r="V264" i="12" s="1"/>
  <c r="V242" i="12"/>
  <c r="V252" i="12" s="1"/>
  <c r="V262" i="12" s="1"/>
  <c r="V240" i="12"/>
  <c r="V250" i="12" s="1"/>
  <c r="V260" i="12" s="1"/>
  <c r="V241" i="12"/>
  <c r="V251" i="12" s="1"/>
  <c r="V261" i="12" s="1"/>
  <c r="V243" i="12"/>
  <c r="V253" i="12" s="1"/>
  <c r="V263" i="12" s="1"/>
  <c r="W192" i="13"/>
  <c r="W202" i="13" s="1"/>
  <c r="W212" i="13" s="1"/>
  <c r="W186" i="13"/>
  <c r="W196" i="13" s="1"/>
  <c r="W206" i="13" s="1"/>
  <c r="W189" i="13"/>
  <c r="W199" i="13" s="1"/>
  <c r="W209" i="13" s="1"/>
  <c r="W190" i="13"/>
  <c r="W200" i="13" s="1"/>
  <c r="W210" i="13" s="1"/>
  <c r="W191" i="13"/>
  <c r="W201" i="13" s="1"/>
  <c r="W211" i="13" s="1"/>
  <c r="W188" i="13"/>
  <c r="W198" i="13" s="1"/>
  <c r="W208" i="13" s="1"/>
  <c r="W187" i="13"/>
  <c r="W197" i="13" s="1"/>
  <c r="W207" i="13" s="1"/>
  <c r="X139" i="12"/>
  <c r="X149" i="12" s="1"/>
  <c r="X159" i="12" s="1"/>
  <c r="X137" i="12"/>
  <c r="X147" i="12" s="1"/>
  <c r="X157" i="12" s="1"/>
  <c r="X136" i="12"/>
  <c r="X146" i="12" s="1"/>
  <c r="X156" i="12" s="1"/>
  <c r="X140" i="12"/>
  <c r="X150" i="12" s="1"/>
  <c r="X160" i="12" s="1"/>
  <c r="X138" i="12"/>
  <c r="X148" i="12" s="1"/>
  <c r="X158" i="12" s="1"/>
  <c r="X33" i="13"/>
  <c r="X43" i="13" s="1"/>
  <c r="X53" i="13" s="1"/>
  <c r="X31" i="13"/>
  <c r="X41" i="13" s="1"/>
  <c r="X51" i="13" s="1"/>
  <c r="X36" i="13"/>
  <c r="X46" i="13" s="1"/>
  <c r="X56" i="13" s="1"/>
  <c r="X32" i="13"/>
  <c r="X42" i="13" s="1"/>
  <c r="X52" i="13" s="1"/>
  <c r="X30" i="13"/>
  <c r="X40" i="13" s="1"/>
  <c r="X50" i="13" s="1"/>
  <c r="X35" i="13"/>
  <c r="X45" i="13" s="1"/>
  <c r="X55" i="13" s="1"/>
  <c r="X34" i="13"/>
  <c r="X44" i="13" s="1"/>
  <c r="X54" i="13" s="1"/>
  <c r="BJ240" i="12"/>
  <c r="BJ250" i="12" s="1"/>
  <c r="BJ260" i="12" s="1"/>
  <c r="BJ241" i="12"/>
  <c r="BJ251" i="12" s="1"/>
  <c r="BJ261" i="12" s="1"/>
  <c r="BJ242" i="12"/>
  <c r="BJ252" i="12" s="1"/>
  <c r="BJ262" i="12" s="1"/>
  <c r="BJ244" i="12"/>
  <c r="BJ254" i="12" s="1"/>
  <c r="BJ264" i="12" s="1"/>
  <c r="BJ243" i="12"/>
  <c r="BJ253" i="12" s="1"/>
  <c r="BJ263" i="12" s="1"/>
  <c r="X138" i="13"/>
  <c r="X148" i="13" s="1"/>
  <c r="X158" i="13" s="1"/>
  <c r="X139" i="13"/>
  <c r="X149" i="13" s="1"/>
  <c r="X159" i="13" s="1"/>
  <c r="X137" i="13"/>
  <c r="X147" i="13" s="1"/>
  <c r="X157" i="13" s="1"/>
  <c r="X140" i="13"/>
  <c r="X150" i="13" s="1"/>
  <c r="X160" i="13" s="1"/>
  <c r="X136" i="13"/>
  <c r="X146" i="13" s="1"/>
  <c r="X156" i="13" s="1"/>
  <c r="X134" i="13"/>
  <c r="X144" i="13" s="1"/>
  <c r="X154" i="13" s="1"/>
  <c r="X135" i="13"/>
  <c r="X145" i="13" s="1"/>
  <c r="X155" i="13" s="1"/>
  <c r="W188" i="12"/>
  <c r="W198" i="12" s="1"/>
  <c r="W208" i="12" s="1"/>
  <c r="W190" i="12"/>
  <c r="W200" i="12" s="1"/>
  <c r="W210" i="12" s="1"/>
  <c r="W192" i="12"/>
  <c r="W202" i="12" s="1"/>
  <c r="W212" i="12" s="1"/>
  <c r="W191" i="12"/>
  <c r="W201" i="12" s="1"/>
  <c r="W211" i="12" s="1"/>
  <c r="W189" i="12"/>
  <c r="W199" i="12" s="1"/>
  <c r="W209" i="12" s="1"/>
  <c r="V242" i="13"/>
  <c r="V252" i="13" s="1"/>
  <c r="V262" i="13" s="1"/>
  <c r="V239" i="13"/>
  <c r="V249" i="13" s="1"/>
  <c r="V259" i="13" s="1"/>
  <c r="V244" i="13"/>
  <c r="V254" i="13" s="1"/>
  <c r="V264" i="13" s="1"/>
  <c r="V240" i="13"/>
  <c r="V250" i="13" s="1"/>
  <c r="V260" i="13" s="1"/>
  <c r="V238" i="13"/>
  <c r="V248" i="13" s="1"/>
  <c r="V258" i="13" s="1"/>
  <c r="V243" i="13"/>
  <c r="V253" i="13" s="1"/>
  <c r="V263" i="13" s="1"/>
  <c r="V241" i="13"/>
  <c r="V251" i="13" s="1"/>
  <c r="V261" i="13" s="1"/>
  <c r="Y83" i="13"/>
  <c r="Y93" i="13" s="1"/>
  <c r="Y103" i="13" s="1"/>
  <c r="Y84" i="13"/>
  <c r="Y94" i="13" s="1"/>
  <c r="Y104" i="13" s="1"/>
  <c r="Y85" i="13"/>
  <c r="Y95" i="13" s="1"/>
  <c r="Y105" i="13" s="1"/>
  <c r="Y87" i="13"/>
  <c r="Y97" i="13" s="1"/>
  <c r="Y107" i="13" s="1"/>
  <c r="Y88" i="13"/>
  <c r="Y98" i="13" s="1"/>
  <c r="Y108" i="13" s="1"/>
  <c r="Y86" i="13"/>
  <c r="Y96" i="13" s="1"/>
  <c r="Y106" i="13" s="1"/>
  <c r="Y82" i="13"/>
  <c r="Y92" i="13" s="1"/>
  <c r="Y102" i="13" s="1"/>
  <c r="T216" i="12"/>
  <c r="S219" i="12" s="1"/>
  <c r="BJ60" i="13"/>
  <c r="BJ63" i="13" s="1"/>
  <c r="BJ62" i="13"/>
  <c r="W163" i="12"/>
  <c r="V164" i="12" s="1"/>
  <c r="U167" i="12" s="1"/>
  <c r="X59" i="12"/>
  <c r="W60" i="12" s="1"/>
  <c r="BJ215" i="13"/>
  <c r="BJ216" i="13" s="1"/>
  <c r="BI60" i="13"/>
  <c r="BH63" i="13" s="1"/>
  <c r="W163" i="13"/>
  <c r="V164" i="13" s="1"/>
  <c r="U167" i="13" s="1"/>
  <c r="U166" i="13"/>
  <c r="BG270" i="12"/>
  <c r="X111" i="13"/>
  <c r="W112" i="13" s="1"/>
  <c r="V115" i="13" s="1"/>
  <c r="BF271" i="12"/>
  <c r="U166" i="12"/>
  <c r="V60" i="12"/>
  <c r="U63" i="12" s="1"/>
  <c r="U115" i="13"/>
  <c r="BI267" i="12"/>
  <c r="BH268" i="12" s="1"/>
  <c r="BG271" i="12" s="1"/>
  <c r="BJ164" i="12"/>
  <c r="BJ167" i="12" s="1"/>
  <c r="BI164" i="12"/>
  <c r="BH167" i="12" s="1"/>
  <c r="W59" i="13"/>
  <c r="V60" i="13" s="1"/>
  <c r="U63" i="13" s="1"/>
  <c r="V215" i="12"/>
  <c r="U216" i="12" s="1"/>
  <c r="V215" i="13"/>
  <c r="U216" i="13" s="1"/>
  <c r="T219" i="13" s="1"/>
  <c r="U267" i="13"/>
  <c r="T268" i="13" s="1"/>
  <c r="BI267" i="13"/>
  <c r="BH268" i="13" s="1"/>
  <c r="U267" i="12"/>
  <c r="T268" i="12" s="1"/>
  <c r="S271" i="12" s="1"/>
  <c r="V297" i="13"/>
  <c r="V307" i="13" s="1"/>
  <c r="V317" i="13" s="1"/>
  <c r="V288" i="13"/>
  <c r="V298" i="13" s="1"/>
  <c r="V308" i="13" s="1"/>
  <c r="V290" i="13"/>
  <c r="V300" i="13" s="1"/>
  <c r="V310" i="13" s="1"/>
  <c r="V293" i="13"/>
  <c r="V303" i="13" s="1"/>
  <c r="V313" i="13" s="1"/>
  <c r="V294" i="13"/>
  <c r="V304" i="13" s="1"/>
  <c r="V314" i="13" s="1"/>
  <c r="V296" i="13"/>
  <c r="V306" i="13" s="1"/>
  <c r="V316" i="13" s="1"/>
  <c r="V295" i="13"/>
  <c r="V305" i="13" s="1"/>
  <c r="V315" i="13" s="1"/>
  <c r="V292" i="13"/>
  <c r="V302" i="13" s="1"/>
  <c r="V312" i="13" s="1"/>
  <c r="V291" i="13"/>
  <c r="V301" i="13" s="1"/>
  <c r="V311" i="13" s="1"/>
  <c r="X277" i="13"/>
  <c r="W287" i="13"/>
  <c r="W289" i="13" s="1"/>
  <c r="W299" i="13" s="1"/>
  <c r="W309" i="13" s="1"/>
  <c r="W278" i="13"/>
  <c r="W318" i="13"/>
  <c r="X277" i="12"/>
  <c r="W278" i="12"/>
  <c r="W287" i="12"/>
  <c r="W318" i="12"/>
  <c r="X28" i="13"/>
  <c r="X38" i="13" s="1"/>
  <c r="X48" i="13" s="1"/>
  <c r="X37" i="13"/>
  <c r="X47" i="13" s="1"/>
  <c r="X57" i="13" s="1"/>
  <c r="BJ245" i="12"/>
  <c r="BJ255" i="12" s="1"/>
  <c r="BJ265" i="12" s="1"/>
  <c r="BJ236" i="12"/>
  <c r="BJ246" i="12" s="1"/>
  <c r="BJ256" i="12" s="1"/>
  <c r="BJ237" i="12"/>
  <c r="BJ247" i="12" s="1"/>
  <c r="BJ257" i="12" s="1"/>
  <c r="BJ238" i="12"/>
  <c r="BJ248" i="12" s="1"/>
  <c r="BJ258" i="12" s="1"/>
  <c r="Y173" i="12"/>
  <c r="X183" i="12"/>
  <c r="X187" i="12" s="1"/>
  <c r="X197" i="12" s="1"/>
  <c r="X207" i="12" s="1"/>
  <c r="X174" i="12"/>
  <c r="X214" i="12"/>
  <c r="Z121" i="13"/>
  <c r="Y131" i="13"/>
  <c r="Y133" i="13" s="1"/>
  <c r="Y143" i="13" s="1"/>
  <c r="Y153" i="13" s="1"/>
  <c r="Y122" i="13"/>
  <c r="Y162" i="13"/>
  <c r="X225" i="13"/>
  <c r="W235" i="13"/>
  <c r="W237" i="13" s="1"/>
  <c r="W247" i="13" s="1"/>
  <c r="W257" i="13" s="1"/>
  <c r="W226" i="13"/>
  <c r="W266" i="13"/>
  <c r="AA69" i="13"/>
  <c r="Z70" i="13"/>
  <c r="Z79" i="13"/>
  <c r="Z81" i="13" s="1"/>
  <c r="Z91" i="13" s="1"/>
  <c r="Z101" i="13" s="1"/>
  <c r="Z110" i="13"/>
  <c r="BJ236" i="13"/>
  <c r="BJ246" i="13" s="1"/>
  <c r="BJ256" i="13" s="1"/>
  <c r="BJ245" i="13"/>
  <c r="BJ255" i="13" s="1"/>
  <c r="BJ265" i="13" s="1"/>
  <c r="BJ288" i="13"/>
  <c r="BJ298" i="13" s="1"/>
  <c r="BJ308" i="13" s="1"/>
  <c r="BJ297" i="13"/>
  <c r="BJ307" i="13" s="1"/>
  <c r="BJ317" i="13" s="1"/>
  <c r="BJ292" i="13"/>
  <c r="BJ302" i="13" s="1"/>
  <c r="BJ312" i="13" s="1"/>
  <c r="BJ294" i="13"/>
  <c r="BJ304" i="13" s="1"/>
  <c r="BJ314" i="13" s="1"/>
  <c r="BJ290" i="13"/>
  <c r="BJ300" i="13" s="1"/>
  <c r="BJ310" i="13" s="1"/>
  <c r="BJ293" i="13"/>
  <c r="BJ303" i="13" s="1"/>
  <c r="BJ313" i="13" s="1"/>
  <c r="BJ295" i="13"/>
  <c r="BJ305" i="13" s="1"/>
  <c r="BJ315" i="13" s="1"/>
  <c r="BJ291" i="13"/>
  <c r="BJ301" i="13" s="1"/>
  <c r="BJ311" i="13" s="1"/>
  <c r="BJ296" i="13"/>
  <c r="BJ306" i="13" s="1"/>
  <c r="BJ316" i="13" s="1"/>
  <c r="Y173" i="13"/>
  <c r="X183" i="13"/>
  <c r="X185" i="13" s="1"/>
  <c r="X195" i="13" s="1"/>
  <c r="X205" i="13" s="1"/>
  <c r="X174" i="13"/>
  <c r="X214" i="13"/>
  <c r="Z17" i="13"/>
  <c r="Y27" i="13"/>
  <c r="Y29" i="13" s="1"/>
  <c r="Y39" i="13" s="1"/>
  <c r="Y49" i="13" s="1"/>
  <c r="Y18" i="13"/>
  <c r="Y58" i="13"/>
  <c r="X141" i="12"/>
  <c r="X151" i="12" s="1"/>
  <c r="X161" i="12" s="1"/>
  <c r="X132" i="12"/>
  <c r="X142" i="12" s="1"/>
  <c r="X152" i="12" s="1"/>
  <c r="X134" i="12"/>
  <c r="X144" i="12" s="1"/>
  <c r="X154" i="12" s="1"/>
  <c r="X133" i="12"/>
  <c r="X143" i="12" s="1"/>
  <c r="X153" i="12" s="1"/>
  <c r="Y37" i="12"/>
  <c r="Y47" i="12" s="1"/>
  <c r="Y57" i="12" s="1"/>
  <c r="Y28" i="12"/>
  <c r="Y38" i="12" s="1"/>
  <c r="Y48" i="12" s="1"/>
  <c r="Y30" i="12"/>
  <c r="Y40" i="12" s="1"/>
  <c r="Y50" i="12" s="1"/>
  <c r="Y29" i="12"/>
  <c r="Y39" i="12" s="1"/>
  <c r="Y49" i="12" s="1"/>
  <c r="V236" i="12"/>
  <c r="V246" i="12" s="1"/>
  <c r="V256" i="12" s="1"/>
  <c r="V245" i="12"/>
  <c r="V255" i="12" s="1"/>
  <c r="V265" i="12" s="1"/>
  <c r="V237" i="12"/>
  <c r="V247" i="12" s="1"/>
  <c r="V257" i="12" s="1"/>
  <c r="V238" i="12"/>
  <c r="V248" i="12" s="1"/>
  <c r="V258" i="12" s="1"/>
  <c r="BJ288" i="12"/>
  <c r="BJ298" i="12" s="1"/>
  <c r="BJ308" i="12" s="1"/>
  <c r="BJ297" i="12"/>
  <c r="BJ307" i="12" s="1"/>
  <c r="BJ317" i="12" s="1"/>
  <c r="BJ294" i="12"/>
  <c r="BJ304" i="12" s="1"/>
  <c r="BJ314" i="12" s="1"/>
  <c r="BJ292" i="12"/>
  <c r="BJ302" i="12" s="1"/>
  <c r="BJ312" i="12" s="1"/>
  <c r="BJ293" i="12"/>
  <c r="BJ303" i="12" s="1"/>
  <c r="BJ313" i="12" s="1"/>
  <c r="BJ295" i="12"/>
  <c r="BJ305" i="12" s="1"/>
  <c r="BJ315" i="12" s="1"/>
  <c r="BJ296" i="12"/>
  <c r="BJ306" i="12" s="1"/>
  <c r="BJ316" i="12" s="1"/>
  <c r="V288" i="12"/>
  <c r="V298" i="12" s="1"/>
  <c r="V308" i="12" s="1"/>
  <c r="V297" i="12"/>
  <c r="V307" i="12" s="1"/>
  <c r="V317" i="12" s="1"/>
  <c r="V292" i="12"/>
  <c r="V302" i="12" s="1"/>
  <c r="V312" i="12" s="1"/>
  <c r="V294" i="12"/>
  <c r="V304" i="12" s="1"/>
  <c r="V314" i="12" s="1"/>
  <c r="V295" i="12"/>
  <c r="V305" i="12" s="1"/>
  <c r="V315" i="12" s="1"/>
  <c r="V293" i="12"/>
  <c r="V303" i="12" s="1"/>
  <c r="V313" i="12" s="1"/>
  <c r="V296" i="12"/>
  <c r="V306" i="12" s="1"/>
  <c r="V316" i="12" s="1"/>
  <c r="Z121" i="12"/>
  <c r="Y131" i="12"/>
  <c r="Y135" i="12" s="1"/>
  <c r="Y145" i="12" s="1"/>
  <c r="Y155" i="12" s="1"/>
  <c r="Y122" i="12"/>
  <c r="Y162" i="12"/>
  <c r="AA17" i="12"/>
  <c r="Z27" i="12"/>
  <c r="Z31" i="12" s="1"/>
  <c r="Z41" i="12" s="1"/>
  <c r="Z51" i="12" s="1"/>
  <c r="Z18" i="12"/>
  <c r="Z58" i="12"/>
  <c r="X132" i="13"/>
  <c r="X142" i="13" s="1"/>
  <c r="X152" i="13" s="1"/>
  <c r="X141" i="13"/>
  <c r="X151" i="13" s="1"/>
  <c r="X161" i="13" s="1"/>
  <c r="X225" i="12"/>
  <c r="W235" i="12"/>
  <c r="W239" i="12" s="1"/>
  <c r="W249" i="12" s="1"/>
  <c r="W259" i="12" s="1"/>
  <c r="W226" i="12"/>
  <c r="W266" i="12"/>
  <c r="W193" i="13"/>
  <c r="W203" i="13" s="1"/>
  <c r="W213" i="13" s="1"/>
  <c r="W184" i="13"/>
  <c r="W194" i="13" s="1"/>
  <c r="W204" i="13" s="1"/>
  <c r="W184" i="12"/>
  <c r="W194" i="12" s="1"/>
  <c r="W204" i="12" s="1"/>
  <c r="W193" i="12"/>
  <c r="W203" i="12" s="1"/>
  <c r="W213" i="12" s="1"/>
  <c r="W185" i="12"/>
  <c r="W195" i="12" s="1"/>
  <c r="W205" i="12" s="1"/>
  <c r="W186" i="12"/>
  <c r="W196" i="12" s="1"/>
  <c r="W206" i="12" s="1"/>
  <c r="V245" i="13"/>
  <c r="V255" i="13" s="1"/>
  <c r="V265" i="13" s="1"/>
  <c r="V236" i="13"/>
  <c r="V246" i="13" s="1"/>
  <c r="V256" i="13" s="1"/>
  <c r="Y89" i="13"/>
  <c r="Y99" i="13" s="1"/>
  <c r="Y109" i="13" s="1"/>
  <c r="Y80" i="13"/>
  <c r="Y90" i="13" s="1"/>
  <c r="Y100" i="13" s="1"/>
  <c r="BG323" i="12" l="1"/>
  <c r="X86" i="12"/>
  <c r="X96" i="12" s="1"/>
  <c r="X106" i="12" s="1"/>
  <c r="X88" i="12"/>
  <c r="X98" i="12" s="1"/>
  <c r="X108" i="12" s="1"/>
  <c r="X87" i="12"/>
  <c r="X97" i="12" s="1"/>
  <c r="X107" i="12" s="1"/>
  <c r="X85" i="12"/>
  <c r="X95" i="12" s="1"/>
  <c r="X105" i="12" s="1"/>
  <c r="V319" i="13"/>
  <c r="U320" i="13" s="1"/>
  <c r="W111" i="12"/>
  <c r="V114" i="12" s="1"/>
  <c r="T219" i="12"/>
  <c r="BI216" i="13"/>
  <c r="BH219" i="13" s="1"/>
  <c r="Y70" i="12"/>
  <c r="Y110" i="12"/>
  <c r="Z69" i="12"/>
  <c r="Y79" i="12"/>
  <c r="U112" i="12"/>
  <c r="T115" i="12" s="1"/>
  <c r="U114" i="12"/>
  <c r="X83" i="12"/>
  <c r="X93" i="12" s="1"/>
  <c r="X103" i="12" s="1"/>
  <c r="X80" i="12"/>
  <c r="X90" i="12" s="1"/>
  <c r="X100" i="12" s="1"/>
  <c r="X84" i="12"/>
  <c r="X94" i="12" s="1"/>
  <c r="X104" i="12" s="1"/>
  <c r="X81" i="12"/>
  <c r="X91" i="12" s="1"/>
  <c r="X101" i="12" s="1"/>
  <c r="X89" i="12"/>
  <c r="X99" i="12" s="1"/>
  <c r="X109" i="12" s="1"/>
  <c r="X82" i="12"/>
  <c r="X92" i="12" s="1"/>
  <c r="X102" i="12" s="1"/>
  <c r="W62" i="12"/>
  <c r="BG216" i="12"/>
  <c r="BF219" i="12" s="1"/>
  <c r="BJ190" i="12"/>
  <c r="BJ200" i="12" s="1"/>
  <c r="BJ210" i="12" s="1"/>
  <c r="BJ189" i="12"/>
  <c r="BJ199" i="12" s="1"/>
  <c r="BJ209" i="12" s="1"/>
  <c r="BJ192" i="12"/>
  <c r="BJ202" i="12" s="1"/>
  <c r="BJ212" i="12" s="1"/>
  <c r="BJ191" i="12"/>
  <c r="BJ201" i="12" s="1"/>
  <c r="BJ211" i="12" s="1"/>
  <c r="BI215" i="12"/>
  <c r="BH216" i="12" s="1"/>
  <c r="BJ187" i="12"/>
  <c r="BJ197" i="12" s="1"/>
  <c r="BJ207" i="12" s="1"/>
  <c r="BJ184" i="12"/>
  <c r="BJ194" i="12" s="1"/>
  <c r="BJ204" i="12" s="1"/>
  <c r="BJ186" i="12"/>
  <c r="BJ196" i="12" s="1"/>
  <c r="BJ206" i="12" s="1"/>
  <c r="BJ185" i="12"/>
  <c r="BJ195" i="12" s="1"/>
  <c r="BJ205" i="12" s="1"/>
  <c r="BJ193" i="12"/>
  <c r="BJ203" i="12" s="1"/>
  <c r="BJ213" i="12" s="1"/>
  <c r="BH320" i="13"/>
  <c r="BG323" i="13" s="1"/>
  <c r="BI167" i="13"/>
  <c r="S271" i="13"/>
  <c r="BH322" i="12"/>
  <c r="T322" i="12"/>
  <c r="V63" i="12"/>
  <c r="BG271" i="13"/>
  <c r="U218" i="13"/>
  <c r="U218" i="12"/>
  <c r="V62" i="13"/>
  <c r="V166" i="13"/>
  <c r="T320" i="13"/>
  <c r="S323" i="13" s="1"/>
  <c r="BJ319" i="12"/>
  <c r="BJ320" i="12" s="1"/>
  <c r="V319" i="12"/>
  <c r="U320" i="12" s="1"/>
  <c r="T323" i="12" s="1"/>
  <c r="BJ319" i="13"/>
  <c r="BI320" i="13" s="1"/>
  <c r="W291" i="12"/>
  <c r="W301" i="12" s="1"/>
  <c r="W311" i="12" s="1"/>
  <c r="W289" i="12"/>
  <c r="W299" i="12" s="1"/>
  <c r="W309" i="12" s="1"/>
  <c r="W290" i="12"/>
  <c r="W300" i="12" s="1"/>
  <c r="W310" i="12" s="1"/>
  <c r="BI63" i="13"/>
  <c r="BI218" i="13"/>
  <c r="BJ267" i="12"/>
  <c r="BJ270" i="12" s="1"/>
  <c r="X59" i="13"/>
  <c r="W62" i="13" s="1"/>
  <c r="BJ218" i="13"/>
  <c r="Z83" i="13"/>
  <c r="Z93" i="13" s="1"/>
  <c r="Z103" i="13" s="1"/>
  <c r="Z84" i="13"/>
  <c r="Z94" i="13" s="1"/>
  <c r="Z104" i="13" s="1"/>
  <c r="Z85" i="13"/>
  <c r="Z95" i="13" s="1"/>
  <c r="Z105" i="13" s="1"/>
  <c r="Z87" i="13"/>
  <c r="Z97" i="13" s="1"/>
  <c r="Z107" i="13" s="1"/>
  <c r="Z88" i="13"/>
  <c r="Z98" i="13" s="1"/>
  <c r="Z108" i="13" s="1"/>
  <c r="Z86" i="13"/>
  <c r="Z96" i="13" s="1"/>
  <c r="Z106" i="13" s="1"/>
  <c r="Z82" i="13"/>
  <c r="Z92" i="13" s="1"/>
  <c r="Z102" i="13" s="1"/>
  <c r="Z36" i="12"/>
  <c r="Z46" i="12" s="1"/>
  <c r="Z56" i="12" s="1"/>
  <c r="Z33" i="12"/>
  <c r="Z43" i="12" s="1"/>
  <c r="Z53" i="12" s="1"/>
  <c r="Z32" i="12"/>
  <c r="Z42" i="12" s="1"/>
  <c r="Z52" i="12" s="1"/>
  <c r="Z34" i="12"/>
  <c r="Z44" i="12" s="1"/>
  <c r="Z54" i="12" s="1"/>
  <c r="Z35" i="12"/>
  <c r="Z45" i="12" s="1"/>
  <c r="Z55" i="12" s="1"/>
  <c r="Y31" i="13"/>
  <c r="Y41" i="13" s="1"/>
  <c r="Y51" i="13" s="1"/>
  <c r="Y36" i="13"/>
  <c r="Y46" i="13" s="1"/>
  <c r="Y56" i="13" s="1"/>
  <c r="Y30" i="13"/>
  <c r="Y40" i="13" s="1"/>
  <c r="Y50" i="13" s="1"/>
  <c r="Y34" i="13"/>
  <c r="Y44" i="13" s="1"/>
  <c r="Y54" i="13" s="1"/>
  <c r="Y35" i="13"/>
  <c r="Y45" i="13" s="1"/>
  <c r="Y55" i="13" s="1"/>
  <c r="Y32" i="13"/>
  <c r="Y42" i="13" s="1"/>
  <c r="Y52" i="13" s="1"/>
  <c r="Y33" i="13"/>
  <c r="Y43" i="13" s="1"/>
  <c r="Y53" i="13" s="1"/>
  <c r="X191" i="13"/>
  <c r="X201" i="13" s="1"/>
  <c r="X211" i="13" s="1"/>
  <c r="X189" i="13"/>
  <c r="X199" i="13" s="1"/>
  <c r="X209" i="13" s="1"/>
  <c r="X192" i="13"/>
  <c r="X202" i="13" s="1"/>
  <c r="X212" i="13" s="1"/>
  <c r="X186" i="13"/>
  <c r="X196" i="13" s="1"/>
  <c r="X206" i="13" s="1"/>
  <c r="X190" i="13"/>
  <c r="X200" i="13" s="1"/>
  <c r="X210" i="13" s="1"/>
  <c r="X187" i="13"/>
  <c r="X197" i="13" s="1"/>
  <c r="X207" i="13" s="1"/>
  <c r="X188" i="13"/>
  <c r="X198" i="13" s="1"/>
  <c r="X208" i="13" s="1"/>
  <c r="W238" i="13"/>
  <c r="W248" i="13" s="1"/>
  <c r="W258" i="13" s="1"/>
  <c r="W242" i="13"/>
  <c r="W252" i="13" s="1"/>
  <c r="W262" i="13" s="1"/>
  <c r="W240" i="13"/>
  <c r="W250" i="13" s="1"/>
  <c r="W260" i="13" s="1"/>
  <c r="W244" i="13"/>
  <c r="W254" i="13" s="1"/>
  <c r="W264" i="13" s="1"/>
  <c r="W241" i="13"/>
  <c r="W251" i="13" s="1"/>
  <c r="W261" i="13" s="1"/>
  <c r="W243" i="13"/>
  <c r="W253" i="13" s="1"/>
  <c r="W263" i="13" s="1"/>
  <c r="W239" i="13"/>
  <c r="W249" i="13" s="1"/>
  <c r="W259" i="13" s="1"/>
  <c r="Y137" i="13"/>
  <c r="Y147" i="13" s="1"/>
  <c r="Y157" i="13" s="1"/>
  <c r="Y138" i="13"/>
  <c r="Y148" i="13" s="1"/>
  <c r="Y158" i="13" s="1"/>
  <c r="Y140" i="13"/>
  <c r="Y150" i="13" s="1"/>
  <c r="Y160" i="13" s="1"/>
  <c r="Y139" i="13"/>
  <c r="Y149" i="13" s="1"/>
  <c r="Y159" i="13" s="1"/>
  <c r="Y134" i="13"/>
  <c r="Y144" i="13" s="1"/>
  <c r="Y154" i="13" s="1"/>
  <c r="Y135" i="13"/>
  <c r="Y145" i="13" s="1"/>
  <c r="Y155" i="13" s="1"/>
  <c r="Y136" i="13"/>
  <c r="Y146" i="13" s="1"/>
  <c r="Y156" i="13" s="1"/>
  <c r="W242" i="12"/>
  <c r="W252" i="12" s="1"/>
  <c r="W262" i="12" s="1"/>
  <c r="W241" i="12"/>
  <c r="W251" i="12" s="1"/>
  <c r="W261" i="12" s="1"/>
  <c r="W244" i="12"/>
  <c r="W254" i="12" s="1"/>
  <c r="W264" i="12" s="1"/>
  <c r="W240" i="12"/>
  <c r="W250" i="12" s="1"/>
  <c r="W260" i="12" s="1"/>
  <c r="W243" i="12"/>
  <c r="W253" i="12" s="1"/>
  <c r="W263" i="12" s="1"/>
  <c r="Y136" i="12"/>
  <c r="Y146" i="12" s="1"/>
  <c r="Y156" i="12" s="1"/>
  <c r="Y137" i="12"/>
  <c r="Y147" i="12" s="1"/>
  <c r="Y157" i="12" s="1"/>
  <c r="Y138" i="12"/>
  <c r="Y148" i="12" s="1"/>
  <c r="Y158" i="12" s="1"/>
  <c r="Y139" i="12"/>
  <c r="Y149" i="12" s="1"/>
  <c r="Y159" i="12" s="1"/>
  <c r="Y140" i="12"/>
  <c r="Y150" i="12" s="1"/>
  <c r="Y160" i="12" s="1"/>
  <c r="X191" i="12"/>
  <c r="X201" i="12" s="1"/>
  <c r="X211" i="12" s="1"/>
  <c r="X192" i="12"/>
  <c r="X202" i="12" s="1"/>
  <c r="X212" i="12" s="1"/>
  <c r="X188" i="12"/>
  <c r="X198" i="12" s="1"/>
  <c r="X208" i="12" s="1"/>
  <c r="X190" i="12"/>
  <c r="X200" i="12" s="1"/>
  <c r="X210" i="12" s="1"/>
  <c r="X189" i="12"/>
  <c r="X199" i="12" s="1"/>
  <c r="X209" i="12" s="1"/>
  <c r="V166" i="12"/>
  <c r="W114" i="13"/>
  <c r="X163" i="13"/>
  <c r="W164" i="13" s="1"/>
  <c r="V167" i="13" s="1"/>
  <c r="T270" i="12"/>
  <c r="Y111" i="13"/>
  <c r="X112" i="13" s="1"/>
  <c r="W115" i="13" s="1"/>
  <c r="BH270" i="13"/>
  <c r="BH270" i="12"/>
  <c r="BI167" i="12"/>
  <c r="BJ267" i="13"/>
  <c r="BI268" i="13" s="1"/>
  <c r="BH271" i="13" s="1"/>
  <c r="W215" i="12"/>
  <c r="V216" i="12" s="1"/>
  <c r="U219" i="12" s="1"/>
  <c r="T270" i="13"/>
  <c r="W215" i="13"/>
  <c r="V216" i="13" s="1"/>
  <c r="U219" i="13" s="1"/>
  <c r="V267" i="12"/>
  <c r="U270" i="12" s="1"/>
  <c r="Y59" i="12"/>
  <c r="X62" i="12" s="1"/>
  <c r="X163" i="12"/>
  <c r="W166" i="12" s="1"/>
  <c r="V267" i="13"/>
  <c r="U268" i="13" s="1"/>
  <c r="T271" i="13" s="1"/>
  <c r="Y225" i="12"/>
  <c r="X235" i="12"/>
  <c r="X239" i="12" s="1"/>
  <c r="X249" i="12" s="1"/>
  <c r="X259" i="12" s="1"/>
  <c r="X226" i="12"/>
  <c r="X266" i="12"/>
  <c r="Z37" i="12"/>
  <c r="Z47" i="12" s="1"/>
  <c r="Z57" i="12" s="1"/>
  <c r="Z28" i="12"/>
  <c r="Z38" i="12" s="1"/>
  <c r="Z48" i="12" s="1"/>
  <c r="Z30" i="12"/>
  <c r="Z40" i="12" s="1"/>
  <c r="Z50" i="12" s="1"/>
  <c r="Z29" i="12"/>
  <c r="Z39" i="12" s="1"/>
  <c r="Z49" i="12" s="1"/>
  <c r="Z89" i="13"/>
  <c r="Z99" i="13" s="1"/>
  <c r="Z109" i="13" s="1"/>
  <c r="Z80" i="13"/>
  <c r="Z90" i="13" s="1"/>
  <c r="Z100" i="13" s="1"/>
  <c r="Z173" i="12"/>
  <c r="Y183" i="12"/>
  <c r="Y187" i="12" s="1"/>
  <c r="Y197" i="12" s="1"/>
  <c r="Y207" i="12" s="1"/>
  <c r="Y174" i="12"/>
  <c r="Y214" i="12"/>
  <c r="U322" i="13"/>
  <c r="AB17" i="12"/>
  <c r="AA27" i="12"/>
  <c r="AA31" i="12" s="1"/>
  <c r="AA41" i="12" s="1"/>
  <c r="AA51" i="12" s="1"/>
  <c r="AA18" i="12"/>
  <c r="AA58" i="12"/>
  <c r="Y37" i="13"/>
  <c r="Y47" i="13" s="1"/>
  <c r="Y57" i="13" s="1"/>
  <c r="Y28" i="13"/>
  <c r="Y38" i="13" s="1"/>
  <c r="Y48" i="13" s="1"/>
  <c r="X184" i="13"/>
  <c r="X194" i="13" s="1"/>
  <c r="X204" i="13" s="1"/>
  <c r="X193" i="13"/>
  <c r="X203" i="13" s="1"/>
  <c r="X213" i="13" s="1"/>
  <c r="W245" i="13"/>
  <c r="W255" i="13" s="1"/>
  <c r="W265" i="13" s="1"/>
  <c r="W236" i="13"/>
  <c r="W246" i="13" s="1"/>
  <c r="W256" i="13" s="1"/>
  <c r="Y141" i="13"/>
  <c r="Y151" i="13" s="1"/>
  <c r="Y161" i="13" s="1"/>
  <c r="Y132" i="13"/>
  <c r="Y142" i="13" s="1"/>
  <c r="Y152" i="13" s="1"/>
  <c r="W288" i="12"/>
  <c r="W298" i="12" s="1"/>
  <c r="W308" i="12" s="1"/>
  <c r="W297" i="12"/>
  <c r="W307" i="12" s="1"/>
  <c r="W317" i="12" s="1"/>
  <c r="W293" i="12"/>
  <c r="W303" i="12" s="1"/>
  <c r="W313" i="12" s="1"/>
  <c r="W294" i="12"/>
  <c r="W304" i="12" s="1"/>
  <c r="W314" i="12" s="1"/>
  <c r="W292" i="12"/>
  <c r="W302" i="12" s="1"/>
  <c r="W312" i="12" s="1"/>
  <c r="W295" i="12"/>
  <c r="W305" i="12" s="1"/>
  <c r="W315" i="12" s="1"/>
  <c r="W296" i="12"/>
  <c r="W306" i="12" s="1"/>
  <c r="W316" i="12" s="1"/>
  <c r="Y132" i="12"/>
  <c r="Y142" i="12" s="1"/>
  <c r="Y152" i="12" s="1"/>
  <c r="Y141" i="12"/>
  <c r="Y151" i="12" s="1"/>
  <c r="Y161" i="12" s="1"/>
  <c r="Y133" i="12"/>
  <c r="Y143" i="12" s="1"/>
  <c r="Y153" i="12" s="1"/>
  <c r="Y134" i="12"/>
  <c r="Y144" i="12" s="1"/>
  <c r="Y154" i="12" s="1"/>
  <c r="AA17" i="13"/>
  <c r="Z18" i="13"/>
  <c r="Z27" i="13"/>
  <c r="Z29" i="13" s="1"/>
  <c r="Z39" i="13" s="1"/>
  <c r="Z49" i="13" s="1"/>
  <c r="Z58" i="13"/>
  <c r="Z173" i="13"/>
  <c r="Y174" i="13"/>
  <c r="Y183" i="13"/>
  <c r="Y185" i="13" s="1"/>
  <c r="Y195" i="13" s="1"/>
  <c r="Y205" i="13" s="1"/>
  <c r="Y214" i="13"/>
  <c r="AB69" i="13"/>
  <c r="AA79" i="13"/>
  <c r="AA81" i="13" s="1"/>
  <c r="AA91" i="13" s="1"/>
  <c r="AA101" i="13" s="1"/>
  <c r="AA70" i="13"/>
  <c r="AA110" i="13"/>
  <c r="Y225" i="13"/>
  <c r="X235" i="13"/>
  <c r="X237" i="13" s="1"/>
  <c r="X247" i="13" s="1"/>
  <c r="X257" i="13" s="1"/>
  <c r="X226" i="13"/>
  <c r="X266" i="13"/>
  <c r="AA121" i="13"/>
  <c r="Z131" i="13"/>
  <c r="Z133" i="13" s="1"/>
  <c r="Z143" i="13" s="1"/>
  <c r="Z153" i="13" s="1"/>
  <c r="Z122" i="13"/>
  <c r="Z162" i="13"/>
  <c r="W297" i="13"/>
  <c r="W307" i="13" s="1"/>
  <c r="W317" i="13" s="1"/>
  <c r="W288" i="13"/>
  <c r="W298" i="13" s="1"/>
  <c r="W308" i="13" s="1"/>
  <c r="W296" i="13"/>
  <c r="W306" i="13" s="1"/>
  <c r="W316" i="13" s="1"/>
  <c r="W290" i="13"/>
  <c r="W300" i="13" s="1"/>
  <c r="W310" i="13" s="1"/>
  <c r="W292" i="13"/>
  <c r="W302" i="13" s="1"/>
  <c r="W312" i="13" s="1"/>
  <c r="W293" i="13"/>
  <c r="W303" i="13" s="1"/>
  <c r="W313" i="13" s="1"/>
  <c r="W295" i="13"/>
  <c r="W305" i="13" s="1"/>
  <c r="W315" i="13" s="1"/>
  <c r="W291" i="13"/>
  <c r="W301" i="13" s="1"/>
  <c r="W311" i="13" s="1"/>
  <c r="W294" i="13"/>
  <c r="W304" i="13" s="1"/>
  <c r="W314" i="13" s="1"/>
  <c r="W236" i="12"/>
  <c r="W246" i="12" s="1"/>
  <c r="W256" i="12" s="1"/>
  <c r="W245" i="12"/>
  <c r="W255" i="12" s="1"/>
  <c r="W265" i="12" s="1"/>
  <c r="W237" i="12"/>
  <c r="W247" i="12" s="1"/>
  <c r="W257" i="12" s="1"/>
  <c r="W238" i="12"/>
  <c r="W248" i="12" s="1"/>
  <c r="W258" i="12" s="1"/>
  <c r="AA121" i="12"/>
  <c r="Z131" i="12"/>
  <c r="Z135" i="12" s="1"/>
  <c r="Z145" i="12" s="1"/>
  <c r="Z155" i="12" s="1"/>
  <c r="Z122" i="12"/>
  <c r="Z162" i="12"/>
  <c r="X184" i="12"/>
  <c r="X194" i="12" s="1"/>
  <c r="X204" i="12" s="1"/>
  <c r="X193" i="12"/>
  <c r="X203" i="12" s="1"/>
  <c r="X213" i="12" s="1"/>
  <c r="X186" i="12"/>
  <c r="X196" i="12" s="1"/>
  <c r="X206" i="12" s="1"/>
  <c r="X185" i="12"/>
  <c r="X195" i="12" s="1"/>
  <c r="X205" i="12" s="1"/>
  <c r="BJ219" i="13"/>
  <c r="Y277" i="12"/>
  <c r="X287" i="12"/>
  <c r="X278" i="12"/>
  <c r="X318" i="12"/>
  <c r="Y277" i="13"/>
  <c r="X278" i="13"/>
  <c r="X287" i="13"/>
  <c r="X289" i="13" s="1"/>
  <c r="X299" i="13" s="1"/>
  <c r="X309" i="13" s="1"/>
  <c r="X318" i="13"/>
  <c r="Y87" i="12" l="1"/>
  <c r="Y97" i="12" s="1"/>
  <c r="Y107" i="12" s="1"/>
  <c r="Y85" i="12"/>
  <c r="Y95" i="12" s="1"/>
  <c r="Y105" i="12" s="1"/>
  <c r="Y86" i="12"/>
  <c r="Y96" i="12" s="1"/>
  <c r="Y106" i="12" s="1"/>
  <c r="Y88" i="12"/>
  <c r="Y98" i="12" s="1"/>
  <c r="Y108" i="12" s="1"/>
  <c r="BI219" i="13"/>
  <c r="V112" i="12"/>
  <c r="U115" i="12" s="1"/>
  <c r="X111" i="12"/>
  <c r="W112" i="12" s="1"/>
  <c r="Y83" i="12"/>
  <c r="Y93" i="12" s="1"/>
  <c r="Y103" i="12" s="1"/>
  <c r="Y81" i="12"/>
  <c r="Y91" i="12" s="1"/>
  <c r="Y101" i="12" s="1"/>
  <c r="Y82" i="12"/>
  <c r="Y92" i="12" s="1"/>
  <c r="Y102" i="12" s="1"/>
  <c r="Y89" i="12"/>
  <c r="Y99" i="12" s="1"/>
  <c r="Y109" i="12" s="1"/>
  <c r="Y80" i="12"/>
  <c r="Y90" i="12" s="1"/>
  <c r="Y100" i="12" s="1"/>
  <c r="Y84" i="12"/>
  <c r="Y94" i="12" s="1"/>
  <c r="Y104" i="12" s="1"/>
  <c r="AA69" i="12"/>
  <c r="Z79" i="12"/>
  <c r="Z110" i="12"/>
  <c r="Z70" i="12"/>
  <c r="BG219" i="12"/>
  <c r="BJ215" i="12"/>
  <c r="BJ216" i="12" s="1"/>
  <c r="BJ219" i="12" s="1"/>
  <c r="BH218" i="12"/>
  <c r="BJ268" i="12"/>
  <c r="BJ271" i="12" s="1"/>
  <c r="BI322" i="12"/>
  <c r="BH323" i="13"/>
  <c r="BJ320" i="13"/>
  <c r="BI323" i="13" s="1"/>
  <c r="BJ322" i="13"/>
  <c r="BI322" i="13"/>
  <c r="BI270" i="12"/>
  <c r="BI320" i="12"/>
  <c r="BH323" i="12" s="1"/>
  <c r="BI268" i="12"/>
  <c r="BH271" i="12" s="1"/>
  <c r="T323" i="13"/>
  <c r="BJ322" i="12"/>
  <c r="W60" i="13"/>
  <c r="V63" i="13" s="1"/>
  <c r="U322" i="12"/>
  <c r="W319" i="13"/>
  <c r="V320" i="13" s="1"/>
  <c r="U323" i="13" s="1"/>
  <c r="X291" i="12"/>
  <c r="X301" i="12" s="1"/>
  <c r="X311" i="12" s="1"/>
  <c r="X290" i="12"/>
  <c r="X300" i="12" s="1"/>
  <c r="X310" i="12" s="1"/>
  <c r="X289" i="12"/>
  <c r="X299" i="12" s="1"/>
  <c r="X309" i="12" s="1"/>
  <c r="W319" i="12"/>
  <c r="V320" i="12" s="1"/>
  <c r="U323" i="12" s="1"/>
  <c r="W164" i="12"/>
  <c r="V167" i="12" s="1"/>
  <c r="V218" i="12"/>
  <c r="Z139" i="12"/>
  <c r="Z149" i="12" s="1"/>
  <c r="Z159" i="12" s="1"/>
  <c r="Z136" i="12"/>
  <c r="Z146" i="12" s="1"/>
  <c r="Z156" i="12" s="1"/>
  <c r="Z140" i="12"/>
  <c r="Z150" i="12" s="1"/>
  <c r="Z160" i="12" s="1"/>
  <c r="Z138" i="12"/>
  <c r="Z148" i="12" s="1"/>
  <c r="Z158" i="12" s="1"/>
  <c r="Z137" i="12"/>
  <c r="Z147" i="12" s="1"/>
  <c r="Z157" i="12" s="1"/>
  <c r="Y190" i="13"/>
  <c r="Y200" i="13" s="1"/>
  <c r="Y210" i="13" s="1"/>
  <c r="Y191" i="13"/>
  <c r="Y201" i="13" s="1"/>
  <c r="Y211" i="13" s="1"/>
  <c r="Y189" i="13"/>
  <c r="Y199" i="13" s="1"/>
  <c r="Y209" i="13" s="1"/>
  <c r="Y192" i="13"/>
  <c r="Y202" i="13" s="1"/>
  <c r="Y212" i="13" s="1"/>
  <c r="Y186" i="13"/>
  <c r="Y196" i="13" s="1"/>
  <c r="Y206" i="13" s="1"/>
  <c r="Y187" i="13"/>
  <c r="Y197" i="13" s="1"/>
  <c r="Y207" i="13" s="1"/>
  <c r="Y188" i="13"/>
  <c r="Y198" i="13" s="1"/>
  <c r="Y208" i="13" s="1"/>
  <c r="Z31" i="13"/>
  <c r="Z41" i="13" s="1"/>
  <c r="Z51" i="13" s="1"/>
  <c r="Z33" i="13"/>
  <c r="Z43" i="13" s="1"/>
  <c r="Z53" i="13" s="1"/>
  <c r="Z36" i="13"/>
  <c r="Z46" i="13" s="1"/>
  <c r="Z56" i="13" s="1"/>
  <c r="Z35" i="13"/>
  <c r="Z45" i="13" s="1"/>
  <c r="Z55" i="13" s="1"/>
  <c r="Z32" i="13"/>
  <c r="Z42" i="13" s="1"/>
  <c r="Z52" i="13" s="1"/>
  <c r="Z30" i="13"/>
  <c r="Z40" i="13" s="1"/>
  <c r="Z50" i="13" s="1"/>
  <c r="Z34" i="13"/>
  <c r="Z44" i="13" s="1"/>
  <c r="Z54" i="13" s="1"/>
  <c r="AA33" i="12"/>
  <c r="AA43" i="12" s="1"/>
  <c r="AA53" i="12" s="1"/>
  <c r="AA36" i="12"/>
  <c r="AA46" i="12" s="1"/>
  <c r="AA56" i="12" s="1"/>
  <c r="AA34" i="12"/>
  <c r="AA44" i="12" s="1"/>
  <c r="AA54" i="12" s="1"/>
  <c r="AA35" i="12"/>
  <c r="AA45" i="12" s="1"/>
  <c r="AA55" i="12" s="1"/>
  <c r="AA32" i="12"/>
  <c r="AA42" i="12" s="1"/>
  <c r="AA52" i="12" s="1"/>
  <c r="Z137" i="13"/>
  <c r="Z147" i="13" s="1"/>
  <c r="Z157" i="13" s="1"/>
  <c r="Z138" i="13"/>
  <c r="Z148" i="13" s="1"/>
  <c r="Z158" i="13" s="1"/>
  <c r="Z140" i="13"/>
  <c r="Z150" i="13" s="1"/>
  <c r="Z160" i="13" s="1"/>
  <c r="Z139" i="13"/>
  <c r="Z149" i="13" s="1"/>
  <c r="Z159" i="13" s="1"/>
  <c r="Z135" i="13"/>
  <c r="Z145" i="13" s="1"/>
  <c r="Z155" i="13" s="1"/>
  <c r="Z134" i="13"/>
  <c r="Z144" i="13" s="1"/>
  <c r="Z154" i="13" s="1"/>
  <c r="Z136" i="13"/>
  <c r="Z146" i="13" s="1"/>
  <c r="Z156" i="13" s="1"/>
  <c r="X238" i="13"/>
  <c r="X248" i="13" s="1"/>
  <c r="X258" i="13" s="1"/>
  <c r="X244" i="13"/>
  <c r="X254" i="13" s="1"/>
  <c r="X264" i="13" s="1"/>
  <c r="X241" i="13"/>
  <c r="X251" i="13" s="1"/>
  <c r="X261" i="13" s="1"/>
  <c r="X240" i="13"/>
  <c r="X250" i="13" s="1"/>
  <c r="X260" i="13" s="1"/>
  <c r="X243" i="13"/>
  <c r="X253" i="13" s="1"/>
  <c r="X263" i="13" s="1"/>
  <c r="X242" i="13"/>
  <c r="X252" i="13" s="1"/>
  <c r="X262" i="13" s="1"/>
  <c r="X239" i="13"/>
  <c r="X249" i="13" s="1"/>
  <c r="X259" i="13" s="1"/>
  <c r="AA84" i="13"/>
  <c r="AA94" i="13" s="1"/>
  <c r="AA104" i="13" s="1"/>
  <c r="AA87" i="13"/>
  <c r="AA97" i="13" s="1"/>
  <c r="AA107" i="13" s="1"/>
  <c r="AA85" i="13"/>
  <c r="AA95" i="13" s="1"/>
  <c r="AA105" i="13" s="1"/>
  <c r="AA83" i="13"/>
  <c r="AA93" i="13" s="1"/>
  <c r="AA103" i="13" s="1"/>
  <c r="AA88" i="13"/>
  <c r="AA98" i="13" s="1"/>
  <c r="AA108" i="13" s="1"/>
  <c r="AA86" i="13"/>
  <c r="AA96" i="13" s="1"/>
  <c r="AA106" i="13" s="1"/>
  <c r="AA82" i="13"/>
  <c r="AA92" i="13" s="1"/>
  <c r="AA102" i="13" s="1"/>
  <c r="Y188" i="12"/>
  <c r="Y198" i="12" s="1"/>
  <c r="Y208" i="12" s="1"/>
  <c r="Y191" i="12"/>
  <c r="Y201" i="12" s="1"/>
  <c r="Y211" i="12" s="1"/>
  <c r="Y189" i="12"/>
  <c r="Y199" i="12" s="1"/>
  <c r="Y209" i="12" s="1"/>
  <c r="Y190" i="12"/>
  <c r="Y200" i="12" s="1"/>
  <c r="Y210" i="12" s="1"/>
  <c r="Y192" i="12"/>
  <c r="Y202" i="12" s="1"/>
  <c r="Y212" i="12" s="1"/>
  <c r="X244" i="12"/>
  <c r="X254" i="12" s="1"/>
  <c r="X264" i="12" s="1"/>
  <c r="X240" i="12"/>
  <c r="X250" i="12" s="1"/>
  <c r="X260" i="12" s="1"/>
  <c r="X243" i="12"/>
  <c r="X253" i="12" s="1"/>
  <c r="X263" i="12" s="1"/>
  <c r="X242" i="12"/>
  <c r="X252" i="12" s="1"/>
  <c r="X262" i="12" s="1"/>
  <c r="X241" i="12"/>
  <c r="X251" i="12" s="1"/>
  <c r="X261" i="12" s="1"/>
  <c r="W166" i="13"/>
  <c r="BI270" i="13"/>
  <c r="Z111" i="13"/>
  <c r="Y114" i="13" s="1"/>
  <c r="X114" i="13"/>
  <c r="W267" i="13"/>
  <c r="V268" i="13" s="1"/>
  <c r="U271" i="13" s="1"/>
  <c r="U270" i="13"/>
  <c r="Y163" i="13"/>
  <c r="X166" i="13" s="1"/>
  <c r="X60" i="12"/>
  <c r="W63" i="12" s="1"/>
  <c r="BJ268" i="13"/>
  <c r="BI271" i="13" s="1"/>
  <c r="Z59" i="12"/>
  <c r="Y60" i="12" s="1"/>
  <c r="U268" i="12"/>
  <c r="T271" i="12" s="1"/>
  <c r="BJ270" i="13"/>
  <c r="V218" i="13"/>
  <c r="X215" i="13"/>
  <c r="W218" i="13" s="1"/>
  <c r="W267" i="12"/>
  <c r="V270" i="12" s="1"/>
  <c r="Y59" i="13"/>
  <c r="X62" i="13" s="1"/>
  <c r="X215" i="12"/>
  <c r="W218" i="12" s="1"/>
  <c r="Y163" i="12"/>
  <c r="X166" i="12" s="1"/>
  <c r="X297" i="13"/>
  <c r="X307" i="13" s="1"/>
  <c r="X317" i="13" s="1"/>
  <c r="X288" i="13"/>
  <c r="X298" i="13" s="1"/>
  <c r="X308" i="13" s="1"/>
  <c r="X290" i="13"/>
  <c r="X300" i="13" s="1"/>
  <c r="X310" i="13" s="1"/>
  <c r="X295" i="13"/>
  <c r="X305" i="13" s="1"/>
  <c r="X315" i="13" s="1"/>
  <c r="X291" i="13"/>
  <c r="X301" i="13" s="1"/>
  <c r="X311" i="13" s="1"/>
  <c r="X292" i="13"/>
  <c r="X302" i="13" s="1"/>
  <c r="X312" i="13" s="1"/>
  <c r="X296" i="13"/>
  <c r="X306" i="13" s="1"/>
  <c r="X316" i="13" s="1"/>
  <c r="X293" i="13"/>
  <c r="X303" i="13" s="1"/>
  <c r="X313" i="13" s="1"/>
  <c r="X294" i="13"/>
  <c r="X304" i="13" s="1"/>
  <c r="X314" i="13" s="1"/>
  <c r="Y193" i="13"/>
  <c r="Y203" i="13" s="1"/>
  <c r="Y213" i="13" s="1"/>
  <c r="Y184" i="13"/>
  <c r="Y194" i="13" s="1"/>
  <c r="Y204" i="13" s="1"/>
  <c r="Z37" i="13"/>
  <c r="Z47" i="13" s="1"/>
  <c r="Z57" i="13" s="1"/>
  <c r="Z28" i="13"/>
  <c r="Z38" i="13" s="1"/>
  <c r="Z48" i="13" s="1"/>
  <c r="X297" i="12"/>
  <c r="X307" i="12" s="1"/>
  <c r="X317" i="12" s="1"/>
  <c r="X288" i="12"/>
  <c r="X298" i="12" s="1"/>
  <c r="X308" i="12" s="1"/>
  <c r="X292" i="12"/>
  <c r="X302" i="12" s="1"/>
  <c r="X312" i="12" s="1"/>
  <c r="X293" i="12"/>
  <c r="X303" i="12" s="1"/>
  <c r="X313" i="12" s="1"/>
  <c r="X296" i="12"/>
  <c r="X306" i="12" s="1"/>
  <c r="X316" i="12" s="1"/>
  <c r="X294" i="12"/>
  <c r="X304" i="12" s="1"/>
  <c r="X314" i="12" s="1"/>
  <c r="X295" i="12"/>
  <c r="X305" i="12" s="1"/>
  <c r="X315" i="12" s="1"/>
  <c r="Z132" i="12"/>
  <c r="Z142" i="12" s="1"/>
  <c r="Z152" i="12" s="1"/>
  <c r="Z141" i="12"/>
  <c r="Z151" i="12" s="1"/>
  <c r="Z161" i="12" s="1"/>
  <c r="Z134" i="12"/>
  <c r="Z144" i="12" s="1"/>
  <c r="Z154" i="12" s="1"/>
  <c r="Z133" i="12"/>
  <c r="Z143" i="12" s="1"/>
  <c r="Z153" i="12" s="1"/>
  <c r="Z141" i="13"/>
  <c r="Z151" i="13" s="1"/>
  <c r="Z161" i="13" s="1"/>
  <c r="Z132" i="13"/>
  <c r="Z142" i="13" s="1"/>
  <c r="Z152" i="13" s="1"/>
  <c r="X236" i="13"/>
  <c r="X246" i="13" s="1"/>
  <c r="X256" i="13" s="1"/>
  <c r="X245" i="13"/>
  <c r="X255" i="13" s="1"/>
  <c r="X265" i="13" s="1"/>
  <c r="AA80" i="13"/>
  <c r="AA90" i="13" s="1"/>
  <c r="AA100" i="13" s="1"/>
  <c r="AA89" i="13"/>
  <c r="AA99" i="13" s="1"/>
  <c r="AA109" i="13" s="1"/>
  <c r="Z277" i="13"/>
  <c r="Y287" i="13"/>
  <c r="Y289" i="13" s="1"/>
  <c r="Y299" i="13" s="1"/>
  <c r="Y309" i="13" s="1"/>
  <c r="Y278" i="13"/>
  <c r="Y318" i="13"/>
  <c r="Z277" i="12"/>
  <c r="Y278" i="12"/>
  <c r="Y287" i="12"/>
  <c r="Y318" i="12"/>
  <c r="AB121" i="12"/>
  <c r="AA131" i="12"/>
  <c r="AA135" i="12" s="1"/>
  <c r="AA145" i="12" s="1"/>
  <c r="AA155" i="12" s="1"/>
  <c r="AA122" i="12"/>
  <c r="AA162" i="12"/>
  <c r="AB121" i="13"/>
  <c r="AA131" i="13"/>
  <c r="AA133" i="13" s="1"/>
  <c r="AA143" i="13" s="1"/>
  <c r="AA153" i="13" s="1"/>
  <c r="AA122" i="13"/>
  <c r="AA162" i="13"/>
  <c r="Z225" i="13"/>
  <c r="Y235" i="13"/>
  <c r="Y237" i="13" s="1"/>
  <c r="Y247" i="13" s="1"/>
  <c r="Y257" i="13" s="1"/>
  <c r="Y226" i="13"/>
  <c r="Y266" i="13"/>
  <c r="AC69" i="13"/>
  <c r="AB79" i="13"/>
  <c r="AB81" i="13" s="1"/>
  <c r="AB91" i="13" s="1"/>
  <c r="AB101" i="13" s="1"/>
  <c r="AB70" i="13"/>
  <c r="AB110" i="13"/>
  <c r="AA173" i="13"/>
  <c r="Z183" i="13"/>
  <c r="Z185" i="13" s="1"/>
  <c r="Z195" i="13" s="1"/>
  <c r="Z205" i="13" s="1"/>
  <c r="Z174" i="13"/>
  <c r="Z214" i="13"/>
  <c r="AB17" i="13"/>
  <c r="AA27" i="13"/>
  <c r="AA29" i="13" s="1"/>
  <c r="AA39" i="13" s="1"/>
  <c r="AA49" i="13" s="1"/>
  <c r="AA18" i="13"/>
  <c r="AA58" i="13"/>
  <c r="AA28" i="12"/>
  <c r="AA38" i="12" s="1"/>
  <c r="AA48" i="12" s="1"/>
  <c r="AA37" i="12"/>
  <c r="AA47" i="12" s="1"/>
  <c r="AA57" i="12" s="1"/>
  <c r="AA30" i="12"/>
  <c r="AA40" i="12" s="1"/>
  <c r="AA50" i="12" s="1"/>
  <c r="AA29" i="12"/>
  <c r="AA39" i="12" s="1"/>
  <c r="AA49" i="12" s="1"/>
  <c r="Y184" i="12"/>
  <c r="Y194" i="12" s="1"/>
  <c r="Y204" i="12" s="1"/>
  <c r="Y193" i="12"/>
  <c r="Y203" i="12" s="1"/>
  <c r="Y213" i="12" s="1"/>
  <c r="Y186" i="12"/>
  <c r="Y196" i="12" s="1"/>
  <c r="Y206" i="12" s="1"/>
  <c r="Y185" i="12"/>
  <c r="Y195" i="12" s="1"/>
  <c r="Y205" i="12" s="1"/>
  <c r="X245" i="12"/>
  <c r="X255" i="12" s="1"/>
  <c r="X265" i="12" s="1"/>
  <c r="X236" i="12"/>
  <c r="X246" i="12" s="1"/>
  <c r="X256" i="12" s="1"/>
  <c r="X237" i="12"/>
  <c r="X247" i="12" s="1"/>
  <c r="X257" i="12" s="1"/>
  <c r="X238" i="12"/>
  <c r="X248" i="12" s="1"/>
  <c r="X258" i="12" s="1"/>
  <c r="AC17" i="12"/>
  <c r="AB27" i="12"/>
  <c r="AB31" i="12" s="1"/>
  <c r="AB41" i="12" s="1"/>
  <c r="AB51" i="12" s="1"/>
  <c r="AB18" i="12"/>
  <c r="AB58" i="12"/>
  <c r="AA173" i="12"/>
  <c r="Z183" i="12"/>
  <c r="Z187" i="12" s="1"/>
  <c r="Z197" i="12" s="1"/>
  <c r="Z207" i="12" s="1"/>
  <c r="Z174" i="12"/>
  <c r="Z214" i="12"/>
  <c r="Z225" i="12"/>
  <c r="Y235" i="12"/>
  <c r="Y239" i="12" s="1"/>
  <c r="Y249" i="12" s="1"/>
  <c r="Y259" i="12" s="1"/>
  <c r="Y226" i="12"/>
  <c r="Y266" i="12"/>
  <c r="BJ323" i="12"/>
  <c r="Z86" i="12" l="1"/>
  <c r="Z96" i="12" s="1"/>
  <c r="Z106" i="12" s="1"/>
  <c r="Z88" i="12"/>
  <c r="Z98" i="12" s="1"/>
  <c r="Z108" i="12" s="1"/>
  <c r="Z85" i="12"/>
  <c r="Z95" i="12" s="1"/>
  <c r="Z105" i="12" s="1"/>
  <c r="Z87" i="12"/>
  <c r="Z97" i="12" s="1"/>
  <c r="Z107" i="12" s="1"/>
  <c r="BI218" i="12"/>
  <c r="V115" i="12"/>
  <c r="BJ218" i="12"/>
  <c r="W114" i="12"/>
  <c r="V270" i="13"/>
  <c r="AA70" i="12"/>
  <c r="AA110" i="12"/>
  <c r="AB69" i="12"/>
  <c r="AA79" i="12"/>
  <c r="BJ323" i="13"/>
  <c r="Y111" i="12"/>
  <c r="BI216" i="12"/>
  <c r="BH219" i="12" s="1"/>
  <c r="Z83" i="12"/>
  <c r="Z93" i="12" s="1"/>
  <c r="Z103" i="12" s="1"/>
  <c r="Z81" i="12"/>
  <c r="Z91" i="12" s="1"/>
  <c r="Z101" i="12" s="1"/>
  <c r="Z82" i="12"/>
  <c r="Z92" i="12" s="1"/>
  <c r="Z102" i="12" s="1"/>
  <c r="Z84" i="12"/>
  <c r="Z94" i="12" s="1"/>
  <c r="Z104" i="12" s="1"/>
  <c r="Z89" i="12"/>
  <c r="Z99" i="12" s="1"/>
  <c r="Z109" i="12" s="1"/>
  <c r="Z80" i="12"/>
  <c r="Z90" i="12" s="1"/>
  <c r="Z100" i="12" s="1"/>
  <c r="BI323" i="12"/>
  <c r="Y112" i="13"/>
  <c r="X115" i="13" s="1"/>
  <c r="BI271" i="12"/>
  <c r="BJ271" i="13"/>
  <c r="V322" i="13"/>
  <c r="V322" i="12"/>
  <c r="X319" i="13"/>
  <c r="W322" i="13" s="1"/>
  <c r="Y291" i="12"/>
  <c r="Y301" i="12" s="1"/>
  <c r="Y311" i="12" s="1"/>
  <c r="Y289" i="12"/>
  <c r="Y299" i="12" s="1"/>
  <c r="Y309" i="12" s="1"/>
  <c r="Y290" i="12"/>
  <c r="Y300" i="12" s="1"/>
  <c r="Y310" i="12" s="1"/>
  <c r="X319" i="12"/>
  <c r="W320" i="12" s="1"/>
  <c r="V323" i="12" s="1"/>
  <c r="Y62" i="12"/>
  <c r="Y240" i="12"/>
  <c r="Y250" i="12" s="1"/>
  <c r="Y260" i="12" s="1"/>
  <c r="Y241" i="12"/>
  <c r="Y251" i="12" s="1"/>
  <c r="Y261" i="12" s="1"/>
  <c r="Y242" i="12"/>
  <c r="Y252" i="12" s="1"/>
  <c r="Y262" i="12" s="1"/>
  <c r="Y244" i="12"/>
  <c r="Y254" i="12" s="1"/>
  <c r="Y264" i="12" s="1"/>
  <c r="Y243" i="12"/>
  <c r="Y253" i="12" s="1"/>
  <c r="Y263" i="12" s="1"/>
  <c r="AB36" i="12"/>
  <c r="AB46" i="12" s="1"/>
  <c r="AB56" i="12" s="1"/>
  <c r="AB33" i="12"/>
  <c r="AB43" i="12" s="1"/>
  <c r="AB53" i="12" s="1"/>
  <c r="AB34" i="12"/>
  <c r="AB44" i="12" s="1"/>
  <c r="AB54" i="12" s="1"/>
  <c r="AB32" i="12"/>
  <c r="AB42" i="12" s="1"/>
  <c r="AB52" i="12" s="1"/>
  <c r="AB35" i="12"/>
  <c r="AB45" i="12" s="1"/>
  <c r="AB55" i="12" s="1"/>
  <c r="AA136" i="12"/>
  <c r="AA146" i="12" s="1"/>
  <c r="AA156" i="12" s="1"/>
  <c r="AA140" i="12"/>
  <c r="AA150" i="12" s="1"/>
  <c r="AA160" i="12" s="1"/>
  <c r="AA139" i="12"/>
  <c r="AA149" i="12" s="1"/>
  <c r="AA159" i="12" s="1"/>
  <c r="AA137" i="12"/>
  <c r="AA147" i="12" s="1"/>
  <c r="AA157" i="12" s="1"/>
  <c r="AA138" i="12"/>
  <c r="AA148" i="12" s="1"/>
  <c r="AA158" i="12" s="1"/>
  <c r="Z191" i="12"/>
  <c r="Z201" i="12" s="1"/>
  <c r="Z211" i="12" s="1"/>
  <c r="Z188" i="12"/>
  <c r="Z198" i="12" s="1"/>
  <c r="Z208" i="12" s="1"/>
  <c r="Z190" i="12"/>
  <c r="Z200" i="12" s="1"/>
  <c r="Z210" i="12" s="1"/>
  <c r="Z192" i="12"/>
  <c r="Z202" i="12" s="1"/>
  <c r="Z212" i="12" s="1"/>
  <c r="Z189" i="12"/>
  <c r="Z199" i="12" s="1"/>
  <c r="Z209" i="12" s="1"/>
  <c r="AA31" i="13"/>
  <c r="AA41" i="13" s="1"/>
  <c r="AA51" i="13" s="1"/>
  <c r="AA33" i="13"/>
  <c r="AA43" i="13" s="1"/>
  <c r="AA53" i="13" s="1"/>
  <c r="AA36" i="13"/>
  <c r="AA46" i="13" s="1"/>
  <c r="AA56" i="13" s="1"/>
  <c r="AA35" i="13"/>
  <c r="AA45" i="13" s="1"/>
  <c r="AA55" i="13" s="1"/>
  <c r="AA32" i="13"/>
  <c r="AA42" i="13" s="1"/>
  <c r="AA52" i="13" s="1"/>
  <c r="AA30" i="13"/>
  <c r="AA40" i="13" s="1"/>
  <c r="AA50" i="13" s="1"/>
  <c r="AA34" i="13"/>
  <c r="AA44" i="13" s="1"/>
  <c r="AA54" i="13" s="1"/>
  <c r="Z189" i="13"/>
  <c r="Z199" i="13" s="1"/>
  <c r="Z209" i="13" s="1"/>
  <c r="Z191" i="13"/>
  <c r="Z201" i="13" s="1"/>
  <c r="Z211" i="13" s="1"/>
  <c r="Z192" i="13"/>
  <c r="Z202" i="13" s="1"/>
  <c r="Z212" i="13" s="1"/>
  <c r="Z186" i="13"/>
  <c r="Z196" i="13" s="1"/>
  <c r="Z206" i="13" s="1"/>
  <c r="Z190" i="13"/>
  <c r="Z200" i="13" s="1"/>
  <c r="Z210" i="13" s="1"/>
  <c r="Z187" i="13"/>
  <c r="Z197" i="13" s="1"/>
  <c r="Z207" i="13" s="1"/>
  <c r="Z188" i="13"/>
  <c r="Z198" i="13" s="1"/>
  <c r="Z208" i="13" s="1"/>
  <c r="AB84" i="13"/>
  <c r="AB94" i="13" s="1"/>
  <c r="AB104" i="13" s="1"/>
  <c r="AB83" i="13"/>
  <c r="AB93" i="13" s="1"/>
  <c r="AB103" i="13" s="1"/>
  <c r="AB85" i="13"/>
  <c r="AB95" i="13" s="1"/>
  <c r="AB105" i="13" s="1"/>
  <c r="AB87" i="13"/>
  <c r="AB97" i="13" s="1"/>
  <c r="AB107" i="13" s="1"/>
  <c r="AB88" i="13"/>
  <c r="AB98" i="13" s="1"/>
  <c r="AB108" i="13" s="1"/>
  <c r="AB82" i="13"/>
  <c r="AB92" i="13" s="1"/>
  <c r="AB102" i="13" s="1"/>
  <c r="AB86" i="13"/>
  <c r="AB96" i="13" s="1"/>
  <c r="AB106" i="13" s="1"/>
  <c r="Y240" i="13"/>
  <c r="Y250" i="13" s="1"/>
  <c r="Y260" i="13" s="1"/>
  <c r="Y241" i="13"/>
  <c r="Y251" i="13" s="1"/>
  <c r="Y261" i="13" s="1"/>
  <c r="Y238" i="13"/>
  <c r="Y248" i="13" s="1"/>
  <c r="Y258" i="13" s="1"/>
  <c r="Y244" i="13"/>
  <c r="Y254" i="13" s="1"/>
  <c r="Y264" i="13" s="1"/>
  <c r="Y243" i="13"/>
  <c r="Y253" i="13" s="1"/>
  <c r="Y263" i="13" s="1"/>
  <c r="Y239" i="13"/>
  <c r="Y249" i="13" s="1"/>
  <c r="Y259" i="13" s="1"/>
  <c r="Y242" i="13"/>
  <c r="Y252" i="13" s="1"/>
  <c r="Y262" i="13" s="1"/>
  <c r="AA138" i="13"/>
  <c r="AA148" i="13" s="1"/>
  <c r="AA158" i="13" s="1"/>
  <c r="AA139" i="13"/>
  <c r="AA149" i="13" s="1"/>
  <c r="AA159" i="13" s="1"/>
  <c r="AA137" i="13"/>
  <c r="AA147" i="13" s="1"/>
  <c r="AA157" i="13" s="1"/>
  <c r="AA140" i="13"/>
  <c r="AA150" i="13" s="1"/>
  <c r="AA160" i="13" s="1"/>
  <c r="AA135" i="13"/>
  <c r="AA145" i="13" s="1"/>
  <c r="AA155" i="13" s="1"/>
  <c r="AA136" i="13"/>
  <c r="AA146" i="13" s="1"/>
  <c r="AA156" i="13" s="1"/>
  <c r="AA134" i="13"/>
  <c r="AA144" i="13" s="1"/>
  <c r="AA154" i="13" s="1"/>
  <c r="X63" i="12"/>
  <c r="Y215" i="13"/>
  <c r="X216" i="13" s="1"/>
  <c r="X60" i="13"/>
  <c r="W63" i="13" s="1"/>
  <c r="X164" i="13"/>
  <c r="W167" i="13" s="1"/>
  <c r="W216" i="13"/>
  <c r="V219" i="13" s="1"/>
  <c r="X267" i="13"/>
  <c r="W268" i="13" s="1"/>
  <c r="V271" i="13" s="1"/>
  <c r="Z59" i="13"/>
  <c r="Y60" i="13" s="1"/>
  <c r="V268" i="12"/>
  <c r="U271" i="12" s="1"/>
  <c r="AA111" i="13"/>
  <c r="Z112" i="13" s="1"/>
  <c r="X164" i="12"/>
  <c r="W167" i="12" s="1"/>
  <c r="Z163" i="12"/>
  <c r="Y166" i="12" s="1"/>
  <c r="X267" i="12"/>
  <c r="W270" i="12" s="1"/>
  <c r="W216" i="12"/>
  <c r="V219" i="12" s="1"/>
  <c r="Y215" i="12"/>
  <c r="X218" i="12" s="1"/>
  <c r="AA59" i="12"/>
  <c r="Z62" i="12" s="1"/>
  <c r="Z163" i="13"/>
  <c r="Y166" i="13" s="1"/>
  <c r="AD17" i="12"/>
  <c r="AC27" i="12"/>
  <c r="AC31" i="12" s="1"/>
  <c r="AC41" i="12" s="1"/>
  <c r="AC51" i="12" s="1"/>
  <c r="AC18" i="12"/>
  <c r="AC58" i="12"/>
  <c r="AA37" i="13"/>
  <c r="AA47" i="13" s="1"/>
  <c r="AA57" i="13" s="1"/>
  <c r="AA28" i="13"/>
  <c r="AA38" i="13" s="1"/>
  <c r="AA48" i="13" s="1"/>
  <c r="Z184" i="13"/>
  <c r="Z194" i="13" s="1"/>
  <c r="Z204" i="13" s="1"/>
  <c r="Z193" i="13"/>
  <c r="Z203" i="13" s="1"/>
  <c r="Z213" i="13" s="1"/>
  <c r="AB89" i="13"/>
  <c r="AB99" i="13" s="1"/>
  <c r="AB109" i="13" s="1"/>
  <c r="AB80" i="13"/>
  <c r="AB90" i="13" s="1"/>
  <c r="AB100" i="13" s="1"/>
  <c r="Y245" i="13"/>
  <c r="Y255" i="13" s="1"/>
  <c r="Y265" i="13" s="1"/>
  <c r="Y236" i="13"/>
  <c r="Y246" i="13" s="1"/>
  <c r="Y256" i="13" s="1"/>
  <c r="AA141" i="13"/>
  <c r="AA151" i="13" s="1"/>
  <c r="AA161" i="13" s="1"/>
  <c r="AA132" i="13"/>
  <c r="AA142" i="13" s="1"/>
  <c r="AA152" i="13" s="1"/>
  <c r="Y297" i="12"/>
  <c r="Y307" i="12" s="1"/>
  <c r="Y317" i="12" s="1"/>
  <c r="Y288" i="12"/>
  <c r="Y298" i="12" s="1"/>
  <c r="Y308" i="12" s="1"/>
  <c r="Y294" i="12"/>
  <c r="Y304" i="12" s="1"/>
  <c r="Y314" i="12" s="1"/>
  <c r="Y295" i="12"/>
  <c r="Y305" i="12" s="1"/>
  <c r="Y315" i="12" s="1"/>
  <c r="Y296" i="12"/>
  <c r="Y306" i="12" s="1"/>
  <c r="Y316" i="12" s="1"/>
  <c r="Y292" i="12"/>
  <c r="Y302" i="12" s="1"/>
  <c r="Y312" i="12" s="1"/>
  <c r="Y293" i="12"/>
  <c r="Y303" i="12" s="1"/>
  <c r="Y313" i="12" s="1"/>
  <c r="Y236" i="12"/>
  <c r="Y246" i="12" s="1"/>
  <c r="Y256" i="12" s="1"/>
  <c r="Y245" i="12"/>
  <c r="Y255" i="12" s="1"/>
  <c r="Y265" i="12" s="1"/>
  <c r="Y237" i="12"/>
  <c r="Y247" i="12" s="1"/>
  <c r="Y257" i="12" s="1"/>
  <c r="Y238" i="12"/>
  <c r="Y248" i="12" s="1"/>
  <c r="Y258" i="12" s="1"/>
  <c r="AA225" i="12"/>
  <c r="Z235" i="12"/>
  <c r="Z239" i="12" s="1"/>
  <c r="Z249" i="12" s="1"/>
  <c r="Z259" i="12" s="1"/>
  <c r="Z226" i="12"/>
  <c r="Z266" i="12"/>
  <c r="Z193" i="12"/>
  <c r="Z203" i="12" s="1"/>
  <c r="Z213" i="12" s="1"/>
  <c r="Z184" i="12"/>
  <c r="Z194" i="12" s="1"/>
  <c r="Z204" i="12" s="1"/>
  <c r="Z186" i="12"/>
  <c r="Z196" i="12" s="1"/>
  <c r="Z206" i="12" s="1"/>
  <c r="Z185" i="12"/>
  <c r="Z195" i="12" s="1"/>
  <c r="Z205" i="12" s="1"/>
  <c r="AC17" i="13"/>
  <c r="AB27" i="13"/>
  <c r="AB29" i="13" s="1"/>
  <c r="AB39" i="13" s="1"/>
  <c r="AB49" i="13" s="1"/>
  <c r="AB18" i="13"/>
  <c r="AB58" i="13"/>
  <c r="AB173" i="13"/>
  <c r="AA174" i="13"/>
  <c r="AA183" i="13"/>
  <c r="AA185" i="13" s="1"/>
  <c r="AA195" i="13" s="1"/>
  <c r="AA205" i="13" s="1"/>
  <c r="AA214" i="13"/>
  <c r="AD69" i="13"/>
  <c r="AC79" i="13"/>
  <c r="AC81" i="13" s="1"/>
  <c r="AC91" i="13" s="1"/>
  <c r="AC101" i="13" s="1"/>
  <c r="AC70" i="13"/>
  <c r="AC110" i="13"/>
  <c r="AA225" i="13"/>
  <c r="Z235" i="13"/>
  <c r="Z237" i="13" s="1"/>
  <c r="Z247" i="13" s="1"/>
  <c r="Z257" i="13" s="1"/>
  <c r="Z226" i="13"/>
  <c r="Z266" i="13"/>
  <c r="AC121" i="13"/>
  <c r="AB122" i="13"/>
  <c r="AB131" i="13"/>
  <c r="AB133" i="13" s="1"/>
  <c r="AB143" i="13" s="1"/>
  <c r="AB153" i="13" s="1"/>
  <c r="AB162" i="13"/>
  <c r="AB173" i="12"/>
  <c r="AA183" i="12"/>
  <c r="AA187" i="12" s="1"/>
  <c r="AA197" i="12" s="1"/>
  <c r="AA207" i="12" s="1"/>
  <c r="AA174" i="12"/>
  <c r="AA214" i="12"/>
  <c r="AA141" i="12"/>
  <c r="AA151" i="12" s="1"/>
  <c r="AA161" i="12" s="1"/>
  <c r="AA132" i="12"/>
  <c r="AA142" i="12" s="1"/>
  <c r="AA152" i="12" s="1"/>
  <c r="AA133" i="12"/>
  <c r="AA143" i="12" s="1"/>
  <c r="AA153" i="12" s="1"/>
  <c r="AA134" i="12"/>
  <c r="AA144" i="12" s="1"/>
  <c r="AA154" i="12" s="1"/>
  <c r="AA277" i="12"/>
  <c r="Z278" i="12"/>
  <c r="Z287" i="12"/>
  <c r="Z318" i="12"/>
  <c r="Y288" i="13"/>
  <c r="Y298" i="13" s="1"/>
  <c r="Y308" i="13" s="1"/>
  <c r="Y297" i="13"/>
  <c r="Y307" i="13" s="1"/>
  <c r="Y317" i="13" s="1"/>
  <c r="Y292" i="13"/>
  <c r="Y302" i="13" s="1"/>
  <c r="Y312" i="13" s="1"/>
  <c r="Y295" i="13"/>
  <c r="Y305" i="13" s="1"/>
  <c r="Y315" i="13" s="1"/>
  <c r="Y291" i="13"/>
  <c r="Y301" i="13" s="1"/>
  <c r="Y311" i="13" s="1"/>
  <c r="Y296" i="13"/>
  <c r="Y306" i="13" s="1"/>
  <c r="Y316" i="13" s="1"/>
  <c r="Y290" i="13"/>
  <c r="Y300" i="13" s="1"/>
  <c r="Y310" i="13" s="1"/>
  <c r="Y293" i="13"/>
  <c r="Y303" i="13" s="1"/>
  <c r="Y313" i="13" s="1"/>
  <c r="Y294" i="13"/>
  <c r="Y304" i="13" s="1"/>
  <c r="Y314" i="13" s="1"/>
  <c r="AB37" i="12"/>
  <c r="AB47" i="12" s="1"/>
  <c r="AB57" i="12" s="1"/>
  <c r="AB28" i="12"/>
  <c r="AB38" i="12" s="1"/>
  <c r="AB48" i="12" s="1"/>
  <c r="AB30" i="12"/>
  <c r="AB40" i="12" s="1"/>
  <c r="AB50" i="12" s="1"/>
  <c r="AB29" i="12"/>
  <c r="AB39" i="12" s="1"/>
  <c r="AB49" i="12" s="1"/>
  <c r="AC121" i="12"/>
  <c r="AB131" i="12"/>
  <c r="AB135" i="12" s="1"/>
  <c r="AB145" i="12" s="1"/>
  <c r="AB155" i="12" s="1"/>
  <c r="AB122" i="12"/>
  <c r="AB162" i="12"/>
  <c r="AA277" i="13"/>
  <c r="Z287" i="13"/>
  <c r="Z289" i="13" s="1"/>
  <c r="Z299" i="13" s="1"/>
  <c r="Z309" i="13" s="1"/>
  <c r="Z278" i="13"/>
  <c r="Z318" i="13"/>
  <c r="AA87" i="12" l="1"/>
  <c r="AA97" i="12" s="1"/>
  <c r="AA107" i="12" s="1"/>
  <c r="AA86" i="12"/>
  <c r="AA96" i="12" s="1"/>
  <c r="AA106" i="12" s="1"/>
  <c r="AA88" i="12"/>
  <c r="AA98" i="12" s="1"/>
  <c r="AA108" i="12" s="1"/>
  <c r="AA85" i="12"/>
  <c r="AA95" i="12" s="1"/>
  <c r="AA105" i="12" s="1"/>
  <c r="X63" i="13"/>
  <c r="BI219" i="12"/>
  <c r="AA83" i="12"/>
  <c r="AA93" i="12" s="1"/>
  <c r="AA103" i="12" s="1"/>
  <c r="AA84" i="12"/>
  <c r="AA94" i="12" s="1"/>
  <c r="AA104" i="12" s="1"/>
  <c r="AA82" i="12"/>
  <c r="AA92" i="12" s="1"/>
  <c r="AA102" i="12" s="1"/>
  <c r="AA89" i="12"/>
  <c r="AA99" i="12" s="1"/>
  <c r="AA109" i="12" s="1"/>
  <c r="AA80" i="12"/>
  <c r="AA90" i="12" s="1"/>
  <c r="AA100" i="12" s="1"/>
  <c r="AA81" i="12"/>
  <c r="AA91" i="12" s="1"/>
  <c r="AA101" i="12" s="1"/>
  <c r="Z111" i="12"/>
  <c r="AB70" i="12"/>
  <c r="AB110" i="12"/>
  <c r="AC69" i="12"/>
  <c r="AB79" i="12"/>
  <c r="X114" i="12"/>
  <c r="X112" i="12"/>
  <c r="W115" i="12" s="1"/>
  <c r="Y115" i="13"/>
  <c r="W322" i="12"/>
  <c r="W320" i="13"/>
  <c r="V323" i="13" s="1"/>
  <c r="X218" i="13"/>
  <c r="Y319" i="12"/>
  <c r="X322" i="12" s="1"/>
  <c r="Y319" i="13"/>
  <c r="X320" i="13" s="1"/>
  <c r="Z291" i="12"/>
  <c r="Z301" i="12" s="1"/>
  <c r="Z311" i="12" s="1"/>
  <c r="Z289" i="12"/>
  <c r="Z299" i="12" s="1"/>
  <c r="Z309" i="12" s="1"/>
  <c r="Z290" i="12"/>
  <c r="Z300" i="12" s="1"/>
  <c r="Z310" i="12" s="1"/>
  <c r="X216" i="12"/>
  <c r="W219" i="12" s="1"/>
  <c r="AB111" i="13"/>
  <c r="AA112" i="13" s="1"/>
  <c r="Z115" i="13" s="1"/>
  <c r="Z215" i="13"/>
  <c r="Y216" i="13" s="1"/>
  <c r="X219" i="13" s="1"/>
  <c r="Z242" i="12"/>
  <c r="Z252" i="12" s="1"/>
  <c r="Z262" i="12" s="1"/>
  <c r="Z244" i="12"/>
  <c r="Z254" i="12" s="1"/>
  <c r="Z264" i="12" s="1"/>
  <c r="Z241" i="12"/>
  <c r="Z251" i="12" s="1"/>
  <c r="Z261" i="12" s="1"/>
  <c r="Z243" i="12"/>
  <c r="Z253" i="12" s="1"/>
  <c r="Z263" i="12" s="1"/>
  <c r="Z240" i="12"/>
  <c r="Z250" i="12" s="1"/>
  <c r="Z260" i="12" s="1"/>
  <c r="AB138" i="13"/>
  <c r="AB148" i="13" s="1"/>
  <c r="AB158" i="13" s="1"/>
  <c r="AB139" i="13"/>
  <c r="AB149" i="13" s="1"/>
  <c r="AB159" i="13" s="1"/>
  <c r="AB137" i="13"/>
  <c r="AB147" i="13" s="1"/>
  <c r="AB157" i="13" s="1"/>
  <c r="AB140" i="13"/>
  <c r="AB150" i="13" s="1"/>
  <c r="AB160" i="13" s="1"/>
  <c r="AB135" i="13"/>
  <c r="AB145" i="13" s="1"/>
  <c r="AB155" i="13" s="1"/>
  <c r="AB136" i="13"/>
  <c r="AB146" i="13" s="1"/>
  <c r="AB156" i="13" s="1"/>
  <c r="AB134" i="13"/>
  <c r="AB144" i="13" s="1"/>
  <c r="AB154" i="13" s="1"/>
  <c r="AA189" i="13"/>
  <c r="AA199" i="13" s="1"/>
  <c r="AA209" i="13" s="1"/>
  <c r="AA192" i="13"/>
  <c r="AA202" i="13" s="1"/>
  <c r="AA212" i="13" s="1"/>
  <c r="AA186" i="13"/>
  <c r="AA196" i="13" s="1"/>
  <c r="AA206" i="13" s="1"/>
  <c r="AA190" i="13"/>
  <c r="AA200" i="13" s="1"/>
  <c r="AA210" i="13" s="1"/>
  <c r="AA191" i="13"/>
  <c r="AA201" i="13" s="1"/>
  <c r="AA211" i="13" s="1"/>
  <c r="AA187" i="13"/>
  <c r="AA197" i="13" s="1"/>
  <c r="AA207" i="13" s="1"/>
  <c r="AA188" i="13"/>
  <c r="AA198" i="13" s="1"/>
  <c r="AA208" i="13" s="1"/>
  <c r="AC36" i="12"/>
  <c r="AC46" i="12" s="1"/>
  <c r="AC56" i="12" s="1"/>
  <c r="AC33" i="12"/>
  <c r="AC43" i="12" s="1"/>
  <c r="AC53" i="12" s="1"/>
  <c r="AC32" i="12"/>
  <c r="AC42" i="12" s="1"/>
  <c r="AC52" i="12" s="1"/>
  <c r="AC34" i="12"/>
  <c r="AC44" i="12" s="1"/>
  <c r="AC54" i="12" s="1"/>
  <c r="AC35" i="12"/>
  <c r="AC45" i="12" s="1"/>
  <c r="AC55" i="12" s="1"/>
  <c r="AA190" i="12"/>
  <c r="AA200" i="12" s="1"/>
  <c r="AA210" i="12" s="1"/>
  <c r="AA189" i="12"/>
  <c r="AA199" i="12" s="1"/>
  <c r="AA209" i="12" s="1"/>
  <c r="AA192" i="12"/>
  <c r="AA202" i="12" s="1"/>
  <c r="AA212" i="12" s="1"/>
  <c r="AA191" i="12"/>
  <c r="AA201" i="12" s="1"/>
  <c r="AA211" i="12" s="1"/>
  <c r="AA188" i="12"/>
  <c r="AA198" i="12" s="1"/>
  <c r="AA208" i="12" s="1"/>
  <c r="Z240" i="13"/>
  <c r="Z250" i="13" s="1"/>
  <c r="Z260" i="13" s="1"/>
  <c r="Z241" i="13"/>
  <c r="Z251" i="13" s="1"/>
  <c r="Z261" i="13" s="1"/>
  <c r="Z243" i="13"/>
  <c r="Z253" i="13" s="1"/>
  <c r="Z263" i="13" s="1"/>
  <c r="Z238" i="13"/>
  <c r="Z248" i="13" s="1"/>
  <c r="Z258" i="13" s="1"/>
  <c r="Z244" i="13"/>
  <c r="Z254" i="13" s="1"/>
  <c r="Z264" i="13" s="1"/>
  <c r="Z242" i="13"/>
  <c r="Z252" i="13" s="1"/>
  <c r="Z262" i="13" s="1"/>
  <c r="Z239" i="13"/>
  <c r="Z249" i="13" s="1"/>
  <c r="Z259" i="13" s="1"/>
  <c r="AC83" i="13"/>
  <c r="AC93" i="13" s="1"/>
  <c r="AC103" i="13" s="1"/>
  <c r="AC85" i="13"/>
  <c r="AC95" i="13" s="1"/>
  <c r="AC105" i="13" s="1"/>
  <c r="AC87" i="13"/>
  <c r="AC97" i="13" s="1"/>
  <c r="AC107" i="13" s="1"/>
  <c r="AC84" i="13"/>
  <c r="AC94" i="13" s="1"/>
  <c r="AC104" i="13" s="1"/>
  <c r="AC88" i="13"/>
  <c r="AC98" i="13" s="1"/>
  <c r="AC108" i="13" s="1"/>
  <c r="AC82" i="13"/>
  <c r="AC92" i="13" s="1"/>
  <c r="AC102" i="13" s="1"/>
  <c r="AC86" i="13"/>
  <c r="AC96" i="13" s="1"/>
  <c r="AC106" i="13" s="1"/>
  <c r="AB36" i="13"/>
  <c r="AB46" i="13" s="1"/>
  <c r="AB56" i="13" s="1"/>
  <c r="AB31" i="13"/>
  <c r="AB41" i="13" s="1"/>
  <c r="AB51" i="13" s="1"/>
  <c r="AB33" i="13"/>
  <c r="AB43" i="13" s="1"/>
  <c r="AB53" i="13" s="1"/>
  <c r="AB32" i="13"/>
  <c r="AB42" i="13" s="1"/>
  <c r="AB52" i="13" s="1"/>
  <c r="AB30" i="13"/>
  <c r="AB40" i="13" s="1"/>
  <c r="AB50" i="13" s="1"/>
  <c r="AB35" i="13"/>
  <c r="AB45" i="13" s="1"/>
  <c r="AB55" i="13" s="1"/>
  <c r="AB34" i="13"/>
  <c r="AB44" i="13" s="1"/>
  <c r="AB54" i="13" s="1"/>
  <c r="AB136" i="12"/>
  <c r="AB146" i="12" s="1"/>
  <c r="AB156" i="12" s="1"/>
  <c r="AB137" i="12"/>
  <c r="AB147" i="12" s="1"/>
  <c r="AB157" i="12" s="1"/>
  <c r="AB138" i="12"/>
  <c r="AB148" i="12" s="1"/>
  <c r="AB158" i="12" s="1"/>
  <c r="AB139" i="12"/>
  <c r="AB149" i="12" s="1"/>
  <c r="AB159" i="12" s="1"/>
  <c r="AB140" i="12"/>
  <c r="AB150" i="12" s="1"/>
  <c r="AB160" i="12" s="1"/>
  <c r="Y164" i="13"/>
  <c r="X167" i="13" s="1"/>
  <c r="W270" i="13"/>
  <c r="Y267" i="13"/>
  <c r="X270" i="13" s="1"/>
  <c r="W268" i="12"/>
  <c r="V271" i="12" s="1"/>
  <c r="Y267" i="12"/>
  <c r="X268" i="12" s="1"/>
  <c r="AA163" i="13"/>
  <c r="Z164" i="13" s="1"/>
  <c r="AA59" i="13"/>
  <c r="Z62" i="13" s="1"/>
  <c r="Y62" i="13"/>
  <c r="W219" i="13"/>
  <c r="Z114" i="13"/>
  <c r="Y164" i="12"/>
  <c r="X167" i="12" s="1"/>
  <c r="Z60" i="12"/>
  <c r="Y63" i="12" s="1"/>
  <c r="AB59" i="12"/>
  <c r="AA60" i="12" s="1"/>
  <c r="AA163" i="12"/>
  <c r="Z166" i="12" s="1"/>
  <c r="Z215" i="12"/>
  <c r="Y218" i="12" s="1"/>
  <c r="AD121" i="12"/>
  <c r="AC131" i="12"/>
  <c r="AC135" i="12" s="1"/>
  <c r="AC145" i="12" s="1"/>
  <c r="AC155" i="12" s="1"/>
  <c r="AC122" i="12"/>
  <c r="AC162" i="12"/>
  <c r="Z245" i="12"/>
  <c r="Z255" i="12" s="1"/>
  <c r="Z265" i="12" s="1"/>
  <c r="Z236" i="12"/>
  <c r="Z246" i="12" s="1"/>
  <c r="Z256" i="12" s="1"/>
  <c r="Z238" i="12"/>
  <c r="Z248" i="12" s="1"/>
  <c r="Z258" i="12" s="1"/>
  <c r="Z237" i="12"/>
  <c r="Z247" i="12" s="1"/>
  <c r="Z257" i="12" s="1"/>
  <c r="Z288" i="13"/>
  <c r="Z298" i="13" s="1"/>
  <c r="Z308" i="13" s="1"/>
  <c r="Z297" i="13"/>
  <c r="Z307" i="13" s="1"/>
  <c r="Z317" i="13" s="1"/>
  <c r="Z292" i="13"/>
  <c r="Z302" i="13" s="1"/>
  <c r="Z312" i="13" s="1"/>
  <c r="Z293" i="13"/>
  <c r="Z303" i="13" s="1"/>
  <c r="Z313" i="13" s="1"/>
  <c r="Z290" i="13"/>
  <c r="Z300" i="13" s="1"/>
  <c r="Z310" i="13" s="1"/>
  <c r="Z295" i="13"/>
  <c r="Z305" i="13" s="1"/>
  <c r="Z315" i="13" s="1"/>
  <c r="Z291" i="13"/>
  <c r="Z301" i="13" s="1"/>
  <c r="Z311" i="13" s="1"/>
  <c r="Z294" i="13"/>
  <c r="Z304" i="13" s="1"/>
  <c r="Z314" i="13" s="1"/>
  <c r="Z296" i="13"/>
  <c r="Z306" i="13" s="1"/>
  <c r="Z316" i="13" s="1"/>
  <c r="Z297" i="12"/>
  <c r="Z307" i="12" s="1"/>
  <c r="Z317" i="12" s="1"/>
  <c r="Z288" i="12"/>
  <c r="Z298" i="12" s="1"/>
  <c r="Z308" i="12" s="1"/>
  <c r="Z294" i="12"/>
  <c r="Z304" i="12" s="1"/>
  <c r="Z314" i="12" s="1"/>
  <c r="Z296" i="12"/>
  <c r="Z306" i="12" s="1"/>
  <c r="Z316" i="12" s="1"/>
  <c r="Z292" i="12"/>
  <c r="Z302" i="12" s="1"/>
  <c r="Z312" i="12" s="1"/>
  <c r="Z293" i="12"/>
  <c r="Z303" i="12" s="1"/>
  <c r="Z313" i="12" s="1"/>
  <c r="Z295" i="12"/>
  <c r="Z305" i="12" s="1"/>
  <c r="Z315" i="12" s="1"/>
  <c r="AA184" i="12"/>
  <c r="AA194" i="12" s="1"/>
  <c r="AA204" i="12" s="1"/>
  <c r="AA193" i="12"/>
  <c r="AA203" i="12" s="1"/>
  <c r="AA213" i="12" s="1"/>
  <c r="AA185" i="12"/>
  <c r="AA195" i="12" s="1"/>
  <c r="AA205" i="12" s="1"/>
  <c r="AA186" i="12"/>
  <c r="AA196" i="12" s="1"/>
  <c r="AA206" i="12" s="1"/>
  <c r="AB132" i="13"/>
  <c r="AB142" i="13" s="1"/>
  <c r="AB152" i="13" s="1"/>
  <c r="AB141" i="13"/>
  <c r="AB151" i="13" s="1"/>
  <c r="AB161" i="13" s="1"/>
  <c r="AA193" i="13"/>
  <c r="AA203" i="13" s="1"/>
  <c r="AA213" i="13" s="1"/>
  <c r="AA184" i="13"/>
  <c r="AA194" i="13" s="1"/>
  <c r="AA204" i="13" s="1"/>
  <c r="AB225" i="12"/>
  <c r="AA235" i="12"/>
  <c r="AA239" i="12" s="1"/>
  <c r="AA249" i="12" s="1"/>
  <c r="AA259" i="12" s="1"/>
  <c r="AA226" i="12"/>
  <c r="AA266" i="12"/>
  <c r="AC173" i="12"/>
  <c r="AB183" i="12"/>
  <c r="AB187" i="12" s="1"/>
  <c r="AB197" i="12" s="1"/>
  <c r="AB207" i="12" s="1"/>
  <c r="AB174" i="12"/>
  <c r="AB214" i="12"/>
  <c r="Z236" i="13"/>
  <c r="Z246" i="13" s="1"/>
  <c r="Z256" i="13" s="1"/>
  <c r="Z245" i="13"/>
  <c r="Z255" i="13" s="1"/>
  <c r="Z265" i="13" s="1"/>
  <c r="AC80" i="13"/>
  <c r="AC90" i="13" s="1"/>
  <c r="AC100" i="13" s="1"/>
  <c r="AC89" i="13"/>
  <c r="AC99" i="13" s="1"/>
  <c r="AC109" i="13" s="1"/>
  <c r="AB37" i="13"/>
  <c r="AB47" i="13" s="1"/>
  <c r="AB57" i="13" s="1"/>
  <c r="AB28" i="13"/>
  <c r="AB38" i="13" s="1"/>
  <c r="AB48" i="13" s="1"/>
  <c r="AC28" i="12"/>
  <c r="AC38" i="12" s="1"/>
  <c r="AC48" i="12" s="1"/>
  <c r="AC37" i="12"/>
  <c r="AC47" i="12" s="1"/>
  <c r="AC57" i="12" s="1"/>
  <c r="AC30" i="12"/>
  <c r="AC40" i="12" s="1"/>
  <c r="AC50" i="12" s="1"/>
  <c r="AC29" i="12"/>
  <c r="AC39" i="12" s="1"/>
  <c r="AC49" i="12" s="1"/>
  <c r="AB277" i="13"/>
  <c r="AA278" i="13"/>
  <c r="AA287" i="13"/>
  <c r="AA289" i="13" s="1"/>
  <c r="AA299" i="13" s="1"/>
  <c r="AA309" i="13" s="1"/>
  <c r="AA318" i="13"/>
  <c r="AB141" i="12"/>
  <c r="AB151" i="12" s="1"/>
  <c r="AB161" i="12" s="1"/>
  <c r="AB132" i="12"/>
  <c r="AB142" i="12" s="1"/>
  <c r="AB152" i="12" s="1"/>
  <c r="AB133" i="12"/>
  <c r="AB143" i="12" s="1"/>
  <c r="AB153" i="12" s="1"/>
  <c r="AB134" i="12"/>
  <c r="AB144" i="12" s="1"/>
  <c r="AB154" i="12" s="1"/>
  <c r="AB277" i="12"/>
  <c r="AA278" i="12"/>
  <c r="AA287" i="12"/>
  <c r="AA318" i="12"/>
  <c r="AD121" i="13"/>
  <c r="AC122" i="13"/>
  <c r="AC131" i="13"/>
  <c r="AC133" i="13" s="1"/>
  <c r="AC143" i="13" s="1"/>
  <c r="AC153" i="13" s="1"/>
  <c r="AC162" i="13"/>
  <c r="AB225" i="13"/>
  <c r="AA235" i="13"/>
  <c r="AA237" i="13" s="1"/>
  <c r="AA247" i="13" s="1"/>
  <c r="AA257" i="13" s="1"/>
  <c r="AA226" i="13"/>
  <c r="AA266" i="13"/>
  <c r="AE69" i="13"/>
  <c r="AD70" i="13"/>
  <c r="AD79" i="13"/>
  <c r="AD81" i="13" s="1"/>
  <c r="AD91" i="13" s="1"/>
  <c r="AD101" i="13" s="1"/>
  <c r="AD110" i="13"/>
  <c r="AC173" i="13"/>
  <c r="AB183" i="13"/>
  <c r="AB185" i="13" s="1"/>
  <c r="AB195" i="13" s="1"/>
  <c r="AB205" i="13" s="1"/>
  <c r="AB174" i="13"/>
  <c r="AB214" i="13"/>
  <c r="AD17" i="13"/>
  <c r="AC27" i="13"/>
  <c r="AC29" i="13" s="1"/>
  <c r="AC39" i="13" s="1"/>
  <c r="AC49" i="13" s="1"/>
  <c r="AC18" i="13"/>
  <c r="AC58" i="13"/>
  <c r="AE17" i="12"/>
  <c r="AD27" i="12"/>
  <c r="AD31" i="12" s="1"/>
  <c r="AD41" i="12" s="1"/>
  <c r="AD51" i="12" s="1"/>
  <c r="AD18" i="12"/>
  <c r="AD58" i="12"/>
  <c r="X320" i="12" l="1"/>
  <c r="W323" i="12" s="1"/>
  <c r="AB88" i="12"/>
  <c r="AB98" i="12" s="1"/>
  <c r="AB108" i="12" s="1"/>
  <c r="AB87" i="12"/>
  <c r="AB97" i="12" s="1"/>
  <c r="AB107" i="12" s="1"/>
  <c r="AB85" i="12"/>
  <c r="AB95" i="12" s="1"/>
  <c r="AB105" i="12" s="1"/>
  <c r="AB86" i="12"/>
  <c r="AB96" i="12" s="1"/>
  <c r="AB106" i="12" s="1"/>
  <c r="X322" i="13"/>
  <c r="AB83" i="12"/>
  <c r="AB93" i="12" s="1"/>
  <c r="AB103" i="12" s="1"/>
  <c r="AB81" i="12"/>
  <c r="AB91" i="12" s="1"/>
  <c r="AB101" i="12" s="1"/>
  <c r="AB80" i="12"/>
  <c r="AB90" i="12" s="1"/>
  <c r="AB100" i="12" s="1"/>
  <c r="AB89" i="12"/>
  <c r="AB99" i="12" s="1"/>
  <c r="AB109" i="12" s="1"/>
  <c r="AB82" i="12"/>
  <c r="AB92" i="12" s="1"/>
  <c r="AB102" i="12" s="1"/>
  <c r="AB84" i="12"/>
  <c r="AB94" i="12" s="1"/>
  <c r="AB104" i="12" s="1"/>
  <c r="Y112" i="12"/>
  <c r="X115" i="12" s="1"/>
  <c r="Y114" i="12"/>
  <c r="AC79" i="12"/>
  <c r="AC110" i="12"/>
  <c r="AD69" i="12"/>
  <c r="AC70" i="12"/>
  <c r="AA111" i="12"/>
  <c r="W323" i="13"/>
  <c r="AA114" i="13"/>
  <c r="Z60" i="13"/>
  <c r="Y63" i="13" s="1"/>
  <c r="X270" i="12"/>
  <c r="Z319" i="13"/>
  <c r="Y322" i="13" s="1"/>
  <c r="AA291" i="12"/>
  <c r="AA301" i="12" s="1"/>
  <c r="AA311" i="12" s="1"/>
  <c r="AA289" i="12"/>
  <c r="AA299" i="12" s="1"/>
  <c r="AA309" i="12" s="1"/>
  <c r="AA290" i="12"/>
  <c r="AA300" i="12" s="1"/>
  <c r="AA310" i="12" s="1"/>
  <c r="Z319" i="12"/>
  <c r="Y320" i="12" s="1"/>
  <c r="Y218" i="13"/>
  <c r="Y167" i="13"/>
  <c r="AA242" i="12"/>
  <c r="AA252" i="12" s="1"/>
  <c r="AA262" i="12" s="1"/>
  <c r="AA243" i="12"/>
  <c r="AA253" i="12" s="1"/>
  <c r="AA263" i="12" s="1"/>
  <c r="AA244" i="12"/>
  <c r="AA254" i="12" s="1"/>
  <c r="AA264" i="12" s="1"/>
  <c r="AA241" i="12"/>
  <c r="AA251" i="12" s="1"/>
  <c r="AA261" i="12" s="1"/>
  <c r="AA240" i="12"/>
  <c r="AA250" i="12" s="1"/>
  <c r="AA260" i="12" s="1"/>
  <c r="AC139" i="12"/>
  <c r="AC149" i="12" s="1"/>
  <c r="AC159" i="12" s="1"/>
  <c r="AC137" i="12"/>
  <c r="AC147" i="12" s="1"/>
  <c r="AC157" i="12" s="1"/>
  <c r="AC136" i="12"/>
  <c r="AC146" i="12" s="1"/>
  <c r="AC156" i="12" s="1"/>
  <c r="AC140" i="12"/>
  <c r="AC150" i="12" s="1"/>
  <c r="AC160" i="12" s="1"/>
  <c r="AC138" i="12"/>
  <c r="AC148" i="12" s="1"/>
  <c r="AC158" i="12" s="1"/>
  <c r="AD36" i="12"/>
  <c r="AD46" i="12" s="1"/>
  <c r="AD56" i="12" s="1"/>
  <c r="AD33" i="12"/>
  <c r="AD43" i="12" s="1"/>
  <c r="AD53" i="12" s="1"/>
  <c r="AD32" i="12"/>
  <c r="AD42" i="12" s="1"/>
  <c r="AD52" i="12" s="1"/>
  <c r="AD34" i="12"/>
  <c r="AD44" i="12" s="1"/>
  <c r="AD54" i="12" s="1"/>
  <c r="AD35" i="12"/>
  <c r="AD45" i="12" s="1"/>
  <c r="AD55" i="12" s="1"/>
  <c r="AC36" i="13"/>
  <c r="AC46" i="13" s="1"/>
  <c r="AC56" i="13" s="1"/>
  <c r="AC33" i="13"/>
  <c r="AC43" i="13" s="1"/>
  <c r="AC53" i="13" s="1"/>
  <c r="AC31" i="13"/>
  <c r="AC41" i="13" s="1"/>
  <c r="AC51" i="13" s="1"/>
  <c r="AC30" i="13"/>
  <c r="AC40" i="13" s="1"/>
  <c r="AC50" i="13" s="1"/>
  <c r="AC32" i="13"/>
  <c r="AC42" i="13" s="1"/>
  <c r="AC52" i="13" s="1"/>
  <c r="AC35" i="13"/>
  <c r="AC45" i="13" s="1"/>
  <c r="AC55" i="13" s="1"/>
  <c r="AC34" i="13"/>
  <c r="AC44" i="13" s="1"/>
  <c r="AC54" i="13" s="1"/>
  <c r="AB188" i="12"/>
  <c r="AB198" i="12" s="1"/>
  <c r="AB208" i="12" s="1"/>
  <c r="AB191" i="12"/>
  <c r="AB201" i="12" s="1"/>
  <c r="AB211" i="12" s="1"/>
  <c r="AB190" i="12"/>
  <c r="AB200" i="12" s="1"/>
  <c r="AB210" i="12" s="1"/>
  <c r="AB192" i="12"/>
  <c r="AB202" i="12" s="1"/>
  <c r="AB212" i="12" s="1"/>
  <c r="AB189" i="12"/>
  <c r="AB199" i="12" s="1"/>
  <c r="AB209" i="12" s="1"/>
  <c r="AD83" i="13"/>
  <c r="AD93" i="13" s="1"/>
  <c r="AD103" i="13" s="1"/>
  <c r="AD87" i="13"/>
  <c r="AD97" i="13" s="1"/>
  <c r="AD107" i="13" s="1"/>
  <c r="AD84" i="13"/>
  <c r="AD94" i="13" s="1"/>
  <c r="AD104" i="13" s="1"/>
  <c r="AD85" i="13"/>
  <c r="AD95" i="13" s="1"/>
  <c r="AD105" i="13" s="1"/>
  <c r="AD88" i="13"/>
  <c r="AD98" i="13" s="1"/>
  <c r="AD108" i="13" s="1"/>
  <c r="AD86" i="13"/>
  <c r="AD96" i="13" s="1"/>
  <c r="AD106" i="13" s="1"/>
  <c r="AD82" i="13"/>
  <c r="AD92" i="13" s="1"/>
  <c r="AD102" i="13" s="1"/>
  <c r="AC137" i="13"/>
  <c r="AC147" i="13" s="1"/>
  <c r="AC157" i="13" s="1"/>
  <c r="AC138" i="13"/>
  <c r="AC148" i="13" s="1"/>
  <c r="AC158" i="13" s="1"/>
  <c r="AC140" i="13"/>
  <c r="AC150" i="13" s="1"/>
  <c r="AC160" i="13" s="1"/>
  <c r="AC139" i="13"/>
  <c r="AC149" i="13" s="1"/>
  <c r="AC159" i="13" s="1"/>
  <c r="AC135" i="13"/>
  <c r="AC145" i="13" s="1"/>
  <c r="AC155" i="13" s="1"/>
  <c r="AC136" i="13"/>
  <c r="AC146" i="13" s="1"/>
  <c r="AC156" i="13" s="1"/>
  <c r="AC134" i="13"/>
  <c r="AC144" i="13" s="1"/>
  <c r="AC154" i="13" s="1"/>
  <c r="AB190" i="13"/>
  <c r="AB200" i="13" s="1"/>
  <c r="AB210" i="13" s="1"/>
  <c r="AB189" i="13"/>
  <c r="AB199" i="13" s="1"/>
  <c r="AB209" i="13" s="1"/>
  <c r="AB191" i="13"/>
  <c r="AB201" i="13" s="1"/>
  <c r="AB211" i="13" s="1"/>
  <c r="AB192" i="13"/>
  <c r="AB202" i="13" s="1"/>
  <c r="AB212" i="13" s="1"/>
  <c r="AB186" i="13"/>
  <c r="AB196" i="13" s="1"/>
  <c r="AB206" i="13" s="1"/>
  <c r="AB187" i="13"/>
  <c r="AB197" i="13" s="1"/>
  <c r="AB207" i="13" s="1"/>
  <c r="AB188" i="13"/>
  <c r="AB198" i="13" s="1"/>
  <c r="AB208" i="13" s="1"/>
  <c r="AA244" i="13"/>
  <c r="AA254" i="13" s="1"/>
  <c r="AA264" i="13" s="1"/>
  <c r="AA243" i="13"/>
  <c r="AA253" i="13" s="1"/>
  <c r="AA263" i="13" s="1"/>
  <c r="AA242" i="13"/>
  <c r="AA252" i="13" s="1"/>
  <c r="AA262" i="13" s="1"/>
  <c r="AA240" i="13"/>
  <c r="AA250" i="13" s="1"/>
  <c r="AA260" i="13" s="1"/>
  <c r="AA241" i="13"/>
  <c r="AA251" i="13" s="1"/>
  <c r="AA261" i="13" s="1"/>
  <c r="AA238" i="13"/>
  <c r="AA248" i="13" s="1"/>
  <c r="AA258" i="13" s="1"/>
  <c r="AA239" i="13"/>
  <c r="AA249" i="13" s="1"/>
  <c r="AA259" i="13" s="1"/>
  <c r="Z166" i="13"/>
  <c r="W271" i="12"/>
  <c r="X268" i="13"/>
  <c r="W271" i="13" s="1"/>
  <c r="Z267" i="12"/>
  <c r="Y270" i="12" s="1"/>
  <c r="Z63" i="12"/>
  <c r="AA215" i="13"/>
  <c r="Z218" i="13" s="1"/>
  <c r="AB163" i="13"/>
  <c r="AA166" i="13" s="1"/>
  <c r="Z164" i="12"/>
  <c r="Y167" i="12" s="1"/>
  <c r="Y216" i="12"/>
  <c r="X219" i="12" s="1"/>
  <c r="AA62" i="12"/>
  <c r="AB163" i="12"/>
  <c r="AA166" i="12" s="1"/>
  <c r="AB59" i="13"/>
  <c r="AA60" i="13" s="1"/>
  <c r="AC111" i="13"/>
  <c r="AB114" i="13" s="1"/>
  <c r="AA215" i="12"/>
  <c r="Z218" i="12" s="1"/>
  <c r="Z267" i="13"/>
  <c r="Y268" i="13" s="1"/>
  <c r="AC59" i="12"/>
  <c r="AB60" i="12" s="1"/>
  <c r="AA63" i="12" s="1"/>
  <c r="AF17" i="12"/>
  <c r="AE27" i="12"/>
  <c r="AE31" i="12" s="1"/>
  <c r="AE41" i="12" s="1"/>
  <c r="AE51" i="12" s="1"/>
  <c r="AE18" i="12"/>
  <c r="AE58" i="12"/>
  <c r="AC37" i="13"/>
  <c r="AC47" i="13" s="1"/>
  <c r="AC57" i="13" s="1"/>
  <c r="AC28" i="13"/>
  <c r="AC38" i="13" s="1"/>
  <c r="AC48" i="13" s="1"/>
  <c r="AB193" i="13"/>
  <c r="AB203" i="13" s="1"/>
  <c r="AB213" i="13" s="1"/>
  <c r="AB184" i="13"/>
  <c r="AB194" i="13" s="1"/>
  <c r="AB204" i="13" s="1"/>
  <c r="AA245" i="13"/>
  <c r="AA255" i="13" s="1"/>
  <c r="AA265" i="13" s="1"/>
  <c r="AA236" i="13"/>
  <c r="AA246" i="13" s="1"/>
  <c r="AA256" i="13" s="1"/>
  <c r="AA297" i="12"/>
  <c r="AA307" i="12" s="1"/>
  <c r="AA317" i="12" s="1"/>
  <c r="AA288" i="12"/>
  <c r="AA298" i="12" s="1"/>
  <c r="AA308" i="12" s="1"/>
  <c r="AA292" i="12"/>
  <c r="AA302" i="12" s="1"/>
  <c r="AA312" i="12" s="1"/>
  <c r="AA293" i="12"/>
  <c r="AA303" i="12" s="1"/>
  <c r="AA313" i="12" s="1"/>
  <c r="AA294" i="12"/>
  <c r="AA304" i="12" s="1"/>
  <c r="AA314" i="12" s="1"/>
  <c r="AA295" i="12"/>
  <c r="AA305" i="12" s="1"/>
  <c r="AA315" i="12" s="1"/>
  <c r="AA296" i="12"/>
  <c r="AA306" i="12" s="1"/>
  <c r="AA316" i="12" s="1"/>
  <c r="AB184" i="12"/>
  <c r="AB194" i="12" s="1"/>
  <c r="AB204" i="12" s="1"/>
  <c r="AB193" i="12"/>
  <c r="AB203" i="12" s="1"/>
  <c r="AB213" i="12" s="1"/>
  <c r="AB186" i="12"/>
  <c r="AB196" i="12" s="1"/>
  <c r="AB206" i="12" s="1"/>
  <c r="AB185" i="12"/>
  <c r="AB195" i="12" s="1"/>
  <c r="AB205" i="12" s="1"/>
  <c r="AE17" i="13"/>
  <c r="AD18" i="13"/>
  <c r="AD27" i="13"/>
  <c r="AD29" i="13" s="1"/>
  <c r="AD39" i="13" s="1"/>
  <c r="AD49" i="13" s="1"/>
  <c r="AD58" i="13"/>
  <c r="AD173" i="13"/>
  <c r="AC174" i="13"/>
  <c r="AC183" i="13"/>
  <c r="AC185" i="13" s="1"/>
  <c r="AC195" i="13" s="1"/>
  <c r="AC205" i="13" s="1"/>
  <c r="AC214" i="13"/>
  <c r="AF69" i="13"/>
  <c r="AE79" i="13"/>
  <c r="AE81" i="13" s="1"/>
  <c r="AE91" i="13" s="1"/>
  <c r="AE101" i="13" s="1"/>
  <c r="AE70" i="13"/>
  <c r="AE110" i="13"/>
  <c r="AC225" i="13"/>
  <c r="AB235" i="13"/>
  <c r="AB237" i="13" s="1"/>
  <c r="AB247" i="13" s="1"/>
  <c r="AB257" i="13" s="1"/>
  <c r="AB226" i="13"/>
  <c r="AB266" i="13"/>
  <c r="AE121" i="13"/>
  <c r="AD122" i="13"/>
  <c r="AD131" i="13"/>
  <c r="AD133" i="13" s="1"/>
  <c r="AD143" i="13" s="1"/>
  <c r="AD153" i="13" s="1"/>
  <c r="AD162" i="13"/>
  <c r="AA288" i="13"/>
  <c r="AA298" i="13" s="1"/>
  <c r="AA308" i="13" s="1"/>
  <c r="AA297" i="13"/>
  <c r="AA307" i="13" s="1"/>
  <c r="AA317" i="13" s="1"/>
  <c r="AA291" i="13"/>
  <c r="AA301" i="13" s="1"/>
  <c r="AA311" i="13" s="1"/>
  <c r="AA290" i="13"/>
  <c r="AA300" i="13" s="1"/>
  <c r="AA310" i="13" s="1"/>
  <c r="AA295" i="13"/>
  <c r="AA305" i="13" s="1"/>
  <c r="AA315" i="13" s="1"/>
  <c r="AA292" i="13"/>
  <c r="AA302" i="13" s="1"/>
  <c r="AA312" i="13" s="1"/>
  <c r="AA293" i="13"/>
  <c r="AA303" i="13" s="1"/>
  <c r="AA313" i="13" s="1"/>
  <c r="AA294" i="13"/>
  <c r="AA304" i="13" s="1"/>
  <c r="AA314" i="13" s="1"/>
  <c r="AA296" i="13"/>
  <c r="AA306" i="13" s="1"/>
  <c r="AA316" i="13" s="1"/>
  <c r="AD173" i="12"/>
  <c r="AC183" i="12"/>
  <c r="AC187" i="12" s="1"/>
  <c r="AC197" i="12" s="1"/>
  <c r="AC207" i="12" s="1"/>
  <c r="AC174" i="12"/>
  <c r="AC214" i="12"/>
  <c r="AA236" i="12"/>
  <c r="AA246" i="12" s="1"/>
  <c r="AA256" i="12" s="1"/>
  <c r="AA245" i="12"/>
  <c r="AA255" i="12" s="1"/>
  <c r="AA265" i="12" s="1"/>
  <c r="AA238" i="12"/>
  <c r="AA248" i="12" s="1"/>
  <c r="AA258" i="12" s="1"/>
  <c r="AA237" i="12"/>
  <c r="AA247" i="12" s="1"/>
  <c r="AA257" i="12" s="1"/>
  <c r="AC277" i="12"/>
  <c r="AB278" i="12"/>
  <c r="AB287" i="12"/>
  <c r="AB318" i="12"/>
  <c r="AC225" i="12"/>
  <c r="AB235" i="12"/>
  <c r="AB239" i="12" s="1"/>
  <c r="AB249" i="12" s="1"/>
  <c r="AB259" i="12" s="1"/>
  <c r="AB226" i="12"/>
  <c r="AB266" i="12"/>
  <c r="AC132" i="12"/>
  <c r="AC142" i="12" s="1"/>
  <c r="AC152" i="12" s="1"/>
  <c r="AC141" i="12"/>
  <c r="AC151" i="12" s="1"/>
  <c r="AC161" i="12" s="1"/>
  <c r="AC133" i="12"/>
  <c r="AC143" i="12" s="1"/>
  <c r="AC153" i="12" s="1"/>
  <c r="AC134" i="12"/>
  <c r="AC144" i="12" s="1"/>
  <c r="AC154" i="12" s="1"/>
  <c r="AD37" i="12"/>
  <c r="AD47" i="12" s="1"/>
  <c r="AD57" i="12" s="1"/>
  <c r="AD28" i="12"/>
  <c r="AD38" i="12" s="1"/>
  <c r="AD48" i="12" s="1"/>
  <c r="AD30" i="12"/>
  <c r="AD40" i="12" s="1"/>
  <c r="AD50" i="12" s="1"/>
  <c r="AD29" i="12"/>
  <c r="AD39" i="12" s="1"/>
  <c r="AD49" i="12" s="1"/>
  <c r="AD89" i="13"/>
  <c r="AD99" i="13" s="1"/>
  <c r="AD109" i="13" s="1"/>
  <c r="AD80" i="13"/>
  <c r="AD90" i="13" s="1"/>
  <c r="AD100" i="13" s="1"/>
  <c r="AC132" i="13"/>
  <c r="AC142" i="13" s="1"/>
  <c r="AC152" i="13" s="1"/>
  <c r="AC141" i="13"/>
  <c r="AC151" i="13" s="1"/>
  <c r="AC161" i="13" s="1"/>
  <c r="AC277" i="13"/>
  <c r="AB278" i="13"/>
  <c r="AB287" i="13"/>
  <c r="AB289" i="13" s="1"/>
  <c r="AB299" i="13" s="1"/>
  <c r="AB309" i="13" s="1"/>
  <c r="AB318" i="13"/>
  <c r="AE121" i="12"/>
  <c r="AD131" i="12"/>
  <c r="AD135" i="12" s="1"/>
  <c r="AD145" i="12" s="1"/>
  <c r="AD155" i="12" s="1"/>
  <c r="AD122" i="12"/>
  <c r="AD162" i="12"/>
  <c r="X323" i="12" l="1"/>
  <c r="X271" i="13"/>
  <c r="AC88" i="12"/>
  <c r="AC98" i="12" s="1"/>
  <c r="AC108" i="12" s="1"/>
  <c r="AC87" i="12"/>
  <c r="AC97" i="12" s="1"/>
  <c r="AC107" i="12" s="1"/>
  <c r="AC85" i="12"/>
  <c r="AC95" i="12" s="1"/>
  <c r="AC105" i="12" s="1"/>
  <c r="AC86" i="12"/>
  <c r="AC96" i="12" s="1"/>
  <c r="AC106" i="12" s="1"/>
  <c r="Z63" i="13"/>
  <c r="AB111" i="12"/>
  <c r="AA114" i="12" s="1"/>
  <c r="AC83" i="12"/>
  <c r="AC93" i="12" s="1"/>
  <c r="AC103" i="12" s="1"/>
  <c r="AC81" i="12"/>
  <c r="AC91" i="12" s="1"/>
  <c r="AC101" i="12" s="1"/>
  <c r="AC89" i="12"/>
  <c r="AC99" i="12" s="1"/>
  <c r="AC109" i="12" s="1"/>
  <c r="AC82" i="12"/>
  <c r="AC92" i="12" s="1"/>
  <c r="AC102" i="12" s="1"/>
  <c r="AC84" i="12"/>
  <c r="AC94" i="12" s="1"/>
  <c r="AC104" i="12" s="1"/>
  <c r="AC80" i="12"/>
  <c r="AC90" i="12" s="1"/>
  <c r="AC100" i="12" s="1"/>
  <c r="Z114" i="12"/>
  <c r="Z112" i="12"/>
  <c r="Y115" i="12" s="1"/>
  <c r="AD70" i="12"/>
  <c r="AD110" i="12"/>
  <c r="AE69" i="12"/>
  <c r="AD79" i="12"/>
  <c r="AA164" i="13"/>
  <c r="Z167" i="13" s="1"/>
  <c r="Y320" i="13"/>
  <c r="X323" i="13" s="1"/>
  <c r="Y322" i="12"/>
  <c r="Z216" i="13"/>
  <c r="Y219" i="13" s="1"/>
  <c r="AA319" i="12"/>
  <c r="Z320" i="12" s="1"/>
  <c r="Y323" i="12" s="1"/>
  <c r="AA319" i="13"/>
  <c r="Z322" i="13" s="1"/>
  <c r="AB291" i="12"/>
  <c r="AB301" i="12" s="1"/>
  <c r="AB311" i="12" s="1"/>
  <c r="AB290" i="12"/>
  <c r="AB300" i="12" s="1"/>
  <c r="AB310" i="12" s="1"/>
  <c r="AB289" i="12"/>
  <c r="AB299" i="12" s="1"/>
  <c r="AB309" i="12" s="1"/>
  <c r="Y268" i="12"/>
  <c r="X271" i="12" s="1"/>
  <c r="AA267" i="13"/>
  <c r="Z268" i="13" s="1"/>
  <c r="Y271" i="13" s="1"/>
  <c r="AC59" i="13"/>
  <c r="AB60" i="13" s="1"/>
  <c r="AA63" i="13" s="1"/>
  <c r="AB244" i="12"/>
  <c r="AB254" i="12" s="1"/>
  <c r="AB264" i="12" s="1"/>
  <c r="AB242" i="12"/>
  <c r="AB252" i="12" s="1"/>
  <c r="AB262" i="12" s="1"/>
  <c r="AB241" i="12"/>
  <c r="AB251" i="12" s="1"/>
  <c r="AB261" i="12" s="1"/>
  <c r="AB243" i="12"/>
  <c r="AB253" i="12" s="1"/>
  <c r="AB263" i="12" s="1"/>
  <c r="AB240" i="12"/>
  <c r="AB250" i="12" s="1"/>
  <c r="AB260" i="12" s="1"/>
  <c r="AD138" i="13"/>
  <c r="AD148" i="13" s="1"/>
  <c r="AD158" i="13" s="1"/>
  <c r="AD137" i="13"/>
  <c r="AD147" i="13" s="1"/>
  <c r="AD157" i="13" s="1"/>
  <c r="AD140" i="13"/>
  <c r="AD150" i="13" s="1"/>
  <c r="AD160" i="13" s="1"/>
  <c r="AD139" i="13"/>
  <c r="AD149" i="13" s="1"/>
  <c r="AD159" i="13" s="1"/>
  <c r="AD135" i="13"/>
  <c r="AD145" i="13" s="1"/>
  <c r="AD155" i="13" s="1"/>
  <c r="AD136" i="13"/>
  <c r="AD146" i="13" s="1"/>
  <c r="AD156" i="13" s="1"/>
  <c r="AD134" i="13"/>
  <c r="AD144" i="13" s="1"/>
  <c r="AD154" i="13" s="1"/>
  <c r="AC192" i="13"/>
  <c r="AC202" i="13" s="1"/>
  <c r="AC212" i="13" s="1"/>
  <c r="AC186" i="13"/>
  <c r="AC196" i="13" s="1"/>
  <c r="AC206" i="13" s="1"/>
  <c r="AC189" i="13"/>
  <c r="AC199" i="13" s="1"/>
  <c r="AC209" i="13" s="1"/>
  <c r="AC190" i="13"/>
  <c r="AC200" i="13" s="1"/>
  <c r="AC210" i="13" s="1"/>
  <c r="AC191" i="13"/>
  <c r="AC201" i="13" s="1"/>
  <c r="AC211" i="13" s="1"/>
  <c r="AC187" i="13"/>
  <c r="AC197" i="13" s="1"/>
  <c r="AC207" i="13" s="1"/>
  <c r="AC188" i="13"/>
  <c r="AC198" i="13" s="1"/>
  <c r="AC208" i="13" s="1"/>
  <c r="AD36" i="13"/>
  <c r="AD46" i="13" s="1"/>
  <c r="AD56" i="13" s="1"/>
  <c r="AD31" i="13"/>
  <c r="AD41" i="13" s="1"/>
  <c r="AD51" i="13" s="1"/>
  <c r="AD30" i="13"/>
  <c r="AD40" i="13" s="1"/>
  <c r="AD50" i="13" s="1"/>
  <c r="AD34" i="13"/>
  <c r="AD44" i="13" s="1"/>
  <c r="AD54" i="13" s="1"/>
  <c r="AD33" i="13"/>
  <c r="AD43" i="13" s="1"/>
  <c r="AD53" i="13" s="1"/>
  <c r="AD35" i="13"/>
  <c r="AD45" i="13" s="1"/>
  <c r="AD55" i="13" s="1"/>
  <c r="AD32" i="13"/>
  <c r="AD42" i="13" s="1"/>
  <c r="AD52" i="13" s="1"/>
  <c r="AB241" i="13"/>
  <c r="AB251" i="13" s="1"/>
  <c r="AB261" i="13" s="1"/>
  <c r="AB238" i="13"/>
  <c r="AB248" i="13" s="1"/>
  <c r="AB258" i="13" s="1"/>
  <c r="AB240" i="13"/>
  <c r="AB250" i="13" s="1"/>
  <c r="AB260" i="13" s="1"/>
  <c r="AB243" i="13"/>
  <c r="AB253" i="13" s="1"/>
  <c r="AB263" i="13" s="1"/>
  <c r="AB244" i="13"/>
  <c r="AB254" i="13" s="1"/>
  <c r="AB264" i="13" s="1"/>
  <c r="AB239" i="13"/>
  <c r="AB249" i="13" s="1"/>
  <c r="AB259" i="13" s="1"/>
  <c r="AB242" i="13"/>
  <c r="AB252" i="13" s="1"/>
  <c r="AB262" i="13" s="1"/>
  <c r="AE84" i="13"/>
  <c r="AE94" i="13" s="1"/>
  <c r="AE104" i="13" s="1"/>
  <c r="AE87" i="13"/>
  <c r="AE97" i="13" s="1"/>
  <c r="AE107" i="13" s="1"/>
  <c r="AE85" i="13"/>
  <c r="AE95" i="13" s="1"/>
  <c r="AE105" i="13" s="1"/>
  <c r="AE83" i="13"/>
  <c r="AE93" i="13" s="1"/>
  <c r="AE103" i="13" s="1"/>
  <c r="AE88" i="13"/>
  <c r="AE98" i="13" s="1"/>
  <c r="AE108" i="13" s="1"/>
  <c r="AE86" i="13"/>
  <c r="AE96" i="13" s="1"/>
  <c r="AE106" i="13" s="1"/>
  <c r="AE82" i="13"/>
  <c r="AE92" i="13" s="1"/>
  <c r="AE102" i="13" s="1"/>
  <c r="AD140" i="12"/>
  <c r="AD150" i="12" s="1"/>
  <c r="AD160" i="12" s="1"/>
  <c r="AD136" i="12"/>
  <c r="AD146" i="12" s="1"/>
  <c r="AD156" i="12" s="1"/>
  <c r="AD137" i="12"/>
  <c r="AD147" i="12" s="1"/>
  <c r="AD157" i="12" s="1"/>
  <c r="AD139" i="12"/>
  <c r="AD149" i="12" s="1"/>
  <c r="AD159" i="12" s="1"/>
  <c r="AD138" i="12"/>
  <c r="AD148" i="12" s="1"/>
  <c r="AD158" i="12" s="1"/>
  <c r="AC192" i="12"/>
  <c r="AC202" i="12" s="1"/>
  <c r="AC212" i="12" s="1"/>
  <c r="AC188" i="12"/>
  <c r="AC198" i="12" s="1"/>
  <c r="AC208" i="12" s="1"/>
  <c r="AC191" i="12"/>
  <c r="AC201" i="12" s="1"/>
  <c r="AC211" i="12" s="1"/>
  <c r="AC190" i="12"/>
  <c r="AC200" i="12" s="1"/>
  <c r="AC210" i="12" s="1"/>
  <c r="AC189" i="12"/>
  <c r="AC199" i="12" s="1"/>
  <c r="AC209" i="12" s="1"/>
  <c r="AE36" i="12"/>
  <c r="AE46" i="12" s="1"/>
  <c r="AE56" i="12" s="1"/>
  <c r="AE33" i="12"/>
  <c r="AE43" i="12" s="1"/>
  <c r="AE53" i="12" s="1"/>
  <c r="AE32" i="12"/>
  <c r="AE42" i="12" s="1"/>
  <c r="AE52" i="12" s="1"/>
  <c r="AE34" i="12"/>
  <c r="AE44" i="12" s="1"/>
  <c r="AE54" i="12" s="1"/>
  <c r="AE35" i="12"/>
  <c r="AE45" i="12" s="1"/>
  <c r="AE55" i="12" s="1"/>
  <c r="AB215" i="12"/>
  <c r="AA218" i="12" s="1"/>
  <c r="AB215" i="13"/>
  <c r="AA216" i="13" s="1"/>
  <c r="AA62" i="13"/>
  <c r="Y270" i="13"/>
  <c r="AA164" i="12"/>
  <c r="Z167" i="12" s="1"/>
  <c r="AB62" i="12"/>
  <c r="Z216" i="12"/>
  <c r="Y219" i="12" s="1"/>
  <c r="AB112" i="13"/>
  <c r="AA115" i="13" s="1"/>
  <c r="AC163" i="13"/>
  <c r="AB166" i="13" s="1"/>
  <c r="AD59" i="12"/>
  <c r="AC62" i="12" s="1"/>
  <c r="AC163" i="12"/>
  <c r="AB166" i="12" s="1"/>
  <c r="AA267" i="12"/>
  <c r="Z268" i="12" s="1"/>
  <c r="AD111" i="13"/>
  <c r="AC112" i="13" s="1"/>
  <c r="AD132" i="12"/>
  <c r="AD142" i="12" s="1"/>
  <c r="AD152" i="12" s="1"/>
  <c r="AD141" i="12"/>
  <c r="AD151" i="12" s="1"/>
  <c r="AD161" i="12" s="1"/>
  <c r="AD133" i="12"/>
  <c r="AD143" i="12" s="1"/>
  <c r="AD153" i="12" s="1"/>
  <c r="AD134" i="12"/>
  <c r="AD144" i="12" s="1"/>
  <c r="AD154" i="12" s="1"/>
  <c r="AD277" i="13"/>
  <c r="AC287" i="13"/>
  <c r="AC289" i="13" s="1"/>
  <c r="AC299" i="13" s="1"/>
  <c r="AC309" i="13" s="1"/>
  <c r="AC278" i="13"/>
  <c r="AC318" i="13"/>
  <c r="AB245" i="12"/>
  <c r="AB255" i="12" s="1"/>
  <c r="AB265" i="12" s="1"/>
  <c r="AB236" i="12"/>
  <c r="AB246" i="12" s="1"/>
  <c r="AB256" i="12" s="1"/>
  <c r="AB238" i="12"/>
  <c r="AB248" i="12" s="1"/>
  <c r="AB258" i="12" s="1"/>
  <c r="AB237" i="12"/>
  <c r="AB247" i="12" s="1"/>
  <c r="AB257" i="12" s="1"/>
  <c r="AB288" i="12"/>
  <c r="AB298" i="12" s="1"/>
  <c r="AB308" i="12" s="1"/>
  <c r="AB297" i="12"/>
  <c r="AB307" i="12" s="1"/>
  <c r="AB317" i="12" s="1"/>
  <c r="AB296" i="12"/>
  <c r="AB306" i="12" s="1"/>
  <c r="AB316" i="12" s="1"/>
  <c r="AB293" i="12"/>
  <c r="AB303" i="12" s="1"/>
  <c r="AB313" i="12" s="1"/>
  <c r="AB294" i="12"/>
  <c r="AB304" i="12" s="1"/>
  <c r="AB314" i="12" s="1"/>
  <c r="AB292" i="12"/>
  <c r="AB302" i="12" s="1"/>
  <c r="AB312" i="12" s="1"/>
  <c r="AB295" i="12"/>
  <c r="AB305" i="12" s="1"/>
  <c r="AB315" i="12" s="1"/>
  <c r="AF121" i="12"/>
  <c r="AE131" i="12"/>
  <c r="AE135" i="12" s="1"/>
  <c r="AE145" i="12" s="1"/>
  <c r="AE155" i="12" s="1"/>
  <c r="AE122" i="12"/>
  <c r="AE162" i="12"/>
  <c r="AD225" i="12"/>
  <c r="AC235" i="12"/>
  <c r="AC239" i="12" s="1"/>
  <c r="AC249" i="12" s="1"/>
  <c r="AC259" i="12" s="1"/>
  <c r="AC226" i="12"/>
  <c r="AC266" i="12"/>
  <c r="AD141" i="13"/>
  <c r="AD151" i="13" s="1"/>
  <c r="AD161" i="13" s="1"/>
  <c r="AD132" i="13"/>
  <c r="AD142" i="13" s="1"/>
  <c r="AD152" i="13" s="1"/>
  <c r="AC193" i="13"/>
  <c r="AC203" i="13" s="1"/>
  <c r="AC213" i="13" s="1"/>
  <c r="AC184" i="13"/>
  <c r="AC194" i="13" s="1"/>
  <c r="AC204" i="13" s="1"/>
  <c r="AD37" i="13"/>
  <c r="AD47" i="13" s="1"/>
  <c r="AD57" i="13" s="1"/>
  <c r="AD28" i="13"/>
  <c r="AD38" i="13" s="1"/>
  <c r="AD48" i="13" s="1"/>
  <c r="AB288" i="13"/>
  <c r="AB298" i="13" s="1"/>
  <c r="AB308" i="13" s="1"/>
  <c r="AB297" i="13"/>
  <c r="AB307" i="13" s="1"/>
  <c r="AB317" i="13" s="1"/>
  <c r="AB293" i="13"/>
  <c r="AB303" i="13" s="1"/>
  <c r="AB313" i="13" s="1"/>
  <c r="AB296" i="13"/>
  <c r="AB306" i="13" s="1"/>
  <c r="AB316" i="13" s="1"/>
  <c r="AB295" i="13"/>
  <c r="AB305" i="13" s="1"/>
  <c r="AB315" i="13" s="1"/>
  <c r="AB291" i="13"/>
  <c r="AB301" i="13" s="1"/>
  <c r="AB311" i="13" s="1"/>
  <c r="AB294" i="13"/>
  <c r="AB304" i="13" s="1"/>
  <c r="AB314" i="13" s="1"/>
  <c r="AB290" i="13"/>
  <c r="AB300" i="13" s="1"/>
  <c r="AB310" i="13" s="1"/>
  <c r="AB292" i="13"/>
  <c r="AB302" i="13" s="1"/>
  <c r="AB312" i="13" s="1"/>
  <c r="AD277" i="12"/>
  <c r="AC278" i="12"/>
  <c r="AC287" i="12"/>
  <c r="AC318" i="12"/>
  <c r="AC193" i="12"/>
  <c r="AC203" i="12" s="1"/>
  <c r="AC213" i="12" s="1"/>
  <c r="AC184" i="12"/>
  <c r="AC194" i="12" s="1"/>
  <c r="AC204" i="12" s="1"/>
  <c r="AC186" i="12"/>
  <c r="AC196" i="12" s="1"/>
  <c r="AC206" i="12" s="1"/>
  <c r="AC185" i="12"/>
  <c r="AC195" i="12" s="1"/>
  <c r="AC205" i="12" s="1"/>
  <c r="AB245" i="13"/>
  <c r="AB255" i="13" s="1"/>
  <c r="AB265" i="13" s="1"/>
  <c r="AB236" i="13"/>
  <c r="AB246" i="13" s="1"/>
  <c r="AB256" i="13" s="1"/>
  <c r="AE80" i="13"/>
  <c r="AE90" i="13" s="1"/>
  <c r="AE100" i="13" s="1"/>
  <c r="AE89" i="13"/>
  <c r="AE99" i="13" s="1"/>
  <c r="AE109" i="13" s="1"/>
  <c r="AE37" i="12"/>
  <c r="AE47" i="12" s="1"/>
  <c r="AE57" i="12" s="1"/>
  <c r="AE28" i="12"/>
  <c r="AE38" i="12" s="1"/>
  <c r="AE48" i="12" s="1"/>
  <c r="AE29" i="12"/>
  <c r="AE39" i="12" s="1"/>
  <c r="AE49" i="12" s="1"/>
  <c r="AE30" i="12"/>
  <c r="AE40" i="12" s="1"/>
  <c r="AE50" i="12" s="1"/>
  <c r="AE173" i="12"/>
  <c r="AD183" i="12"/>
  <c r="AD187" i="12" s="1"/>
  <c r="AD197" i="12" s="1"/>
  <c r="AD207" i="12" s="1"/>
  <c r="AD174" i="12"/>
  <c r="AD214" i="12"/>
  <c r="AF121" i="13"/>
  <c r="AE122" i="13"/>
  <c r="AE131" i="13"/>
  <c r="AE133" i="13" s="1"/>
  <c r="AE143" i="13" s="1"/>
  <c r="AE153" i="13" s="1"/>
  <c r="AE162" i="13"/>
  <c r="AD225" i="13"/>
  <c r="AC235" i="13"/>
  <c r="AC237" i="13" s="1"/>
  <c r="AC247" i="13" s="1"/>
  <c r="AC257" i="13" s="1"/>
  <c r="AC226" i="13"/>
  <c r="AC266" i="13"/>
  <c r="AG69" i="13"/>
  <c r="AF70" i="13"/>
  <c r="AF79" i="13"/>
  <c r="AF81" i="13" s="1"/>
  <c r="AF91" i="13" s="1"/>
  <c r="AF101" i="13" s="1"/>
  <c r="AF110" i="13"/>
  <c r="AE173" i="13"/>
  <c r="AD174" i="13"/>
  <c r="AD183" i="13"/>
  <c r="AD185" i="13" s="1"/>
  <c r="AD195" i="13" s="1"/>
  <c r="AD205" i="13" s="1"/>
  <c r="AD214" i="13"/>
  <c r="AF17" i="13"/>
  <c r="AE27" i="13"/>
  <c r="AE29" i="13" s="1"/>
  <c r="AE39" i="13" s="1"/>
  <c r="AE49" i="13" s="1"/>
  <c r="AE18" i="13"/>
  <c r="AE58" i="13"/>
  <c r="AG17" i="12"/>
  <c r="AF27" i="12"/>
  <c r="AF31" i="12" s="1"/>
  <c r="AF41" i="12" s="1"/>
  <c r="AF51" i="12" s="1"/>
  <c r="AF18" i="12"/>
  <c r="AF58" i="12"/>
  <c r="AD86" i="12" l="1"/>
  <c r="AD96" i="12" s="1"/>
  <c r="AD106" i="12" s="1"/>
  <c r="AD88" i="12"/>
  <c r="AD98" i="12" s="1"/>
  <c r="AD108" i="12" s="1"/>
  <c r="AD85" i="12"/>
  <c r="AD95" i="12" s="1"/>
  <c r="AD105" i="12" s="1"/>
  <c r="AD87" i="12"/>
  <c r="AD97" i="12" s="1"/>
  <c r="AD107" i="12" s="1"/>
  <c r="AA112" i="12"/>
  <c r="Z115" i="12" s="1"/>
  <c r="Y271" i="12"/>
  <c r="AC111" i="12"/>
  <c r="AF69" i="12"/>
  <c r="AE79" i="12"/>
  <c r="AE70" i="12"/>
  <c r="AE110" i="12"/>
  <c r="AD83" i="12"/>
  <c r="AD93" i="12" s="1"/>
  <c r="AD103" i="12" s="1"/>
  <c r="AD80" i="12"/>
  <c r="AD90" i="12" s="1"/>
  <c r="AD100" i="12" s="1"/>
  <c r="AD89" i="12"/>
  <c r="AD99" i="12" s="1"/>
  <c r="AD109" i="12" s="1"/>
  <c r="AD84" i="12"/>
  <c r="AD94" i="12" s="1"/>
  <c r="AD104" i="12" s="1"/>
  <c r="AD81" i="12"/>
  <c r="AD91" i="12" s="1"/>
  <c r="AD101" i="12" s="1"/>
  <c r="AD82" i="12"/>
  <c r="AD92" i="12" s="1"/>
  <c r="AD102" i="12" s="1"/>
  <c r="AA216" i="12"/>
  <c r="Z219" i="12" s="1"/>
  <c r="Z322" i="12"/>
  <c r="Z219" i="13"/>
  <c r="Z320" i="13"/>
  <c r="Y323" i="13" s="1"/>
  <c r="Z270" i="13"/>
  <c r="AC291" i="12"/>
  <c r="AC301" i="12" s="1"/>
  <c r="AC311" i="12" s="1"/>
  <c r="AC289" i="12"/>
  <c r="AC299" i="12" s="1"/>
  <c r="AC309" i="12" s="1"/>
  <c r="AC290" i="12"/>
  <c r="AC300" i="12" s="1"/>
  <c r="AC310" i="12" s="1"/>
  <c r="AB319" i="13"/>
  <c r="AA320" i="13" s="1"/>
  <c r="AB62" i="13"/>
  <c r="AB319" i="12"/>
  <c r="AA320" i="12" s="1"/>
  <c r="Z323" i="12" s="1"/>
  <c r="AA218" i="13"/>
  <c r="AF36" i="12"/>
  <c r="AF46" i="12" s="1"/>
  <c r="AF56" i="12" s="1"/>
  <c r="AF33" i="12"/>
  <c r="AF43" i="12" s="1"/>
  <c r="AF53" i="12" s="1"/>
  <c r="AF32" i="12"/>
  <c r="AF42" i="12" s="1"/>
  <c r="AF52" i="12" s="1"/>
  <c r="AF34" i="12"/>
  <c r="AF44" i="12" s="1"/>
  <c r="AF54" i="12" s="1"/>
  <c r="AF35" i="12"/>
  <c r="AF45" i="12" s="1"/>
  <c r="AF55" i="12" s="1"/>
  <c r="AE31" i="13"/>
  <c r="AE41" i="13" s="1"/>
  <c r="AE51" i="13" s="1"/>
  <c r="AE36" i="13"/>
  <c r="AE46" i="13" s="1"/>
  <c r="AE56" i="13" s="1"/>
  <c r="AE33" i="13"/>
  <c r="AE43" i="13" s="1"/>
  <c r="AE53" i="13" s="1"/>
  <c r="AE34" i="13"/>
  <c r="AE44" i="13" s="1"/>
  <c r="AE54" i="13" s="1"/>
  <c r="AE32" i="13"/>
  <c r="AE42" i="13" s="1"/>
  <c r="AE52" i="13" s="1"/>
  <c r="AE35" i="13"/>
  <c r="AE45" i="13" s="1"/>
  <c r="AE55" i="13" s="1"/>
  <c r="AE30" i="13"/>
  <c r="AE40" i="13" s="1"/>
  <c r="AE50" i="13" s="1"/>
  <c r="AC244" i="13"/>
  <c r="AC254" i="13" s="1"/>
  <c r="AC264" i="13" s="1"/>
  <c r="AC243" i="13"/>
  <c r="AC253" i="13" s="1"/>
  <c r="AC263" i="13" s="1"/>
  <c r="AC242" i="13"/>
  <c r="AC252" i="13" s="1"/>
  <c r="AC262" i="13" s="1"/>
  <c r="AC240" i="13"/>
  <c r="AC250" i="13" s="1"/>
  <c r="AC260" i="13" s="1"/>
  <c r="AC241" i="13"/>
  <c r="AC251" i="13" s="1"/>
  <c r="AC261" i="13" s="1"/>
  <c r="AC238" i="13"/>
  <c r="AC248" i="13" s="1"/>
  <c r="AC258" i="13" s="1"/>
  <c r="AC239" i="13"/>
  <c r="AC249" i="13" s="1"/>
  <c r="AC259" i="13" s="1"/>
  <c r="AE139" i="12"/>
  <c r="AE149" i="12" s="1"/>
  <c r="AE159" i="12" s="1"/>
  <c r="AE136" i="12"/>
  <c r="AE146" i="12" s="1"/>
  <c r="AE156" i="12" s="1"/>
  <c r="AE137" i="12"/>
  <c r="AE147" i="12" s="1"/>
  <c r="AE157" i="12" s="1"/>
  <c r="AE140" i="12"/>
  <c r="AE150" i="12" s="1"/>
  <c r="AE160" i="12" s="1"/>
  <c r="AE138" i="12"/>
  <c r="AE148" i="12" s="1"/>
  <c r="AE158" i="12" s="1"/>
  <c r="AD192" i="13"/>
  <c r="AD202" i="13" s="1"/>
  <c r="AD212" i="13" s="1"/>
  <c r="AD186" i="13"/>
  <c r="AD196" i="13" s="1"/>
  <c r="AD206" i="13" s="1"/>
  <c r="AD187" i="13"/>
  <c r="AD197" i="13" s="1"/>
  <c r="AD207" i="13" s="1"/>
  <c r="AD190" i="13"/>
  <c r="AD200" i="13" s="1"/>
  <c r="AD210" i="13" s="1"/>
  <c r="AD191" i="13"/>
  <c r="AD201" i="13" s="1"/>
  <c r="AD211" i="13" s="1"/>
  <c r="AD189" i="13"/>
  <c r="AD199" i="13" s="1"/>
  <c r="AD209" i="13" s="1"/>
  <c r="AD188" i="13"/>
  <c r="AD198" i="13" s="1"/>
  <c r="AD208" i="13" s="1"/>
  <c r="AF85" i="13"/>
  <c r="AF95" i="13" s="1"/>
  <c r="AF105" i="13" s="1"/>
  <c r="AF87" i="13"/>
  <c r="AF97" i="13" s="1"/>
  <c r="AF107" i="13" s="1"/>
  <c r="AF84" i="13"/>
  <c r="AF94" i="13" s="1"/>
  <c r="AF104" i="13" s="1"/>
  <c r="AF83" i="13"/>
  <c r="AF93" i="13" s="1"/>
  <c r="AF103" i="13" s="1"/>
  <c r="AF88" i="13"/>
  <c r="AF98" i="13" s="1"/>
  <c r="AF108" i="13" s="1"/>
  <c r="AF86" i="13"/>
  <c r="AF96" i="13" s="1"/>
  <c r="AF106" i="13" s="1"/>
  <c r="AF82" i="13"/>
  <c r="AF92" i="13" s="1"/>
  <c r="AF102" i="13" s="1"/>
  <c r="AE138" i="13"/>
  <c r="AE148" i="13" s="1"/>
  <c r="AE158" i="13" s="1"/>
  <c r="AE140" i="13"/>
  <c r="AE150" i="13" s="1"/>
  <c r="AE160" i="13" s="1"/>
  <c r="AE137" i="13"/>
  <c r="AE147" i="13" s="1"/>
  <c r="AE157" i="13" s="1"/>
  <c r="AE139" i="13"/>
  <c r="AE149" i="13" s="1"/>
  <c r="AE159" i="13" s="1"/>
  <c r="AE135" i="13"/>
  <c r="AE145" i="13" s="1"/>
  <c r="AE155" i="13" s="1"/>
  <c r="AE134" i="13"/>
  <c r="AE144" i="13" s="1"/>
  <c r="AE154" i="13" s="1"/>
  <c r="AE136" i="13"/>
  <c r="AE146" i="13" s="1"/>
  <c r="AE156" i="13" s="1"/>
  <c r="AD189" i="12"/>
  <c r="AD199" i="12" s="1"/>
  <c r="AD209" i="12" s="1"/>
  <c r="AD188" i="12"/>
  <c r="AD198" i="12" s="1"/>
  <c r="AD208" i="12" s="1"/>
  <c r="AD191" i="12"/>
  <c r="AD201" i="12" s="1"/>
  <c r="AD211" i="12" s="1"/>
  <c r="AD190" i="12"/>
  <c r="AD200" i="12" s="1"/>
  <c r="AD210" i="12" s="1"/>
  <c r="AD192" i="12"/>
  <c r="AD202" i="12" s="1"/>
  <c r="AD212" i="12" s="1"/>
  <c r="AC241" i="12"/>
  <c r="AC251" i="12" s="1"/>
  <c r="AC261" i="12" s="1"/>
  <c r="AC240" i="12"/>
  <c r="AC250" i="12" s="1"/>
  <c r="AC260" i="12" s="1"/>
  <c r="AC244" i="12"/>
  <c r="AC254" i="12" s="1"/>
  <c r="AC264" i="12" s="1"/>
  <c r="AC242" i="12"/>
  <c r="AC252" i="12" s="1"/>
  <c r="AC262" i="12" s="1"/>
  <c r="AC243" i="12"/>
  <c r="AC253" i="12" s="1"/>
  <c r="AC263" i="12" s="1"/>
  <c r="AB164" i="13"/>
  <c r="AA167" i="13" s="1"/>
  <c r="AD59" i="13"/>
  <c r="AC60" i="13" s="1"/>
  <c r="AB63" i="13" s="1"/>
  <c r="AD163" i="13"/>
  <c r="AC164" i="13" s="1"/>
  <c r="AB267" i="13"/>
  <c r="AA270" i="13" s="1"/>
  <c r="AB115" i="13"/>
  <c r="AC60" i="12"/>
  <c r="AB63" i="12" s="1"/>
  <c r="AE59" i="12"/>
  <c r="AD62" i="12" s="1"/>
  <c r="AC215" i="13"/>
  <c r="AB218" i="13" s="1"/>
  <c r="AB267" i="12"/>
  <c r="AA270" i="12" s="1"/>
  <c r="AD163" i="12"/>
  <c r="AC166" i="12" s="1"/>
  <c r="Z270" i="12"/>
  <c r="AC114" i="13"/>
  <c r="AB164" i="12"/>
  <c r="AA167" i="12" s="1"/>
  <c r="AE111" i="13"/>
  <c r="AD114" i="13" s="1"/>
  <c r="AC215" i="12"/>
  <c r="AB218" i="12" s="1"/>
  <c r="AE277" i="12"/>
  <c r="AD278" i="12"/>
  <c r="AD287" i="12"/>
  <c r="AD318" i="12"/>
  <c r="AE141" i="12"/>
  <c r="AE151" i="12" s="1"/>
  <c r="AE161" i="12" s="1"/>
  <c r="AE132" i="12"/>
  <c r="AE142" i="12" s="1"/>
  <c r="AE152" i="12" s="1"/>
  <c r="AE133" i="12"/>
  <c r="AE143" i="12" s="1"/>
  <c r="AE153" i="12" s="1"/>
  <c r="AE134" i="12"/>
  <c r="AE144" i="12" s="1"/>
  <c r="AE154" i="12" s="1"/>
  <c r="AC288" i="13"/>
  <c r="AC298" i="13" s="1"/>
  <c r="AC308" i="13" s="1"/>
  <c r="AC297" i="13"/>
  <c r="AC307" i="13" s="1"/>
  <c r="AC317" i="13" s="1"/>
  <c r="AC292" i="13"/>
  <c r="AC302" i="13" s="1"/>
  <c r="AC312" i="13" s="1"/>
  <c r="AC293" i="13"/>
  <c r="AC303" i="13" s="1"/>
  <c r="AC313" i="13" s="1"/>
  <c r="AC296" i="13"/>
  <c r="AC306" i="13" s="1"/>
  <c r="AC316" i="13" s="1"/>
  <c r="AC290" i="13"/>
  <c r="AC300" i="13" s="1"/>
  <c r="AC310" i="13" s="1"/>
  <c r="AC295" i="13"/>
  <c r="AC305" i="13" s="1"/>
  <c r="AC315" i="13" s="1"/>
  <c r="AC294" i="13"/>
  <c r="AC304" i="13" s="1"/>
  <c r="AC314" i="13" s="1"/>
  <c r="AC291" i="13"/>
  <c r="AC301" i="13" s="1"/>
  <c r="AC311" i="13" s="1"/>
  <c r="AD184" i="13"/>
  <c r="AD194" i="13" s="1"/>
  <c r="AD204" i="13" s="1"/>
  <c r="AD193" i="13"/>
  <c r="AD203" i="13" s="1"/>
  <c r="AD213" i="13" s="1"/>
  <c r="AF89" i="13"/>
  <c r="AF99" i="13" s="1"/>
  <c r="AF109" i="13" s="1"/>
  <c r="AF80" i="13"/>
  <c r="AF90" i="13" s="1"/>
  <c r="AF100" i="13" s="1"/>
  <c r="AE132" i="13"/>
  <c r="AE142" i="13" s="1"/>
  <c r="AE152" i="13" s="1"/>
  <c r="AE141" i="13"/>
  <c r="AE151" i="13" s="1"/>
  <c r="AE161" i="13" s="1"/>
  <c r="AG121" i="12"/>
  <c r="AF131" i="12"/>
  <c r="AF135" i="12" s="1"/>
  <c r="AF145" i="12" s="1"/>
  <c r="AF155" i="12" s="1"/>
  <c r="AF122" i="12"/>
  <c r="AF162" i="12"/>
  <c r="AE277" i="13"/>
  <c r="AD287" i="13"/>
  <c r="AD289" i="13" s="1"/>
  <c r="AD299" i="13" s="1"/>
  <c r="AD309" i="13" s="1"/>
  <c r="AD278" i="13"/>
  <c r="AD318" i="13"/>
  <c r="AF28" i="12"/>
  <c r="AF38" i="12" s="1"/>
  <c r="AF48" i="12" s="1"/>
  <c r="AF37" i="12"/>
  <c r="AF47" i="12" s="1"/>
  <c r="AF57" i="12" s="1"/>
  <c r="AF30" i="12"/>
  <c r="AF40" i="12" s="1"/>
  <c r="AF50" i="12" s="1"/>
  <c r="AF29" i="12"/>
  <c r="AF39" i="12" s="1"/>
  <c r="AF49" i="12" s="1"/>
  <c r="AE28" i="13"/>
  <c r="AE38" i="13" s="1"/>
  <c r="AE48" i="13" s="1"/>
  <c r="AE37" i="13"/>
  <c r="AE47" i="13" s="1"/>
  <c r="AE57" i="13" s="1"/>
  <c r="AC245" i="13"/>
  <c r="AC255" i="13" s="1"/>
  <c r="AC265" i="13" s="1"/>
  <c r="AC236" i="13"/>
  <c r="AC246" i="13" s="1"/>
  <c r="AC256" i="13" s="1"/>
  <c r="AD193" i="12"/>
  <c r="AD203" i="12" s="1"/>
  <c r="AD213" i="12" s="1"/>
  <c r="AD184" i="12"/>
  <c r="AD194" i="12" s="1"/>
  <c r="AD204" i="12" s="1"/>
  <c r="AD186" i="12"/>
  <c r="AD196" i="12" s="1"/>
  <c r="AD206" i="12" s="1"/>
  <c r="AD185" i="12"/>
  <c r="AD195" i="12" s="1"/>
  <c r="AD205" i="12" s="1"/>
  <c r="AC297" i="12"/>
  <c r="AC307" i="12" s="1"/>
  <c r="AC317" i="12" s="1"/>
  <c r="AC288" i="12"/>
  <c r="AC298" i="12" s="1"/>
  <c r="AC308" i="12" s="1"/>
  <c r="AC292" i="12"/>
  <c r="AC302" i="12" s="1"/>
  <c r="AC312" i="12" s="1"/>
  <c r="AC293" i="12"/>
  <c r="AC303" i="12" s="1"/>
  <c r="AC313" i="12" s="1"/>
  <c r="AC294" i="12"/>
  <c r="AC304" i="12" s="1"/>
  <c r="AC314" i="12" s="1"/>
  <c r="AC295" i="12"/>
  <c r="AC305" i="12" s="1"/>
  <c r="AC315" i="12" s="1"/>
  <c r="AC296" i="12"/>
  <c r="AC306" i="12" s="1"/>
  <c r="AC316" i="12" s="1"/>
  <c r="AC236" i="12"/>
  <c r="AC246" i="12" s="1"/>
  <c r="AC256" i="12" s="1"/>
  <c r="AC245" i="12"/>
  <c r="AC255" i="12" s="1"/>
  <c r="AC265" i="12" s="1"/>
  <c r="AC237" i="12"/>
  <c r="AC247" i="12" s="1"/>
  <c r="AC257" i="12" s="1"/>
  <c r="AC238" i="12"/>
  <c r="AC248" i="12" s="1"/>
  <c r="AC258" i="12" s="1"/>
  <c r="AH17" i="12"/>
  <c r="AG27" i="12"/>
  <c r="AG31" i="12" s="1"/>
  <c r="AG41" i="12" s="1"/>
  <c r="AG51" i="12" s="1"/>
  <c r="AG18" i="12"/>
  <c r="AG58" i="12"/>
  <c r="AG17" i="13"/>
  <c r="AF18" i="13"/>
  <c r="AF27" i="13"/>
  <c r="AF29" i="13" s="1"/>
  <c r="AF39" i="13" s="1"/>
  <c r="AF49" i="13" s="1"/>
  <c r="AF58" i="13"/>
  <c r="AF173" i="13"/>
  <c r="AE183" i="13"/>
  <c r="AE185" i="13" s="1"/>
  <c r="AE195" i="13" s="1"/>
  <c r="AE205" i="13" s="1"/>
  <c r="AE174" i="13"/>
  <c r="AE214" i="13"/>
  <c r="AH69" i="13"/>
  <c r="AG79" i="13"/>
  <c r="AG81" i="13" s="1"/>
  <c r="AG91" i="13" s="1"/>
  <c r="AG101" i="13" s="1"/>
  <c r="AG70" i="13"/>
  <c r="AG110" i="13"/>
  <c r="AE225" i="13"/>
  <c r="AD235" i="13"/>
  <c r="AD237" i="13" s="1"/>
  <c r="AD247" i="13" s="1"/>
  <c r="AD257" i="13" s="1"/>
  <c r="AD226" i="13"/>
  <c r="AD266" i="13"/>
  <c r="AG121" i="13"/>
  <c r="AF131" i="13"/>
  <c r="AF133" i="13" s="1"/>
  <c r="AF143" i="13" s="1"/>
  <c r="AF153" i="13" s="1"/>
  <c r="AF122" i="13"/>
  <c r="AF162" i="13"/>
  <c r="AF173" i="12"/>
  <c r="AE183" i="12"/>
  <c r="AE187" i="12" s="1"/>
  <c r="AE197" i="12" s="1"/>
  <c r="AE207" i="12" s="1"/>
  <c r="AE174" i="12"/>
  <c r="AE214" i="12"/>
  <c r="AE225" i="12"/>
  <c r="AD235" i="12"/>
  <c r="AD239" i="12" s="1"/>
  <c r="AD249" i="12" s="1"/>
  <c r="AD259" i="12" s="1"/>
  <c r="AD226" i="12"/>
  <c r="AD266" i="12"/>
  <c r="AE86" i="12" l="1"/>
  <c r="AE96" i="12" s="1"/>
  <c r="AE106" i="12" s="1"/>
  <c r="AE88" i="12"/>
  <c r="AE98" i="12" s="1"/>
  <c r="AE108" i="12" s="1"/>
  <c r="AE87" i="12"/>
  <c r="AE97" i="12" s="1"/>
  <c r="AE107" i="12" s="1"/>
  <c r="AE85" i="12"/>
  <c r="AE95" i="12" s="1"/>
  <c r="AE105" i="12" s="1"/>
  <c r="AA268" i="12"/>
  <c r="Z271" i="12" s="1"/>
  <c r="AD111" i="12"/>
  <c r="AB114" i="12"/>
  <c r="AB112" i="12"/>
  <c r="AA115" i="12" s="1"/>
  <c r="AE83" i="12"/>
  <c r="AE93" i="12" s="1"/>
  <c r="AE103" i="12" s="1"/>
  <c r="AE80" i="12"/>
  <c r="AE90" i="12" s="1"/>
  <c r="AE100" i="12" s="1"/>
  <c r="AE81" i="12"/>
  <c r="AE91" i="12" s="1"/>
  <c r="AE101" i="12" s="1"/>
  <c r="AE84" i="12"/>
  <c r="AE94" i="12" s="1"/>
  <c r="AE104" i="12" s="1"/>
  <c r="AE89" i="12"/>
  <c r="AE99" i="12" s="1"/>
  <c r="AE109" i="12" s="1"/>
  <c r="AE82" i="12"/>
  <c r="AE92" i="12" s="1"/>
  <c r="AE102" i="12" s="1"/>
  <c r="AF79" i="12"/>
  <c r="AF70" i="12"/>
  <c r="AG69" i="12"/>
  <c r="AF110" i="12"/>
  <c r="Z323" i="13"/>
  <c r="AA322" i="12"/>
  <c r="AA322" i="13"/>
  <c r="AC319" i="13"/>
  <c r="AB320" i="13" s="1"/>
  <c r="AA323" i="13" s="1"/>
  <c r="AC62" i="13"/>
  <c r="AC164" i="12"/>
  <c r="AB167" i="12" s="1"/>
  <c r="AD291" i="12"/>
  <c r="AD301" i="12" s="1"/>
  <c r="AD311" i="12" s="1"/>
  <c r="AD290" i="12"/>
  <c r="AD300" i="12" s="1"/>
  <c r="AD310" i="12" s="1"/>
  <c r="AD289" i="12"/>
  <c r="AD299" i="12" s="1"/>
  <c r="AD309" i="12" s="1"/>
  <c r="AC319" i="12"/>
  <c r="AB320" i="12" s="1"/>
  <c r="AA323" i="12" s="1"/>
  <c r="AB216" i="13"/>
  <c r="AA219" i="13" s="1"/>
  <c r="AC166" i="13"/>
  <c r="AG36" i="12"/>
  <c r="AG46" i="12" s="1"/>
  <c r="AG56" i="12" s="1"/>
  <c r="AG33" i="12"/>
  <c r="AG43" i="12" s="1"/>
  <c r="AG53" i="12" s="1"/>
  <c r="AG32" i="12"/>
  <c r="AG42" i="12" s="1"/>
  <c r="AG52" i="12" s="1"/>
  <c r="AG34" i="12"/>
  <c r="AG44" i="12" s="1"/>
  <c r="AG54" i="12" s="1"/>
  <c r="AG35" i="12"/>
  <c r="AG45" i="12" s="1"/>
  <c r="AG55" i="12" s="1"/>
  <c r="AF31" i="13"/>
  <c r="AF41" i="13" s="1"/>
  <c r="AF51" i="13" s="1"/>
  <c r="AF33" i="13"/>
  <c r="AF43" i="13" s="1"/>
  <c r="AF53" i="13" s="1"/>
  <c r="AF36" i="13"/>
  <c r="AF46" i="13" s="1"/>
  <c r="AF56" i="13" s="1"/>
  <c r="AF35" i="13"/>
  <c r="AF45" i="13" s="1"/>
  <c r="AF55" i="13" s="1"/>
  <c r="AF30" i="13"/>
  <c r="AF40" i="13" s="1"/>
  <c r="AF50" i="13" s="1"/>
  <c r="AF34" i="13"/>
  <c r="AF44" i="13" s="1"/>
  <c r="AF54" i="13" s="1"/>
  <c r="AF32" i="13"/>
  <c r="AF42" i="13" s="1"/>
  <c r="AF52" i="13" s="1"/>
  <c r="AF139" i="12"/>
  <c r="AF149" i="12" s="1"/>
  <c r="AF159" i="12" s="1"/>
  <c r="AF136" i="12"/>
  <c r="AF146" i="12" s="1"/>
  <c r="AF156" i="12" s="1"/>
  <c r="AF137" i="12"/>
  <c r="AF147" i="12" s="1"/>
  <c r="AF157" i="12" s="1"/>
  <c r="AF140" i="12"/>
  <c r="AF150" i="12" s="1"/>
  <c r="AF160" i="12" s="1"/>
  <c r="AF138" i="12"/>
  <c r="AF148" i="12" s="1"/>
  <c r="AF158" i="12" s="1"/>
  <c r="AD242" i="12"/>
  <c r="AD252" i="12" s="1"/>
  <c r="AD262" i="12" s="1"/>
  <c r="AD243" i="12"/>
  <c r="AD253" i="12" s="1"/>
  <c r="AD263" i="12" s="1"/>
  <c r="AD244" i="12"/>
  <c r="AD254" i="12" s="1"/>
  <c r="AD264" i="12" s="1"/>
  <c r="AD240" i="12"/>
  <c r="AD250" i="12" s="1"/>
  <c r="AD260" i="12" s="1"/>
  <c r="AD241" i="12"/>
  <c r="AD251" i="12" s="1"/>
  <c r="AD261" i="12" s="1"/>
  <c r="AE191" i="12"/>
  <c r="AE201" i="12" s="1"/>
  <c r="AE211" i="12" s="1"/>
  <c r="AE188" i="12"/>
  <c r="AE198" i="12" s="1"/>
  <c r="AE208" i="12" s="1"/>
  <c r="AE190" i="12"/>
  <c r="AE200" i="12" s="1"/>
  <c r="AE210" i="12" s="1"/>
  <c r="AE192" i="12"/>
  <c r="AE202" i="12" s="1"/>
  <c r="AE212" i="12" s="1"/>
  <c r="AE189" i="12"/>
  <c r="AE199" i="12" s="1"/>
  <c r="AE209" i="12" s="1"/>
  <c r="AF139" i="13"/>
  <c r="AF149" i="13" s="1"/>
  <c r="AF159" i="13" s="1"/>
  <c r="AF137" i="13"/>
  <c r="AF147" i="13" s="1"/>
  <c r="AF157" i="13" s="1"/>
  <c r="AF138" i="13"/>
  <c r="AF148" i="13" s="1"/>
  <c r="AF158" i="13" s="1"/>
  <c r="AF140" i="13"/>
  <c r="AF150" i="13" s="1"/>
  <c r="AF160" i="13" s="1"/>
  <c r="AF136" i="13"/>
  <c r="AF146" i="13" s="1"/>
  <c r="AF156" i="13" s="1"/>
  <c r="AF134" i="13"/>
  <c r="AF144" i="13" s="1"/>
  <c r="AF154" i="13" s="1"/>
  <c r="AF135" i="13"/>
  <c r="AF145" i="13" s="1"/>
  <c r="AF155" i="13" s="1"/>
  <c r="AD241" i="13"/>
  <c r="AD251" i="13" s="1"/>
  <c r="AD261" i="13" s="1"/>
  <c r="AD238" i="13"/>
  <c r="AD248" i="13" s="1"/>
  <c r="AD258" i="13" s="1"/>
  <c r="AD244" i="13"/>
  <c r="AD254" i="13" s="1"/>
  <c r="AD264" i="13" s="1"/>
  <c r="AD243" i="13"/>
  <c r="AD253" i="13" s="1"/>
  <c r="AD263" i="13" s="1"/>
  <c r="AD240" i="13"/>
  <c r="AD250" i="13" s="1"/>
  <c r="AD260" i="13" s="1"/>
  <c r="AD239" i="13"/>
  <c r="AD249" i="13" s="1"/>
  <c r="AD259" i="13" s="1"/>
  <c r="AD242" i="13"/>
  <c r="AD252" i="13" s="1"/>
  <c r="AD262" i="13" s="1"/>
  <c r="AG84" i="13"/>
  <c r="AG94" i="13" s="1"/>
  <c r="AG104" i="13" s="1"/>
  <c r="AG83" i="13"/>
  <c r="AG93" i="13" s="1"/>
  <c r="AG103" i="13" s="1"/>
  <c r="AG87" i="13"/>
  <c r="AG97" i="13" s="1"/>
  <c r="AG107" i="13" s="1"/>
  <c r="AG85" i="13"/>
  <c r="AG95" i="13" s="1"/>
  <c r="AG105" i="13" s="1"/>
  <c r="AG88" i="13"/>
  <c r="AG98" i="13" s="1"/>
  <c r="AG108" i="13" s="1"/>
  <c r="AG86" i="13"/>
  <c r="AG96" i="13" s="1"/>
  <c r="AG106" i="13" s="1"/>
  <c r="AG82" i="13"/>
  <c r="AG92" i="13" s="1"/>
  <c r="AG102" i="13" s="1"/>
  <c r="AE192" i="13"/>
  <c r="AE202" i="13" s="1"/>
  <c r="AE212" i="13" s="1"/>
  <c r="AE186" i="13"/>
  <c r="AE196" i="13" s="1"/>
  <c r="AE206" i="13" s="1"/>
  <c r="AE189" i="13"/>
  <c r="AE199" i="13" s="1"/>
  <c r="AE209" i="13" s="1"/>
  <c r="AE190" i="13"/>
  <c r="AE200" i="13" s="1"/>
  <c r="AE210" i="13" s="1"/>
  <c r="AE191" i="13"/>
  <c r="AE201" i="13" s="1"/>
  <c r="AE211" i="13" s="1"/>
  <c r="AE188" i="13"/>
  <c r="AE198" i="13" s="1"/>
  <c r="AE208" i="13" s="1"/>
  <c r="AE187" i="13"/>
  <c r="AE197" i="13" s="1"/>
  <c r="AE207" i="13" s="1"/>
  <c r="AB167" i="13"/>
  <c r="AD60" i="12"/>
  <c r="AC63" i="12" s="1"/>
  <c r="AE163" i="12"/>
  <c r="AD164" i="12" s="1"/>
  <c r="AE163" i="13"/>
  <c r="AD164" i="13" s="1"/>
  <c r="AC167" i="13" s="1"/>
  <c r="AD215" i="13"/>
  <c r="AC218" i="13" s="1"/>
  <c r="AA268" i="13"/>
  <c r="Z271" i="13" s="1"/>
  <c r="AD112" i="13"/>
  <c r="AC115" i="13" s="1"/>
  <c r="AB216" i="12"/>
  <c r="AA219" i="12" s="1"/>
  <c r="AF111" i="13"/>
  <c r="AE114" i="13" s="1"/>
  <c r="AD215" i="12"/>
  <c r="AC216" i="12" s="1"/>
  <c r="AE59" i="13"/>
  <c r="AD62" i="13" s="1"/>
  <c r="AC267" i="12"/>
  <c r="AB270" i="12" s="1"/>
  <c r="AC267" i="13"/>
  <c r="AB270" i="13" s="1"/>
  <c r="AF59" i="12"/>
  <c r="AE62" i="12" s="1"/>
  <c r="AD236" i="12"/>
  <c r="AD246" i="12" s="1"/>
  <c r="AD256" i="12" s="1"/>
  <c r="AD245" i="12"/>
  <c r="AD255" i="12" s="1"/>
  <c r="AD265" i="12" s="1"/>
  <c r="AD238" i="12"/>
  <c r="AD248" i="12" s="1"/>
  <c r="AD258" i="12" s="1"/>
  <c r="AD237" i="12"/>
  <c r="AD247" i="12" s="1"/>
  <c r="AD257" i="12" s="1"/>
  <c r="AF225" i="12"/>
  <c r="AE235" i="12"/>
  <c r="AE239" i="12" s="1"/>
  <c r="AE249" i="12" s="1"/>
  <c r="AE259" i="12" s="1"/>
  <c r="AE226" i="12"/>
  <c r="AE266" i="12"/>
  <c r="AG173" i="12"/>
  <c r="AF183" i="12"/>
  <c r="AF187" i="12" s="1"/>
  <c r="AF197" i="12" s="1"/>
  <c r="AF207" i="12" s="1"/>
  <c r="AF174" i="12"/>
  <c r="AF214" i="12"/>
  <c r="AH121" i="13"/>
  <c r="AG131" i="13"/>
  <c r="AG133" i="13" s="1"/>
  <c r="AG143" i="13" s="1"/>
  <c r="AG153" i="13" s="1"/>
  <c r="AG122" i="13"/>
  <c r="AG162" i="13"/>
  <c r="AF225" i="13"/>
  <c r="AE235" i="13"/>
  <c r="AE237" i="13" s="1"/>
  <c r="AE247" i="13" s="1"/>
  <c r="AE257" i="13" s="1"/>
  <c r="AE226" i="13"/>
  <c r="AE266" i="13"/>
  <c r="AI69" i="13"/>
  <c r="AH70" i="13"/>
  <c r="AH79" i="13"/>
  <c r="AH81" i="13" s="1"/>
  <c r="AH91" i="13" s="1"/>
  <c r="AH101" i="13" s="1"/>
  <c r="AH110" i="13"/>
  <c r="AG173" i="13"/>
  <c r="AF183" i="13"/>
  <c r="AF185" i="13" s="1"/>
  <c r="AF195" i="13" s="1"/>
  <c r="AF205" i="13" s="1"/>
  <c r="AF174" i="13"/>
  <c r="AF214" i="13"/>
  <c r="AH17" i="13"/>
  <c r="AG18" i="13"/>
  <c r="AG27" i="13"/>
  <c r="AG29" i="13" s="1"/>
  <c r="AG39" i="13" s="1"/>
  <c r="AG49" i="13" s="1"/>
  <c r="AG58" i="13"/>
  <c r="AF277" i="13"/>
  <c r="AE287" i="13"/>
  <c r="AE289" i="13" s="1"/>
  <c r="AE299" i="13" s="1"/>
  <c r="AE309" i="13" s="1"/>
  <c r="AE278" i="13"/>
  <c r="AE318" i="13"/>
  <c r="AD288" i="12"/>
  <c r="AD298" i="12" s="1"/>
  <c r="AD308" i="12" s="1"/>
  <c r="AD297" i="12"/>
  <c r="AD307" i="12" s="1"/>
  <c r="AD317" i="12" s="1"/>
  <c r="AD295" i="12"/>
  <c r="AD305" i="12" s="1"/>
  <c r="AD315" i="12" s="1"/>
  <c r="AD294" i="12"/>
  <c r="AD304" i="12" s="1"/>
  <c r="AD314" i="12" s="1"/>
  <c r="AD292" i="12"/>
  <c r="AD302" i="12" s="1"/>
  <c r="AD312" i="12" s="1"/>
  <c r="AD293" i="12"/>
  <c r="AD303" i="12" s="1"/>
  <c r="AD313" i="12" s="1"/>
  <c r="AD296" i="12"/>
  <c r="AD306" i="12" s="1"/>
  <c r="AD316" i="12" s="1"/>
  <c r="AG28" i="12"/>
  <c r="AG38" i="12" s="1"/>
  <c r="AG48" i="12" s="1"/>
  <c r="AG37" i="12"/>
  <c r="AG47" i="12" s="1"/>
  <c r="AG57" i="12" s="1"/>
  <c r="AG29" i="12"/>
  <c r="AG39" i="12" s="1"/>
  <c r="AG49" i="12" s="1"/>
  <c r="AG30" i="12"/>
  <c r="AG40" i="12" s="1"/>
  <c r="AG50" i="12" s="1"/>
  <c r="AF132" i="12"/>
  <c r="AF142" i="12" s="1"/>
  <c r="AF152" i="12" s="1"/>
  <c r="AF141" i="12"/>
  <c r="AF151" i="12" s="1"/>
  <c r="AF161" i="12" s="1"/>
  <c r="AF133" i="12"/>
  <c r="AF143" i="12" s="1"/>
  <c r="AF153" i="12" s="1"/>
  <c r="AF134" i="12"/>
  <c r="AF144" i="12" s="1"/>
  <c r="AF154" i="12" s="1"/>
  <c r="AF28" i="13"/>
  <c r="AF38" i="13" s="1"/>
  <c r="AF48" i="13" s="1"/>
  <c r="AF37" i="13"/>
  <c r="AF47" i="13" s="1"/>
  <c r="AF57" i="13" s="1"/>
  <c r="AH18" i="12"/>
  <c r="AH27" i="12"/>
  <c r="AH31" i="12" s="1"/>
  <c r="AH41" i="12" s="1"/>
  <c r="AH51" i="12" s="1"/>
  <c r="AI17" i="12"/>
  <c r="AH58" i="12"/>
  <c r="AH121" i="12"/>
  <c r="AG131" i="12"/>
  <c r="AG135" i="12" s="1"/>
  <c r="AG145" i="12" s="1"/>
  <c r="AG155" i="12" s="1"/>
  <c r="AG122" i="12"/>
  <c r="AG162" i="12"/>
  <c r="AF277" i="12"/>
  <c r="AE287" i="12"/>
  <c r="AE278" i="12"/>
  <c r="AE318" i="12"/>
  <c r="AE193" i="12"/>
  <c r="AE203" i="12" s="1"/>
  <c r="AE213" i="12" s="1"/>
  <c r="AE184" i="12"/>
  <c r="AE194" i="12" s="1"/>
  <c r="AE204" i="12" s="1"/>
  <c r="AE186" i="12"/>
  <c r="AE196" i="12" s="1"/>
  <c r="AE206" i="12" s="1"/>
  <c r="AE185" i="12"/>
  <c r="AE195" i="12" s="1"/>
  <c r="AE205" i="12" s="1"/>
  <c r="AF132" i="13"/>
  <c r="AF142" i="13" s="1"/>
  <c r="AF152" i="13" s="1"/>
  <c r="AF141" i="13"/>
  <c r="AF151" i="13" s="1"/>
  <c r="AF161" i="13" s="1"/>
  <c r="AD245" i="13"/>
  <c r="AD255" i="13" s="1"/>
  <c r="AD265" i="13" s="1"/>
  <c r="AD236" i="13"/>
  <c r="AD246" i="13" s="1"/>
  <c r="AD256" i="13" s="1"/>
  <c r="AG80" i="13"/>
  <c r="AG90" i="13" s="1"/>
  <c r="AG100" i="13" s="1"/>
  <c r="AG89" i="13"/>
  <c r="AG99" i="13" s="1"/>
  <c r="AG109" i="13" s="1"/>
  <c r="AE184" i="13"/>
  <c r="AE194" i="13" s="1"/>
  <c r="AE204" i="13" s="1"/>
  <c r="AE193" i="13"/>
  <c r="AE203" i="13" s="1"/>
  <c r="AE213" i="13" s="1"/>
  <c r="AD297" i="13"/>
  <c r="AD307" i="13" s="1"/>
  <c r="AD317" i="13" s="1"/>
  <c r="AD288" i="13"/>
  <c r="AD298" i="13" s="1"/>
  <c r="AD308" i="13" s="1"/>
  <c r="AD292" i="13"/>
  <c r="AD302" i="13" s="1"/>
  <c r="AD312" i="13" s="1"/>
  <c r="AD291" i="13"/>
  <c r="AD301" i="13" s="1"/>
  <c r="AD311" i="13" s="1"/>
  <c r="AD295" i="13"/>
  <c r="AD305" i="13" s="1"/>
  <c r="AD315" i="13" s="1"/>
  <c r="AD296" i="13"/>
  <c r="AD306" i="13" s="1"/>
  <c r="AD316" i="13" s="1"/>
  <c r="AD290" i="13"/>
  <c r="AD300" i="13" s="1"/>
  <c r="AD310" i="13" s="1"/>
  <c r="AD293" i="13"/>
  <c r="AD303" i="13" s="1"/>
  <c r="AD313" i="13" s="1"/>
  <c r="AD294" i="13"/>
  <c r="AD304" i="13" s="1"/>
  <c r="AD314" i="13" s="1"/>
  <c r="AF87" i="12" l="1"/>
  <c r="AF97" i="12" s="1"/>
  <c r="AF107" i="12" s="1"/>
  <c r="AF85" i="12"/>
  <c r="AF95" i="12" s="1"/>
  <c r="AF105" i="12" s="1"/>
  <c r="AF86" i="12"/>
  <c r="AF96" i="12" s="1"/>
  <c r="AF106" i="12" s="1"/>
  <c r="AF88" i="12"/>
  <c r="AF98" i="12" s="1"/>
  <c r="AF108" i="12" s="1"/>
  <c r="AG110" i="12"/>
  <c r="AH69" i="12"/>
  <c r="AG79" i="12"/>
  <c r="AG70" i="12"/>
  <c r="AF83" i="12"/>
  <c r="AF93" i="12" s="1"/>
  <c r="AF103" i="12" s="1"/>
  <c r="AF81" i="12"/>
  <c r="AF91" i="12" s="1"/>
  <c r="AF101" i="12" s="1"/>
  <c r="AF89" i="12"/>
  <c r="AF99" i="12" s="1"/>
  <c r="AF109" i="12" s="1"/>
  <c r="AF84" i="12"/>
  <c r="AF94" i="12" s="1"/>
  <c r="AF104" i="12" s="1"/>
  <c r="AF82" i="12"/>
  <c r="AF92" i="12" s="1"/>
  <c r="AF102" i="12" s="1"/>
  <c r="AF80" i="12"/>
  <c r="AF90" i="12" s="1"/>
  <c r="AF100" i="12" s="1"/>
  <c r="AE111" i="12"/>
  <c r="AC114" i="12"/>
  <c r="AC112" i="12"/>
  <c r="AB115" i="12" s="1"/>
  <c r="AB322" i="13"/>
  <c r="AC167" i="12"/>
  <c r="AC216" i="13"/>
  <c r="AB219" i="13" s="1"/>
  <c r="AB322" i="12"/>
  <c r="AD319" i="13"/>
  <c r="AC320" i="13" s="1"/>
  <c r="AB323" i="13" s="1"/>
  <c r="AD319" i="12"/>
  <c r="AC320" i="12" s="1"/>
  <c r="AB323" i="12" s="1"/>
  <c r="AE291" i="12"/>
  <c r="AE301" i="12" s="1"/>
  <c r="AE311" i="12" s="1"/>
  <c r="AE289" i="12"/>
  <c r="AE299" i="12" s="1"/>
  <c r="AE309" i="12" s="1"/>
  <c r="AE290" i="12"/>
  <c r="AE300" i="12" s="1"/>
  <c r="AE310" i="12" s="1"/>
  <c r="AD166" i="12"/>
  <c r="AE112" i="13"/>
  <c r="AD115" i="13" s="1"/>
  <c r="AF189" i="13"/>
  <c r="AF199" i="13" s="1"/>
  <c r="AF209" i="13" s="1"/>
  <c r="AF192" i="13"/>
  <c r="AF202" i="13" s="1"/>
  <c r="AF212" i="13" s="1"/>
  <c r="AF186" i="13"/>
  <c r="AF196" i="13" s="1"/>
  <c r="AF206" i="13" s="1"/>
  <c r="AF187" i="13"/>
  <c r="AF197" i="13" s="1"/>
  <c r="AF207" i="13" s="1"/>
  <c r="AF190" i="13"/>
  <c r="AF200" i="13" s="1"/>
  <c r="AF210" i="13" s="1"/>
  <c r="AF191" i="13"/>
  <c r="AF201" i="13" s="1"/>
  <c r="AF211" i="13" s="1"/>
  <c r="AF188" i="13"/>
  <c r="AF198" i="13" s="1"/>
  <c r="AF208" i="13" s="1"/>
  <c r="AE240" i="13"/>
  <c r="AE250" i="13" s="1"/>
  <c r="AE260" i="13" s="1"/>
  <c r="AE243" i="13"/>
  <c r="AE253" i="13" s="1"/>
  <c r="AE263" i="13" s="1"/>
  <c r="AE241" i="13"/>
  <c r="AE251" i="13" s="1"/>
  <c r="AE261" i="13" s="1"/>
  <c r="AE238" i="13"/>
  <c r="AE248" i="13" s="1"/>
  <c r="AE258" i="13" s="1"/>
  <c r="AE244" i="13"/>
  <c r="AE254" i="13" s="1"/>
  <c r="AE264" i="13" s="1"/>
  <c r="AE242" i="13"/>
  <c r="AE252" i="13" s="1"/>
  <c r="AE262" i="13" s="1"/>
  <c r="AE239" i="13"/>
  <c r="AE249" i="13" s="1"/>
  <c r="AE259" i="13" s="1"/>
  <c r="AG140" i="13"/>
  <c r="AG150" i="13" s="1"/>
  <c r="AG160" i="13" s="1"/>
  <c r="AG139" i="13"/>
  <c r="AG149" i="13" s="1"/>
  <c r="AG159" i="13" s="1"/>
  <c r="AG137" i="13"/>
  <c r="AG147" i="13" s="1"/>
  <c r="AG157" i="13" s="1"/>
  <c r="AG138" i="13"/>
  <c r="AG148" i="13" s="1"/>
  <c r="AG158" i="13" s="1"/>
  <c r="AG134" i="13"/>
  <c r="AG144" i="13" s="1"/>
  <c r="AG154" i="13" s="1"/>
  <c r="AG135" i="13"/>
  <c r="AG145" i="13" s="1"/>
  <c r="AG155" i="13" s="1"/>
  <c r="AG136" i="13"/>
  <c r="AG146" i="13" s="1"/>
  <c r="AG156" i="13" s="1"/>
  <c r="AE240" i="12"/>
  <c r="AE250" i="12" s="1"/>
  <c r="AE260" i="12" s="1"/>
  <c r="AE241" i="12"/>
  <c r="AE251" i="12" s="1"/>
  <c r="AE261" i="12" s="1"/>
  <c r="AE243" i="12"/>
  <c r="AE253" i="12" s="1"/>
  <c r="AE263" i="12" s="1"/>
  <c r="AE244" i="12"/>
  <c r="AE254" i="12" s="1"/>
  <c r="AE264" i="12" s="1"/>
  <c r="AE242" i="12"/>
  <c r="AE252" i="12" s="1"/>
  <c r="AE262" i="12" s="1"/>
  <c r="AH33" i="12"/>
  <c r="AH43" i="12" s="1"/>
  <c r="AH53" i="12" s="1"/>
  <c r="AH36" i="12"/>
  <c r="AH46" i="12" s="1"/>
  <c r="AH56" i="12" s="1"/>
  <c r="AH32" i="12"/>
  <c r="AH42" i="12" s="1"/>
  <c r="AH52" i="12" s="1"/>
  <c r="AH34" i="12"/>
  <c r="AH44" i="12" s="1"/>
  <c r="AH54" i="12" s="1"/>
  <c r="AH35" i="12"/>
  <c r="AH45" i="12" s="1"/>
  <c r="AH55" i="12" s="1"/>
  <c r="AF188" i="12"/>
  <c r="AF198" i="12" s="1"/>
  <c r="AF208" i="12" s="1"/>
  <c r="AF190" i="12"/>
  <c r="AF200" i="12" s="1"/>
  <c r="AF210" i="12" s="1"/>
  <c r="AF192" i="12"/>
  <c r="AF202" i="12" s="1"/>
  <c r="AF212" i="12" s="1"/>
  <c r="AF189" i="12"/>
  <c r="AF199" i="12" s="1"/>
  <c r="AF209" i="12" s="1"/>
  <c r="AF191" i="12"/>
  <c r="AF201" i="12" s="1"/>
  <c r="AF211" i="12" s="1"/>
  <c r="AG137" i="12"/>
  <c r="AG147" i="12" s="1"/>
  <c r="AG157" i="12" s="1"/>
  <c r="AG140" i="12"/>
  <c r="AG150" i="12" s="1"/>
  <c r="AG160" i="12" s="1"/>
  <c r="AG139" i="12"/>
  <c r="AG149" i="12" s="1"/>
  <c r="AG159" i="12" s="1"/>
  <c r="AG136" i="12"/>
  <c r="AG146" i="12" s="1"/>
  <c r="AG156" i="12" s="1"/>
  <c r="AG138" i="12"/>
  <c r="AG148" i="12" s="1"/>
  <c r="AG158" i="12" s="1"/>
  <c r="AG31" i="13"/>
  <c r="AG41" i="13" s="1"/>
  <c r="AG51" i="13" s="1"/>
  <c r="AG36" i="13"/>
  <c r="AG46" i="13" s="1"/>
  <c r="AG56" i="13" s="1"/>
  <c r="AG35" i="13"/>
  <c r="AG45" i="13" s="1"/>
  <c r="AG55" i="13" s="1"/>
  <c r="AG32" i="13"/>
  <c r="AG42" i="13" s="1"/>
  <c r="AG52" i="13" s="1"/>
  <c r="AG30" i="13"/>
  <c r="AG40" i="13" s="1"/>
  <c r="AG50" i="13" s="1"/>
  <c r="AG33" i="13"/>
  <c r="AG43" i="13" s="1"/>
  <c r="AG53" i="13" s="1"/>
  <c r="AG34" i="13"/>
  <c r="AG44" i="13" s="1"/>
  <c r="AG54" i="13" s="1"/>
  <c r="AH87" i="13"/>
  <c r="AH97" i="13" s="1"/>
  <c r="AH107" i="13" s="1"/>
  <c r="AH84" i="13"/>
  <c r="AH94" i="13" s="1"/>
  <c r="AH104" i="13" s="1"/>
  <c r="AH85" i="13"/>
  <c r="AH95" i="13" s="1"/>
  <c r="AH105" i="13" s="1"/>
  <c r="AH83" i="13"/>
  <c r="AH93" i="13" s="1"/>
  <c r="AH103" i="13" s="1"/>
  <c r="AH88" i="13"/>
  <c r="AH98" i="13" s="1"/>
  <c r="AH108" i="13" s="1"/>
  <c r="AH86" i="13"/>
  <c r="AH96" i="13" s="1"/>
  <c r="AH106" i="13" s="1"/>
  <c r="AH82" i="13"/>
  <c r="AH92" i="13" s="1"/>
  <c r="AH102" i="13" s="1"/>
  <c r="AB268" i="12"/>
  <c r="AA271" i="12" s="1"/>
  <c r="AD60" i="13"/>
  <c r="AC63" i="13" s="1"/>
  <c r="AD267" i="12"/>
  <c r="AC268" i="12" s="1"/>
  <c r="AD166" i="13"/>
  <c r="AB219" i="12"/>
  <c r="AF59" i="13"/>
  <c r="AE62" i="13" s="1"/>
  <c r="AB268" i="13"/>
  <c r="AA271" i="13" s="1"/>
  <c r="AG111" i="13"/>
  <c r="AF112" i="13" s="1"/>
  <c r="AF163" i="13"/>
  <c r="AE166" i="13" s="1"/>
  <c r="AE60" i="12"/>
  <c r="AD63" i="12" s="1"/>
  <c r="AC218" i="12"/>
  <c r="AD267" i="13"/>
  <c r="AC270" i="13" s="1"/>
  <c r="AG59" i="12"/>
  <c r="AF62" i="12" s="1"/>
  <c r="AF163" i="12"/>
  <c r="AE166" i="12" s="1"/>
  <c r="AE215" i="13"/>
  <c r="AD218" i="13" s="1"/>
  <c r="AE215" i="12"/>
  <c r="AD218" i="12" s="1"/>
  <c r="AE297" i="12"/>
  <c r="AE307" i="12" s="1"/>
  <c r="AE317" i="12" s="1"/>
  <c r="AE288" i="12"/>
  <c r="AE298" i="12" s="1"/>
  <c r="AE308" i="12" s="1"/>
  <c r="AE293" i="12"/>
  <c r="AE303" i="12" s="1"/>
  <c r="AE313" i="12" s="1"/>
  <c r="AE292" i="12"/>
  <c r="AE302" i="12" s="1"/>
  <c r="AE312" i="12" s="1"/>
  <c r="AE296" i="12"/>
  <c r="AE306" i="12" s="1"/>
  <c r="AE316" i="12" s="1"/>
  <c r="AE295" i="12"/>
  <c r="AE305" i="12" s="1"/>
  <c r="AE315" i="12" s="1"/>
  <c r="AE294" i="12"/>
  <c r="AE304" i="12" s="1"/>
  <c r="AE314" i="12" s="1"/>
  <c r="AH131" i="12"/>
  <c r="AH135" i="12" s="1"/>
  <c r="AH145" i="12" s="1"/>
  <c r="AH155" i="12" s="1"/>
  <c r="AI121" i="12"/>
  <c r="AH122" i="12"/>
  <c r="AH162" i="12"/>
  <c r="AE288" i="13"/>
  <c r="AE298" i="13" s="1"/>
  <c r="AE308" i="13" s="1"/>
  <c r="AE297" i="13"/>
  <c r="AE307" i="13" s="1"/>
  <c r="AE317" i="13" s="1"/>
  <c r="AE290" i="13"/>
  <c r="AE300" i="13" s="1"/>
  <c r="AE310" i="13" s="1"/>
  <c r="AE293" i="13"/>
  <c r="AE303" i="13" s="1"/>
  <c r="AE313" i="13" s="1"/>
  <c r="AE291" i="13"/>
  <c r="AE301" i="13" s="1"/>
  <c r="AE311" i="13" s="1"/>
  <c r="AE294" i="13"/>
  <c r="AE304" i="13" s="1"/>
  <c r="AE314" i="13" s="1"/>
  <c r="AE292" i="13"/>
  <c r="AE302" i="13" s="1"/>
  <c r="AE312" i="13" s="1"/>
  <c r="AE295" i="13"/>
  <c r="AE305" i="13" s="1"/>
  <c r="AE315" i="13" s="1"/>
  <c r="AE296" i="13"/>
  <c r="AE306" i="13" s="1"/>
  <c r="AE316" i="13" s="1"/>
  <c r="AH27" i="13"/>
  <c r="AH29" i="13" s="1"/>
  <c r="AH39" i="13" s="1"/>
  <c r="AH49" i="13" s="1"/>
  <c r="AI17" i="13"/>
  <c r="AH18" i="13"/>
  <c r="AH58" i="13"/>
  <c r="AH173" i="13"/>
  <c r="AG183" i="13"/>
  <c r="AG185" i="13" s="1"/>
  <c r="AG195" i="13" s="1"/>
  <c r="AG205" i="13" s="1"/>
  <c r="AG174" i="13"/>
  <c r="AG214" i="13"/>
  <c r="AJ69" i="13"/>
  <c r="AI79" i="13"/>
  <c r="AI81" i="13" s="1"/>
  <c r="AI91" i="13" s="1"/>
  <c r="AI101" i="13" s="1"/>
  <c r="AI70" i="13"/>
  <c r="AI110" i="13"/>
  <c r="AG225" i="13"/>
  <c r="AF235" i="13"/>
  <c r="AF237" i="13" s="1"/>
  <c r="AF247" i="13" s="1"/>
  <c r="AF257" i="13" s="1"/>
  <c r="AF226" i="13"/>
  <c r="AF266" i="13"/>
  <c r="AH122" i="13"/>
  <c r="AH131" i="13"/>
  <c r="AH133" i="13" s="1"/>
  <c r="AH143" i="13" s="1"/>
  <c r="AH153" i="13" s="1"/>
  <c r="AI121" i="13"/>
  <c r="AH162" i="13"/>
  <c r="AG225" i="12"/>
  <c r="AF235" i="12"/>
  <c r="AF239" i="12" s="1"/>
  <c r="AF249" i="12" s="1"/>
  <c r="AF259" i="12" s="1"/>
  <c r="AF226" i="12"/>
  <c r="AF266" i="12"/>
  <c r="AG277" i="12"/>
  <c r="AF287" i="12"/>
  <c r="AF278" i="12"/>
  <c r="AF318" i="12"/>
  <c r="AJ17" i="12"/>
  <c r="AI27" i="12"/>
  <c r="AI31" i="12" s="1"/>
  <c r="AI41" i="12" s="1"/>
  <c r="AI51" i="12" s="1"/>
  <c r="AI18" i="12"/>
  <c r="AI58" i="12"/>
  <c r="AG277" i="13"/>
  <c r="AF278" i="13"/>
  <c r="AF287" i="13"/>
  <c r="AF289" i="13" s="1"/>
  <c r="AF299" i="13" s="1"/>
  <c r="AF309" i="13" s="1"/>
  <c r="AF318" i="13"/>
  <c r="AF184" i="12"/>
  <c r="AF194" i="12" s="1"/>
  <c r="AF204" i="12" s="1"/>
  <c r="AF193" i="12"/>
  <c r="AF203" i="12" s="1"/>
  <c r="AF213" i="12" s="1"/>
  <c r="AF185" i="12"/>
  <c r="AF195" i="12" s="1"/>
  <c r="AF205" i="12" s="1"/>
  <c r="AF186" i="12"/>
  <c r="AF196" i="12" s="1"/>
  <c r="AF206" i="12" s="1"/>
  <c r="AH37" i="12"/>
  <c r="AH47" i="12" s="1"/>
  <c r="AH57" i="12" s="1"/>
  <c r="AH28" i="12"/>
  <c r="AH38" i="12" s="1"/>
  <c r="AH48" i="12" s="1"/>
  <c r="AH30" i="12"/>
  <c r="AH40" i="12" s="1"/>
  <c r="AH50" i="12" s="1"/>
  <c r="AH29" i="12"/>
  <c r="AH39" i="12" s="1"/>
  <c r="AH49" i="12" s="1"/>
  <c r="AG37" i="13"/>
  <c r="AG47" i="13" s="1"/>
  <c r="AG57" i="13" s="1"/>
  <c r="AG28" i="13"/>
  <c r="AG38" i="13" s="1"/>
  <c r="AG48" i="13" s="1"/>
  <c r="AH80" i="13"/>
  <c r="AH90" i="13" s="1"/>
  <c r="AH100" i="13" s="1"/>
  <c r="AH89" i="13"/>
  <c r="AH99" i="13" s="1"/>
  <c r="AH109" i="13" s="1"/>
  <c r="AH173" i="12"/>
  <c r="AG183" i="12"/>
  <c r="AG187" i="12" s="1"/>
  <c r="AG197" i="12" s="1"/>
  <c r="AG207" i="12" s="1"/>
  <c r="AG174" i="12"/>
  <c r="AG214" i="12"/>
  <c r="AG141" i="12"/>
  <c r="AG151" i="12" s="1"/>
  <c r="AG161" i="12" s="1"/>
  <c r="AG132" i="12"/>
  <c r="AG142" i="12" s="1"/>
  <c r="AG152" i="12" s="1"/>
  <c r="AG134" i="12"/>
  <c r="AG144" i="12" s="1"/>
  <c r="AG154" i="12" s="1"/>
  <c r="AG133" i="12"/>
  <c r="AG143" i="12" s="1"/>
  <c r="AG153" i="12" s="1"/>
  <c r="AF184" i="13"/>
  <c r="AF194" i="13" s="1"/>
  <c r="AF204" i="13" s="1"/>
  <c r="AF193" i="13"/>
  <c r="AF203" i="13" s="1"/>
  <c r="AF213" i="13" s="1"/>
  <c r="AE245" i="13"/>
  <c r="AE255" i="13" s="1"/>
  <c r="AE265" i="13" s="1"/>
  <c r="AE236" i="13"/>
  <c r="AE246" i="13" s="1"/>
  <c r="AE256" i="13" s="1"/>
  <c r="AG141" i="13"/>
  <c r="AG151" i="13" s="1"/>
  <c r="AG161" i="13" s="1"/>
  <c r="AG132" i="13"/>
  <c r="AG142" i="13" s="1"/>
  <c r="AG152" i="13" s="1"/>
  <c r="AE236" i="12"/>
  <c r="AE246" i="12" s="1"/>
  <c r="AE256" i="12" s="1"/>
  <c r="AE245" i="12"/>
  <c r="AE255" i="12" s="1"/>
  <c r="AE265" i="12" s="1"/>
  <c r="AE238" i="12"/>
  <c r="AE248" i="12" s="1"/>
  <c r="AE258" i="12" s="1"/>
  <c r="AE237" i="12"/>
  <c r="AE247" i="12" s="1"/>
  <c r="AE257" i="12" s="1"/>
  <c r="AG85" i="12" l="1"/>
  <c r="AG95" i="12" s="1"/>
  <c r="AG105" i="12" s="1"/>
  <c r="AG86" i="12"/>
  <c r="AG96" i="12" s="1"/>
  <c r="AG106" i="12" s="1"/>
  <c r="AG88" i="12"/>
  <c r="AG98" i="12" s="1"/>
  <c r="AG108" i="12" s="1"/>
  <c r="AG87" i="12"/>
  <c r="AG97" i="12" s="1"/>
  <c r="AG107" i="12" s="1"/>
  <c r="AH79" i="12"/>
  <c r="AI69" i="12"/>
  <c r="AH70" i="12"/>
  <c r="AH110" i="12"/>
  <c r="AD114" i="12"/>
  <c r="AD112" i="12"/>
  <c r="AC115" i="12" s="1"/>
  <c r="AF111" i="12"/>
  <c r="AG83" i="12"/>
  <c r="AG93" i="12" s="1"/>
  <c r="AG103" i="12" s="1"/>
  <c r="AG84" i="12"/>
  <c r="AG94" i="12" s="1"/>
  <c r="AG104" i="12" s="1"/>
  <c r="AG82" i="12"/>
  <c r="AG92" i="12" s="1"/>
  <c r="AG102" i="12" s="1"/>
  <c r="AG81" i="12"/>
  <c r="AG91" i="12" s="1"/>
  <c r="AG101" i="12" s="1"/>
  <c r="AG80" i="12"/>
  <c r="AG90" i="12" s="1"/>
  <c r="AG100" i="12" s="1"/>
  <c r="AG89" i="12"/>
  <c r="AG99" i="12" s="1"/>
  <c r="AG109" i="12" s="1"/>
  <c r="AC322" i="12"/>
  <c r="AE115" i="13"/>
  <c r="AC322" i="13"/>
  <c r="AC270" i="12"/>
  <c r="AE319" i="13"/>
  <c r="AD322" i="13" s="1"/>
  <c r="AE319" i="12"/>
  <c r="AD320" i="12" s="1"/>
  <c r="AC323" i="12" s="1"/>
  <c r="AD216" i="12"/>
  <c r="AC219" i="12" s="1"/>
  <c r="AF291" i="12"/>
  <c r="AF301" i="12" s="1"/>
  <c r="AF311" i="12" s="1"/>
  <c r="AF290" i="12"/>
  <c r="AF300" i="12" s="1"/>
  <c r="AF310" i="12" s="1"/>
  <c r="AF289" i="12"/>
  <c r="AF299" i="12" s="1"/>
  <c r="AF309" i="12" s="1"/>
  <c r="AB271" i="12"/>
  <c r="AE60" i="13"/>
  <c r="AD63" i="13" s="1"/>
  <c r="AI36" i="12"/>
  <c r="AI46" i="12" s="1"/>
  <c r="AI56" i="12" s="1"/>
  <c r="AI33" i="12"/>
  <c r="AI43" i="12" s="1"/>
  <c r="AI53" i="12" s="1"/>
  <c r="AI32" i="12"/>
  <c r="AI42" i="12" s="1"/>
  <c r="AI52" i="12" s="1"/>
  <c r="AI34" i="12"/>
  <c r="AI44" i="12" s="1"/>
  <c r="AI54" i="12" s="1"/>
  <c r="AI35" i="12"/>
  <c r="AI45" i="12" s="1"/>
  <c r="AI55" i="12" s="1"/>
  <c r="AG189" i="12"/>
  <c r="AG199" i="12" s="1"/>
  <c r="AG209" i="12" s="1"/>
  <c r="AG188" i="12"/>
  <c r="AG198" i="12" s="1"/>
  <c r="AG208" i="12" s="1"/>
  <c r="AG190" i="12"/>
  <c r="AG200" i="12" s="1"/>
  <c r="AG210" i="12" s="1"/>
  <c r="AG192" i="12"/>
  <c r="AG202" i="12" s="1"/>
  <c r="AG212" i="12" s="1"/>
  <c r="AG191" i="12"/>
  <c r="AG201" i="12" s="1"/>
  <c r="AG211" i="12" s="1"/>
  <c r="AF244" i="12"/>
  <c r="AF254" i="12" s="1"/>
  <c r="AF264" i="12" s="1"/>
  <c r="AF241" i="12"/>
  <c r="AF251" i="12" s="1"/>
  <c r="AF261" i="12" s="1"/>
  <c r="AF243" i="12"/>
  <c r="AF253" i="12" s="1"/>
  <c r="AF263" i="12" s="1"/>
  <c r="AF242" i="12"/>
  <c r="AF252" i="12" s="1"/>
  <c r="AF262" i="12" s="1"/>
  <c r="AF240" i="12"/>
  <c r="AF250" i="12" s="1"/>
  <c r="AF260" i="12" s="1"/>
  <c r="AH138" i="13"/>
  <c r="AH148" i="13" s="1"/>
  <c r="AH158" i="13" s="1"/>
  <c r="AH140" i="13"/>
  <c r="AH150" i="13" s="1"/>
  <c r="AH160" i="13" s="1"/>
  <c r="AH139" i="13"/>
  <c r="AH149" i="13" s="1"/>
  <c r="AH159" i="13" s="1"/>
  <c r="AH137" i="13"/>
  <c r="AH147" i="13" s="1"/>
  <c r="AH157" i="13" s="1"/>
  <c r="AH134" i="13"/>
  <c r="AH144" i="13" s="1"/>
  <c r="AH154" i="13" s="1"/>
  <c r="AH135" i="13"/>
  <c r="AH145" i="13" s="1"/>
  <c r="AH155" i="13" s="1"/>
  <c r="AH136" i="13"/>
  <c r="AH146" i="13" s="1"/>
  <c r="AH156" i="13" s="1"/>
  <c r="AF239" i="13"/>
  <c r="AF249" i="13" s="1"/>
  <c r="AF259" i="13" s="1"/>
  <c r="AF240" i="13"/>
  <c r="AF250" i="13" s="1"/>
  <c r="AF260" i="13" s="1"/>
  <c r="AF244" i="13"/>
  <c r="AF254" i="13" s="1"/>
  <c r="AF264" i="13" s="1"/>
  <c r="AF243" i="13"/>
  <c r="AF253" i="13" s="1"/>
  <c r="AF263" i="13" s="1"/>
  <c r="AF241" i="13"/>
  <c r="AF251" i="13" s="1"/>
  <c r="AF261" i="13" s="1"/>
  <c r="AF238" i="13"/>
  <c r="AF248" i="13" s="1"/>
  <c r="AF258" i="13" s="1"/>
  <c r="AF242" i="13"/>
  <c r="AF252" i="13" s="1"/>
  <c r="AF262" i="13" s="1"/>
  <c r="AI87" i="13"/>
  <c r="AI97" i="13" s="1"/>
  <c r="AI107" i="13" s="1"/>
  <c r="AI84" i="13"/>
  <c r="AI94" i="13" s="1"/>
  <c r="AI104" i="13" s="1"/>
  <c r="AI85" i="13"/>
  <c r="AI95" i="13" s="1"/>
  <c r="AI105" i="13" s="1"/>
  <c r="AI83" i="13"/>
  <c r="AI93" i="13" s="1"/>
  <c r="AI103" i="13" s="1"/>
  <c r="AI88" i="13"/>
  <c r="AI98" i="13" s="1"/>
  <c r="AI108" i="13" s="1"/>
  <c r="AI86" i="13"/>
  <c r="AI96" i="13" s="1"/>
  <c r="AI106" i="13" s="1"/>
  <c r="AI82" i="13"/>
  <c r="AI92" i="13" s="1"/>
  <c r="AI102" i="13" s="1"/>
  <c r="AG191" i="13"/>
  <c r="AG201" i="13" s="1"/>
  <c r="AG211" i="13" s="1"/>
  <c r="AG189" i="13"/>
  <c r="AG199" i="13" s="1"/>
  <c r="AG209" i="13" s="1"/>
  <c r="AG192" i="13"/>
  <c r="AG202" i="13" s="1"/>
  <c r="AG212" i="13" s="1"/>
  <c r="AG186" i="13"/>
  <c r="AG196" i="13" s="1"/>
  <c r="AG206" i="13" s="1"/>
  <c r="AG190" i="13"/>
  <c r="AG200" i="13" s="1"/>
  <c r="AG210" i="13" s="1"/>
  <c r="AG187" i="13"/>
  <c r="AG197" i="13" s="1"/>
  <c r="AG207" i="13" s="1"/>
  <c r="AG188" i="13"/>
  <c r="AG198" i="13" s="1"/>
  <c r="AG208" i="13" s="1"/>
  <c r="AH139" i="12"/>
  <c r="AH149" i="12" s="1"/>
  <c r="AH159" i="12" s="1"/>
  <c r="AH137" i="12"/>
  <c r="AH147" i="12" s="1"/>
  <c r="AH157" i="12" s="1"/>
  <c r="AH140" i="12"/>
  <c r="AH150" i="12" s="1"/>
  <c r="AH160" i="12" s="1"/>
  <c r="AH136" i="12"/>
  <c r="AH146" i="12" s="1"/>
  <c r="AH156" i="12" s="1"/>
  <c r="AH138" i="12"/>
  <c r="AH148" i="12" s="1"/>
  <c r="AH158" i="12" s="1"/>
  <c r="AH33" i="13"/>
  <c r="AH43" i="13" s="1"/>
  <c r="AH53" i="13" s="1"/>
  <c r="AH36" i="13"/>
  <c r="AH46" i="13" s="1"/>
  <c r="AH56" i="13" s="1"/>
  <c r="AH31" i="13"/>
  <c r="AH41" i="13" s="1"/>
  <c r="AH51" i="13" s="1"/>
  <c r="AH35" i="13"/>
  <c r="AH45" i="13" s="1"/>
  <c r="AH55" i="13" s="1"/>
  <c r="AH34" i="13"/>
  <c r="AH44" i="13" s="1"/>
  <c r="AH54" i="13" s="1"/>
  <c r="AH32" i="13"/>
  <c r="AH42" i="13" s="1"/>
  <c r="AH52" i="13" s="1"/>
  <c r="AH30" i="13"/>
  <c r="AH40" i="13" s="1"/>
  <c r="AH50" i="13" s="1"/>
  <c r="AE164" i="13"/>
  <c r="AD167" i="13" s="1"/>
  <c r="AF114" i="13"/>
  <c r="AC268" i="13"/>
  <c r="AB271" i="13" s="1"/>
  <c r="AG59" i="13"/>
  <c r="AF60" i="13" s="1"/>
  <c r="AE164" i="12"/>
  <c r="AD167" i="12" s="1"/>
  <c r="AD216" i="13"/>
  <c r="AC219" i="13" s="1"/>
  <c r="AH111" i="13"/>
  <c r="AG112" i="13" s="1"/>
  <c r="AF115" i="13" s="1"/>
  <c r="AH59" i="12"/>
  <c r="AG62" i="12" s="1"/>
  <c r="AF60" i="12"/>
  <c r="AE63" i="12" s="1"/>
  <c r="AG163" i="13"/>
  <c r="AF166" i="13" s="1"/>
  <c r="AE267" i="13"/>
  <c r="AD268" i="13" s="1"/>
  <c r="AF215" i="13"/>
  <c r="AE216" i="13" s="1"/>
  <c r="AE267" i="12"/>
  <c r="AD270" i="12" s="1"/>
  <c r="AF215" i="12"/>
  <c r="AE218" i="12" s="1"/>
  <c r="AG163" i="12"/>
  <c r="AF166" i="12" s="1"/>
  <c r="AI173" i="12"/>
  <c r="AH174" i="12"/>
  <c r="AH183" i="12"/>
  <c r="AH187" i="12" s="1"/>
  <c r="AH197" i="12" s="1"/>
  <c r="AH207" i="12" s="1"/>
  <c r="AH214" i="12"/>
  <c r="AH277" i="13"/>
  <c r="AG287" i="13"/>
  <c r="AG289" i="13" s="1"/>
  <c r="AG299" i="13" s="1"/>
  <c r="AG309" i="13" s="1"/>
  <c r="AG278" i="13"/>
  <c r="AG318" i="13"/>
  <c r="AF288" i="12"/>
  <c r="AF298" i="12" s="1"/>
  <c r="AF308" i="12" s="1"/>
  <c r="AF297" i="12"/>
  <c r="AF307" i="12" s="1"/>
  <c r="AF317" i="12" s="1"/>
  <c r="AF294" i="12"/>
  <c r="AF304" i="12" s="1"/>
  <c r="AF314" i="12" s="1"/>
  <c r="AF293" i="12"/>
  <c r="AF303" i="12" s="1"/>
  <c r="AF313" i="12" s="1"/>
  <c r="AF292" i="12"/>
  <c r="AF302" i="12" s="1"/>
  <c r="AF312" i="12" s="1"/>
  <c r="AF296" i="12"/>
  <c r="AF306" i="12" s="1"/>
  <c r="AF316" i="12" s="1"/>
  <c r="AF295" i="12"/>
  <c r="AF305" i="12" s="1"/>
  <c r="AF315" i="12" s="1"/>
  <c r="AF245" i="12"/>
  <c r="AF255" i="12" s="1"/>
  <c r="AF265" i="12" s="1"/>
  <c r="AF236" i="12"/>
  <c r="AF246" i="12" s="1"/>
  <c r="AF256" i="12" s="1"/>
  <c r="AF237" i="12"/>
  <c r="AF247" i="12" s="1"/>
  <c r="AF257" i="12" s="1"/>
  <c r="AF238" i="12"/>
  <c r="AF248" i="12" s="1"/>
  <c r="AF258" i="12" s="1"/>
  <c r="AJ121" i="13"/>
  <c r="AI131" i="13"/>
  <c r="AI133" i="13" s="1"/>
  <c r="AI143" i="13" s="1"/>
  <c r="AI153" i="13" s="1"/>
  <c r="AI122" i="13"/>
  <c r="AI162" i="13"/>
  <c r="AJ121" i="12"/>
  <c r="AI131" i="12"/>
  <c r="AI135" i="12" s="1"/>
  <c r="AI145" i="12" s="1"/>
  <c r="AI155" i="12" s="1"/>
  <c r="AI122" i="12"/>
  <c r="AI162" i="12"/>
  <c r="AI37" i="12"/>
  <c r="AI47" i="12" s="1"/>
  <c r="AI57" i="12" s="1"/>
  <c r="AI28" i="12"/>
  <c r="AI38" i="12" s="1"/>
  <c r="AI48" i="12" s="1"/>
  <c r="AI29" i="12"/>
  <c r="AI39" i="12" s="1"/>
  <c r="AI49" i="12" s="1"/>
  <c r="AI30" i="12"/>
  <c r="AI40" i="12" s="1"/>
  <c r="AI50" i="12" s="1"/>
  <c r="AH277" i="12"/>
  <c r="AG278" i="12"/>
  <c r="AG287" i="12"/>
  <c r="AG318" i="12"/>
  <c r="AH225" i="12"/>
  <c r="AG235" i="12"/>
  <c r="AG239" i="12" s="1"/>
  <c r="AG249" i="12" s="1"/>
  <c r="AG259" i="12" s="1"/>
  <c r="AG226" i="12"/>
  <c r="AG266" i="12"/>
  <c r="AH141" i="13"/>
  <c r="AH151" i="13" s="1"/>
  <c r="AH161" i="13" s="1"/>
  <c r="AH132" i="13"/>
  <c r="AH142" i="13" s="1"/>
  <c r="AH152" i="13" s="1"/>
  <c r="AF236" i="13"/>
  <c r="AF246" i="13" s="1"/>
  <c r="AF256" i="13" s="1"/>
  <c r="AF245" i="13"/>
  <c r="AF255" i="13" s="1"/>
  <c r="AF265" i="13" s="1"/>
  <c r="AI89" i="13"/>
  <c r="AI99" i="13" s="1"/>
  <c r="AI109" i="13" s="1"/>
  <c r="AI80" i="13"/>
  <c r="AI90" i="13" s="1"/>
  <c r="AI100" i="13" s="1"/>
  <c r="AG193" i="13"/>
  <c r="AG203" i="13" s="1"/>
  <c r="AG213" i="13" s="1"/>
  <c r="AG184" i="13"/>
  <c r="AG194" i="13" s="1"/>
  <c r="AG204" i="13" s="1"/>
  <c r="AJ17" i="13"/>
  <c r="AI18" i="13"/>
  <c r="AI27" i="13"/>
  <c r="AI29" i="13" s="1"/>
  <c r="AI39" i="13" s="1"/>
  <c r="AI49" i="13" s="1"/>
  <c r="AI58" i="13"/>
  <c r="AH132" i="12"/>
  <c r="AH142" i="12" s="1"/>
  <c r="AH152" i="12" s="1"/>
  <c r="AH141" i="12"/>
  <c r="AH151" i="12" s="1"/>
  <c r="AH161" i="12" s="1"/>
  <c r="AH133" i="12"/>
  <c r="AH143" i="12" s="1"/>
  <c r="AH153" i="12" s="1"/>
  <c r="AH134" i="12"/>
  <c r="AH144" i="12" s="1"/>
  <c r="AH154" i="12" s="1"/>
  <c r="AF288" i="13"/>
  <c r="AF298" i="13" s="1"/>
  <c r="AF308" i="13" s="1"/>
  <c r="AF297" i="13"/>
  <c r="AF307" i="13" s="1"/>
  <c r="AF317" i="13" s="1"/>
  <c r="AF293" i="13"/>
  <c r="AF303" i="13" s="1"/>
  <c r="AF313" i="13" s="1"/>
  <c r="AF291" i="13"/>
  <c r="AF301" i="13" s="1"/>
  <c r="AF311" i="13" s="1"/>
  <c r="AF294" i="13"/>
  <c r="AF304" i="13" s="1"/>
  <c r="AF314" i="13" s="1"/>
  <c r="AF292" i="13"/>
  <c r="AF302" i="13" s="1"/>
  <c r="AF312" i="13" s="1"/>
  <c r="AF296" i="13"/>
  <c r="AF306" i="13" s="1"/>
  <c r="AF316" i="13" s="1"/>
  <c r="AF290" i="13"/>
  <c r="AF300" i="13" s="1"/>
  <c r="AF310" i="13" s="1"/>
  <c r="AF295" i="13"/>
  <c r="AF305" i="13" s="1"/>
  <c r="AF315" i="13" s="1"/>
  <c r="AK17" i="12"/>
  <c r="AJ27" i="12"/>
  <c r="AJ31" i="12" s="1"/>
  <c r="AJ41" i="12" s="1"/>
  <c r="AJ51" i="12" s="1"/>
  <c r="AJ18" i="12"/>
  <c r="AJ58" i="12"/>
  <c r="AH225" i="13"/>
  <c r="AG235" i="13"/>
  <c r="AG237" i="13" s="1"/>
  <c r="AG247" i="13" s="1"/>
  <c r="AG257" i="13" s="1"/>
  <c r="AG226" i="13"/>
  <c r="AG266" i="13"/>
  <c r="AK69" i="13"/>
  <c r="AJ79" i="13"/>
  <c r="AJ81" i="13" s="1"/>
  <c r="AJ91" i="13" s="1"/>
  <c r="AJ101" i="13" s="1"/>
  <c r="AJ70" i="13"/>
  <c r="AJ110" i="13"/>
  <c r="AI173" i="13"/>
  <c r="AH174" i="13"/>
  <c r="AH183" i="13"/>
  <c r="AH185" i="13" s="1"/>
  <c r="AH195" i="13" s="1"/>
  <c r="AH205" i="13" s="1"/>
  <c r="AH214" i="13"/>
  <c r="AH28" i="13"/>
  <c r="AH38" i="13" s="1"/>
  <c r="AH48" i="13" s="1"/>
  <c r="AH37" i="13"/>
  <c r="AH47" i="13" s="1"/>
  <c r="AH57" i="13" s="1"/>
  <c r="AG193" i="12"/>
  <c r="AG203" i="12" s="1"/>
  <c r="AG213" i="12" s="1"/>
  <c r="AG184" i="12"/>
  <c r="AG194" i="12" s="1"/>
  <c r="AG204" i="12" s="1"/>
  <c r="AG186" i="12"/>
  <c r="AG196" i="12" s="1"/>
  <c r="AG206" i="12" s="1"/>
  <c r="AG185" i="12"/>
  <c r="AG195" i="12" s="1"/>
  <c r="AG205" i="12" s="1"/>
  <c r="AC271" i="13" l="1"/>
  <c r="AH86" i="12"/>
  <c r="AH96" i="12" s="1"/>
  <c r="AH106" i="12" s="1"/>
  <c r="AH88" i="12"/>
  <c r="AH98" i="12" s="1"/>
  <c r="AH108" i="12" s="1"/>
  <c r="AH87" i="12"/>
  <c r="AH97" i="12" s="1"/>
  <c r="AH107" i="12" s="1"/>
  <c r="AH85" i="12"/>
  <c r="AH95" i="12" s="1"/>
  <c r="AH105" i="12" s="1"/>
  <c r="AD322" i="12"/>
  <c r="AE63" i="13"/>
  <c r="AG111" i="12"/>
  <c r="AE114" i="12"/>
  <c r="AE112" i="12"/>
  <c r="AD115" i="12" s="1"/>
  <c r="AI79" i="12"/>
  <c r="AI70" i="12"/>
  <c r="AI110" i="12"/>
  <c r="AJ69" i="12"/>
  <c r="AH83" i="12"/>
  <c r="AH93" i="12" s="1"/>
  <c r="AH103" i="12" s="1"/>
  <c r="AH80" i="12"/>
  <c r="AH90" i="12" s="1"/>
  <c r="AH100" i="12" s="1"/>
  <c r="AH84" i="12"/>
  <c r="AH94" i="12" s="1"/>
  <c r="AH104" i="12" s="1"/>
  <c r="AH89" i="12"/>
  <c r="AH99" i="12" s="1"/>
  <c r="AH109" i="12" s="1"/>
  <c r="AH81" i="12"/>
  <c r="AH91" i="12" s="1"/>
  <c r="AH101" i="12" s="1"/>
  <c r="AH82" i="12"/>
  <c r="AH92" i="12" s="1"/>
  <c r="AH102" i="12" s="1"/>
  <c r="AG114" i="13"/>
  <c r="AD320" i="13"/>
  <c r="AC323" i="13" s="1"/>
  <c r="AF267" i="12"/>
  <c r="AE268" i="12" s="1"/>
  <c r="AF319" i="12"/>
  <c r="AE322" i="12" s="1"/>
  <c r="AF319" i="13"/>
  <c r="AE320" i="13" s="1"/>
  <c r="AG291" i="12"/>
  <c r="AG301" i="12" s="1"/>
  <c r="AG311" i="12" s="1"/>
  <c r="AG290" i="12"/>
  <c r="AG300" i="12" s="1"/>
  <c r="AG310" i="12" s="1"/>
  <c r="AG289" i="12"/>
  <c r="AG299" i="12" s="1"/>
  <c r="AG309" i="12" s="1"/>
  <c r="AE218" i="13"/>
  <c r="AG60" i="12"/>
  <c r="AF63" i="12" s="1"/>
  <c r="AF62" i="13"/>
  <c r="AJ84" i="13"/>
  <c r="AJ94" i="13" s="1"/>
  <c r="AJ104" i="13" s="1"/>
  <c r="AJ85" i="13"/>
  <c r="AJ95" i="13" s="1"/>
  <c r="AJ105" i="13" s="1"/>
  <c r="AJ83" i="13"/>
  <c r="AJ93" i="13" s="1"/>
  <c r="AJ103" i="13" s="1"/>
  <c r="AJ87" i="13"/>
  <c r="AJ97" i="13" s="1"/>
  <c r="AJ107" i="13" s="1"/>
  <c r="AJ88" i="13"/>
  <c r="AJ98" i="13" s="1"/>
  <c r="AJ108" i="13" s="1"/>
  <c r="AJ86" i="13"/>
  <c r="AJ96" i="13" s="1"/>
  <c r="AJ106" i="13" s="1"/>
  <c r="AJ82" i="13"/>
  <c r="AJ92" i="13" s="1"/>
  <c r="AJ102" i="13" s="1"/>
  <c r="AG238" i="13"/>
  <c r="AG248" i="13" s="1"/>
  <c r="AG258" i="13" s="1"/>
  <c r="AG244" i="13"/>
  <c r="AG254" i="13" s="1"/>
  <c r="AG264" i="13" s="1"/>
  <c r="AG241" i="13"/>
  <c r="AG251" i="13" s="1"/>
  <c r="AG261" i="13" s="1"/>
  <c r="AG243" i="13"/>
  <c r="AG253" i="13" s="1"/>
  <c r="AG263" i="13" s="1"/>
  <c r="AG240" i="13"/>
  <c r="AG250" i="13" s="1"/>
  <c r="AG260" i="13" s="1"/>
  <c r="AG242" i="13"/>
  <c r="AG252" i="13" s="1"/>
  <c r="AG262" i="13" s="1"/>
  <c r="AG239" i="13"/>
  <c r="AG249" i="13" s="1"/>
  <c r="AG259" i="13" s="1"/>
  <c r="AG244" i="12"/>
  <c r="AG254" i="12" s="1"/>
  <c r="AG264" i="12" s="1"/>
  <c r="AG240" i="12"/>
  <c r="AG250" i="12" s="1"/>
  <c r="AG260" i="12" s="1"/>
  <c r="AG242" i="12"/>
  <c r="AG252" i="12" s="1"/>
  <c r="AG262" i="12" s="1"/>
  <c r="AG241" i="12"/>
  <c r="AG251" i="12" s="1"/>
  <c r="AG261" i="12" s="1"/>
  <c r="AG243" i="12"/>
  <c r="AG253" i="12" s="1"/>
  <c r="AG263" i="12" s="1"/>
  <c r="AI137" i="12"/>
  <c r="AI147" i="12" s="1"/>
  <c r="AI157" i="12" s="1"/>
  <c r="AI139" i="12"/>
  <c r="AI149" i="12" s="1"/>
  <c r="AI159" i="12" s="1"/>
  <c r="AI140" i="12"/>
  <c r="AI150" i="12" s="1"/>
  <c r="AI160" i="12" s="1"/>
  <c r="AI136" i="12"/>
  <c r="AI146" i="12" s="1"/>
  <c r="AI156" i="12" s="1"/>
  <c r="AI138" i="12"/>
  <c r="AI148" i="12" s="1"/>
  <c r="AI158" i="12" s="1"/>
  <c r="AI137" i="13"/>
  <c r="AI147" i="13" s="1"/>
  <c r="AI157" i="13" s="1"/>
  <c r="AI140" i="13"/>
  <c r="AI150" i="13" s="1"/>
  <c r="AI160" i="13" s="1"/>
  <c r="AI139" i="13"/>
  <c r="AI149" i="13" s="1"/>
  <c r="AI159" i="13" s="1"/>
  <c r="AI138" i="13"/>
  <c r="AI148" i="13" s="1"/>
  <c r="AI158" i="13" s="1"/>
  <c r="AI135" i="13"/>
  <c r="AI145" i="13" s="1"/>
  <c r="AI155" i="13" s="1"/>
  <c r="AI136" i="13"/>
  <c r="AI146" i="13" s="1"/>
  <c r="AI156" i="13" s="1"/>
  <c r="AI134" i="13"/>
  <c r="AI144" i="13" s="1"/>
  <c r="AI154" i="13" s="1"/>
  <c r="AI36" i="13"/>
  <c r="AI46" i="13" s="1"/>
  <c r="AI56" i="13" s="1"/>
  <c r="AI31" i="13"/>
  <c r="AI41" i="13" s="1"/>
  <c r="AI51" i="13" s="1"/>
  <c r="AI33" i="13"/>
  <c r="AI43" i="13" s="1"/>
  <c r="AI53" i="13" s="1"/>
  <c r="AI30" i="13"/>
  <c r="AI40" i="13" s="1"/>
  <c r="AI50" i="13" s="1"/>
  <c r="AI34" i="13"/>
  <c r="AI44" i="13" s="1"/>
  <c r="AI54" i="13" s="1"/>
  <c r="AI35" i="13"/>
  <c r="AI45" i="13" s="1"/>
  <c r="AI55" i="13" s="1"/>
  <c r="AI32" i="13"/>
  <c r="AI42" i="13" s="1"/>
  <c r="AI52" i="13" s="1"/>
  <c r="AH192" i="13"/>
  <c r="AH202" i="13" s="1"/>
  <c r="AH212" i="13" s="1"/>
  <c r="AH191" i="13"/>
  <c r="AH201" i="13" s="1"/>
  <c r="AH211" i="13" s="1"/>
  <c r="AH187" i="13"/>
  <c r="AH197" i="13" s="1"/>
  <c r="AH207" i="13" s="1"/>
  <c r="AH186" i="13"/>
  <c r="AH196" i="13" s="1"/>
  <c r="AH206" i="13" s="1"/>
  <c r="AH189" i="13"/>
  <c r="AH199" i="13" s="1"/>
  <c r="AH209" i="13" s="1"/>
  <c r="AH190" i="13"/>
  <c r="AH200" i="13" s="1"/>
  <c r="AH210" i="13" s="1"/>
  <c r="AH188" i="13"/>
  <c r="AH198" i="13" s="1"/>
  <c r="AH208" i="13" s="1"/>
  <c r="AJ36" i="12"/>
  <c r="AJ46" i="12" s="1"/>
  <c r="AJ56" i="12" s="1"/>
  <c r="AJ33" i="12"/>
  <c r="AJ43" i="12" s="1"/>
  <c r="AJ53" i="12" s="1"/>
  <c r="AJ32" i="12"/>
  <c r="AJ42" i="12" s="1"/>
  <c r="AJ52" i="12" s="1"/>
  <c r="AJ34" i="12"/>
  <c r="AJ44" i="12" s="1"/>
  <c r="AJ54" i="12" s="1"/>
  <c r="AJ35" i="12"/>
  <c r="AJ45" i="12" s="1"/>
  <c r="AJ55" i="12" s="1"/>
  <c r="AH190" i="12"/>
  <c r="AH200" i="12" s="1"/>
  <c r="AH210" i="12" s="1"/>
  <c r="AH188" i="12"/>
  <c r="AH198" i="12" s="1"/>
  <c r="AH208" i="12" s="1"/>
  <c r="AH192" i="12"/>
  <c r="AH202" i="12" s="1"/>
  <c r="AH212" i="12" s="1"/>
  <c r="AH189" i="12"/>
  <c r="AH199" i="12" s="1"/>
  <c r="AH209" i="12" s="1"/>
  <c r="AH191" i="12"/>
  <c r="AH201" i="12" s="1"/>
  <c r="AH211" i="12" s="1"/>
  <c r="AE216" i="12"/>
  <c r="AD219" i="12" s="1"/>
  <c r="AH163" i="13"/>
  <c r="AG164" i="13" s="1"/>
  <c r="AF164" i="13"/>
  <c r="AE167" i="13" s="1"/>
  <c r="AD219" i="13"/>
  <c r="AD270" i="13"/>
  <c r="AH163" i="12"/>
  <c r="AG166" i="12" s="1"/>
  <c r="AI111" i="13"/>
  <c r="AH112" i="13" s="1"/>
  <c r="AG115" i="13" s="1"/>
  <c r="AF164" i="12"/>
  <c r="AE167" i="12" s="1"/>
  <c r="AG215" i="13"/>
  <c r="AF218" i="13" s="1"/>
  <c r="AD268" i="12"/>
  <c r="AC271" i="12" s="1"/>
  <c r="AF267" i="13"/>
  <c r="AE268" i="13" s="1"/>
  <c r="AD271" i="13" s="1"/>
  <c r="AG215" i="12"/>
  <c r="AF216" i="12" s="1"/>
  <c r="AH59" i="13"/>
  <c r="AG62" i="13" s="1"/>
  <c r="AI59" i="12"/>
  <c r="AH62" i="12" s="1"/>
  <c r="AJ173" i="13"/>
  <c r="AI183" i="13"/>
  <c r="AI185" i="13" s="1"/>
  <c r="AI195" i="13" s="1"/>
  <c r="AI205" i="13" s="1"/>
  <c r="AI174" i="13"/>
  <c r="AI214" i="13"/>
  <c r="AL69" i="13"/>
  <c r="AK70" i="13"/>
  <c r="AK79" i="13"/>
  <c r="AK81" i="13" s="1"/>
  <c r="AK91" i="13" s="1"/>
  <c r="AK101" i="13" s="1"/>
  <c r="AK110" i="13"/>
  <c r="AI225" i="13"/>
  <c r="AH226" i="13"/>
  <c r="AH235" i="13"/>
  <c r="AH237" i="13" s="1"/>
  <c r="AH247" i="13" s="1"/>
  <c r="AH257" i="13" s="1"/>
  <c r="AH266" i="13"/>
  <c r="AL17" i="12"/>
  <c r="AK27" i="12"/>
  <c r="AK31" i="12" s="1"/>
  <c r="AK41" i="12" s="1"/>
  <c r="AK51" i="12" s="1"/>
  <c r="AK18" i="12"/>
  <c r="AK58" i="12"/>
  <c r="AI37" i="13"/>
  <c r="AI47" i="13" s="1"/>
  <c r="AI57" i="13" s="1"/>
  <c r="AI28" i="13"/>
  <c r="AI38" i="13" s="1"/>
  <c r="AI48" i="13" s="1"/>
  <c r="AH226" i="12"/>
  <c r="AH235" i="12"/>
  <c r="AH239" i="12" s="1"/>
  <c r="AH249" i="12" s="1"/>
  <c r="AH259" i="12" s="1"/>
  <c r="AI225" i="12"/>
  <c r="AH266" i="12"/>
  <c r="AG297" i="13"/>
  <c r="AG307" i="13" s="1"/>
  <c r="AG317" i="13" s="1"/>
  <c r="AG288" i="13"/>
  <c r="AG298" i="13" s="1"/>
  <c r="AG308" i="13" s="1"/>
  <c r="AG291" i="13"/>
  <c r="AG301" i="13" s="1"/>
  <c r="AG311" i="13" s="1"/>
  <c r="AG290" i="13"/>
  <c r="AG300" i="13" s="1"/>
  <c r="AG310" i="13" s="1"/>
  <c r="AG296" i="13"/>
  <c r="AG306" i="13" s="1"/>
  <c r="AG316" i="13" s="1"/>
  <c r="AG292" i="13"/>
  <c r="AG302" i="13" s="1"/>
  <c r="AG312" i="13" s="1"/>
  <c r="AG293" i="13"/>
  <c r="AG303" i="13" s="1"/>
  <c r="AG313" i="13" s="1"/>
  <c r="AG295" i="13"/>
  <c r="AG305" i="13" s="1"/>
  <c r="AG315" i="13" s="1"/>
  <c r="AG294" i="13"/>
  <c r="AG304" i="13" s="1"/>
  <c r="AG314" i="13" s="1"/>
  <c r="AJ173" i="12"/>
  <c r="AI183" i="12"/>
  <c r="AI187" i="12" s="1"/>
  <c r="AI197" i="12" s="1"/>
  <c r="AI207" i="12" s="1"/>
  <c r="AI174" i="12"/>
  <c r="AI214" i="12"/>
  <c r="AG288" i="12"/>
  <c r="AG298" i="12" s="1"/>
  <c r="AG308" i="12" s="1"/>
  <c r="AG297" i="12"/>
  <c r="AG307" i="12" s="1"/>
  <c r="AG317" i="12" s="1"/>
  <c r="AG292" i="12"/>
  <c r="AG302" i="12" s="1"/>
  <c r="AG312" i="12" s="1"/>
  <c r="AG295" i="12"/>
  <c r="AG305" i="12" s="1"/>
  <c r="AG315" i="12" s="1"/>
  <c r="AG296" i="12"/>
  <c r="AG306" i="12" s="1"/>
  <c r="AG316" i="12" s="1"/>
  <c r="AG293" i="12"/>
  <c r="AG303" i="12" s="1"/>
  <c r="AG313" i="12" s="1"/>
  <c r="AG294" i="12"/>
  <c r="AG304" i="12" s="1"/>
  <c r="AG314" i="12" s="1"/>
  <c r="AH278" i="13"/>
  <c r="AH287" i="13"/>
  <c r="AH289" i="13" s="1"/>
  <c r="AH299" i="13" s="1"/>
  <c r="AH309" i="13" s="1"/>
  <c r="AI277" i="13"/>
  <c r="AH318" i="13"/>
  <c r="AK17" i="13"/>
  <c r="AJ27" i="13"/>
  <c r="AJ29" i="13" s="1"/>
  <c r="AJ39" i="13" s="1"/>
  <c r="AJ49" i="13" s="1"/>
  <c r="AJ18" i="13"/>
  <c r="AJ58" i="13"/>
  <c r="AI132" i="12"/>
  <c r="AI142" i="12" s="1"/>
  <c r="AI152" i="12" s="1"/>
  <c r="AI141" i="12"/>
  <c r="AI151" i="12" s="1"/>
  <c r="AI161" i="12" s="1"/>
  <c r="AI133" i="12"/>
  <c r="AI143" i="12" s="1"/>
  <c r="AI153" i="12" s="1"/>
  <c r="AI134" i="12"/>
  <c r="AI144" i="12" s="1"/>
  <c r="AI154" i="12" s="1"/>
  <c r="AI141" i="13"/>
  <c r="AI151" i="13" s="1"/>
  <c r="AI161" i="13" s="1"/>
  <c r="AI132" i="13"/>
  <c r="AI142" i="13" s="1"/>
  <c r="AI152" i="13" s="1"/>
  <c r="AH184" i="12"/>
  <c r="AH194" i="12" s="1"/>
  <c r="AH204" i="12" s="1"/>
  <c r="AH193" i="12"/>
  <c r="AH203" i="12" s="1"/>
  <c r="AH213" i="12" s="1"/>
  <c r="AH186" i="12"/>
  <c r="AH196" i="12" s="1"/>
  <c r="AH206" i="12" s="1"/>
  <c r="AH185" i="12"/>
  <c r="AH195" i="12" s="1"/>
  <c r="AH205" i="12" s="1"/>
  <c r="AH193" i="13"/>
  <c r="AH203" i="13" s="1"/>
  <c r="AH213" i="13" s="1"/>
  <c r="AH184" i="13"/>
  <c r="AH194" i="13" s="1"/>
  <c r="AH204" i="13" s="1"/>
  <c r="AJ89" i="13"/>
  <c r="AJ99" i="13" s="1"/>
  <c r="AJ109" i="13" s="1"/>
  <c r="AJ80" i="13"/>
  <c r="AJ90" i="13" s="1"/>
  <c r="AJ100" i="13" s="1"/>
  <c r="AG245" i="13"/>
  <c r="AG255" i="13" s="1"/>
  <c r="AG265" i="13" s="1"/>
  <c r="AG236" i="13"/>
  <c r="AG246" i="13" s="1"/>
  <c r="AG256" i="13" s="1"/>
  <c r="AJ28" i="12"/>
  <c r="AJ38" i="12" s="1"/>
  <c r="AJ48" i="12" s="1"/>
  <c r="AJ37" i="12"/>
  <c r="AJ47" i="12" s="1"/>
  <c r="AJ57" i="12" s="1"/>
  <c r="AJ29" i="12"/>
  <c r="AJ39" i="12" s="1"/>
  <c r="AJ49" i="12" s="1"/>
  <c r="AJ30" i="12"/>
  <c r="AJ40" i="12" s="1"/>
  <c r="AJ50" i="12" s="1"/>
  <c r="AG245" i="12"/>
  <c r="AG255" i="12" s="1"/>
  <c r="AG265" i="12" s="1"/>
  <c r="AG236" i="12"/>
  <c r="AG246" i="12" s="1"/>
  <c r="AG256" i="12" s="1"/>
  <c r="AG237" i="12"/>
  <c r="AG247" i="12" s="1"/>
  <c r="AG257" i="12" s="1"/>
  <c r="AG238" i="12"/>
  <c r="AG248" i="12" s="1"/>
  <c r="AG258" i="12" s="1"/>
  <c r="AI277" i="12"/>
  <c r="AH278" i="12"/>
  <c r="AH287" i="12"/>
  <c r="AH318" i="12"/>
  <c r="AK121" i="12"/>
  <c r="AJ131" i="12"/>
  <c r="AJ135" i="12" s="1"/>
  <c r="AJ145" i="12" s="1"/>
  <c r="AJ155" i="12" s="1"/>
  <c r="AJ122" i="12"/>
  <c r="AJ162" i="12"/>
  <c r="AK121" i="13"/>
  <c r="AJ122" i="13"/>
  <c r="AJ131" i="13"/>
  <c r="AJ133" i="13" s="1"/>
  <c r="AJ143" i="13" s="1"/>
  <c r="AJ153" i="13" s="1"/>
  <c r="AJ162" i="13"/>
  <c r="AI88" i="12" l="1"/>
  <c r="AI98" i="12" s="1"/>
  <c r="AI108" i="12" s="1"/>
  <c r="AI85" i="12"/>
  <c r="AI95" i="12" s="1"/>
  <c r="AI105" i="12" s="1"/>
  <c r="AI87" i="12"/>
  <c r="AI97" i="12" s="1"/>
  <c r="AI107" i="12" s="1"/>
  <c r="AI86" i="12"/>
  <c r="AI96" i="12" s="1"/>
  <c r="AI106" i="12" s="1"/>
  <c r="AG166" i="13"/>
  <c r="AI83" i="12"/>
  <c r="AI93" i="12" s="1"/>
  <c r="AI103" i="12" s="1"/>
  <c r="AI80" i="12"/>
  <c r="AI90" i="12" s="1"/>
  <c r="AI100" i="12" s="1"/>
  <c r="AI82" i="12"/>
  <c r="AI92" i="12" s="1"/>
  <c r="AI102" i="12" s="1"/>
  <c r="AI84" i="12"/>
  <c r="AI94" i="12" s="1"/>
  <c r="AI104" i="12" s="1"/>
  <c r="AI81" i="12"/>
  <c r="AI91" i="12" s="1"/>
  <c r="AI101" i="12" s="1"/>
  <c r="AI89" i="12"/>
  <c r="AI99" i="12" s="1"/>
  <c r="AI109" i="12" s="1"/>
  <c r="AK69" i="12"/>
  <c r="AJ79" i="12"/>
  <c r="AJ110" i="12"/>
  <c r="AJ70" i="12"/>
  <c r="AH111" i="12"/>
  <c r="AF112" i="12"/>
  <c r="AE115" i="12" s="1"/>
  <c r="AF114" i="12"/>
  <c r="AE270" i="12"/>
  <c r="AE320" i="12"/>
  <c r="AD323" i="12" s="1"/>
  <c r="AD323" i="13"/>
  <c r="AH114" i="13"/>
  <c r="AG319" i="13"/>
  <c r="AF322" i="13" s="1"/>
  <c r="AF167" i="13"/>
  <c r="AE322" i="13"/>
  <c r="AF218" i="12"/>
  <c r="AG319" i="12"/>
  <c r="AF320" i="12" s="1"/>
  <c r="AH291" i="12"/>
  <c r="AH301" i="12" s="1"/>
  <c r="AH311" i="12" s="1"/>
  <c r="AH289" i="12"/>
  <c r="AH299" i="12" s="1"/>
  <c r="AH309" i="12" s="1"/>
  <c r="AH290" i="12"/>
  <c r="AH300" i="12" s="1"/>
  <c r="AH310" i="12" s="1"/>
  <c r="AG164" i="12"/>
  <c r="AF167" i="12" s="1"/>
  <c r="AJ137" i="13"/>
  <c r="AJ147" i="13" s="1"/>
  <c r="AJ157" i="13" s="1"/>
  <c r="AJ138" i="13"/>
  <c r="AJ148" i="13" s="1"/>
  <c r="AJ158" i="13" s="1"/>
  <c r="AJ140" i="13"/>
  <c r="AJ150" i="13" s="1"/>
  <c r="AJ160" i="13" s="1"/>
  <c r="AJ139" i="13"/>
  <c r="AJ149" i="13" s="1"/>
  <c r="AJ159" i="13" s="1"/>
  <c r="AJ135" i="13"/>
  <c r="AJ145" i="13" s="1"/>
  <c r="AJ155" i="13" s="1"/>
  <c r="AJ136" i="13"/>
  <c r="AJ146" i="13" s="1"/>
  <c r="AJ156" i="13" s="1"/>
  <c r="AJ134" i="13"/>
  <c r="AJ144" i="13" s="1"/>
  <c r="AJ154" i="13" s="1"/>
  <c r="AH242" i="13"/>
  <c r="AH252" i="13" s="1"/>
  <c r="AH262" i="13" s="1"/>
  <c r="AH239" i="13"/>
  <c r="AH249" i="13" s="1"/>
  <c r="AH259" i="13" s="1"/>
  <c r="AH240" i="13"/>
  <c r="AH250" i="13" s="1"/>
  <c r="AH260" i="13" s="1"/>
  <c r="AH241" i="13"/>
  <c r="AH251" i="13" s="1"/>
  <c r="AH261" i="13" s="1"/>
  <c r="AH238" i="13"/>
  <c r="AH248" i="13" s="1"/>
  <c r="AH258" i="13" s="1"/>
  <c r="AH244" i="13"/>
  <c r="AH254" i="13" s="1"/>
  <c r="AH264" i="13" s="1"/>
  <c r="AH243" i="13"/>
  <c r="AH253" i="13" s="1"/>
  <c r="AH263" i="13" s="1"/>
  <c r="AK87" i="13"/>
  <c r="AK97" i="13" s="1"/>
  <c r="AK107" i="13" s="1"/>
  <c r="AK85" i="13"/>
  <c r="AK95" i="13" s="1"/>
  <c r="AK105" i="13" s="1"/>
  <c r="AK83" i="13"/>
  <c r="AK93" i="13" s="1"/>
  <c r="AK103" i="13" s="1"/>
  <c r="AK84" i="13"/>
  <c r="AK94" i="13" s="1"/>
  <c r="AK104" i="13" s="1"/>
  <c r="AK88" i="13"/>
  <c r="AK98" i="13" s="1"/>
  <c r="AK108" i="13" s="1"/>
  <c r="AK86" i="13"/>
  <c r="AK96" i="13" s="1"/>
  <c r="AK106" i="13" s="1"/>
  <c r="AK82" i="13"/>
  <c r="AK92" i="13" s="1"/>
  <c r="AK102" i="13" s="1"/>
  <c r="AH242" i="12"/>
  <c r="AH252" i="12" s="1"/>
  <c r="AH262" i="12" s="1"/>
  <c r="AH241" i="12"/>
  <c r="AH251" i="12" s="1"/>
  <c r="AH261" i="12" s="1"/>
  <c r="AH240" i="12"/>
  <c r="AH250" i="12" s="1"/>
  <c r="AH260" i="12" s="1"/>
  <c r="AH244" i="12"/>
  <c r="AH254" i="12" s="1"/>
  <c r="AH264" i="12" s="1"/>
  <c r="AH243" i="12"/>
  <c r="AH253" i="12" s="1"/>
  <c r="AH263" i="12" s="1"/>
  <c r="AK33" i="12"/>
  <c r="AK43" i="12" s="1"/>
  <c r="AK53" i="12" s="1"/>
  <c r="AK36" i="12"/>
  <c r="AK46" i="12" s="1"/>
  <c r="AK56" i="12" s="1"/>
  <c r="AK32" i="12"/>
  <c r="AK42" i="12" s="1"/>
  <c r="AK52" i="12" s="1"/>
  <c r="AK34" i="12"/>
  <c r="AK44" i="12" s="1"/>
  <c r="AK54" i="12" s="1"/>
  <c r="AK35" i="12"/>
  <c r="AK45" i="12" s="1"/>
  <c r="AK55" i="12" s="1"/>
  <c r="AI191" i="13"/>
  <c r="AI201" i="13" s="1"/>
  <c r="AI211" i="13" s="1"/>
  <c r="AI189" i="13"/>
  <c r="AI199" i="13" s="1"/>
  <c r="AI209" i="13" s="1"/>
  <c r="AI192" i="13"/>
  <c r="AI202" i="13" s="1"/>
  <c r="AI212" i="13" s="1"/>
  <c r="AI186" i="13"/>
  <c r="AI196" i="13" s="1"/>
  <c r="AI206" i="13" s="1"/>
  <c r="AI190" i="13"/>
  <c r="AI200" i="13" s="1"/>
  <c r="AI210" i="13" s="1"/>
  <c r="AI187" i="13"/>
  <c r="AI197" i="13" s="1"/>
  <c r="AI207" i="13" s="1"/>
  <c r="AI188" i="13"/>
  <c r="AI198" i="13" s="1"/>
  <c r="AI208" i="13" s="1"/>
  <c r="AJ139" i="12"/>
  <c r="AJ149" i="12" s="1"/>
  <c r="AJ159" i="12" s="1"/>
  <c r="AJ140" i="12"/>
  <c r="AJ150" i="12" s="1"/>
  <c r="AJ160" i="12" s="1"/>
  <c r="AJ136" i="12"/>
  <c r="AJ146" i="12" s="1"/>
  <c r="AJ156" i="12" s="1"/>
  <c r="AJ137" i="12"/>
  <c r="AJ147" i="12" s="1"/>
  <c r="AJ157" i="12" s="1"/>
  <c r="AJ138" i="12"/>
  <c r="AJ148" i="12" s="1"/>
  <c r="AJ158" i="12" s="1"/>
  <c r="AJ33" i="13"/>
  <c r="AJ43" i="13" s="1"/>
  <c r="AJ53" i="13" s="1"/>
  <c r="AJ36" i="13"/>
  <c r="AJ46" i="13" s="1"/>
  <c r="AJ56" i="13" s="1"/>
  <c r="AJ31" i="13"/>
  <c r="AJ41" i="13" s="1"/>
  <c r="AJ51" i="13" s="1"/>
  <c r="AJ35" i="13"/>
  <c r="AJ45" i="13" s="1"/>
  <c r="AJ55" i="13" s="1"/>
  <c r="AJ32" i="13"/>
  <c r="AJ42" i="13" s="1"/>
  <c r="AJ52" i="13" s="1"/>
  <c r="AJ30" i="13"/>
  <c r="AJ40" i="13" s="1"/>
  <c r="AJ50" i="13" s="1"/>
  <c r="AJ34" i="13"/>
  <c r="AJ44" i="13" s="1"/>
  <c r="AJ54" i="13" s="1"/>
  <c r="AI188" i="12"/>
  <c r="AI198" i="12" s="1"/>
  <c r="AI208" i="12" s="1"/>
  <c r="AI191" i="12"/>
  <c r="AI201" i="12" s="1"/>
  <c r="AI211" i="12" s="1"/>
  <c r="AI190" i="12"/>
  <c r="AI200" i="12" s="1"/>
  <c r="AI210" i="12" s="1"/>
  <c r="AI192" i="12"/>
  <c r="AI202" i="12" s="1"/>
  <c r="AI212" i="12" s="1"/>
  <c r="AI189" i="12"/>
  <c r="AI199" i="12" s="1"/>
  <c r="AI209" i="12" s="1"/>
  <c r="AE219" i="12"/>
  <c r="AG267" i="13"/>
  <c r="AF270" i="13" s="1"/>
  <c r="AE270" i="13"/>
  <c r="AI59" i="13"/>
  <c r="AH60" i="13" s="1"/>
  <c r="AH60" i="12"/>
  <c r="AG63" i="12" s="1"/>
  <c r="AJ111" i="13"/>
  <c r="AI114" i="13" s="1"/>
  <c r="AH215" i="12"/>
  <c r="AG216" i="12" s="1"/>
  <c r="AF219" i="12" s="1"/>
  <c r="AF216" i="13"/>
  <c r="AE219" i="13" s="1"/>
  <c r="AI163" i="12"/>
  <c r="AG60" i="13"/>
  <c r="AF63" i="13" s="1"/>
  <c r="AH215" i="13"/>
  <c r="AG218" i="13" s="1"/>
  <c r="AD271" i="12"/>
  <c r="AJ59" i="12"/>
  <c r="AI62" i="12" s="1"/>
  <c r="AI163" i="13"/>
  <c r="AG267" i="12"/>
  <c r="AF270" i="12" s="1"/>
  <c r="AL121" i="13"/>
  <c r="AK122" i="13"/>
  <c r="AK131" i="13"/>
  <c r="AK133" i="13" s="1"/>
  <c r="AK143" i="13" s="1"/>
  <c r="AK153" i="13" s="1"/>
  <c r="AK162" i="13"/>
  <c r="AH288" i="13"/>
  <c r="AH298" i="13" s="1"/>
  <c r="AH308" i="13" s="1"/>
  <c r="AH297" i="13"/>
  <c r="AH307" i="13" s="1"/>
  <c r="AH317" i="13" s="1"/>
  <c r="AH290" i="13"/>
  <c r="AH300" i="13" s="1"/>
  <c r="AH310" i="13" s="1"/>
  <c r="AH292" i="13"/>
  <c r="AH302" i="13" s="1"/>
  <c r="AH312" i="13" s="1"/>
  <c r="AH293" i="13"/>
  <c r="AH303" i="13" s="1"/>
  <c r="AH313" i="13" s="1"/>
  <c r="AH295" i="13"/>
  <c r="AH305" i="13" s="1"/>
  <c r="AH315" i="13" s="1"/>
  <c r="AH291" i="13"/>
  <c r="AH301" i="13" s="1"/>
  <c r="AH311" i="13" s="1"/>
  <c r="AH294" i="13"/>
  <c r="AH304" i="13" s="1"/>
  <c r="AH314" i="13" s="1"/>
  <c r="AH296" i="13"/>
  <c r="AH306" i="13" s="1"/>
  <c r="AH316" i="13" s="1"/>
  <c r="AH236" i="12"/>
  <c r="AH246" i="12" s="1"/>
  <c r="AH256" i="12" s="1"/>
  <c r="AH245" i="12"/>
  <c r="AH255" i="12" s="1"/>
  <c r="AH265" i="12" s="1"/>
  <c r="AH237" i="12"/>
  <c r="AH247" i="12" s="1"/>
  <c r="AH257" i="12" s="1"/>
  <c r="AH238" i="12"/>
  <c r="AH248" i="12" s="1"/>
  <c r="AH258" i="12" s="1"/>
  <c r="AH245" i="13"/>
  <c r="AH255" i="13" s="1"/>
  <c r="AH265" i="13" s="1"/>
  <c r="AH236" i="13"/>
  <c r="AH246" i="13" s="1"/>
  <c r="AH256" i="13" s="1"/>
  <c r="AK80" i="13"/>
  <c r="AK90" i="13" s="1"/>
  <c r="AK100" i="13" s="1"/>
  <c r="AK89" i="13"/>
  <c r="AK99" i="13" s="1"/>
  <c r="AK109" i="13" s="1"/>
  <c r="AJ132" i="12"/>
  <c r="AJ142" i="12" s="1"/>
  <c r="AJ152" i="12" s="1"/>
  <c r="AJ141" i="12"/>
  <c r="AJ151" i="12" s="1"/>
  <c r="AJ161" i="12" s="1"/>
  <c r="AJ133" i="12"/>
  <c r="AJ143" i="12" s="1"/>
  <c r="AJ153" i="12" s="1"/>
  <c r="AJ134" i="12"/>
  <c r="AJ144" i="12" s="1"/>
  <c r="AJ154" i="12" s="1"/>
  <c r="AJ277" i="12"/>
  <c r="AI278" i="12"/>
  <c r="AI287" i="12"/>
  <c r="AI318" i="12"/>
  <c r="AJ28" i="13"/>
  <c r="AJ38" i="13" s="1"/>
  <c r="AJ48" i="13" s="1"/>
  <c r="AJ37" i="13"/>
  <c r="AJ47" i="13" s="1"/>
  <c r="AJ57" i="13" s="1"/>
  <c r="AI184" i="12"/>
  <c r="AI194" i="12" s="1"/>
  <c r="AI204" i="12" s="1"/>
  <c r="AI193" i="12"/>
  <c r="AI203" i="12" s="1"/>
  <c r="AI213" i="12" s="1"/>
  <c r="AI185" i="12"/>
  <c r="AI195" i="12" s="1"/>
  <c r="AI205" i="12" s="1"/>
  <c r="AI186" i="12"/>
  <c r="AI196" i="12" s="1"/>
  <c r="AI206" i="12" s="1"/>
  <c r="AK28" i="12"/>
  <c r="AK38" i="12" s="1"/>
  <c r="AK48" i="12" s="1"/>
  <c r="AK37" i="12"/>
  <c r="AK47" i="12" s="1"/>
  <c r="AK57" i="12" s="1"/>
  <c r="AK30" i="12"/>
  <c r="AK40" i="12" s="1"/>
  <c r="AK50" i="12" s="1"/>
  <c r="AK29" i="12"/>
  <c r="AK39" i="12" s="1"/>
  <c r="AK49" i="12" s="1"/>
  <c r="AI193" i="13"/>
  <c r="AI203" i="13" s="1"/>
  <c r="AI213" i="13" s="1"/>
  <c r="AI184" i="13"/>
  <c r="AI194" i="13" s="1"/>
  <c r="AI204" i="13" s="1"/>
  <c r="AJ141" i="13"/>
  <c r="AJ151" i="13" s="1"/>
  <c r="AJ161" i="13" s="1"/>
  <c r="AJ132" i="13"/>
  <c r="AJ142" i="13" s="1"/>
  <c r="AJ152" i="13" s="1"/>
  <c r="AL121" i="12"/>
  <c r="AK122" i="12"/>
  <c r="AK131" i="12"/>
  <c r="AK135" i="12" s="1"/>
  <c r="AK145" i="12" s="1"/>
  <c r="AK155" i="12" s="1"/>
  <c r="AK162" i="12"/>
  <c r="AL17" i="13"/>
  <c r="AK27" i="13"/>
  <c r="AK29" i="13" s="1"/>
  <c r="AK39" i="13" s="1"/>
  <c r="AK49" i="13" s="1"/>
  <c r="AK18" i="13"/>
  <c r="AK58" i="13"/>
  <c r="AK173" i="12"/>
  <c r="AJ183" i="12"/>
  <c r="AJ187" i="12" s="1"/>
  <c r="AJ197" i="12" s="1"/>
  <c r="AJ207" i="12" s="1"/>
  <c r="AJ174" i="12"/>
  <c r="AJ214" i="12"/>
  <c r="AM17" i="12"/>
  <c r="AL27" i="12"/>
  <c r="AL31" i="12" s="1"/>
  <c r="AL41" i="12" s="1"/>
  <c r="AL51" i="12" s="1"/>
  <c r="AL18" i="12"/>
  <c r="AL58" i="12"/>
  <c r="AJ225" i="13"/>
  <c r="AI235" i="13"/>
  <c r="AI237" i="13" s="1"/>
  <c r="AI247" i="13" s="1"/>
  <c r="AI257" i="13" s="1"/>
  <c r="AI226" i="13"/>
  <c r="AI266" i="13"/>
  <c r="AM69" i="13"/>
  <c r="AL79" i="13"/>
  <c r="AL81" i="13" s="1"/>
  <c r="AL91" i="13" s="1"/>
  <c r="AL101" i="13" s="1"/>
  <c r="AL70" i="13"/>
  <c r="AL110" i="13"/>
  <c r="AK173" i="13"/>
  <c r="AJ183" i="13"/>
  <c r="AJ185" i="13" s="1"/>
  <c r="AJ195" i="13" s="1"/>
  <c r="AJ205" i="13" s="1"/>
  <c r="AJ174" i="13"/>
  <c r="AJ214" i="13"/>
  <c r="AH288" i="12"/>
  <c r="AH298" i="12" s="1"/>
  <c r="AH308" i="12" s="1"/>
  <c r="AH297" i="12"/>
  <c r="AH307" i="12" s="1"/>
  <c r="AH317" i="12" s="1"/>
  <c r="AH296" i="12"/>
  <c r="AH306" i="12" s="1"/>
  <c r="AH316" i="12" s="1"/>
  <c r="AH293" i="12"/>
  <c r="AH303" i="12" s="1"/>
  <c r="AH313" i="12" s="1"/>
  <c r="AH295" i="12"/>
  <c r="AH305" i="12" s="1"/>
  <c r="AH315" i="12" s="1"/>
  <c r="AH294" i="12"/>
  <c r="AH304" i="12" s="1"/>
  <c r="AH314" i="12" s="1"/>
  <c r="AH292" i="12"/>
  <c r="AH302" i="12" s="1"/>
  <c r="AH312" i="12" s="1"/>
  <c r="AI287" i="13"/>
  <c r="AI289" i="13" s="1"/>
  <c r="AI299" i="13" s="1"/>
  <c r="AI309" i="13" s="1"/>
  <c r="AJ277" i="13"/>
  <c r="AI278" i="13"/>
  <c r="AI318" i="13"/>
  <c r="AJ225" i="12"/>
  <c r="AI235" i="12"/>
  <c r="AI239" i="12" s="1"/>
  <c r="AI249" i="12" s="1"/>
  <c r="AI259" i="12" s="1"/>
  <c r="AI226" i="12"/>
  <c r="AI266" i="12"/>
  <c r="AJ85" i="12" l="1"/>
  <c r="AJ95" i="12" s="1"/>
  <c r="AJ105" i="12" s="1"/>
  <c r="AJ86" i="12"/>
  <c r="AJ96" i="12" s="1"/>
  <c r="AJ106" i="12" s="1"/>
  <c r="AJ88" i="12"/>
  <c r="AJ98" i="12" s="1"/>
  <c r="AJ108" i="12" s="1"/>
  <c r="AJ87" i="12"/>
  <c r="AJ97" i="12" s="1"/>
  <c r="AJ107" i="12" s="1"/>
  <c r="AH319" i="13"/>
  <c r="AG322" i="13" s="1"/>
  <c r="AG114" i="12"/>
  <c r="AG112" i="12"/>
  <c r="AF115" i="12" s="1"/>
  <c r="AL69" i="12"/>
  <c r="AK70" i="12"/>
  <c r="AK79" i="12"/>
  <c r="AK110" i="12"/>
  <c r="AI111" i="12"/>
  <c r="AH114" i="12" s="1"/>
  <c r="AJ83" i="12"/>
  <c r="AJ93" i="12" s="1"/>
  <c r="AJ103" i="12" s="1"/>
  <c r="AJ84" i="12"/>
  <c r="AJ94" i="12" s="1"/>
  <c r="AJ104" i="12" s="1"/>
  <c r="AJ80" i="12"/>
  <c r="AJ90" i="12" s="1"/>
  <c r="AJ100" i="12" s="1"/>
  <c r="AJ89" i="12"/>
  <c r="AJ99" i="12" s="1"/>
  <c r="AJ109" i="12" s="1"/>
  <c r="AJ82" i="12"/>
  <c r="AJ92" i="12" s="1"/>
  <c r="AJ102" i="12" s="1"/>
  <c r="AJ81" i="12"/>
  <c r="AJ91" i="12" s="1"/>
  <c r="AJ101" i="12" s="1"/>
  <c r="AE323" i="12"/>
  <c r="AF322" i="12"/>
  <c r="AF320" i="13"/>
  <c r="AE323" i="13" s="1"/>
  <c r="AH62" i="13"/>
  <c r="AG218" i="12"/>
  <c r="AH267" i="13"/>
  <c r="AG270" i="13" s="1"/>
  <c r="AH319" i="12"/>
  <c r="AG320" i="12" s="1"/>
  <c r="AF323" i="12" s="1"/>
  <c r="AI291" i="12"/>
  <c r="AI301" i="12" s="1"/>
  <c r="AI311" i="12" s="1"/>
  <c r="AI289" i="12"/>
  <c r="AI299" i="12" s="1"/>
  <c r="AI309" i="12" s="1"/>
  <c r="AI290" i="12"/>
  <c r="AI300" i="12" s="1"/>
  <c r="AI310" i="12" s="1"/>
  <c r="AI112" i="13"/>
  <c r="AH115" i="13" s="1"/>
  <c r="AJ189" i="13"/>
  <c r="AJ199" i="13" s="1"/>
  <c r="AJ209" i="13" s="1"/>
  <c r="AJ192" i="13"/>
  <c r="AJ202" i="13" s="1"/>
  <c r="AJ212" i="13" s="1"/>
  <c r="AJ191" i="13"/>
  <c r="AJ201" i="13" s="1"/>
  <c r="AJ211" i="13" s="1"/>
  <c r="AJ186" i="13"/>
  <c r="AJ196" i="13" s="1"/>
  <c r="AJ206" i="13" s="1"/>
  <c r="AJ190" i="13"/>
  <c r="AJ200" i="13" s="1"/>
  <c r="AJ210" i="13" s="1"/>
  <c r="AJ187" i="13"/>
  <c r="AJ197" i="13" s="1"/>
  <c r="AJ207" i="13" s="1"/>
  <c r="AJ188" i="13"/>
  <c r="AJ198" i="13" s="1"/>
  <c r="AJ208" i="13" s="1"/>
  <c r="AL87" i="13"/>
  <c r="AL97" i="13" s="1"/>
  <c r="AL107" i="13" s="1"/>
  <c r="AL84" i="13"/>
  <c r="AL94" i="13" s="1"/>
  <c r="AL104" i="13" s="1"/>
  <c r="AL85" i="13"/>
  <c r="AL95" i="13" s="1"/>
  <c r="AL105" i="13" s="1"/>
  <c r="AL83" i="13"/>
  <c r="AL93" i="13" s="1"/>
  <c r="AL103" i="13" s="1"/>
  <c r="AL88" i="13"/>
  <c r="AL98" i="13" s="1"/>
  <c r="AL108" i="13" s="1"/>
  <c r="AL86" i="13"/>
  <c r="AL96" i="13" s="1"/>
  <c r="AL106" i="13" s="1"/>
  <c r="AL82" i="13"/>
  <c r="AL92" i="13" s="1"/>
  <c r="AL102" i="13" s="1"/>
  <c r="AI242" i="13"/>
  <c r="AI252" i="13" s="1"/>
  <c r="AI262" i="13" s="1"/>
  <c r="AI239" i="13"/>
  <c r="AI249" i="13" s="1"/>
  <c r="AI259" i="13" s="1"/>
  <c r="AI240" i="13"/>
  <c r="AI250" i="13" s="1"/>
  <c r="AI260" i="13" s="1"/>
  <c r="AI238" i="13"/>
  <c r="AI248" i="13" s="1"/>
  <c r="AI258" i="13" s="1"/>
  <c r="AI244" i="13"/>
  <c r="AI254" i="13" s="1"/>
  <c r="AI264" i="13" s="1"/>
  <c r="AI243" i="13"/>
  <c r="AI253" i="13" s="1"/>
  <c r="AI263" i="13" s="1"/>
  <c r="AI241" i="13"/>
  <c r="AI251" i="13" s="1"/>
  <c r="AI261" i="13" s="1"/>
  <c r="AJ188" i="12"/>
  <c r="AJ198" i="12" s="1"/>
  <c r="AJ208" i="12" s="1"/>
  <c r="AJ190" i="12"/>
  <c r="AJ200" i="12" s="1"/>
  <c r="AJ210" i="12" s="1"/>
  <c r="AJ192" i="12"/>
  <c r="AJ202" i="12" s="1"/>
  <c r="AJ212" i="12" s="1"/>
  <c r="AJ189" i="12"/>
  <c r="AJ199" i="12" s="1"/>
  <c r="AJ209" i="12" s="1"/>
  <c r="AJ191" i="12"/>
  <c r="AJ201" i="12" s="1"/>
  <c r="AJ211" i="12" s="1"/>
  <c r="AK36" i="13"/>
  <c r="AK46" i="13" s="1"/>
  <c r="AK56" i="13" s="1"/>
  <c r="AK31" i="13"/>
  <c r="AK41" i="13" s="1"/>
  <c r="AK51" i="13" s="1"/>
  <c r="AK30" i="13"/>
  <c r="AK40" i="13" s="1"/>
  <c r="AK50" i="13" s="1"/>
  <c r="AK35" i="13"/>
  <c r="AK45" i="13" s="1"/>
  <c r="AK55" i="13" s="1"/>
  <c r="AK34" i="13"/>
  <c r="AK44" i="13" s="1"/>
  <c r="AK54" i="13" s="1"/>
  <c r="AK33" i="13"/>
  <c r="AK43" i="13" s="1"/>
  <c r="AK53" i="13" s="1"/>
  <c r="AK32" i="13"/>
  <c r="AK42" i="13" s="1"/>
  <c r="AK52" i="13" s="1"/>
  <c r="AL33" i="12"/>
  <c r="AL43" i="12" s="1"/>
  <c r="AL53" i="12" s="1"/>
  <c r="AL36" i="12"/>
  <c r="AL46" i="12" s="1"/>
  <c r="AL56" i="12" s="1"/>
  <c r="AL34" i="12"/>
  <c r="AL44" i="12" s="1"/>
  <c r="AL54" i="12" s="1"/>
  <c r="AL35" i="12"/>
  <c r="AL45" i="12" s="1"/>
  <c r="AL55" i="12" s="1"/>
  <c r="AL32" i="12"/>
  <c r="AL42" i="12" s="1"/>
  <c r="AL52" i="12" s="1"/>
  <c r="AK139" i="12"/>
  <c r="AK149" i="12" s="1"/>
  <c r="AK159" i="12" s="1"/>
  <c r="AK136" i="12"/>
  <c r="AK146" i="12" s="1"/>
  <c r="AK156" i="12" s="1"/>
  <c r="AK137" i="12"/>
  <c r="AK147" i="12" s="1"/>
  <c r="AK157" i="12" s="1"/>
  <c r="AK140" i="12"/>
  <c r="AK150" i="12" s="1"/>
  <c r="AK160" i="12" s="1"/>
  <c r="AK138" i="12"/>
  <c r="AK148" i="12" s="1"/>
  <c r="AK158" i="12" s="1"/>
  <c r="AK137" i="13"/>
  <c r="AK147" i="13" s="1"/>
  <c r="AK157" i="13" s="1"/>
  <c r="AK138" i="13"/>
  <c r="AK148" i="13" s="1"/>
  <c r="AK158" i="13" s="1"/>
  <c r="AK140" i="13"/>
  <c r="AK150" i="13" s="1"/>
  <c r="AK160" i="13" s="1"/>
  <c r="AK139" i="13"/>
  <c r="AK149" i="13" s="1"/>
  <c r="AK159" i="13" s="1"/>
  <c r="AK135" i="13"/>
  <c r="AK145" i="13" s="1"/>
  <c r="AK155" i="13" s="1"/>
  <c r="AK136" i="13"/>
  <c r="AK146" i="13" s="1"/>
  <c r="AK156" i="13" s="1"/>
  <c r="AK134" i="13"/>
  <c r="AK144" i="13" s="1"/>
  <c r="AK154" i="13" s="1"/>
  <c r="AI244" i="12"/>
  <c r="AI254" i="12" s="1"/>
  <c r="AI264" i="12" s="1"/>
  <c r="AI240" i="12"/>
  <c r="AI250" i="12" s="1"/>
  <c r="AI260" i="12" s="1"/>
  <c r="AI241" i="12"/>
  <c r="AI251" i="12" s="1"/>
  <c r="AI261" i="12" s="1"/>
  <c r="AI243" i="12"/>
  <c r="AI253" i="12" s="1"/>
  <c r="AI263" i="12" s="1"/>
  <c r="AI242" i="12"/>
  <c r="AI252" i="12" s="1"/>
  <c r="AI262" i="12" s="1"/>
  <c r="AG216" i="13"/>
  <c r="AF219" i="13" s="1"/>
  <c r="AK111" i="13"/>
  <c r="AJ112" i="13" s="1"/>
  <c r="AJ163" i="13"/>
  <c r="AI164" i="13" s="1"/>
  <c r="AF268" i="12"/>
  <c r="AE271" i="12" s="1"/>
  <c r="AH267" i="12"/>
  <c r="AG270" i="12" s="1"/>
  <c r="AF268" i="13"/>
  <c r="AE271" i="13" s="1"/>
  <c r="AH164" i="13"/>
  <c r="AG167" i="13" s="1"/>
  <c r="AH166" i="13"/>
  <c r="AH164" i="12"/>
  <c r="AG167" i="12" s="1"/>
  <c r="AI215" i="13"/>
  <c r="AH218" i="13" s="1"/>
  <c r="AI60" i="12"/>
  <c r="AH63" i="12" s="1"/>
  <c r="AH166" i="12"/>
  <c r="AG63" i="13"/>
  <c r="AK59" i="12"/>
  <c r="AJ60" i="12" s="1"/>
  <c r="AJ59" i="13"/>
  <c r="AI62" i="13" s="1"/>
  <c r="AJ163" i="12"/>
  <c r="AI164" i="12" s="1"/>
  <c r="AI215" i="12"/>
  <c r="AK277" i="13"/>
  <c r="AJ278" i="13"/>
  <c r="AJ287" i="13"/>
  <c r="AJ289" i="13" s="1"/>
  <c r="AJ299" i="13" s="1"/>
  <c r="AJ309" i="13" s="1"/>
  <c r="AJ318" i="13"/>
  <c r="AL173" i="13"/>
  <c r="AK183" i="13"/>
  <c r="AK185" i="13" s="1"/>
  <c r="AK195" i="13" s="1"/>
  <c r="AK205" i="13" s="1"/>
  <c r="AK174" i="13"/>
  <c r="AK214" i="13"/>
  <c r="AN69" i="13"/>
  <c r="AM79" i="13"/>
  <c r="AM81" i="13" s="1"/>
  <c r="AM91" i="13" s="1"/>
  <c r="AM101" i="13" s="1"/>
  <c r="AM70" i="13"/>
  <c r="AM110" i="13"/>
  <c r="AK225" i="13"/>
  <c r="AJ235" i="13"/>
  <c r="AJ237" i="13" s="1"/>
  <c r="AJ247" i="13" s="1"/>
  <c r="AJ257" i="13" s="1"/>
  <c r="AJ226" i="13"/>
  <c r="AJ266" i="13"/>
  <c r="AK183" i="12"/>
  <c r="AK187" i="12" s="1"/>
  <c r="AK197" i="12" s="1"/>
  <c r="AK207" i="12" s="1"/>
  <c r="AL173" i="12"/>
  <c r="AK174" i="12"/>
  <c r="AK214" i="12"/>
  <c r="AM121" i="12"/>
  <c r="AL131" i="12"/>
  <c r="AL135" i="12" s="1"/>
  <c r="AL145" i="12" s="1"/>
  <c r="AL155" i="12" s="1"/>
  <c r="AL122" i="12"/>
  <c r="AL162" i="12"/>
  <c r="AJ278" i="12"/>
  <c r="AJ287" i="12"/>
  <c r="AK277" i="12"/>
  <c r="AJ318" i="12"/>
  <c r="AK225" i="12"/>
  <c r="AJ235" i="12"/>
  <c r="AJ239" i="12" s="1"/>
  <c r="AJ249" i="12" s="1"/>
  <c r="AJ259" i="12" s="1"/>
  <c r="AJ226" i="12"/>
  <c r="AJ266" i="12"/>
  <c r="AI236" i="12"/>
  <c r="AI246" i="12" s="1"/>
  <c r="AI256" i="12" s="1"/>
  <c r="AI245" i="12"/>
  <c r="AI255" i="12" s="1"/>
  <c r="AI265" i="12" s="1"/>
  <c r="AI238" i="12"/>
  <c r="AI248" i="12" s="1"/>
  <c r="AI258" i="12" s="1"/>
  <c r="AI237" i="12"/>
  <c r="AI247" i="12" s="1"/>
  <c r="AI257" i="12" s="1"/>
  <c r="AI288" i="13"/>
  <c r="AI298" i="13" s="1"/>
  <c r="AI308" i="13" s="1"/>
  <c r="AI297" i="13"/>
  <c r="AI307" i="13" s="1"/>
  <c r="AI317" i="13" s="1"/>
  <c r="AI292" i="13"/>
  <c r="AI302" i="13" s="1"/>
  <c r="AI312" i="13" s="1"/>
  <c r="AI295" i="13"/>
  <c r="AI305" i="13" s="1"/>
  <c r="AI315" i="13" s="1"/>
  <c r="AI296" i="13"/>
  <c r="AI306" i="13" s="1"/>
  <c r="AI316" i="13" s="1"/>
  <c r="AI291" i="13"/>
  <c r="AI301" i="13" s="1"/>
  <c r="AI311" i="13" s="1"/>
  <c r="AI294" i="13"/>
  <c r="AI304" i="13" s="1"/>
  <c r="AI314" i="13" s="1"/>
  <c r="AI293" i="13"/>
  <c r="AI303" i="13" s="1"/>
  <c r="AI313" i="13" s="1"/>
  <c r="AI290" i="13"/>
  <c r="AI300" i="13" s="1"/>
  <c r="AI310" i="13" s="1"/>
  <c r="AL37" i="12"/>
  <c r="AL47" i="12" s="1"/>
  <c r="AL57" i="12" s="1"/>
  <c r="AL28" i="12"/>
  <c r="AL38" i="12" s="1"/>
  <c r="AL48" i="12" s="1"/>
  <c r="AL30" i="12"/>
  <c r="AL40" i="12" s="1"/>
  <c r="AL50" i="12" s="1"/>
  <c r="AL29" i="12"/>
  <c r="AL39" i="12" s="1"/>
  <c r="AL49" i="12" s="1"/>
  <c r="AK28" i="13"/>
  <c r="AK38" i="13" s="1"/>
  <c r="AK48" i="13" s="1"/>
  <c r="AK37" i="13"/>
  <c r="AK47" i="13" s="1"/>
  <c r="AK57" i="13" s="1"/>
  <c r="AK141" i="13"/>
  <c r="AK151" i="13" s="1"/>
  <c r="AK161" i="13" s="1"/>
  <c r="AK132" i="13"/>
  <c r="AK142" i="13" s="1"/>
  <c r="AK152" i="13" s="1"/>
  <c r="AM27" i="12"/>
  <c r="AM31" i="12" s="1"/>
  <c r="AM41" i="12" s="1"/>
  <c r="AM51" i="12" s="1"/>
  <c r="AM18" i="12"/>
  <c r="AN17" i="12"/>
  <c r="AM58" i="12"/>
  <c r="AM17" i="13"/>
  <c r="AL27" i="13"/>
  <c r="AL29" i="13" s="1"/>
  <c r="AL39" i="13" s="1"/>
  <c r="AL49" i="13" s="1"/>
  <c r="AL18" i="13"/>
  <c r="AL58" i="13"/>
  <c r="AK132" i="12"/>
  <c r="AK142" i="12" s="1"/>
  <c r="AK152" i="12" s="1"/>
  <c r="AK141" i="12"/>
  <c r="AK151" i="12" s="1"/>
  <c r="AK161" i="12" s="1"/>
  <c r="AK133" i="12"/>
  <c r="AK143" i="12" s="1"/>
  <c r="AK153" i="12" s="1"/>
  <c r="AK134" i="12"/>
  <c r="AK144" i="12" s="1"/>
  <c r="AK154" i="12" s="1"/>
  <c r="AI288" i="12"/>
  <c r="AI298" i="12" s="1"/>
  <c r="AI308" i="12" s="1"/>
  <c r="AI297" i="12"/>
  <c r="AI307" i="12" s="1"/>
  <c r="AI317" i="12" s="1"/>
  <c r="AI293" i="12"/>
  <c r="AI303" i="12" s="1"/>
  <c r="AI313" i="12" s="1"/>
  <c r="AI295" i="12"/>
  <c r="AI305" i="12" s="1"/>
  <c r="AI315" i="12" s="1"/>
  <c r="AI294" i="12"/>
  <c r="AI304" i="12" s="1"/>
  <c r="AI314" i="12" s="1"/>
  <c r="AI292" i="12"/>
  <c r="AI302" i="12" s="1"/>
  <c r="AI312" i="12" s="1"/>
  <c r="AI296" i="12"/>
  <c r="AI306" i="12" s="1"/>
  <c r="AI316" i="12" s="1"/>
  <c r="AJ193" i="13"/>
  <c r="AJ203" i="13" s="1"/>
  <c r="AJ213" i="13" s="1"/>
  <c r="AJ184" i="13"/>
  <c r="AJ194" i="13" s="1"/>
  <c r="AJ204" i="13" s="1"/>
  <c r="AL89" i="13"/>
  <c r="AL99" i="13" s="1"/>
  <c r="AL109" i="13" s="1"/>
  <c r="AL80" i="13"/>
  <c r="AL90" i="13" s="1"/>
  <c r="AL100" i="13" s="1"/>
  <c r="AI236" i="13"/>
  <c r="AI246" i="13" s="1"/>
  <c r="AI256" i="13" s="1"/>
  <c r="AI245" i="13"/>
  <c r="AI255" i="13" s="1"/>
  <c r="AI265" i="13" s="1"/>
  <c r="AJ184" i="12"/>
  <c r="AJ194" i="12" s="1"/>
  <c r="AJ204" i="12" s="1"/>
  <c r="AJ193" i="12"/>
  <c r="AJ203" i="12" s="1"/>
  <c r="AJ213" i="12" s="1"/>
  <c r="AJ185" i="12"/>
  <c r="AJ195" i="12" s="1"/>
  <c r="AJ205" i="12" s="1"/>
  <c r="AJ186" i="12"/>
  <c r="AJ196" i="12" s="1"/>
  <c r="AJ206" i="12" s="1"/>
  <c r="AM121" i="13"/>
  <c r="AL122" i="13"/>
  <c r="AL131" i="13"/>
  <c r="AL133" i="13" s="1"/>
  <c r="AL143" i="13" s="1"/>
  <c r="AL153" i="13" s="1"/>
  <c r="AL162" i="13"/>
  <c r="AG320" i="13" l="1"/>
  <c r="AF323" i="13" s="1"/>
  <c r="AK88" i="12"/>
  <c r="AK98" i="12" s="1"/>
  <c r="AK108" i="12" s="1"/>
  <c r="AK87" i="12"/>
  <c r="AK97" i="12" s="1"/>
  <c r="AK107" i="12" s="1"/>
  <c r="AK85" i="12"/>
  <c r="AK95" i="12" s="1"/>
  <c r="AK105" i="12" s="1"/>
  <c r="AK86" i="12"/>
  <c r="AK96" i="12" s="1"/>
  <c r="AK106" i="12" s="1"/>
  <c r="AG268" i="13"/>
  <c r="AF271" i="13" s="1"/>
  <c r="AH112" i="12"/>
  <c r="AG115" i="12" s="1"/>
  <c r="AG322" i="12"/>
  <c r="AL79" i="12"/>
  <c r="AL70" i="12"/>
  <c r="AL110" i="12"/>
  <c r="AM69" i="12"/>
  <c r="AJ111" i="12"/>
  <c r="AK83" i="12"/>
  <c r="AK93" i="12" s="1"/>
  <c r="AK103" i="12" s="1"/>
  <c r="AK82" i="12"/>
  <c r="AK92" i="12" s="1"/>
  <c r="AK102" i="12" s="1"/>
  <c r="AK80" i="12"/>
  <c r="AK90" i="12" s="1"/>
  <c r="AK100" i="12" s="1"/>
  <c r="AK89" i="12"/>
  <c r="AK99" i="12" s="1"/>
  <c r="AK109" i="12" s="1"/>
  <c r="AK81" i="12"/>
  <c r="AK91" i="12" s="1"/>
  <c r="AK101" i="12" s="1"/>
  <c r="AK84" i="12"/>
  <c r="AK94" i="12" s="1"/>
  <c r="AK104" i="12" s="1"/>
  <c r="AI166" i="13"/>
  <c r="AJ114" i="13"/>
  <c r="AH167" i="13"/>
  <c r="AI319" i="13"/>
  <c r="AH320" i="13" s="1"/>
  <c r="AJ291" i="12"/>
  <c r="AJ301" i="12" s="1"/>
  <c r="AJ311" i="12" s="1"/>
  <c r="AJ290" i="12"/>
  <c r="AJ300" i="12" s="1"/>
  <c r="AJ310" i="12" s="1"/>
  <c r="AJ289" i="12"/>
  <c r="AJ299" i="12" s="1"/>
  <c r="AJ309" i="12" s="1"/>
  <c r="AI319" i="12"/>
  <c r="AH320" i="12" s="1"/>
  <c r="AG323" i="12" s="1"/>
  <c r="AG268" i="12"/>
  <c r="AF271" i="12" s="1"/>
  <c r="AI115" i="13"/>
  <c r="AH216" i="13"/>
  <c r="AG219" i="13" s="1"/>
  <c r="AJ242" i="12"/>
  <c r="AJ252" i="12" s="1"/>
  <c r="AJ262" i="12" s="1"/>
  <c r="AJ241" i="12"/>
  <c r="AJ251" i="12" s="1"/>
  <c r="AJ261" i="12" s="1"/>
  <c r="AJ243" i="12"/>
  <c r="AJ253" i="12" s="1"/>
  <c r="AJ263" i="12" s="1"/>
  <c r="AJ244" i="12"/>
  <c r="AJ254" i="12" s="1"/>
  <c r="AJ264" i="12" s="1"/>
  <c r="AJ240" i="12"/>
  <c r="AJ250" i="12" s="1"/>
  <c r="AJ260" i="12" s="1"/>
  <c r="AL139" i="12"/>
  <c r="AL149" i="12" s="1"/>
  <c r="AL159" i="12" s="1"/>
  <c r="AL137" i="12"/>
  <c r="AL147" i="12" s="1"/>
  <c r="AL157" i="12" s="1"/>
  <c r="AL136" i="12"/>
  <c r="AL146" i="12" s="1"/>
  <c r="AL156" i="12" s="1"/>
  <c r="AL138" i="12"/>
  <c r="AL148" i="12" s="1"/>
  <c r="AL158" i="12" s="1"/>
  <c r="AL140" i="12"/>
  <c r="AL150" i="12" s="1"/>
  <c r="AL160" i="12" s="1"/>
  <c r="AL139" i="13"/>
  <c r="AL149" i="13" s="1"/>
  <c r="AL159" i="13" s="1"/>
  <c r="AL137" i="13"/>
  <c r="AL147" i="13" s="1"/>
  <c r="AL157" i="13" s="1"/>
  <c r="AL138" i="13"/>
  <c r="AL148" i="13" s="1"/>
  <c r="AL158" i="13" s="1"/>
  <c r="AL140" i="13"/>
  <c r="AL150" i="13" s="1"/>
  <c r="AL160" i="13" s="1"/>
  <c r="AL134" i="13"/>
  <c r="AL144" i="13" s="1"/>
  <c r="AL154" i="13" s="1"/>
  <c r="AL136" i="13"/>
  <c r="AL146" i="13" s="1"/>
  <c r="AL156" i="13" s="1"/>
  <c r="AL135" i="13"/>
  <c r="AL145" i="13" s="1"/>
  <c r="AL155" i="13" s="1"/>
  <c r="AM36" i="12"/>
  <c r="AM46" i="12" s="1"/>
  <c r="AM56" i="12" s="1"/>
  <c r="AM32" i="12"/>
  <c r="AM42" i="12" s="1"/>
  <c r="AM52" i="12" s="1"/>
  <c r="AM33" i="12"/>
  <c r="AM43" i="12" s="1"/>
  <c r="AM53" i="12" s="1"/>
  <c r="AM34" i="12"/>
  <c r="AM44" i="12" s="1"/>
  <c r="AM54" i="12" s="1"/>
  <c r="AM35" i="12"/>
  <c r="AM45" i="12" s="1"/>
  <c r="AM55" i="12" s="1"/>
  <c r="AJ239" i="13"/>
  <c r="AJ249" i="13" s="1"/>
  <c r="AJ259" i="13" s="1"/>
  <c r="AJ241" i="13"/>
  <c r="AJ251" i="13" s="1"/>
  <c r="AJ261" i="13" s="1"/>
  <c r="AJ238" i="13"/>
  <c r="AJ248" i="13" s="1"/>
  <c r="AJ258" i="13" s="1"/>
  <c r="AJ244" i="13"/>
  <c r="AJ254" i="13" s="1"/>
  <c r="AJ264" i="13" s="1"/>
  <c r="AJ240" i="13"/>
  <c r="AJ250" i="13" s="1"/>
  <c r="AJ260" i="13" s="1"/>
  <c r="AJ243" i="13"/>
  <c r="AJ253" i="13" s="1"/>
  <c r="AJ263" i="13" s="1"/>
  <c r="AJ242" i="13"/>
  <c r="AJ252" i="13" s="1"/>
  <c r="AJ262" i="13" s="1"/>
  <c r="AM85" i="13"/>
  <c r="AM95" i="13" s="1"/>
  <c r="AM105" i="13" s="1"/>
  <c r="AM83" i="13"/>
  <c r="AM93" i="13" s="1"/>
  <c r="AM103" i="13" s="1"/>
  <c r="AM87" i="13"/>
  <c r="AM97" i="13" s="1"/>
  <c r="AM107" i="13" s="1"/>
  <c r="AM84" i="13"/>
  <c r="AM94" i="13" s="1"/>
  <c r="AM104" i="13" s="1"/>
  <c r="AM88" i="13"/>
  <c r="AM98" i="13" s="1"/>
  <c r="AM108" i="13" s="1"/>
  <c r="AM82" i="13"/>
  <c r="AM92" i="13" s="1"/>
  <c r="AM102" i="13" s="1"/>
  <c r="AM86" i="13"/>
  <c r="AM96" i="13" s="1"/>
  <c r="AM106" i="13" s="1"/>
  <c r="AK186" i="13"/>
  <c r="AK196" i="13" s="1"/>
  <c r="AK206" i="13" s="1"/>
  <c r="AK187" i="13"/>
  <c r="AK197" i="13" s="1"/>
  <c r="AK207" i="13" s="1"/>
  <c r="AK190" i="13"/>
  <c r="AK200" i="13" s="1"/>
  <c r="AK210" i="13" s="1"/>
  <c r="AK189" i="13"/>
  <c r="AK199" i="13" s="1"/>
  <c r="AK209" i="13" s="1"/>
  <c r="AK191" i="13"/>
  <c r="AK201" i="13" s="1"/>
  <c r="AK211" i="13" s="1"/>
  <c r="AK192" i="13"/>
  <c r="AK202" i="13" s="1"/>
  <c r="AK212" i="13" s="1"/>
  <c r="AK188" i="13"/>
  <c r="AK198" i="13" s="1"/>
  <c r="AK208" i="13" s="1"/>
  <c r="AL36" i="13"/>
  <c r="AL46" i="13" s="1"/>
  <c r="AL56" i="13" s="1"/>
  <c r="AL31" i="13"/>
  <c r="AL41" i="13" s="1"/>
  <c r="AL51" i="13" s="1"/>
  <c r="AL33" i="13"/>
  <c r="AL43" i="13" s="1"/>
  <c r="AL53" i="13" s="1"/>
  <c r="AL34" i="13"/>
  <c r="AL44" i="13" s="1"/>
  <c r="AL54" i="13" s="1"/>
  <c r="AL30" i="13"/>
  <c r="AL40" i="13" s="1"/>
  <c r="AL50" i="13" s="1"/>
  <c r="AL35" i="13"/>
  <c r="AL45" i="13" s="1"/>
  <c r="AL55" i="13" s="1"/>
  <c r="AL32" i="13"/>
  <c r="AL42" i="13" s="1"/>
  <c r="AL52" i="13" s="1"/>
  <c r="AK188" i="12"/>
  <c r="AK198" i="12" s="1"/>
  <c r="AK208" i="12" s="1"/>
  <c r="AK191" i="12"/>
  <c r="AK201" i="12" s="1"/>
  <c r="AK211" i="12" s="1"/>
  <c r="AK192" i="12"/>
  <c r="AK202" i="12" s="1"/>
  <c r="AK212" i="12" s="1"/>
  <c r="AK190" i="12"/>
  <c r="AK200" i="12" s="1"/>
  <c r="AK210" i="12" s="1"/>
  <c r="AK189" i="12"/>
  <c r="AK199" i="12" s="1"/>
  <c r="AK209" i="12" s="1"/>
  <c r="AJ62" i="12"/>
  <c r="AH167" i="12"/>
  <c r="AI166" i="12"/>
  <c r="AI60" i="13"/>
  <c r="AH63" i="13" s="1"/>
  <c r="AI63" i="12"/>
  <c r="AK163" i="13"/>
  <c r="AJ166" i="13" s="1"/>
  <c r="AH218" i="12"/>
  <c r="AK163" i="12"/>
  <c r="AJ166" i="12" s="1"/>
  <c r="AI267" i="13"/>
  <c r="AH270" i="13" s="1"/>
  <c r="AI267" i="12"/>
  <c r="AH270" i="12" s="1"/>
  <c r="AH216" i="12"/>
  <c r="AG219" i="12" s="1"/>
  <c r="AL111" i="13"/>
  <c r="AK114" i="13" s="1"/>
  <c r="AJ215" i="12"/>
  <c r="AI218" i="12" s="1"/>
  <c r="AL59" i="12"/>
  <c r="AK62" i="12" s="1"/>
  <c r="AJ215" i="13"/>
  <c r="AI218" i="13" s="1"/>
  <c r="AK59" i="13"/>
  <c r="AJ62" i="13" s="1"/>
  <c r="AN17" i="13"/>
  <c r="AM18" i="13"/>
  <c r="AM27" i="13"/>
  <c r="AM29" i="13" s="1"/>
  <c r="AM39" i="13" s="1"/>
  <c r="AM49" i="13" s="1"/>
  <c r="AM58" i="13"/>
  <c r="AL225" i="12"/>
  <c r="AK226" i="12"/>
  <c r="AK235" i="12"/>
  <c r="AK239" i="12" s="1"/>
  <c r="AK249" i="12" s="1"/>
  <c r="AK259" i="12" s="1"/>
  <c r="AK266" i="12"/>
  <c r="AL277" i="12"/>
  <c r="AK278" i="12"/>
  <c r="AK287" i="12"/>
  <c r="AK318" i="12"/>
  <c r="AM173" i="12"/>
  <c r="AL183" i="12"/>
  <c r="AL187" i="12" s="1"/>
  <c r="AL197" i="12" s="1"/>
  <c r="AL207" i="12" s="1"/>
  <c r="AL174" i="12"/>
  <c r="AL214" i="12"/>
  <c r="AL277" i="13"/>
  <c r="AK278" i="13"/>
  <c r="AK287" i="13"/>
  <c r="AK289" i="13" s="1"/>
  <c r="AK299" i="13" s="1"/>
  <c r="AK309" i="13" s="1"/>
  <c r="AK318" i="13"/>
  <c r="AN121" i="13"/>
  <c r="AM131" i="13"/>
  <c r="AM133" i="13" s="1"/>
  <c r="AM143" i="13" s="1"/>
  <c r="AM153" i="13" s="1"/>
  <c r="AM122" i="13"/>
  <c r="AM162" i="13"/>
  <c r="AO17" i="12"/>
  <c r="AN27" i="12"/>
  <c r="AN31" i="12" s="1"/>
  <c r="AN41" i="12" s="1"/>
  <c r="AN51" i="12" s="1"/>
  <c r="AN18" i="12"/>
  <c r="AN58" i="12"/>
  <c r="AJ288" i="12"/>
  <c r="AJ298" i="12" s="1"/>
  <c r="AJ308" i="12" s="1"/>
  <c r="AJ297" i="12"/>
  <c r="AJ307" i="12" s="1"/>
  <c r="AJ317" i="12" s="1"/>
  <c r="AJ293" i="12"/>
  <c r="AJ303" i="12" s="1"/>
  <c r="AJ313" i="12" s="1"/>
  <c r="AJ295" i="12"/>
  <c r="AJ305" i="12" s="1"/>
  <c r="AJ315" i="12" s="1"/>
  <c r="AJ292" i="12"/>
  <c r="AJ302" i="12" s="1"/>
  <c r="AJ312" i="12" s="1"/>
  <c r="AJ296" i="12"/>
  <c r="AJ306" i="12" s="1"/>
  <c r="AJ316" i="12" s="1"/>
  <c r="AJ294" i="12"/>
  <c r="AJ304" i="12" s="1"/>
  <c r="AJ314" i="12" s="1"/>
  <c r="AL132" i="12"/>
  <c r="AL142" i="12" s="1"/>
  <c r="AL152" i="12" s="1"/>
  <c r="AL141" i="12"/>
  <c r="AL151" i="12" s="1"/>
  <c r="AL161" i="12" s="1"/>
  <c r="AL134" i="12"/>
  <c r="AL144" i="12" s="1"/>
  <c r="AL154" i="12" s="1"/>
  <c r="AL133" i="12"/>
  <c r="AL143" i="12" s="1"/>
  <c r="AL153" i="12" s="1"/>
  <c r="AK193" i="12"/>
  <c r="AK203" i="12" s="1"/>
  <c r="AK213" i="12" s="1"/>
  <c r="AK184" i="12"/>
  <c r="AK194" i="12" s="1"/>
  <c r="AK204" i="12" s="1"/>
  <c r="AK185" i="12"/>
  <c r="AK195" i="12" s="1"/>
  <c r="AK205" i="12" s="1"/>
  <c r="AK186" i="12"/>
  <c r="AK196" i="12" s="1"/>
  <c r="AK206" i="12" s="1"/>
  <c r="AJ245" i="13"/>
  <c r="AJ255" i="13" s="1"/>
  <c r="AJ265" i="13" s="1"/>
  <c r="AJ236" i="13"/>
  <c r="AJ246" i="13" s="1"/>
  <c r="AJ256" i="13" s="1"/>
  <c r="AM80" i="13"/>
  <c r="AM90" i="13" s="1"/>
  <c r="AM100" i="13" s="1"/>
  <c r="AM89" i="13"/>
  <c r="AM99" i="13" s="1"/>
  <c r="AM109" i="13" s="1"/>
  <c r="AK193" i="13"/>
  <c r="AK203" i="13" s="1"/>
  <c r="AK213" i="13" s="1"/>
  <c r="AK184" i="13"/>
  <c r="AK194" i="13" s="1"/>
  <c r="AK204" i="13" s="1"/>
  <c r="AM131" i="12"/>
  <c r="AM135" i="12" s="1"/>
  <c r="AM145" i="12" s="1"/>
  <c r="AM155" i="12" s="1"/>
  <c r="AM122" i="12"/>
  <c r="AN121" i="12"/>
  <c r="AM162" i="12"/>
  <c r="AK226" i="13"/>
  <c r="AL225" i="13"/>
  <c r="AK235" i="13"/>
  <c r="AK237" i="13" s="1"/>
  <c r="AK247" i="13" s="1"/>
  <c r="AK257" i="13" s="1"/>
  <c r="AK266" i="13"/>
  <c r="AO69" i="13"/>
  <c r="AN70" i="13"/>
  <c r="AN79" i="13"/>
  <c r="AN81" i="13" s="1"/>
  <c r="AN91" i="13" s="1"/>
  <c r="AN101" i="13" s="1"/>
  <c r="AN110" i="13"/>
  <c r="AM173" i="13"/>
  <c r="AL174" i="13"/>
  <c r="AL183" i="13"/>
  <c r="AL185" i="13" s="1"/>
  <c r="AL195" i="13" s="1"/>
  <c r="AL205" i="13" s="1"/>
  <c r="AL214" i="13"/>
  <c r="AJ288" i="13"/>
  <c r="AJ298" i="13" s="1"/>
  <c r="AJ308" i="13" s="1"/>
  <c r="AJ297" i="13"/>
  <c r="AJ307" i="13" s="1"/>
  <c r="AJ317" i="13" s="1"/>
  <c r="AJ290" i="13"/>
  <c r="AJ300" i="13" s="1"/>
  <c r="AJ310" i="13" s="1"/>
  <c r="AJ293" i="13"/>
  <c r="AJ303" i="13" s="1"/>
  <c r="AJ313" i="13" s="1"/>
  <c r="AJ295" i="13"/>
  <c r="AJ305" i="13" s="1"/>
  <c r="AJ315" i="13" s="1"/>
  <c r="AJ291" i="13"/>
  <c r="AJ301" i="13" s="1"/>
  <c r="AJ311" i="13" s="1"/>
  <c r="AJ296" i="13"/>
  <c r="AJ306" i="13" s="1"/>
  <c r="AJ316" i="13" s="1"/>
  <c r="AJ292" i="13"/>
  <c r="AJ302" i="13" s="1"/>
  <c r="AJ312" i="13" s="1"/>
  <c r="AJ294" i="13"/>
  <c r="AJ304" i="13" s="1"/>
  <c r="AJ314" i="13" s="1"/>
  <c r="AL141" i="13"/>
  <c r="AL151" i="13" s="1"/>
  <c r="AL161" i="13" s="1"/>
  <c r="AL132" i="13"/>
  <c r="AL142" i="13" s="1"/>
  <c r="AL152" i="13" s="1"/>
  <c r="AL37" i="13"/>
  <c r="AL47" i="13" s="1"/>
  <c r="AL57" i="13" s="1"/>
  <c r="AL28" i="13"/>
  <c r="AL38" i="13" s="1"/>
  <c r="AL48" i="13" s="1"/>
  <c r="AM37" i="12"/>
  <c r="AM47" i="12" s="1"/>
  <c r="AM57" i="12" s="1"/>
  <c r="AM28" i="12"/>
  <c r="AM38" i="12" s="1"/>
  <c r="AM48" i="12" s="1"/>
  <c r="AM30" i="12"/>
  <c r="AM40" i="12" s="1"/>
  <c r="AM50" i="12" s="1"/>
  <c r="AM29" i="12"/>
  <c r="AM39" i="12" s="1"/>
  <c r="AM49" i="12" s="1"/>
  <c r="AJ236" i="12"/>
  <c r="AJ246" i="12" s="1"/>
  <c r="AJ256" i="12" s="1"/>
  <c r="AJ245" i="12"/>
  <c r="AJ255" i="12" s="1"/>
  <c r="AJ265" i="12" s="1"/>
  <c r="AJ238" i="12"/>
  <c r="AJ248" i="12" s="1"/>
  <c r="AJ258" i="12" s="1"/>
  <c r="AJ237" i="12"/>
  <c r="AJ247" i="12" s="1"/>
  <c r="AJ257" i="12" s="1"/>
  <c r="AG323" i="13" l="1"/>
  <c r="AL87" i="12"/>
  <c r="AL97" i="12" s="1"/>
  <c r="AL107" i="12" s="1"/>
  <c r="AL86" i="12"/>
  <c r="AL96" i="12" s="1"/>
  <c r="AL106" i="12" s="1"/>
  <c r="AL88" i="12"/>
  <c r="AL98" i="12" s="1"/>
  <c r="AL108" i="12" s="1"/>
  <c r="AL85" i="12"/>
  <c r="AL95" i="12" s="1"/>
  <c r="AL105" i="12" s="1"/>
  <c r="AH322" i="12"/>
  <c r="AM79" i="12"/>
  <c r="AM70" i="12"/>
  <c r="AM110" i="12"/>
  <c r="AN69" i="12"/>
  <c r="AI112" i="12"/>
  <c r="AH115" i="12" s="1"/>
  <c r="AI114" i="12"/>
  <c r="AK111" i="12"/>
  <c r="AL83" i="12"/>
  <c r="AL93" i="12" s="1"/>
  <c r="AL103" i="12" s="1"/>
  <c r="AL82" i="12"/>
  <c r="AL92" i="12" s="1"/>
  <c r="AL102" i="12" s="1"/>
  <c r="AL84" i="12"/>
  <c r="AL94" i="12" s="1"/>
  <c r="AL104" i="12" s="1"/>
  <c r="AL81" i="12"/>
  <c r="AL91" i="12" s="1"/>
  <c r="AL101" i="12" s="1"/>
  <c r="AL80" i="12"/>
  <c r="AL90" i="12" s="1"/>
  <c r="AL100" i="12" s="1"/>
  <c r="AL89" i="12"/>
  <c r="AL99" i="12" s="1"/>
  <c r="AL109" i="12" s="1"/>
  <c r="AJ164" i="12"/>
  <c r="AI167" i="12" s="1"/>
  <c r="AJ164" i="13"/>
  <c r="AI167" i="13" s="1"/>
  <c r="AH322" i="13"/>
  <c r="AJ319" i="12"/>
  <c r="AI322" i="12" s="1"/>
  <c r="AJ319" i="13"/>
  <c r="AI322" i="13" s="1"/>
  <c r="AK291" i="12"/>
  <c r="AK301" i="12" s="1"/>
  <c r="AK311" i="12" s="1"/>
  <c r="AK290" i="12"/>
  <c r="AK300" i="12" s="1"/>
  <c r="AK310" i="12" s="1"/>
  <c r="AK289" i="12"/>
  <c r="AK299" i="12" s="1"/>
  <c r="AK309" i="12" s="1"/>
  <c r="AN36" i="12"/>
  <c r="AN46" i="12" s="1"/>
  <c r="AN56" i="12" s="1"/>
  <c r="AN33" i="12"/>
  <c r="AN43" i="12" s="1"/>
  <c r="AN53" i="12" s="1"/>
  <c r="AN32" i="12"/>
  <c r="AN42" i="12" s="1"/>
  <c r="AN52" i="12" s="1"/>
  <c r="AN34" i="12"/>
  <c r="AN44" i="12" s="1"/>
  <c r="AN54" i="12" s="1"/>
  <c r="AN35" i="12"/>
  <c r="AN45" i="12" s="1"/>
  <c r="AN55" i="12" s="1"/>
  <c r="AM140" i="13"/>
  <c r="AM150" i="13" s="1"/>
  <c r="AM160" i="13" s="1"/>
  <c r="AM139" i="13"/>
  <c r="AM149" i="13" s="1"/>
  <c r="AM159" i="13" s="1"/>
  <c r="AM137" i="13"/>
  <c r="AM147" i="13" s="1"/>
  <c r="AM157" i="13" s="1"/>
  <c r="AM138" i="13"/>
  <c r="AM148" i="13" s="1"/>
  <c r="AM158" i="13" s="1"/>
  <c r="AM134" i="13"/>
  <c r="AM144" i="13" s="1"/>
  <c r="AM154" i="13" s="1"/>
  <c r="AM136" i="13"/>
  <c r="AM146" i="13" s="1"/>
  <c r="AM156" i="13" s="1"/>
  <c r="AM135" i="13"/>
  <c r="AM145" i="13" s="1"/>
  <c r="AM155" i="13" s="1"/>
  <c r="AL189" i="13"/>
  <c r="AL199" i="13" s="1"/>
  <c r="AL209" i="13" s="1"/>
  <c r="AL191" i="13"/>
  <c r="AL201" i="13" s="1"/>
  <c r="AL211" i="13" s="1"/>
  <c r="AL192" i="13"/>
  <c r="AL202" i="13" s="1"/>
  <c r="AL212" i="13" s="1"/>
  <c r="AL186" i="13"/>
  <c r="AL196" i="13" s="1"/>
  <c r="AL206" i="13" s="1"/>
  <c r="AL190" i="13"/>
  <c r="AL200" i="13" s="1"/>
  <c r="AL210" i="13" s="1"/>
  <c r="AL188" i="13"/>
  <c r="AL198" i="13" s="1"/>
  <c r="AL208" i="13" s="1"/>
  <c r="AL187" i="13"/>
  <c r="AL197" i="13" s="1"/>
  <c r="AL207" i="13" s="1"/>
  <c r="AN85" i="13"/>
  <c r="AN95" i="13" s="1"/>
  <c r="AN105" i="13" s="1"/>
  <c r="AN87" i="13"/>
  <c r="AN97" i="13" s="1"/>
  <c r="AN107" i="13" s="1"/>
  <c r="AN84" i="13"/>
  <c r="AN94" i="13" s="1"/>
  <c r="AN104" i="13" s="1"/>
  <c r="AN83" i="13"/>
  <c r="AN93" i="13" s="1"/>
  <c r="AN103" i="13" s="1"/>
  <c r="AN88" i="13"/>
  <c r="AN98" i="13" s="1"/>
  <c r="AN108" i="13" s="1"/>
  <c r="AN86" i="13"/>
  <c r="AN96" i="13" s="1"/>
  <c r="AN106" i="13" s="1"/>
  <c r="AN82" i="13"/>
  <c r="AN92" i="13" s="1"/>
  <c r="AN102" i="13" s="1"/>
  <c r="AK241" i="13"/>
  <c r="AK251" i="13" s="1"/>
  <c r="AK261" i="13" s="1"/>
  <c r="AK244" i="13"/>
  <c r="AK254" i="13" s="1"/>
  <c r="AK264" i="13" s="1"/>
  <c r="AK240" i="13"/>
  <c r="AK250" i="13" s="1"/>
  <c r="AK260" i="13" s="1"/>
  <c r="AK238" i="13"/>
  <c r="AK248" i="13" s="1"/>
  <c r="AK258" i="13" s="1"/>
  <c r="AK243" i="13"/>
  <c r="AK253" i="13" s="1"/>
  <c r="AK263" i="13" s="1"/>
  <c r="AK239" i="13"/>
  <c r="AK249" i="13" s="1"/>
  <c r="AK259" i="13" s="1"/>
  <c r="AK242" i="13"/>
  <c r="AK252" i="13" s="1"/>
  <c r="AK262" i="13" s="1"/>
  <c r="AM136" i="12"/>
  <c r="AM146" i="12" s="1"/>
  <c r="AM156" i="12" s="1"/>
  <c r="AM139" i="12"/>
  <c r="AM149" i="12" s="1"/>
  <c r="AM159" i="12" s="1"/>
  <c r="AM137" i="12"/>
  <c r="AM147" i="12" s="1"/>
  <c r="AM157" i="12" s="1"/>
  <c r="AM140" i="12"/>
  <c r="AM150" i="12" s="1"/>
  <c r="AM160" i="12" s="1"/>
  <c r="AM138" i="12"/>
  <c r="AM148" i="12" s="1"/>
  <c r="AM158" i="12" s="1"/>
  <c r="AL192" i="12"/>
  <c r="AL202" i="12" s="1"/>
  <c r="AL212" i="12" s="1"/>
  <c r="AL191" i="12"/>
  <c r="AL201" i="12" s="1"/>
  <c r="AL211" i="12" s="1"/>
  <c r="AL188" i="12"/>
  <c r="AL198" i="12" s="1"/>
  <c r="AL208" i="12" s="1"/>
  <c r="AL190" i="12"/>
  <c r="AL200" i="12" s="1"/>
  <c r="AL210" i="12" s="1"/>
  <c r="AL189" i="12"/>
  <c r="AL199" i="12" s="1"/>
  <c r="AL209" i="12" s="1"/>
  <c r="AK244" i="12"/>
  <c r="AK254" i="12" s="1"/>
  <c r="AK264" i="12" s="1"/>
  <c r="AK242" i="12"/>
  <c r="AK252" i="12" s="1"/>
  <c r="AK262" i="12" s="1"/>
  <c r="AK241" i="12"/>
  <c r="AK251" i="12" s="1"/>
  <c r="AK261" i="12" s="1"/>
  <c r="AK243" i="12"/>
  <c r="AK253" i="12" s="1"/>
  <c r="AK263" i="12" s="1"/>
  <c r="AK240" i="12"/>
  <c r="AK250" i="12" s="1"/>
  <c r="AK260" i="12" s="1"/>
  <c r="AM31" i="13"/>
  <c r="AM41" i="13" s="1"/>
  <c r="AM51" i="13" s="1"/>
  <c r="AM33" i="13"/>
  <c r="AM43" i="13" s="1"/>
  <c r="AM53" i="13" s="1"/>
  <c r="AM36" i="13"/>
  <c r="AM46" i="13" s="1"/>
  <c r="AM56" i="13" s="1"/>
  <c r="AM32" i="13"/>
  <c r="AM42" i="13" s="1"/>
  <c r="AM52" i="13" s="1"/>
  <c r="AM35" i="13"/>
  <c r="AM45" i="13" s="1"/>
  <c r="AM55" i="13" s="1"/>
  <c r="AM30" i="13"/>
  <c r="AM40" i="13" s="1"/>
  <c r="AM50" i="13" s="1"/>
  <c r="AM34" i="13"/>
  <c r="AM44" i="13" s="1"/>
  <c r="AM54" i="13" s="1"/>
  <c r="AH268" i="13"/>
  <c r="AG271" i="13" s="1"/>
  <c r="AI216" i="12"/>
  <c r="AH219" i="12" s="1"/>
  <c r="AK215" i="12"/>
  <c r="AJ218" i="12" s="1"/>
  <c r="AK112" i="13"/>
  <c r="AJ115" i="13" s="1"/>
  <c r="AK60" i="12"/>
  <c r="AJ63" i="12" s="1"/>
  <c r="AH268" i="12"/>
  <c r="AG271" i="12" s="1"/>
  <c r="AI216" i="13"/>
  <c r="AH219" i="13" s="1"/>
  <c r="AJ60" i="13"/>
  <c r="AI63" i="13" s="1"/>
  <c r="AJ267" i="12"/>
  <c r="AI270" i="12" s="1"/>
  <c r="AM59" i="12"/>
  <c r="AL62" i="12" s="1"/>
  <c r="AL163" i="13"/>
  <c r="AK166" i="13" s="1"/>
  <c r="AL163" i="12"/>
  <c r="AK164" i="12" s="1"/>
  <c r="AL59" i="13"/>
  <c r="AK62" i="13" s="1"/>
  <c r="AM111" i="13"/>
  <c r="AL112" i="13" s="1"/>
  <c r="AK215" i="13"/>
  <c r="AJ218" i="13" s="1"/>
  <c r="AJ267" i="13"/>
  <c r="AI270" i="13" s="1"/>
  <c r="AL184" i="13"/>
  <c r="AL194" i="13" s="1"/>
  <c r="AL204" i="13" s="1"/>
  <c r="AL193" i="13"/>
  <c r="AL203" i="13" s="1"/>
  <c r="AL213" i="13" s="1"/>
  <c r="AN89" i="13"/>
  <c r="AN99" i="13" s="1"/>
  <c r="AN109" i="13" s="1"/>
  <c r="AN80" i="13"/>
  <c r="AN90" i="13" s="1"/>
  <c r="AN100" i="13" s="1"/>
  <c r="AK236" i="13"/>
  <c r="AK246" i="13" s="1"/>
  <c r="AK256" i="13" s="1"/>
  <c r="AK245" i="13"/>
  <c r="AK255" i="13" s="1"/>
  <c r="AK265" i="13" s="1"/>
  <c r="AM141" i="12"/>
  <c r="AM151" i="12" s="1"/>
  <c r="AM161" i="12" s="1"/>
  <c r="AM132" i="12"/>
  <c r="AM142" i="12" s="1"/>
  <c r="AM152" i="12" s="1"/>
  <c r="AM133" i="12"/>
  <c r="AM143" i="12" s="1"/>
  <c r="AM153" i="12" s="1"/>
  <c r="AM134" i="12"/>
  <c r="AM144" i="12" s="1"/>
  <c r="AM154" i="12" s="1"/>
  <c r="AO27" i="12"/>
  <c r="AO31" i="12" s="1"/>
  <c r="AO41" i="12" s="1"/>
  <c r="AO51" i="12" s="1"/>
  <c r="AP17" i="12"/>
  <c r="AO18" i="12"/>
  <c r="AO58" i="12"/>
  <c r="AO121" i="13"/>
  <c r="AN122" i="13"/>
  <c r="AN131" i="13"/>
  <c r="AN133" i="13" s="1"/>
  <c r="AN143" i="13" s="1"/>
  <c r="AN153" i="13" s="1"/>
  <c r="AN162" i="13"/>
  <c r="AN173" i="12"/>
  <c r="AM174" i="12"/>
  <c r="AM183" i="12"/>
  <c r="AM187" i="12" s="1"/>
  <c r="AM197" i="12" s="1"/>
  <c r="AM207" i="12" s="1"/>
  <c r="AM214" i="12"/>
  <c r="AK297" i="12"/>
  <c r="AK307" i="12" s="1"/>
  <c r="AK317" i="12" s="1"/>
  <c r="AK288" i="12"/>
  <c r="AK298" i="12" s="1"/>
  <c r="AK308" i="12" s="1"/>
  <c r="AK292" i="12"/>
  <c r="AK302" i="12" s="1"/>
  <c r="AK312" i="12" s="1"/>
  <c r="AK293" i="12"/>
  <c r="AK303" i="12" s="1"/>
  <c r="AK313" i="12" s="1"/>
  <c r="AK295" i="12"/>
  <c r="AK305" i="12" s="1"/>
  <c r="AK315" i="12" s="1"/>
  <c r="AK294" i="12"/>
  <c r="AK304" i="12" s="1"/>
  <c r="AK314" i="12" s="1"/>
  <c r="AK296" i="12"/>
  <c r="AK306" i="12" s="1"/>
  <c r="AK316" i="12" s="1"/>
  <c r="AM225" i="12"/>
  <c r="AL235" i="12"/>
  <c r="AL239" i="12" s="1"/>
  <c r="AL249" i="12" s="1"/>
  <c r="AL259" i="12" s="1"/>
  <c r="AL226" i="12"/>
  <c r="AL266" i="12"/>
  <c r="AM37" i="13"/>
  <c r="AM47" i="13" s="1"/>
  <c r="AM57" i="13" s="1"/>
  <c r="AM28" i="13"/>
  <c r="AM38" i="13" s="1"/>
  <c r="AM48" i="13" s="1"/>
  <c r="AM225" i="13"/>
  <c r="AL235" i="13"/>
  <c r="AL237" i="13" s="1"/>
  <c r="AL247" i="13" s="1"/>
  <c r="AL257" i="13" s="1"/>
  <c r="AL226" i="13"/>
  <c r="AL266" i="13"/>
  <c r="AK288" i="13"/>
  <c r="AK298" i="13" s="1"/>
  <c r="AK308" i="13" s="1"/>
  <c r="AK297" i="13"/>
  <c r="AK307" i="13" s="1"/>
  <c r="AK317" i="13" s="1"/>
  <c r="AK290" i="13"/>
  <c r="AK300" i="13" s="1"/>
  <c r="AK310" i="13" s="1"/>
  <c r="AK296" i="13"/>
  <c r="AK306" i="13" s="1"/>
  <c r="AK316" i="13" s="1"/>
  <c r="AK292" i="13"/>
  <c r="AK302" i="13" s="1"/>
  <c r="AK312" i="13" s="1"/>
  <c r="AK293" i="13"/>
  <c r="AK303" i="13" s="1"/>
  <c r="AK313" i="13" s="1"/>
  <c r="AK291" i="13"/>
  <c r="AK301" i="13" s="1"/>
  <c r="AK311" i="13" s="1"/>
  <c r="AK295" i="13"/>
  <c r="AK305" i="13" s="1"/>
  <c r="AK315" i="13" s="1"/>
  <c r="AK294" i="13"/>
  <c r="AK304" i="13" s="1"/>
  <c r="AK314" i="13" s="1"/>
  <c r="AN173" i="13"/>
  <c r="AM183" i="13"/>
  <c r="AM185" i="13" s="1"/>
  <c r="AM195" i="13" s="1"/>
  <c r="AM205" i="13" s="1"/>
  <c r="AM174" i="13"/>
  <c r="AM214" i="13"/>
  <c r="AO79" i="13"/>
  <c r="AO81" i="13" s="1"/>
  <c r="AO91" i="13" s="1"/>
  <c r="AO101" i="13" s="1"/>
  <c r="AP69" i="13"/>
  <c r="AO70" i="13"/>
  <c r="AO110" i="13"/>
  <c r="AO121" i="12"/>
  <c r="AN122" i="12"/>
  <c r="AN131" i="12"/>
  <c r="AN135" i="12" s="1"/>
  <c r="AN145" i="12" s="1"/>
  <c r="AN155" i="12" s="1"/>
  <c r="AN162" i="12"/>
  <c r="AL287" i="12"/>
  <c r="AM277" i="12"/>
  <c r="AL278" i="12"/>
  <c r="AL318" i="12"/>
  <c r="AK245" i="12"/>
  <c r="AK255" i="12" s="1"/>
  <c r="AK265" i="12" s="1"/>
  <c r="AK236" i="12"/>
  <c r="AK246" i="12" s="1"/>
  <c r="AK256" i="12" s="1"/>
  <c r="AK238" i="12"/>
  <c r="AK248" i="12" s="1"/>
  <c r="AK258" i="12" s="1"/>
  <c r="AK237" i="12"/>
  <c r="AK247" i="12" s="1"/>
  <c r="AK257" i="12" s="1"/>
  <c r="AO17" i="13"/>
  <c r="AN27" i="13"/>
  <c r="AN29" i="13" s="1"/>
  <c r="AN39" i="13" s="1"/>
  <c r="AN49" i="13" s="1"/>
  <c r="AN18" i="13"/>
  <c r="AN58" i="13"/>
  <c r="AN28" i="12"/>
  <c r="AN38" i="12" s="1"/>
  <c r="AN48" i="12" s="1"/>
  <c r="AN37" i="12"/>
  <c r="AN47" i="12" s="1"/>
  <c r="AN57" i="12" s="1"/>
  <c r="AN30" i="12"/>
  <c r="AN40" i="12" s="1"/>
  <c r="AN50" i="12" s="1"/>
  <c r="AN29" i="12"/>
  <c r="AN39" i="12" s="1"/>
  <c r="AN49" i="12" s="1"/>
  <c r="AM132" i="13"/>
  <c r="AM142" i="13" s="1"/>
  <c r="AM152" i="13" s="1"/>
  <c r="AM141" i="13"/>
  <c r="AM151" i="13" s="1"/>
  <c r="AM161" i="13" s="1"/>
  <c r="AL287" i="13"/>
  <c r="AL289" i="13" s="1"/>
  <c r="AL299" i="13" s="1"/>
  <c r="AL309" i="13" s="1"/>
  <c r="AM277" i="13"/>
  <c r="AL278" i="13"/>
  <c r="AL318" i="13"/>
  <c r="AL184" i="12"/>
  <c r="AL194" i="12" s="1"/>
  <c r="AL204" i="12" s="1"/>
  <c r="AL193" i="12"/>
  <c r="AL203" i="12" s="1"/>
  <c r="AL213" i="12" s="1"/>
  <c r="AL185" i="12"/>
  <c r="AL195" i="12" s="1"/>
  <c r="AL205" i="12" s="1"/>
  <c r="AL186" i="12"/>
  <c r="AL196" i="12" s="1"/>
  <c r="AL206" i="12" s="1"/>
  <c r="AM85" i="12" l="1"/>
  <c r="AM95" i="12" s="1"/>
  <c r="AM105" i="12" s="1"/>
  <c r="AM87" i="12"/>
  <c r="AM97" i="12" s="1"/>
  <c r="AM107" i="12" s="1"/>
  <c r="AM86" i="12"/>
  <c r="AM96" i="12" s="1"/>
  <c r="AM106" i="12" s="1"/>
  <c r="AM88" i="12"/>
  <c r="AM98" i="12" s="1"/>
  <c r="AM108" i="12" s="1"/>
  <c r="AI320" i="12"/>
  <c r="AH323" i="12" s="1"/>
  <c r="AJ167" i="12"/>
  <c r="AJ112" i="12"/>
  <c r="AI115" i="12" s="1"/>
  <c r="AJ114" i="12"/>
  <c r="AO69" i="12"/>
  <c r="AN79" i="12"/>
  <c r="AN110" i="12"/>
  <c r="AN70" i="12"/>
  <c r="AL111" i="12"/>
  <c r="AM83" i="12"/>
  <c r="AM93" i="12" s="1"/>
  <c r="AM103" i="12" s="1"/>
  <c r="AM84" i="12"/>
  <c r="AM94" i="12" s="1"/>
  <c r="AM104" i="12" s="1"/>
  <c r="AM80" i="12"/>
  <c r="AM90" i="12" s="1"/>
  <c r="AM100" i="12" s="1"/>
  <c r="AM81" i="12"/>
  <c r="AM91" i="12" s="1"/>
  <c r="AM101" i="12" s="1"/>
  <c r="AM89" i="12"/>
  <c r="AM99" i="12" s="1"/>
  <c r="AM109" i="12" s="1"/>
  <c r="AM82" i="12"/>
  <c r="AM92" i="12" s="1"/>
  <c r="AM102" i="12" s="1"/>
  <c r="AI320" i="13"/>
  <c r="AH323" i="13" s="1"/>
  <c r="AM163" i="12"/>
  <c r="AL164" i="12" s="1"/>
  <c r="AK167" i="12" s="1"/>
  <c r="AJ216" i="12"/>
  <c r="AI219" i="12" s="1"/>
  <c r="AL291" i="12"/>
  <c r="AL301" i="12" s="1"/>
  <c r="AL311" i="12" s="1"/>
  <c r="AL290" i="12"/>
  <c r="AL300" i="12" s="1"/>
  <c r="AL310" i="12" s="1"/>
  <c r="AL289" i="12"/>
  <c r="AL299" i="12" s="1"/>
  <c r="AL309" i="12" s="1"/>
  <c r="AK319" i="12"/>
  <c r="AJ320" i="12" s="1"/>
  <c r="AK319" i="13"/>
  <c r="AJ320" i="13" s="1"/>
  <c r="AK267" i="13"/>
  <c r="AJ268" i="13" s="1"/>
  <c r="AO85" i="13"/>
  <c r="AO95" i="13" s="1"/>
  <c r="AO105" i="13" s="1"/>
  <c r="AO87" i="13"/>
  <c r="AO97" i="13" s="1"/>
  <c r="AO107" i="13" s="1"/>
  <c r="AO84" i="13"/>
  <c r="AO94" i="13" s="1"/>
  <c r="AO104" i="13" s="1"/>
  <c r="AO83" i="13"/>
  <c r="AO93" i="13" s="1"/>
  <c r="AO103" i="13" s="1"/>
  <c r="AO88" i="13"/>
  <c r="AO98" i="13" s="1"/>
  <c r="AO108" i="13" s="1"/>
  <c r="AO82" i="13"/>
  <c r="AO92" i="13" s="1"/>
  <c r="AO102" i="13" s="1"/>
  <c r="AO86" i="13"/>
  <c r="AO96" i="13" s="1"/>
  <c r="AO106" i="13" s="1"/>
  <c r="AL238" i="13"/>
  <c r="AL248" i="13" s="1"/>
  <c r="AL258" i="13" s="1"/>
  <c r="AL242" i="13"/>
  <c r="AL252" i="13" s="1"/>
  <c r="AL262" i="13" s="1"/>
  <c r="AL240" i="13"/>
  <c r="AL250" i="13" s="1"/>
  <c r="AL260" i="13" s="1"/>
  <c r="AL241" i="13"/>
  <c r="AL251" i="13" s="1"/>
  <c r="AL261" i="13" s="1"/>
  <c r="AL244" i="13"/>
  <c r="AL254" i="13" s="1"/>
  <c r="AL264" i="13" s="1"/>
  <c r="AL243" i="13"/>
  <c r="AL253" i="13" s="1"/>
  <c r="AL263" i="13" s="1"/>
  <c r="AL239" i="13"/>
  <c r="AL249" i="13" s="1"/>
  <c r="AL259" i="13" s="1"/>
  <c r="AN139" i="12"/>
  <c r="AN149" i="12" s="1"/>
  <c r="AN159" i="12" s="1"/>
  <c r="AN136" i="12"/>
  <c r="AN146" i="12" s="1"/>
  <c r="AN156" i="12" s="1"/>
  <c r="AN140" i="12"/>
  <c r="AN150" i="12" s="1"/>
  <c r="AN160" i="12" s="1"/>
  <c r="AN137" i="12"/>
  <c r="AN147" i="12" s="1"/>
  <c r="AN157" i="12" s="1"/>
  <c r="AN138" i="12"/>
  <c r="AN148" i="12" s="1"/>
  <c r="AN158" i="12" s="1"/>
  <c r="AL244" i="12"/>
  <c r="AL254" i="12" s="1"/>
  <c r="AL264" i="12" s="1"/>
  <c r="AL240" i="12"/>
  <c r="AL250" i="12" s="1"/>
  <c r="AL260" i="12" s="1"/>
  <c r="AL243" i="12"/>
  <c r="AL253" i="12" s="1"/>
  <c r="AL263" i="12" s="1"/>
  <c r="AL241" i="12"/>
  <c r="AL251" i="12" s="1"/>
  <c r="AL261" i="12" s="1"/>
  <c r="AL242" i="12"/>
  <c r="AL252" i="12" s="1"/>
  <c r="AL262" i="12" s="1"/>
  <c r="AM188" i="12"/>
  <c r="AM198" i="12" s="1"/>
  <c r="AM208" i="12" s="1"/>
  <c r="AM191" i="12"/>
  <c r="AM201" i="12" s="1"/>
  <c r="AM211" i="12" s="1"/>
  <c r="AM192" i="12"/>
  <c r="AM202" i="12" s="1"/>
  <c r="AM212" i="12" s="1"/>
  <c r="AM190" i="12"/>
  <c r="AM200" i="12" s="1"/>
  <c r="AM210" i="12" s="1"/>
  <c r="AM189" i="12"/>
  <c r="AM199" i="12" s="1"/>
  <c r="AM209" i="12" s="1"/>
  <c r="AN137" i="13"/>
  <c r="AN147" i="13" s="1"/>
  <c r="AN157" i="13" s="1"/>
  <c r="AN138" i="13"/>
  <c r="AN148" i="13" s="1"/>
  <c r="AN158" i="13" s="1"/>
  <c r="AN139" i="13"/>
  <c r="AN149" i="13" s="1"/>
  <c r="AN159" i="13" s="1"/>
  <c r="AN140" i="13"/>
  <c r="AN150" i="13" s="1"/>
  <c r="AN160" i="13" s="1"/>
  <c r="AN136" i="13"/>
  <c r="AN146" i="13" s="1"/>
  <c r="AN156" i="13" s="1"/>
  <c r="AN134" i="13"/>
  <c r="AN144" i="13" s="1"/>
  <c r="AN154" i="13" s="1"/>
  <c r="AN135" i="13"/>
  <c r="AN145" i="13" s="1"/>
  <c r="AN155" i="13" s="1"/>
  <c r="AO33" i="12"/>
  <c r="AO43" i="12" s="1"/>
  <c r="AO53" i="12" s="1"/>
  <c r="AO36" i="12"/>
  <c r="AO46" i="12" s="1"/>
  <c r="AO56" i="12" s="1"/>
  <c r="AO32" i="12"/>
  <c r="AO42" i="12" s="1"/>
  <c r="AO52" i="12" s="1"/>
  <c r="AO35" i="12"/>
  <c r="AO45" i="12" s="1"/>
  <c r="AO55" i="12" s="1"/>
  <c r="AO34" i="12"/>
  <c r="AO44" i="12" s="1"/>
  <c r="AO54" i="12" s="1"/>
  <c r="AN36" i="13"/>
  <c r="AN46" i="13" s="1"/>
  <c r="AN56" i="13" s="1"/>
  <c r="AN31" i="13"/>
  <c r="AN41" i="13" s="1"/>
  <c r="AN51" i="13" s="1"/>
  <c r="AN33" i="13"/>
  <c r="AN43" i="13" s="1"/>
  <c r="AN53" i="13" s="1"/>
  <c r="AN32" i="13"/>
  <c r="AN42" i="13" s="1"/>
  <c r="AN52" i="13" s="1"/>
  <c r="AN30" i="13"/>
  <c r="AN40" i="13" s="1"/>
  <c r="AN50" i="13" s="1"/>
  <c r="AN35" i="13"/>
  <c r="AN45" i="13" s="1"/>
  <c r="AN55" i="13" s="1"/>
  <c r="AN34" i="13"/>
  <c r="AN44" i="13" s="1"/>
  <c r="AN54" i="13" s="1"/>
  <c r="AM190" i="13"/>
  <c r="AM200" i="13" s="1"/>
  <c r="AM210" i="13" s="1"/>
  <c r="AM191" i="13"/>
  <c r="AM201" i="13" s="1"/>
  <c r="AM211" i="13" s="1"/>
  <c r="AM189" i="13"/>
  <c r="AM199" i="13" s="1"/>
  <c r="AM209" i="13" s="1"/>
  <c r="AM192" i="13"/>
  <c r="AM202" i="13" s="1"/>
  <c r="AM212" i="13" s="1"/>
  <c r="AM186" i="13"/>
  <c r="AM196" i="13" s="1"/>
  <c r="AM206" i="13" s="1"/>
  <c r="AM187" i="13"/>
  <c r="AM197" i="13" s="1"/>
  <c r="AM207" i="13" s="1"/>
  <c r="AM188" i="13"/>
  <c r="AM198" i="13" s="1"/>
  <c r="AM208" i="13" s="1"/>
  <c r="AM59" i="13"/>
  <c r="AL60" i="13" s="1"/>
  <c r="AL60" i="12"/>
  <c r="AK63" i="12" s="1"/>
  <c r="AL114" i="13"/>
  <c r="AK166" i="12"/>
  <c r="AK115" i="13"/>
  <c r="AN111" i="13"/>
  <c r="AM112" i="13" s="1"/>
  <c r="AL115" i="13" s="1"/>
  <c r="AJ216" i="13"/>
  <c r="AI219" i="13" s="1"/>
  <c r="AK164" i="13"/>
  <c r="AJ167" i="13" s="1"/>
  <c r="AK60" i="13"/>
  <c r="AJ63" i="13" s="1"/>
  <c r="AL215" i="13"/>
  <c r="AK218" i="13" s="1"/>
  <c r="AI268" i="12"/>
  <c r="AH271" i="12" s="1"/>
  <c r="AM163" i="13"/>
  <c r="AL166" i="13" s="1"/>
  <c r="AK267" i="12"/>
  <c r="AJ270" i="12" s="1"/>
  <c r="AI268" i="13"/>
  <c r="AH271" i="13" s="1"/>
  <c r="AN59" i="12"/>
  <c r="AM60" i="12" s="1"/>
  <c r="AL215" i="12"/>
  <c r="AK218" i="12" s="1"/>
  <c r="AM287" i="13"/>
  <c r="AM289" i="13" s="1"/>
  <c r="AM299" i="13" s="1"/>
  <c r="AM309" i="13" s="1"/>
  <c r="AN277" i="13"/>
  <c r="AM278" i="13"/>
  <c r="AM318" i="13"/>
  <c r="AO131" i="12"/>
  <c r="AO135" i="12" s="1"/>
  <c r="AO145" i="12" s="1"/>
  <c r="AO155" i="12" s="1"/>
  <c r="AO122" i="12"/>
  <c r="AP121" i="12"/>
  <c r="AO162" i="12"/>
  <c r="AP70" i="13"/>
  <c r="AQ69" i="13"/>
  <c r="AP79" i="13"/>
  <c r="AP81" i="13" s="1"/>
  <c r="AP91" i="13" s="1"/>
  <c r="AP101" i="13" s="1"/>
  <c r="AP110" i="13"/>
  <c r="AM193" i="13"/>
  <c r="AM203" i="13" s="1"/>
  <c r="AM213" i="13" s="1"/>
  <c r="AM184" i="13"/>
  <c r="AM194" i="13" s="1"/>
  <c r="AM204" i="13" s="1"/>
  <c r="AN225" i="12"/>
  <c r="AM226" i="12"/>
  <c r="AM235" i="12"/>
  <c r="AM239" i="12" s="1"/>
  <c r="AM249" i="12" s="1"/>
  <c r="AM259" i="12" s="1"/>
  <c r="AM266" i="12"/>
  <c r="AN141" i="13"/>
  <c r="AN151" i="13" s="1"/>
  <c r="AN161" i="13" s="1"/>
  <c r="AN132" i="13"/>
  <c r="AN142" i="13" s="1"/>
  <c r="AN152" i="13" s="1"/>
  <c r="AO28" i="12"/>
  <c r="AO38" i="12" s="1"/>
  <c r="AO48" i="12" s="1"/>
  <c r="AO37" i="12"/>
  <c r="AO47" i="12" s="1"/>
  <c r="AO57" i="12" s="1"/>
  <c r="AO29" i="12"/>
  <c r="AO39" i="12" s="1"/>
  <c r="AO49" i="12" s="1"/>
  <c r="AO30" i="12"/>
  <c r="AO40" i="12" s="1"/>
  <c r="AO50" i="12" s="1"/>
  <c r="AN28" i="13"/>
  <c r="AN38" i="13" s="1"/>
  <c r="AN48" i="13" s="1"/>
  <c r="AN37" i="13"/>
  <c r="AN47" i="13" s="1"/>
  <c r="AN57" i="13" s="1"/>
  <c r="AO89" i="13"/>
  <c r="AO99" i="13" s="1"/>
  <c r="AO109" i="13" s="1"/>
  <c r="AO80" i="13"/>
  <c r="AO90" i="13" s="1"/>
  <c r="AO100" i="13" s="1"/>
  <c r="AO173" i="13"/>
  <c r="AN183" i="13"/>
  <c r="AN185" i="13" s="1"/>
  <c r="AN195" i="13" s="1"/>
  <c r="AN205" i="13" s="1"/>
  <c r="AN174" i="13"/>
  <c r="AN214" i="13"/>
  <c r="AL245" i="13"/>
  <c r="AL255" i="13" s="1"/>
  <c r="AL265" i="13" s="1"/>
  <c r="AL236" i="13"/>
  <c r="AL246" i="13" s="1"/>
  <c r="AL256" i="13" s="1"/>
  <c r="AN174" i="12"/>
  <c r="AO173" i="12"/>
  <c r="AN183" i="12"/>
  <c r="AN187" i="12" s="1"/>
  <c r="AN197" i="12" s="1"/>
  <c r="AN207" i="12" s="1"/>
  <c r="AN214" i="12"/>
  <c r="AL288" i="13"/>
  <c r="AL298" i="13" s="1"/>
  <c r="AL308" i="13" s="1"/>
  <c r="AL297" i="13"/>
  <c r="AL307" i="13" s="1"/>
  <c r="AL317" i="13" s="1"/>
  <c r="AL290" i="13"/>
  <c r="AL300" i="13" s="1"/>
  <c r="AL310" i="13" s="1"/>
  <c r="AL296" i="13"/>
  <c r="AL306" i="13" s="1"/>
  <c r="AL316" i="13" s="1"/>
  <c r="AL292" i="13"/>
  <c r="AL302" i="13" s="1"/>
  <c r="AL312" i="13" s="1"/>
  <c r="AL293" i="13"/>
  <c r="AL303" i="13" s="1"/>
  <c r="AL313" i="13" s="1"/>
  <c r="AL291" i="13"/>
  <c r="AL301" i="13" s="1"/>
  <c r="AL311" i="13" s="1"/>
  <c r="AL294" i="13"/>
  <c r="AL304" i="13" s="1"/>
  <c r="AL314" i="13" s="1"/>
  <c r="AL295" i="13"/>
  <c r="AL305" i="13" s="1"/>
  <c r="AL315" i="13" s="1"/>
  <c r="AP17" i="13"/>
  <c r="AO18" i="13"/>
  <c r="AO27" i="13"/>
  <c r="AO29" i="13" s="1"/>
  <c r="AO39" i="13" s="1"/>
  <c r="AO49" i="13" s="1"/>
  <c r="AO58" i="13"/>
  <c r="AN277" i="12"/>
  <c r="AM278" i="12"/>
  <c r="AM287" i="12"/>
  <c r="AM318" i="12"/>
  <c r="AN132" i="12"/>
  <c r="AN142" i="12" s="1"/>
  <c r="AN152" i="12" s="1"/>
  <c r="AN141" i="12"/>
  <c r="AN151" i="12" s="1"/>
  <c r="AN161" i="12" s="1"/>
  <c r="AN133" i="12"/>
  <c r="AN143" i="12" s="1"/>
  <c r="AN153" i="12" s="1"/>
  <c r="AN134" i="12"/>
  <c r="AN144" i="12" s="1"/>
  <c r="AN154" i="12" s="1"/>
  <c r="AM226" i="13"/>
  <c r="AN225" i="13"/>
  <c r="AM235" i="13"/>
  <c r="AM237" i="13" s="1"/>
  <c r="AM247" i="13" s="1"/>
  <c r="AM257" i="13" s="1"/>
  <c r="AM266" i="13"/>
  <c r="AP121" i="13"/>
  <c r="AO122" i="13"/>
  <c r="AO131" i="13"/>
  <c r="AO133" i="13" s="1"/>
  <c r="AO143" i="13" s="1"/>
  <c r="AO153" i="13" s="1"/>
  <c r="AO162" i="13"/>
  <c r="AL297" i="12"/>
  <c r="AL307" i="12" s="1"/>
  <c r="AL317" i="12" s="1"/>
  <c r="AL288" i="12"/>
  <c r="AL298" i="12" s="1"/>
  <c r="AL308" i="12" s="1"/>
  <c r="AL292" i="12"/>
  <c r="AL302" i="12" s="1"/>
  <c r="AL312" i="12" s="1"/>
  <c r="AL293" i="12"/>
  <c r="AL303" i="12" s="1"/>
  <c r="AL313" i="12" s="1"/>
  <c r="AL295" i="12"/>
  <c r="AL305" i="12" s="1"/>
  <c r="AL315" i="12" s="1"/>
  <c r="AL294" i="12"/>
  <c r="AL304" i="12" s="1"/>
  <c r="AL314" i="12" s="1"/>
  <c r="AL296" i="12"/>
  <c r="AL306" i="12" s="1"/>
  <c r="AL316" i="12" s="1"/>
  <c r="AL236" i="12"/>
  <c r="AL246" i="12" s="1"/>
  <c r="AL256" i="12" s="1"/>
  <c r="AL245" i="12"/>
  <c r="AL255" i="12" s="1"/>
  <c r="AL265" i="12" s="1"/>
  <c r="AL238" i="12"/>
  <c r="AL248" i="12" s="1"/>
  <c r="AL258" i="12" s="1"/>
  <c r="AL237" i="12"/>
  <c r="AL247" i="12" s="1"/>
  <c r="AL257" i="12" s="1"/>
  <c r="AM184" i="12"/>
  <c r="AM194" i="12" s="1"/>
  <c r="AM204" i="12" s="1"/>
  <c r="AM193" i="12"/>
  <c r="AM203" i="12" s="1"/>
  <c r="AM213" i="12" s="1"/>
  <c r="AM186" i="12"/>
  <c r="AM196" i="12" s="1"/>
  <c r="AM206" i="12" s="1"/>
  <c r="AM185" i="12"/>
  <c r="AM195" i="12" s="1"/>
  <c r="AM205" i="12" s="1"/>
  <c r="AP27" i="12"/>
  <c r="AP31" i="12" s="1"/>
  <c r="AP41" i="12" s="1"/>
  <c r="AP51" i="12" s="1"/>
  <c r="AP18" i="12"/>
  <c r="AQ17" i="12"/>
  <c r="AP58" i="12"/>
  <c r="AN87" i="12" l="1"/>
  <c r="AN97" i="12" s="1"/>
  <c r="AN107" i="12" s="1"/>
  <c r="AN85" i="12"/>
  <c r="AN95" i="12" s="1"/>
  <c r="AN105" i="12" s="1"/>
  <c r="AN86" i="12"/>
  <c r="AN96" i="12" s="1"/>
  <c r="AN106" i="12" s="1"/>
  <c r="AN88" i="12"/>
  <c r="AN98" i="12" s="1"/>
  <c r="AN108" i="12" s="1"/>
  <c r="AJ322" i="13"/>
  <c r="AI323" i="12"/>
  <c r="AL166" i="12"/>
  <c r="AM111" i="12"/>
  <c r="AK112" i="12"/>
  <c r="AJ115" i="12" s="1"/>
  <c r="AK114" i="12"/>
  <c r="AN83" i="12"/>
  <c r="AN93" i="12" s="1"/>
  <c r="AN103" i="12" s="1"/>
  <c r="AN89" i="12"/>
  <c r="AN99" i="12" s="1"/>
  <c r="AN109" i="12" s="1"/>
  <c r="AN81" i="12"/>
  <c r="AN91" i="12" s="1"/>
  <c r="AN101" i="12" s="1"/>
  <c r="AN84" i="12"/>
  <c r="AN94" i="12" s="1"/>
  <c r="AN104" i="12" s="1"/>
  <c r="AN82" i="12"/>
  <c r="AN92" i="12" s="1"/>
  <c r="AN102" i="12" s="1"/>
  <c r="AN80" i="12"/>
  <c r="AN90" i="12" s="1"/>
  <c r="AN100" i="12" s="1"/>
  <c r="AO79" i="12"/>
  <c r="AP69" i="12"/>
  <c r="AO110" i="12"/>
  <c r="AO70" i="12"/>
  <c r="AJ270" i="13"/>
  <c r="AI271" i="13"/>
  <c r="AI323" i="13"/>
  <c r="AL62" i="13"/>
  <c r="AK216" i="13"/>
  <c r="AJ219" i="13" s="1"/>
  <c r="AJ322" i="12"/>
  <c r="AJ268" i="12"/>
  <c r="AI271" i="12" s="1"/>
  <c r="AL319" i="12"/>
  <c r="AK322" i="12" s="1"/>
  <c r="AL319" i="13"/>
  <c r="AK322" i="13" s="1"/>
  <c r="AM291" i="12"/>
  <c r="AM301" i="12" s="1"/>
  <c r="AM311" i="12" s="1"/>
  <c r="AM289" i="12"/>
  <c r="AM299" i="12" s="1"/>
  <c r="AM309" i="12" s="1"/>
  <c r="AM290" i="12"/>
  <c r="AM300" i="12" s="1"/>
  <c r="AM310" i="12" s="1"/>
  <c r="AM215" i="13"/>
  <c r="AL218" i="13" s="1"/>
  <c r="AM114" i="13"/>
  <c r="AO111" i="13"/>
  <c r="AN112" i="13" s="1"/>
  <c r="AM115" i="13" s="1"/>
  <c r="AO140" i="13"/>
  <c r="AO150" i="13" s="1"/>
  <c r="AO160" i="13" s="1"/>
  <c r="AO139" i="13"/>
  <c r="AO149" i="13" s="1"/>
  <c r="AO159" i="13" s="1"/>
  <c r="AO137" i="13"/>
  <c r="AO147" i="13" s="1"/>
  <c r="AO157" i="13" s="1"/>
  <c r="AO138" i="13"/>
  <c r="AO148" i="13" s="1"/>
  <c r="AO158" i="13" s="1"/>
  <c r="AO135" i="13"/>
  <c r="AO145" i="13" s="1"/>
  <c r="AO155" i="13" s="1"/>
  <c r="AO136" i="13"/>
  <c r="AO146" i="13" s="1"/>
  <c r="AO156" i="13" s="1"/>
  <c r="AO134" i="13"/>
  <c r="AO144" i="13" s="1"/>
  <c r="AO154" i="13" s="1"/>
  <c r="AM243" i="13"/>
  <c r="AM253" i="13" s="1"/>
  <c r="AM263" i="13" s="1"/>
  <c r="AM241" i="13"/>
  <c r="AM251" i="13" s="1"/>
  <c r="AM261" i="13" s="1"/>
  <c r="AM238" i="13"/>
  <c r="AM248" i="13" s="1"/>
  <c r="AM258" i="13" s="1"/>
  <c r="AM244" i="13"/>
  <c r="AM254" i="13" s="1"/>
  <c r="AM264" i="13" s="1"/>
  <c r="AM242" i="13"/>
  <c r="AM252" i="13" s="1"/>
  <c r="AM262" i="13" s="1"/>
  <c r="AM240" i="13"/>
  <c r="AM250" i="13" s="1"/>
  <c r="AM260" i="13" s="1"/>
  <c r="AM239" i="13"/>
  <c r="AM249" i="13" s="1"/>
  <c r="AM259" i="13" s="1"/>
  <c r="AM244" i="12"/>
  <c r="AM254" i="12" s="1"/>
  <c r="AM264" i="12" s="1"/>
  <c r="AM243" i="12"/>
  <c r="AM253" i="12" s="1"/>
  <c r="AM263" i="12" s="1"/>
  <c r="AM242" i="12"/>
  <c r="AM252" i="12" s="1"/>
  <c r="AM262" i="12" s="1"/>
  <c r="AM241" i="12"/>
  <c r="AM251" i="12" s="1"/>
  <c r="AM261" i="12" s="1"/>
  <c r="AM240" i="12"/>
  <c r="AM250" i="12" s="1"/>
  <c r="AM260" i="12" s="1"/>
  <c r="AL164" i="13"/>
  <c r="AK167" i="13" s="1"/>
  <c r="AP36" i="12"/>
  <c r="AP46" i="12" s="1"/>
  <c r="AP56" i="12" s="1"/>
  <c r="AP33" i="12"/>
  <c r="AP43" i="12" s="1"/>
  <c r="AP53" i="12" s="1"/>
  <c r="AP32" i="12"/>
  <c r="AP42" i="12" s="1"/>
  <c r="AP52" i="12" s="1"/>
  <c r="AP34" i="12"/>
  <c r="AP44" i="12" s="1"/>
  <c r="AP54" i="12" s="1"/>
  <c r="AP35" i="12"/>
  <c r="AP45" i="12" s="1"/>
  <c r="AP55" i="12" s="1"/>
  <c r="AO31" i="13"/>
  <c r="AO41" i="13" s="1"/>
  <c r="AO51" i="13" s="1"/>
  <c r="AO33" i="13"/>
  <c r="AO43" i="13" s="1"/>
  <c r="AO53" i="13" s="1"/>
  <c r="AO36" i="13"/>
  <c r="AO46" i="13" s="1"/>
  <c r="AO56" i="13" s="1"/>
  <c r="AO35" i="13"/>
  <c r="AO45" i="13" s="1"/>
  <c r="AO55" i="13" s="1"/>
  <c r="AO30" i="13"/>
  <c r="AO40" i="13" s="1"/>
  <c r="AO50" i="13" s="1"/>
  <c r="AO32" i="13"/>
  <c r="AO42" i="13" s="1"/>
  <c r="AO52" i="13" s="1"/>
  <c r="AO34" i="13"/>
  <c r="AO44" i="13" s="1"/>
  <c r="AO54" i="13" s="1"/>
  <c r="AN190" i="12"/>
  <c r="AN200" i="12" s="1"/>
  <c r="AN210" i="12" s="1"/>
  <c r="AN192" i="12"/>
  <c r="AN202" i="12" s="1"/>
  <c r="AN212" i="12" s="1"/>
  <c r="AN189" i="12"/>
  <c r="AN199" i="12" s="1"/>
  <c r="AN209" i="12" s="1"/>
  <c r="AN188" i="12"/>
  <c r="AN198" i="12" s="1"/>
  <c r="AN208" i="12" s="1"/>
  <c r="AN191" i="12"/>
  <c r="AN201" i="12" s="1"/>
  <c r="AN211" i="12" s="1"/>
  <c r="AN189" i="13"/>
  <c r="AN199" i="13" s="1"/>
  <c r="AN209" i="13" s="1"/>
  <c r="AN191" i="13"/>
  <c r="AN201" i="13" s="1"/>
  <c r="AN211" i="13" s="1"/>
  <c r="AN192" i="13"/>
  <c r="AN202" i="13" s="1"/>
  <c r="AN212" i="13" s="1"/>
  <c r="AN186" i="13"/>
  <c r="AN196" i="13" s="1"/>
  <c r="AN206" i="13" s="1"/>
  <c r="AN190" i="13"/>
  <c r="AN200" i="13" s="1"/>
  <c r="AN210" i="13" s="1"/>
  <c r="AN188" i="13"/>
  <c r="AN198" i="13" s="1"/>
  <c r="AN208" i="13" s="1"/>
  <c r="AN187" i="13"/>
  <c r="AN197" i="13" s="1"/>
  <c r="AN207" i="13" s="1"/>
  <c r="AP84" i="13"/>
  <c r="AP94" i="13" s="1"/>
  <c r="AP104" i="13" s="1"/>
  <c r="AP85" i="13"/>
  <c r="AP95" i="13" s="1"/>
  <c r="AP105" i="13" s="1"/>
  <c r="AP83" i="13"/>
  <c r="AP93" i="13" s="1"/>
  <c r="AP103" i="13" s="1"/>
  <c r="AP87" i="13"/>
  <c r="AP97" i="13" s="1"/>
  <c r="AP107" i="13" s="1"/>
  <c r="AP88" i="13"/>
  <c r="AP98" i="13" s="1"/>
  <c r="AP108" i="13" s="1"/>
  <c r="AP86" i="13"/>
  <c r="AP96" i="13" s="1"/>
  <c r="AP106" i="13" s="1"/>
  <c r="AP82" i="13"/>
  <c r="AP92" i="13" s="1"/>
  <c r="AP102" i="13" s="1"/>
  <c r="AO137" i="12"/>
  <c r="AO147" i="12" s="1"/>
  <c r="AO157" i="12" s="1"/>
  <c r="AO138" i="12"/>
  <c r="AO148" i="12" s="1"/>
  <c r="AO158" i="12" s="1"/>
  <c r="AO139" i="12"/>
  <c r="AO149" i="12" s="1"/>
  <c r="AO159" i="12" s="1"/>
  <c r="AO136" i="12"/>
  <c r="AO146" i="12" s="1"/>
  <c r="AO156" i="12" s="1"/>
  <c r="AO140" i="12"/>
  <c r="AO150" i="12" s="1"/>
  <c r="AO160" i="12" s="1"/>
  <c r="AK63" i="13"/>
  <c r="AN163" i="13"/>
  <c r="AM166" i="13" s="1"/>
  <c r="AL63" i="12"/>
  <c r="AN163" i="12"/>
  <c r="AM164" i="12" s="1"/>
  <c r="AL167" i="12" s="1"/>
  <c r="AO59" i="12"/>
  <c r="AN62" i="12" s="1"/>
  <c r="AM62" i="12"/>
  <c r="AK216" i="12"/>
  <c r="AJ219" i="12" s="1"/>
  <c r="AN59" i="13"/>
  <c r="AM60" i="13" s="1"/>
  <c r="AL63" i="13" s="1"/>
  <c r="AL267" i="13"/>
  <c r="AM215" i="12"/>
  <c r="AL218" i="12" s="1"/>
  <c r="AL267" i="12"/>
  <c r="AK270" i="12" s="1"/>
  <c r="AQ27" i="12"/>
  <c r="AQ31" i="12" s="1"/>
  <c r="AQ41" i="12" s="1"/>
  <c r="AQ51" i="12" s="1"/>
  <c r="AQ18" i="12"/>
  <c r="AQ58" i="12"/>
  <c r="AP131" i="13"/>
  <c r="AP133" i="13" s="1"/>
  <c r="AP143" i="13" s="1"/>
  <c r="AP153" i="13" s="1"/>
  <c r="AP122" i="13"/>
  <c r="AQ121" i="13"/>
  <c r="AP162" i="13"/>
  <c r="AM236" i="13"/>
  <c r="AM246" i="13" s="1"/>
  <c r="AM256" i="13" s="1"/>
  <c r="AM245" i="13"/>
  <c r="AM255" i="13" s="1"/>
  <c r="AM265" i="13" s="1"/>
  <c r="AN184" i="12"/>
  <c r="AN194" i="12" s="1"/>
  <c r="AN204" i="12" s="1"/>
  <c r="AN193" i="12"/>
  <c r="AN203" i="12" s="1"/>
  <c r="AN213" i="12" s="1"/>
  <c r="AN186" i="12"/>
  <c r="AN196" i="12" s="1"/>
  <c r="AN206" i="12" s="1"/>
  <c r="AN185" i="12"/>
  <c r="AN195" i="12" s="1"/>
  <c r="AN205" i="12" s="1"/>
  <c r="AO183" i="13"/>
  <c r="AO185" i="13" s="1"/>
  <c r="AO195" i="13" s="1"/>
  <c r="AO205" i="13" s="1"/>
  <c r="AO174" i="13"/>
  <c r="AP173" i="13"/>
  <c r="AO214" i="13"/>
  <c r="AM236" i="12"/>
  <c r="AM246" i="12" s="1"/>
  <c r="AM256" i="12" s="1"/>
  <c r="AM245" i="12"/>
  <c r="AM255" i="12" s="1"/>
  <c r="AM265" i="12" s="1"/>
  <c r="AM237" i="12"/>
  <c r="AM247" i="12" s="1"/>
  <c r="AM257" i="12" s="1"/>
  <c r="AM238" i="12"/>
  <c r="AM248" i="12" s="1"/>
  <c r="AM258" i="12" s="1"/>
  <c r="AP80" i="13"/>
  <c r="AP90" i="13" s="1"/>
  <c r="AP100" i="13" s="1"/>
  <c r="AP89" i="13"/>
  <c r="AP99" i="13" s="1"/>
  <c r="AP109" i="13" s="1"/>
  <c r="AO132" i="12"/>
  <c r="AO142" i="12" s="1"/>
  <c r="AO152" i="12" s="1"/>
  <c r="AO141" i="12"/>
  <c r="AO151" i="12" s="1"/>
  <c r="AO161" i="12" s="1"/>
  <c r="AO134" i="12"/>
  <c r="AO144" i="12" s="1"/>
  <c r="AO154" i="12" s="1"/>
  <c r="AO133" i="12"/>
  <c r="AO143" i="12" s="1"/>
  <c r="AO153" i="12" s="1"/>
  <c r="AO277" i="13"/>
  <c r="AN278" i="13"/>
  <c r="AN287" i="13"/>
  <c r="AN289" i="13" s="1"/>
  <c r="AN299" i="13" s="1"/>
  <c r="AN309" i="13" s="1"/>
  <c r="AN318" i="13"/>
  <c r="AP28" i="12"/>
  <c r="AP38" i="12" s="1"/>
  <c r="AP48" i="12" s="1"/>
  <c r="AP37" i="12"/>
  <c r="AP47" i="12" s="1"/>
  <c r="AP57" i="12" s="1"/>
  <c r="AP30" i="12"/>
  <c r="AP40" i="12" s="1"/>
  <c r="AP50" i="12" s="1"/>
  <c r="AP29" i="12"/>
  <c r="AP39" i="12" s="1"/>
  <c r="AP49" i="12" s="1"/>
  <c r="AN226" i="13"/>
  <c r="AO225" i="13"/>
  <c r="AN235" i="13"/>
  <c r="AN237" i="13" s="1"/>
  <c r="AN247" i="13" s="1"/>
  <c r="AN257" i="13" s="1"/>
  <c r="AN266" i="13"/>
  <c r="AN278" i="12"/>
  <c r="AO277" i="12"/>
  <c r="AN287" i="12"/>
  <c r="AN318" i="12"/>
  <c r="AQ17" i="13"/>
  <c r="AP18" i="13"/>
  <c r="AP27" i="13"/>
  <c r="AP29" i="13" s="1"/>
  <c r="AP39" i="13" s="1"/>
  <c r="AP49" i="13" s="1"/>
  <c r="AP58" i="13"/>
  <c r="AO174" i="12"/>
  <c r="AO183" i="12"/>
  <c r="AO187" i="12" s="1"/>
  <c r="AO197" i="12" s="1"/>
  <c r="AO207" i="12" s="1"/>
  <c r="AP173" i="12"/>
  <c r="AO214" i="12"/>
  <c r="AQ79" i="13"/>
  <c r="AQ81" i="13" s="1"/>
  <c r="AQ91" i="13" s="1"/>
  <c r="AQ101" i="13" s="1"/>
  <c r="AQ70" i="13"/>
  <c r="AQ110" i="13"/>
  <c r="AM297" i="13"/>
  <c r="AM307" i="13" s="1"/>
  <c r="AM317" i="13" s="1"/>
  <c r="AM288" i="13"/>
  <c r="AM298" i="13" s="1"/>
  <c r="AM308" i="13" s="1"/>
  <c r="AM295" i="13"/>
  <c r="AM305" i="13" s="1"/>
  <c r="AM315" i="13" s="1"/>
  <c r="AM294" i="13"/>
  <c r="AM304" i="13" s="1"/>
  <c r="AM314" i="13" s="1"/>
  <c r="AM293" i="13"/>
  <c r="AM303" i="13" s="1"/>
  <c r="AM313" i="13" s="1"/>
  <c r="AM296" i="13"/>
  <c r="AM306" i="13" s="1"/>
  <c r="AM316" i="13" s="1"/>
  <c r="AM290" i="13"/>
  <c r="AM300" i="13" s="1"/>
  <c r="AM310" i="13" s="1"/>
  <c r="AM292" i="13"/>
  <c r="AM302" i="13" s="1"/>
  <c r="AM312" i="13" s="1"/>
  <c r="AM291" i="13"/>
  <c r="AM301" i="13" s="1"/>
  <c r="AM311" i="13" s="1"/>
  <c r="AO132" i="13"/>
  <c r="AO142" i="13" s="1"/>
  <c r="AO152" i="13" s="1"/>
  <c r="AO141" i="13"/>
  <c r="AO151" i="13" s="1"/>
  <c r="AO161" i="13" s="1"/>
  <c r="AO225" i="12"/>
  <c r="AN235" i="12"/>
  <c r="AN239" i="12" s="1"/>
  <c r="AN249" i="12" s="1"/>
  <c r="AN259" i="12" s="1"/>
  <c r="AN226" i="12"/>
  <c r="AN266" i="12"/>
  <c r="AQ121" i="12"/>
  <c r="AP131" i="12"/>
  <c r="AP135" i="12" s="1"/>
  <c r="AP145" i="12" s="1"/>
  <c r="AP155" i="12" s="1"/>
  <c r="AP122" i="12"/>
  <c r="AP162" i="12"/>
  <c r="AM288" i="12"/>
  <c r="AM298" i="12" s="1"/>
  <c r="AM308" i="12" s="1"/>
  <c r="AM297" i="12"/>
  <c r="AM307" i="12" s="1"/>
  <c r="AM317" i="12" s="1"/>
  <c r="AM296" i="12"/>
  <c r="AM306" i="12" s="1"/>
  <c r="AM316" i="12" s="1"/>
  <c r="AM293" i="12"/>
  <c r="AM303" i="12" s="1"/>
  <c r="AM313" i="12" s="1"/>
  <c r="AM295" i="12"/>
  <c r="AM305" i="12" s="1"/>
  <c r="AM315" i="12" s="1"/>
  <c r="AM294" i="12"/>
  <c r="AM304" i="12" s="1"/>
  <c r="AM314" i="12" s="1"/>
  <c r="AM292" i="12"/>
  <c r="AM302" i="12" s="1"/>
  <c r="AM312" i="12" s="1"/>
  <c r="AO28" i="13"/>
  <c r="AO38" i="13" s="1"/>
  <c r="AO48" i="13" s="1"/>
  <c r="AO37" i="13"/>
  <c r="AO47" i="13" s="1"/>
  <c r="AO57" i="13" s="1"/>
  <c r="AN184" i="13"/>
  <c r="AN194" i="13" s="1"/>
  <c r="AN204" i="13" s="1"/>
  <c r="AN193" i="13"/>
  <c r="AN203" i="13" s="1"/>
  <c r="AN213" i="13" s="1"/>
  <c r="AO85" i="12" l="1"/>
  <c r="AO95" i="12" s="1"/>
  <c r="AO105" i="12" s="1"/>
  <c r="AO87" i="12"/>
  <c r="AO97" i="12" s="1"/>
  <c r="AO107" i="12" s="1"/>
  <c r="AO86" i="12"/>
  <c r="AO96" i="12" s="1"/>
  <c r="AO106" i="12" s="1"/>
  <c r="AO88" i="12"/>
  <c r="AO98" i="12" s="1"/>
  <c r="AO108" i="12" s="1"/>
  <c r="AN111" i="12"/>
  <c r="AM112" i="12" s="1"/>
  <c r="AQ69" i="12"/>
  <c r="AP110" i="12"/>
  <c r="AP79" i="12"/>
  <c r="AP70" i="12"/>
  <c r="AO83" i="12"/>
  <c r="AO93" i="12" s="1"/>
  <c r="AO103" i="12" s="1"/>
  <c r="AO84" i="12"/>
  <c r="AO94" i="12" s="1"/>
  <c r="AO104" i="12" s="1"/>
  <c r="AO89" i="12"/>
  <c r="AO99" i="12" s="1"/>
  <c r="AO109" i="12" s="1"/>
  <c r="AO82" i="12"/>
  <c r="AO92" i="12" s="1"/>
  <c r="AO102" i="12" s="1"/>
  <c r="AO81" i="12"/>
  <c r="AO91" i="12" s="1"/>
  <c r="AO101" i="12" s="1"/>
  <c r="AO80" i="12"/>
  <c r="AO90" i="12" s="1"/>
  <c r="AO100" i="12" s="1"/>
  <c r="AL112" i="12"/>
  <c r="AK115" i="12" s="1"/>
  <c r="AL114" i="12"/>
  <c r="AL216" i="13"/>
  <c r="AK219" i="13" s="1"/>
  <c r="AN60" i="12"/>
  <c r="AM63" i="12" s="1"/>
  <c r="AM164" i="13"/>
  <c r="AL167" i="13" s="1"/>
  <c r="AN114" i="13"/>
  <c r="AK320" i="13"/>
  <c r="AJ323" i="13" s="1"/>
  <c r="AK320" i="12"/>
  <c r="AJ323" i="12" s="1"/>
  <c r="AM319" i="13"/>
  <c r="AL320" i="13" s="1"/>
  <c r="AN291" i="12"/>
  <c r="AN301" i="12" s="1"/>
  <c r="AN311" i="12" s="1"/>
  <c r="AN290" i="12"/>
  <c r="AN300" i="12" s="1"/>
  <c r="AN310" i="12" s="1"/>
  <c r="AN289" i="12"/>
  <c r="AN299" i="12" s="1"/>
  <c r="AN309" i="12" s="1"/>
  <c r="AM319" i="12"/>
  <c r="AL322" i="12" s="1"/>
  <c r="AP111" i="13"/>
  <c r="AO114" i="13" s="1"/>
  <c r="AM166" i="12"/>
  <c r="AM62" i="13"/>
  <c r="AN244" i="12"/>
  <c r="AN254" i="12" s="1"/>
  <c r="AN264" i="12" s="1"/>
  <c r="AN241" i="12"/>
  <c r="AN251" i="12" s="1"/>
  <c r="AN261" i="12" s="1"/>
  <c r="AN240" i="12"/>
  <c r="AN250" i="12" s="1"/>
  <c r="AN260" i="12" s="1"/>
  <c r="AN243" i="12"/>
  <c r="AN253" i="12" s="1"/>
  <c r="AN263" i="12" s="1"/>
  <c r="AN242" i="12"/>
  <c r="AN252" i="12" s="1"/>
  <c r="AN262" i="12" s="1"/>
  <c r="AK270" i="13"/>
  <c r="AP140" i="12"/>
  <c r="AP150" i="12" s="1"/>
  <c r="AP160" i="12" s="1"/>
  <c r="AP137" i="12"/>
  <c r="AP147" i="12" s="1"/>
  <c r="AP157" i="12" s="1"/>
  <c r="AP139" i="12"/>
  <c r="AP149" i="12" s="1"/>
  <c r="AP159" i="12" s="1"/>
  <c r="AP136" i="12"/>
  <c r="AP146" i="12" s="1"/>
  <c r="AP156" i="12" s="1"/>
  <c r="AP138" i="12"/>
  <c r="AP148" i="12" s="1"/>
  <c r="AP158" i="12" s="1"/>
  <c r="AN244" i="13"/>
  <c r="AN254" i="13" s="1"/>
  <c r="AN264" i="13" s="1"/>
  <c r="AN243" i="13"/>
  <c r="AN253" i="13" s="1"/>
  <c r="AN263" i="13" s="1"/>
  <c r="AN239" i="13"/>
  <c r="AN249" i="13" s="1"/>
  <c r="AN259" i="13" s="1"/>
  <c r="AN242" i="13"/>
  <c r="AN252" i="13" s="1"/>
  <c r="AN262" i="13" s="1"/>
  <c r="AN240" i="13"/>
  <c r="AN250" i="13" s="1"/>
  <c r="AN260" i="13" s="1"/>
  <c r="AN241" i="13"/>
  <c r="AN251" i="13" s="1"/>
  <c r="AN261" i="13" s="1"/>
  <c r="AN238" i="13"/>
  <c r="AN248" i="13" s="1"/>
  <c r="AN258" i="13" s="1"/>
  <c r="AM267" i="13"/>
  <c r="AL268" i="13" s="1"/>
  <c r="AQ85" i="13"/>
  <c r="AQ95" i="13" s="1"/>
  <c r="AQ105" i="13" s="1"/>
  <c r="AQ87" i="13"/>
  <c r="AQ97" i="13" s="1"/>
  <c r="AQ107" i="13" s="1"/>
  <c r="AQ84" i="13"/>
  <c r="AQ94" i="13" s="1"/>
  <c r="AQ104" i="13" s="1"/>
  <c r="AQ83" i="13"/>
  <c r="AQ93" i="13" s="1"/>
  <c r="AQ103" i="13" s="1"/>
  <c r="AQ88" i="13"/>
  <c r="AQ98" i="13" s="1"/>
  <c r="AQ108" i="13" s="1"/>
  <c r="AQ82" i="13"/>
  <c r="AQ92" i="13" s="1"/>
  <c r="AQ102" i="13" s="1"/>
  <c r="AQ86" i="13"/>
  <c r="AQ96" i="13" s="1"/>
  <c r="AQ106" i="13" s="1"/>
  <c r="AP31" i="13"/>
  <c r="AP41" i="13" s="1"/>
  <c r="AP51" i="13" s="1"/>
  <c r="AP36" i="13"/>
  <c r="AP46" i="13" s="1"/>
  <c r="AP56" i="13" s="1"/>
  <c r="AP32" i="13"/>
  <c r="AP42" i="13" s="1"/>
  <c r="AP52" i="13" s="1"/>
  <c r="AP33" i="13"/>
  <c r="AP43" i="13" s="1"/>
  <c r="AP53" i="13" s="1"/>
  <c r="AP35" i="13"/>
  <c r="AP45" i="13" s="1"/>
  <c r="AP55" i="13" s="1"/>
  <c r="AP30" i="13"/>
  <c r="AP40" i="13" s="1"/>
  <c r="AP50" i="13" s="1"/>
  <c r="AP34" i="13"/>
  <c r="AP44" i="13" s="1"/>
  <c r="AP54" i="13" s="1"/>
  <c r="AP138" i="13"/>
  <c r="AP148" i="13" s="1"/>
  <c r="AP158" i="13" s="1"/>
  <c r="AP140" i="13"/>
  <c r="AP150" i="13" s="1"/>
  <c r="AP160" i="13" s="1"/>
  <c r="AP139" i="13"/>
  <c r="AP149" i="13" s="1"/>
  <c r="AP159" i="13" s="1"/>
  <c r="AP137" i="13"/>
  <c r="AP147" i="13" s="1"/>
  <c r="AP157" i="13" s="1"/>
  <c r="AP134" i="13"/>
  <c r="AP144" i="13" s="1"/>
  <c r="AP154" i="13" s="1"/>
  <c r="AP136" i="13"/>
  <c r="AP146" i="13" s="1"/>
  <c r="AP156" i="13" s="1"/>
  <c r="AP135" i="13"/>
  <c r="AP145" i="13" s="1"/>
  <c r="AP155" i="13" s="1"/>
  <c r="AO191" i="12"/>
  <c r="AO201" i="12" s="1"/>
  <c r="AO211" i="12" s="1"/>
  <c r="AO190" i="12"/>
  <c r="AO200" i="12" s="1"/>
  <c r="AO210" i="12" s="1"/>
  <c r="AO188" i="12"/>
  <c r="AO198" i="12" s="1"/>
  <c r="AO208" i="12" s="1"/>
  <c r="AO192" i="12"/>
  <c r="AO202" i="12" s="1"/>
  <c r="AO212" i="12" s="1"/>
  <c r="AO189" i="12"/>
  <c r="AO199" i="12" s="1"/>
  <c r="AO209" i="12" s="1"/>
  <c r="AO189" i="13"/>
  <c r="AO199" i="13" s="1"/>
  <c r="AO209" i="13" s="1"/>
  <c r="AO190" i="13"/>
  <c r="AO200" i="13" s="1"/>
  <c r="AO210" i="13" s="1"/>
  <c r="AO192" i="13"/>
  <c r="AO202" i="13" s="1"/>
  <c r="AO212" i="13" s="1"/>
  <c r="AO191" i="13"/>
  <c r="AO201" i="13" s="1"/>
  <c r="AO211" i="13" s="1"/>
  <c r="AO186" i="13"/>
  <c r="AO196" i="13" s="1"/>
  <c r="AO206" i="13" s="1"/>
  <c r="AO187" i="13"/>
  <c r="AO197" i="13" s="1"/>
  <c r="AO207" i="13" s="1"/>
  <c r="AO188" i="13"/>
  <c r="AO198" i="13" s="1"/>
  <c r="AO208" i="13" s="1"/>
  <c r="AQ36" i="12"/>
  <c r="AQ46" i="12" s="1"/>
  <c r="AQ56" i="12" s="1"/>
  <c r="AQ33" i="12"/>
  <c r="AQ43" i="12" s="1"/>
  <c r="AQ53" i="12" s="1"/>
  <c r="AQ32" i="12"/>
  <c r="AQ42" i="12" s="1"/>
  <c r="AQ52" i="12" s="1"/>
  <c r="AQ34" i="12"/>
  <c r="AQ44" i="12" s="1"/>
  <c r="AQ54" i="12" s="1"/>
  <c r="AQ35" i="12"/>
  <c r="AQ45" i="12" s="1"/>
  <c r="AQ55" i="12" s="1"/>
  <c r="AL216" i="12"/>
  <c r="AK219" i="12" s="1"/>
  <c r="AO163" i="12"/>
  <c r="AN166" i="12" s="1"/>
  <c r="AM267" i="12"/>
  <c r="AL270" i="12" s="1"/>
  <c r="AN215" i="12"/>
  <c r="AM218" i="12" s="1"/>
  <c r="AK268" i="13"/>
  <c r="AJ271" i="13" s="1"/>
  <c r="AO163" i="13"/>
  <c r="AN166" i="13" s="1"/>
  <c r="AO59" i="13"/>
  <c r="AN60" i="13" s="1"/>
  <c r="AM63" i="13" s="1"/>
  <c r="AP59" i="12"/>
  <c r="AO60" i="12" s="1"/>
  <c r="AK268" i="12"/>
  <c r="AJ271" i="12" s="1"/>
  <c r="AN215" i="13"/>
  <c r="AM218" i="13" s="1"/>
  <c r="AQ122" i="12"/>
  <c r="AQ131" i="12"/>
  <c r="AQ135" i="12" s="1"/>
  <c r="AQ145" i="12" s="1"/>
  <c r="AQ155" i="12" s="1"/>
  <c r="AQ162" i="12"/>
  <c r="AQ89" i="13"/>
  <c r="AQ99" i="13" s="1"/>
  <c r="AQ109" i="13" s="1"/>
  <c r="AQ80" i="13"/>
  <c r="AQ90" i="13" s="1"/>
  <c r="AQ100" i="13" s="1"/>
  <c r="AN288" i="12"/>
  <c r="AN298" i="12" s="1"/>
  <c r="AN308" i="12" s="1"/>
  <c r="AN297" i="12"/>
  <c r="AN307" i="12" s="1"/>
  <c r="AN317" i="12" s="1"/>
  <c r="AN293" i="12"/>
  <c r="AN303" i="12" s="1"/>
  <c r="AN313" i="12" s="1"/>
  <c r="AN295" i="12"/>
  <c r="AN305" i="12" s="1"/>
  <c r="AN315" i="12" s="1"/>
  <c r="AN294" i="12"/>
  <c r="AN304" i="12" s="1"/>
  <c r="AN314" i="12" s="1"/>
  <c r="AN296" i="12"/>
  <c r="AN306" i="12" s="1"/>
  <c r="AN316" i="12" s="1"/>
  <c r="AN292" i="12"/>
  <c r="AN302" i="12" s="1"/>
  <c r="AN312" i="12" s="1"/>
  <c r="AN236" i="13"/>
  <c r="AN246" i="13" s="1"/>
  <c r="AN256" i="13" s="1"/>
  <c r="AN245" i="13"/>
  <c r="AN255" i="13" s="1"/>
  <c r="AN265" i="13" s="1"/>
  <c r="AQ131" i="13"/>
  <c r="AQ133" i="13" s="1"/>
  <c r="AQ143" i="13" s="1"/>
  <c r="AQ153" i="13" s="1"/>
  <c r="AQ122" i="13"/>
  <c r="AQ162" i="13"/>
  <c r="AQ173" i="12"/>
  <c r="AP183" i="12"/>
  <c r="AP187" i="12" s="1"/>
  <c r="AP197" i="12" s="1"/>
  <c r="AP207" i="12" s="1"/>
  <c r="AP174" i="12"/>
  <c r="AP214" i="12"/>
  <c r="AP28" i="13"/>
  <c r="AP38" i="13" s="1"/>
  <c r="AP48" i="13" s="1"/>
  <c r="AP37" i="13"/>
  <c r="AP47" i="13" s="1"/>
  <c r="AP57" i="13" s="1"/>
  <c r="AO278" i="12"/>
  <c r="AP277" i="12"/>
  <c r="AO287" i="12"/>
  <c r="AO318" i="12"/>
  <c r="AO235" i="13"/>
  <c r="AO237" i="13" s="1"/>
  <c r="AO247" i="13" s="1"/>
  <c r="AO257" i="13" s="1"/>
  <c r="AP225" i="13"/>
  <c r="AO226" i="13"/>
  <c r="AO266" i="13"/>
  <c r="AO278" i="13"/>
  <c r="AP277" i="13"/>
  <c r="AO287" i="13"/>
  <c r="AO289" i="13" s="1"/>
  <c r="AO299" i="13" s="1"/>
  <c r="AO309" i="13" s="1"/>
  <c r="AO318" i="13"/>
  <c r="AP174" i="13"/>
  <c r="AP183" i="13"/>
  <c r="AP185" i="13" s="1"/>
  <c r="AP195" i="13" s="1"/>
  <c r="AP205" i="13" s="1"/>
  <c r="AQ173" i="13"/>
  <c r="AP214" i="13"/>
  <c r="AN245" i="12"/>
  <c r="AN255" i="12" s="1"/>
  <c r="AN265" i="12" s="1"/>
  <c r="AN236" i="12"/>
  <c r="AN246" i="12" s="1"/>
  <c r="AN256" i="12" s="1"/>
  <c r="AN237" i="12"/>
  <c r="AN247" i="12" s="1"/>
  <c r="AN257" i="12" s="1"/>
  <c r="AN238" i="12"/>
  <c r="AN248" i="12" s="1"/>
  <c r="AN258" i="12" s="1"/>
  <c r="AO184" i="12"/>
  <c r="AO194" i="12" s="1"/>
  <c r="AO204" i="12" s="1"/>
  <c r="AO193" i="12"/>
  <c r="AO203" i="12" s="1"/>
  <c r="AO213" i="12" s="1"/>
  <c r="AO185" i="12"/>
  <c r="AO195" i="12" s="1"/>
  <c r="AO205" i="12" s="1"/>
  <c r="AO186" i="12"/>
  <c r="AO196" i="12" s="1"/>
  <c r="AO206" i="12" s="1"/>
  <c r="AP141" i="13"/>
  <c r="AP151" i="13" s="1"/>
  <c r="AP161" i="13" s="1"/>
  <c r="AP132" i="13"/>
  <c r="AP142" i="13" s="1"/>
  <c r="AP152" i="13" s="1"/>
  <c r="AQ28" i="12"/>
  <c r="AQ38" i="12" s="1"/>
  <c r="AQ48" i="12" s="1"/>
  <c r="AQ37" i="12"/>
  <c r="AQ47" i="12" s="1"/>
  <c r="AQ57" i="12" s="1"/>
  <c r="AQ30" i="12"/>
  <c r="AQ40" i="12" s="1"/>
  <c r="AQ50" i="12" s="1"/>
  <c r="AQ29" i="12"/>
  <c r="AQ39" i="12" s="1"/>
  <c r="AQ49" i="12" s="1"/>
  <c r="AP141" i="12"/>
  <c r="AP151" i="12" s="1"/>
  <c r="AP161" i="12" s="1"/>
  <c r="AP132" i="12"/>
  <c r="AP142" i="12" s="1"/>
  <c r="AP152" i="12" s="1"/>
  <c r="AP134" i="12"/>
  <c r="AP144" i="12" s="1"/>
  <c r="AP154" i="12" s="1"/>
  <c r="AP133" i="12"/>
  <c r="AP143" i="12" s="1"/>
  <c r="AP153" i="12" s="1"/>
  <c r="AO226" i="12"/>
  <c r="AO235" i="12"/>
  <c r="AO239" i="12" s="1"/>
  <c r="AO249" i="12" s="1"/>
  <c r="AO259" i="12" s="1"/>
  <c r="AP225" i="12"/>
  <c r="AO266" i="12"/>
  <c r="AQ18" i="13"/>
  <c r="AQ27" i="13"/>
  <c r="AQ29" i="13" s="1"/>
  <c r="AQ39" i="13" s="1"/>
  <c r="AQ49" i="13" s="1"/>
  <c r="AQ58" i="13"/>
  <c r="AN297" i="13"/>
  <c r="AN307" i="13" s="1"/>
  <c r="AN317" i="13" s="1"/>
  <c r="AN288" i="13"/>
  <c r="AN298" i="13" s="1"/>
  <c r="AN308" i="13" s="1"/>
  <c r="AN292" i="13"/>
  <c r="AN302" i="13" s="1"/>
  <c r="AN312" i="13" s="1"/>
  <c r="AN291" i="13"/>
  <c r="AN301" i="13" s="1"/>
  <c r="AN311" i="13" s="1"/>
  <c r="AN294" i="13"/>
  <c r="AN304" i="13" s="1"/>
  <c r="AN314" i="13" s="1"/>
  <c r="AN290" i="13"/>
  <c r="AN300" i="13" s="1"/>
  <c r="AN310" i="13" s="1"/>
  <c r="AN295" i="13"/>
  <c r="AN305" i="13" s="1"/>
  <c r="AN315" i="13" s="1"/>
  <c r="AN293" i="13"/>
  <c r="AN303" i="13" s="1"/>
  <c r="AN313" i="13" s="1"/>
  <c r="AN296" i="13"/>
  <c r="AN306" i="13" s="1"/>
  <c r="AN316" i="13" s="1"/>
  <c r="AO193" i="13"/>
  <c r="AO203" i="13" s="1"/>
  <c r="AO213" i="13" s="1"/>
  <c r="AO184" i="13"/>
  <c r="AO194" i="13" s="1"/>
  <c r="AO204" i="13" s="1"/>
  <c r="AP85" i="12" l="1"/>
  <c r="AP95" i="12" s="1"/>
  <c r="AP105" i="12" s="1"/>
  <c r="AP87" i="12"/>
  <c r="AP97" i="12" s="1"/>
  <c r="AP107" i="12" s="1"/>
  <c r="AP86" i="12"/>
  <c r="AP96" i="12" s="1"/>
  <c r="AP106" i="12" s="1"/>
  <c r="AP88" i="12"/>
  <c r="AP98" i="12" s="1"/>
  <c r="AP108" i="12" s="1"/>
  <c r="AM114" i="12"/>
  <c r="AN63" i="12"/>
  <c r="AL115" i="12"/>
  <c r="AQ110" i="12"/>
  <c r="AQ70" i="12"/>
  <c r="AQ79" i="12"/>
  <c r="AO111" i="12"/>
  <c r="AP83" i="12"/>
  <c r="AP93" i="12" s="1"/>
  <c r="AP103" i="12" s="1"/>
  <c r="AP82" i="12"/>
  <c r="AP92" i="12" s="1"/>
  <c r="AP102" i="12" s="1"/>
  <c r="AP84" i="12"/>
  <c r="AP94" i="12" s="1"/>
  <c r="AP104" i="12" s="1"/>
  <c r="AP80" i="12"/>
  <c r="AP90" i="12" s="1"/>
  <c r="AP100" i="12" s="1"/>
  <c r="AP81" i="12"/>
  <c r="AP91" i="12" s="1"/>
  <c r="AP101" i="12" s="1"/>
  <c r="AP89" i="12"/>
  <c r="AP99" i="12" s="1"/>
  <c r="AP109" i="12" s="1"/>
  <c r="AO112" i="13"/>
  <c r="AN115" i="13" s="1"/>
  <c r="AL270" i="13"/>
  <c r="AL322" i="13"/>
  <c r="AL268" i="12"/>
  <c r="AK271" i="12" s="1"/>
  <c r="AK323" i="13"/>
  <c r="AL320" i="12"/>
  <c r="AK323" i="12" s="1"/>
  <c r="AN267" i="13"/>
  <c r="AM268" i="13" s="1"/>
  <c r="AL271" i="13" s="1"/>
  <c r="AM216" i="12"/>
  <c r="AL219" i="12" s="1"/>
  <c r="AN319" i="12"/>
  <c r="AM322" i="12" s="1"/>
  <c r="AO291" i="12"/>
  <c r="AO301" i="12" s="1"/>
  <c r="AO311" i="12" s="1"/>
  <c r="AO289" i="12"/>
  <c r="AO299" i="12" s="1"/>
  <c r="AO309" i="12" s="1"/>
  <c r="AO290" i="12"/>
  <c r="AO300" i="12" s="1"/>
  <c r="AO310" i="12" s="1"/>
  <c r="AN319" i="13"/>
  <c r="AM322" i="13" s="1"/>
  <c r="AQ111" i="13"/>
  <c r="AO238" i="13"/>
  <c r="AO248" i="13" s="1"/>
  <c r="AO258" i="13" s="1"/>
  <c r="AO244" i="13"/>
  <c r="AO254" i="13" s="1"/>
  <c r="AO264" i="13" s="1"/>
  <c r="AO242" i="13"/>
  <c r="AO252" i="13" s="1"/>
  <c r="AO262" i="13" s="1"/>
  <c r="AO240" i="13"/>
  <c r="AO250" i="13" s="1"/>
  <c r="AO260" i="13" s="1"/>
  <c r="AO243" i="13"/>
  <c r="AO253" i="13" s="1"/>
  <c r="AO263" i="13" s="1"/>
  <c r="AO241" i="13"/>
  <c r="AO251" i="13" s="1"/>
  <c r="AO261" i="13" s="1"/>
  <c r="AO239" i="13"/>
  <c r="AO249" i="13" s="1"/>
  <c r="AO259" i="13" s="1"/>
  <c r="AQ136" i="12"/>
  <c r="AQ146" i="12" s="1"/>
  <c r="AQ156" i="12" s="1"/>
  <c r="AQ137" i="12"/>
  <c r="AQ147" i="12" s="1"/>
  <c r="AQ157" i="12" s="1"/>
  <c r="AQ140" i="12"/>
  <c r="AQ150" i="12" s="1"/>
  <c r="AQ160" i="12" s="1"/>
  <c r="AQ139" i="12"/>
  <c r="AQ149" i="12" s="1"/>
  <c r="AQ159" i="12" s="1"/>
  <c r="AQ138" i="12"/>
  <c r="AQ148" i="12" s="1"/>
  <c r="AQ158" i="12" s="1"/>
  <c r="AQ137" i="13"/>
  <c r="AQ147" i="13" s="1"/>
  <c r="AQ157" i="13" s="1"/>
  <c r="AQ138" i="13"/>
  <c r="AQ148" i="13" s="1"/>
  <c r="AQ158" i="13" s="1"/>
  <c r="AQ140" i="13"/>
  <c r="AQ150" i="13" s="1"/>
  <c r="AQ160" i="13" s="1"/>
  <c r="AQ139" i="13"/>
  <c r="AQ149" i="13" s="1"/>
  <c r="AQ159" i="13" s="1"/>
  <c r="AQ135" i="13"/>
  <c r="AQ145" i="13" s="1"/>
  <c r="AQ155" i="13" s="1"/>
  <c r="AQ134" i="13"/>
  <c r="AQ144" i="13" s="1"/>
  <c r="AQ154" i="13" s="1"/>
  <c r="AQ136" i="13"/>
  <c r="AQ146" i="13" s="1"/>
  <c r="AQ156" i="13" s="1"/>
  <c r="AP191" i="13"/>
  <c r="AP201" i="13" s="1"/>
  <c r="AP211" i="13" s="1"/>
  <c r="AP186" i="13"/>
  <c r="AP196" i="13" s="1"/>
  <c r="AP206" i="13" s="1"/>
  <c r="AP190" i="13"/>
  <c r="AP200" i="13" s="1"/>
  <c r="AP210" i="13" s="1"/>
  <c r="AP189" i="13"/>
  <c r="AP199" i="13" s="1"/>
  <c r="AP209" i="13" s="1"/>
  <c r="AP192" i="13"/>
  <c r="AP202" i="13" s="1"/>
  <c r="AP212" i="13" s="1"/>
  <c r="AP187" i="13"/>
  <c r="AP197" i="13" s="1"/>
  <c r="AP207" i="13" s="1"/>
  <c r="AP188" i="13"/>
  <c r="AP198" i="13" s="1"/>
  <c r="AP208" i="13" s="1"/>
  <c r="AP191" i="12"/>
  <c r="AP201" i="12" s="1"/>
  <c r="AP211" i="12" s="1"/>
  <c r="AP190" i="12"/>
  <c r="AP200" i="12" s="1"/>
  <c r="AP210" i="12" s="1"/>
  <c r="AP192" i="12"/>
  <c r="AP202" i="12" s="1"/>
  <c r="AP212" i="12" s="1"/>
  <c r="AP189" i="12"/>
  <c r="AP199" i="12" s="1"/>
  <c r="AP209" i="12" s="1"/>
  <c r="AP188" i="12"/>
  <c r="AP198" i="12" s="1"/>
  <c r="AP208" i="12" s="1"/>
  <c r="AQ31" i="13"/>
  <c r="AQ41" i="13" s="1"/>
  <c r="AQ51" i="13" s="1"/>
  <c r="AQ36" i="13"/>
  <c r="AQ46" i="13" s="1"/>
  <c r="AQ56" i="13" s="1"/>
  <c r="AQ33" i="13"/>
  <c r="AQ43" i="13" s="1"/>
  <c r="AQ53" i="13" s="1"/>
  <c r="AQ30" i="13"/>
  <c r="AQ40" i="13" s="1"/>
  <c r="AQ50" i="13" s="1"/>
  <c r="AQ34" i="13"/>
  <c r="AQ44" i="13" s="1"/>
  <c r="AQ54" i="13" s="1"/>
  <c r="AQ32" i="13"/>
  <c r="AQ42" i="13" s="1"/>
  <c r="AQ52" i="13" s="1"/>
  <c r="AQ35" i="13"/>
  <c r="AQ45" i="13" s="1"/>
  <c r="AQ55" i="13" s="1"/>
  <c r="AO242" i="12"/>
  <c r="AO252" i="12" s="1"/>
  <c r="AO262" i="12" s="1"/>
  <c r="AO240" i="12"/>
  <c r="AO250" i="12" s="1"/>
  <c r="AO260" i="12" s="1"/>
  <c r="AO243" i="12"/>
  <c r="AO253" i="12" s="1"/>
  <c r="AO263" i="12" s="1"/>
  <c r="AO244" i="12"/>
  <c r="AO254" i="12" s="1"/>
  <c r="AO264" i="12" s="1"/>
  <c r="AO241" i="12"/>
  <c r="AO251" i="12" s="1"/>
  <c r="AO261" i="12" s="1"/>
  <c r="AN164" i="12"/>
  <c r="AM167" i="12" s="1"/>
  <c r="AN164" i="13"/>
  <c r="AM167" i="13" s="1"/>
  <c r="AO62" i="12"/>
  <c r="AM216" i="13"/>
  <c r="AL219" i="13" s="1"/>
  <c r="AO215" i="13"/>
  <c r="AN218" i="13" s="1"/>
  <c r="AP59" i="13"/>
  <c r="AO60" i="13" s="1"/>
  <c r="AN63" i="13" s="1"/>
  <c r="AK271" i="13"/>
  <c r="AO215" i="12"/>
  <c r="AN216" i="12" s="1"/>
  <c r="AN62" i="13"/>
  <c r="AP163" i="12"/>
  <c r="AO166" i="12" s="1"/>
  <c r="AP163" i="13"/>
  <c r="AO166" i="13" s="1"/>
  <c r="AQ59" i="12"/>
  <c r="AN267" i="12"/>
  <c r="AM268" i="12" s="1"/>
  <c r="AO245" i="12"/>
  <c r="AO255" i="12" s="1"/>
  <c r="AO265" i="12" s="1"/>
  <c r="AO236" i="12"/>
  <c r="AO246" i="12" s="1"/>
  <c r="AO256" i="12" s="1"/>
  <c r="AO238" i="12"/>
  <c r="AO248" i="12" s="1"/>
  <c r="AO258" i="12" s="1"/>
  <c r="AO237" i="12"/>
  <c r="AO247" i="12" s="1"/>
  <c r="AO257" i="12" s="1"/>
  <c r="AQ277" i="13"/>
  <c r="AP278" i="13"/>
  <c r="AP287" i="13"/>
  <c r="AP289" i="13" s="1"/>
  <c r="AP299" i="13" s="1"/>
  <c r="AP309" i="13" s="1"/>
  <c r="AP318" i="13"/>
  <c r="AP235" i="13"/>
  <c r="AP237" i="13" s="1"/>
  <c r="AP247" i="13" s="1"/>
  <c r="AP257" i="13" s="1"/>
  <c r="AP226" i="13"/>
  <c r="AQ225" i="13"/>
  <c r="AP266" i="13"/>
  <c r="AQ174" i="12"/>
  <c r="AQ183" i="12"/>
  <c r="AQ187" i="12" s="1"/>
  <c r="AQ197" i="12" s="1"/>
  <c r="AQ207" i="12" s="1"/>
  <c r="AQ214" i="12"/>
  <c r="AQ132" i="12"/>
  <c r="AQ142" i="12" s="1"/>
  <c r="AQ152" i="12" s="1"/>
  <c r="AQ141" i="12"/>
  <c r="AQ151" i="12" s="1"/>
  <c r="AQ161" i="12" s="1"/>
  <c r="AQ134" i="12"/>
  <c r="AQ144" i="12" s="1"/>
  <c r="AQ154" i="12" s="1"/>
  <c r="AQ133" i="12"/>
  <c r="AQ143" i="12" s="1"/>
  <c r="AQ153" i="12" s="1"/>
  <c r="AQ28" i="13"/>
  <c r="AQ38" i="13" s="1"/>
  <c r="AQ48" i="13" s="1"/>
  <c r="AQ37" i="13"/>
  <c r="AQ47" i="13" s="1"/>
  <c r="AQ57" i="13" s="1"/>
  <c r="AO245" i="13"/>
  <c r="AO255" i="13" s="1"/>
  <c r="AO265" i="13" s="1"/>
  <c r="AO236" i="13"/>
  <c r="AO246" i="13" s="1"/>
  <c r="AO256" i="13" s="1"/>
  <c r="AQ132" i="13"/>
  <c r="AQ142" i="13" s="1"/>
  <c r="AQ152" i="13" s="1"/>
  <c r="AQ141" i="13"/>
  <c r="AQ151" i="13" s="1"/>
  <c r="AQ161" i="13" s="1"/>
  <c r="AQ183" i="13"/>
  <c r="AQ185" i="13" s="1"/>
  <c r="AQ195" i="13" s="1"/>
  <c r="AQ205" i="13" s="1"/>
  <c r="AQ174" i="13"/>
  <c r="AQ214" i="13"/>
  <c r="AO297" i="12"/>
  <c r="AO307" i="12" s="1"/>
  <c r="AO317" i="12" s="1"/>
  <c r="AO288" i="12"/>
  <c r="AO298" i="12" s="1"/>
  <c r="AO308" i="12" s="1"/>
  <c r="AO293" i="12"/>
  <c r="AO303" i="12" s="1"/>
  <c r="AO313" i="12" s="1"/>
  <c r="AO295" i="12"/>
  <c r="AO305" i="12" s="1"/>
  <c r="AO315" i="12" s="1"/>
  <c r="AO294" i="12"/>
  <c r="AO304" i="12" s="1"/>
  <c r="AO314" i="12" s="1"/>
  <c r="AO296" i="12"/>
  <c r="AO306" i="12" s="1"/>
  <c r="AO316" i="12" s="1"/>
  <c r="AO292" i="12"/>
  <c r="AO302" i="12" s="1"/>
  <c r="AO312" i="12" s="1"/>
  <c r="AQ225" i="12"/>
  <c r="AP235" i="12"/>
  <c r="AP239" i="12" s="1"/>
  <c r="AP249" i="12" s="1"/>
  <c r="AP259" i="12" s="1"/>
  <c r="AP226" i="12"/>
  <c r="AP266" i="12"/>
  <c r="AP184" i="13"/>
  <c r="AP194" i="13" s="1"/>
  <c r="AP204" i="13" s="1"/>
  <c r="AP193" i="13"/>
  <c r="AP203" i="13" s="1"/>
  <c r="AP213" i="13" s="1"/>
  <c r="AO297" i="13"/>
  <c r="AO307" i="13" s="1"/>
  <c r="AO317" i="13" s="1"/>
  <c r="AO288" i="13"/>
  <c r="AO298" i="13" s="1"/>
  <c r="AO308" i="13" s="1"/>
  <c r="AO293" i="13"/>
  <c r="AO303" i="13" s="1"/>
  <c r="AO313" i="13" s="1"/>
  <c r="AO291" i="13"/>
  <c r="AO301" i="13" s="1"/>
  <c r="AO311" i="13" s="1"/>
  <c r="AO295" i="13"/>
  <c r="AO305" i="13" s="1"/>
  <c r="AO315" i="13" s="1"/>
  <c r="AO296" i="13"/>
  <c r="AO306" i="13" s="1"/>
  <c r="AO316" i="13" s="1"/>
  <c r="AO292" i="13"/>
  <c r="AO302" i="13" s="1"/>
  <c r="AO312" i="13" s="1"/>
  <c r="AO294" i="13"/>
  <c r="AO304" i="13" s="1"/>
  <c r="AO314" i="13" s="1"/>
  <c r="AO290" i="13"/>
  <c r="AO300" i="13" s="1"/>
  <c r="AO310" i="13" s="1"/>
  <c r="AP278" i="12"/>
  <c r="AP287" i="12"/>
  <c r="AQ277" i="12"/>
  <c r="AP318" i="12"/>
  <c r="AP184" i="12"/>
  <c r="AP194" i="12" s="1"/>
  <c r="AP204" i="12" s="1"/>
  <c r="AP193" i="12"/>
  <c r="AP203" i="12" s="1"/>
  <c r="AP213" i="12" s="1"/>
  <c r="AP185" i="12"/>
  <c r="AP195" i="12" s="1"/>
  <c r="AP205" i="12" s="1"/>
  <c r="AP186" i="12"/>
  <c r="AP196" i="12" s="1"/>
  <c r="AP206" i="12" s="1"/>
  <c r="AF59" i="8" l="1"/>
  <c r="AQ88" i="12"/>
  <c r="AQ98" i="12" s="1"/>
  <c r="AQ108" i="12" s="1"/>
  <c r="AQ87" i="12"/>
  <c r="AQ97" i="12" s="1"/>
  <c r="AQ107" i="12" s="1"/>
  <c r="AQ85" i="12"/>
  <c r="AQ95" i="12" s="1"/>
  <c r="AQ105" i="12" s="1"/>
  <c r="AQ86" i="12"/>
  <c r="AQ96" i="12" s="1"/>
  <c r="AQ106" i="12" s="1"/>
  <c r="AF69" i="8"/>
  <c r="AL271" i="12"/>
  <c r="AP111" i="12"/>
  <c r="AO114" i="12" s="1"/>
  <c r="AF39" i="8"/>
  <c r="AE49" i="8"/>
  <c r="AF29" i="8"/>
  <c r="AH49" i="8"/>
  <c r="AN114" i="12"/>
  <c r="AN112" i="12"/>
  <c r="AM115" i="12" s="1"/>
  <c r="AP112" i="13"/>
  <c r="AO115" i="13" s="1"/>
  <c r="AG49" i="8" s="1"/>
  <c r="AQ114" i="13"/>
  <c r="AQ83" i="12"/>
  <c r="AQ93" i="12" s="1"/>
  <c r="AQ103" i="12" s="1"/>
  <c r="AQ84" i="12"/>
  <c r="AQ94" i="12" s="1"/>
  <c r="AQ104" i="12" s="1"/>
  <c r="AQ81" i="12"/>
  <c r="AQ91" i="12" s="1"/>
  <c r="AQ101" i="12" s="1"/>
  <c r="AQ89" i="12"/>
  <c r="AQ99" i="12" s="1"/>
  <c r="AQ109" i="12" s="1"/>
  <c r="AQ82" i="12"/>
  <c r="AQ92" i="12" s="1"/>
  <c r="AQ102" i="12" s="1"/>
  <c r="AQ80" i="12"/>
  <c r="AQ90" i="12" s="1"/>
  <c r="AQ100" i="12" s="1"/>
  <c r="AQ112" i="13"/>
  <c r="AE39" i="8" s="1"/>
  <c r="AM320" i="12"/>
  <c r="AL323" i="12" s="1"/>
  <c r="AM270" i="13"/>
  <c r="AP114" i="13"/>
  <c r="AH59" i="8" s="1"/>
  <c r="AM219" i="12"/>
  <c r="AF49" i="8"/>
  <c r="AF19" i="8"/>
  <c r="AM320" i="13"/>
  <c r="AL323" i="13" s="1"/>
  <c r="AN218" i="12"/>
  <c r="AO319" i="13"/>
  <c r="AN320" i="13" s="1"/>
  <c r="AP291" i="12"/>
  <c r="AP301" i="12" s="1"/>
  <c r="AP311" i="12" s="1"/>
  <c r="AP290" i="12"/>
  <c r="AP300" i="12" s="1"/>
  <c r="AP310" i="12" s="1"/>
  <c r="AP289" i="12"/>
  <c r="AP299" i="12" s="1"/>
  <c r="AP309" i="12" s="1"/>
  <c r="AO319" i="12"/>
  <c r="AN320" i="12" s="1"/>
  <c r="AO62" i="13"/>
  <c r="AN216" i="13"/>
  <c r="AM219" i="13" s="1"/>
  <c r="AP242" i="12"/>
  <c r="AP252" i="12" s="1"/>
  <c r="AP262" i="12" s="1"/>
  <c r="AP243" i="12"/>
  <c r="AP253" i="12" s="1"/>
  <c r="AP263" i="12" s="1"/>
  <c r="AP244" i="12"/>
  <c r="AP254" i="12" s="1"/>
  <c r="AP264" i="12" s="1"/>
  <c r="AP241" i="12"/>
  <c r="AP251" i="12" s="1"/>
  <c r="AP261" i="12" s="1"/>
  <c r="AP240" i="12"/>
  <c r="AP250" i="12" s="1"/>
  <c r="AP260" i="12" s="1"/>
  <c r="AQ192" i="13"/>
  <c r="AQ202" i="13" s="1"/>
  <c r="AQ212" i="13" s="1"/>
  <c r="AQ189" i="13"/>
  <c r="AQ199" i="13" s="1"/>
  <c r="AQ209" i="13" s="1"/>
  <c r="AQ191" i="13"/>
  <c r="AQ201" i="13" s="1"/>
  <c r="AQ211" i="13" s="1"/>
  <c r="AQ186" i="13"/>
  <c r="AQ196" i="13" s="1"/>
  <c r="AQ206" i="13" s="1"/>
  <c r="AQ190" i="13"/>
  <c r="AQ200" i="13" s="1"/>
  <c r="AQ210" i="13" s="1"/>
  <c r="AQ187" i="13"/>
  <c r="AQ197" i="13" s="1"/>
  <c r="AQ207" i="13" s="1"/>
  <c r="AQ188" i="13"/>
  <c r="AQ198" i="13" s="1"/>
  <c r="AQ208" i="13" s="1"/>
  <c r="AQ192" i="12"/>
  <c r="AQ202" i="12" s="1"/>
  <c r="AQ212" i="12" s="1"/>
  <c r="AQ190" i="12"/>
  <c r="AQ200" i="12" s="1"/>
  <c r="AQ210" i="12" s="1"/>
  <c r="AQ189" i="12"/>
  <c r="AQ199" i="12" s="1"/>
  <c r="AQ209" i="12" s="1"/>
  <c r="AQ191" i="12"/>
  <c r="AQ201" i="12" s="1"/>
  <c r="AQ211" i="12" s="1"/>
  <c r="AQ188" i="12"/>
  <c r="AQ198" i="12" s="1"/>
  <c r="AQ208" i="12" s="1"/>
  <c r="AP238" i="13"/>
  <c r="AP248" i="13" s="1"/>
  <c r="AP258" i="13" s="1"/>
  <c r="AP243" i="13"/>
  <c r="AP253" i="13" s="1"/>
  <c r="AP263" i="13" s="1"/>
  <c r="AP240" i="13"/>
  <c r="AP250" i="13" s="1"/>
  <c r="AP260" i="13" s="1"/>
  <c r="AP241" i="13"/>
  <c r="AP251" i="13" s="1"/>
  <c r="AP261" i="13" s="1"/>
  <c r="AP244" i="13"/>
  <c r="AP254" i="13" s="1"/>
  <c r="AP264" i="13" s="1"/>
  <c r="AP242" i="13"/>
  <c r="AP252" i="13" s="1"/>
  <c r="AP262" i="13" s="1"/>
  <c r="AP239" i="13"/>
  <c r="AP249" i="13" s="1"/>
  <c r="AP259" i="13" s="1"/>
  <c r="AM270" i="12"/>
  <c r="AO164" i="13"/>
  <c r="AN167" i="13" s="1"/>
  <c r="AQ62" i="12"/>
  <c r="AD48" i="8" s="1"/>
  <c r="AB18" i="8"/>
  <c r="AB68" i="8"/>
  <c r="AB38" i="8"/>
  <c r="AD58" i="8"/>
  <c r="AB58" i="8"/>
  <c r="AA58" i="8"/>
  <c r="AB48" i="8"/>
  <c r="AO164" i="12"/>
  <c r="AN167" i="12" s="1"/>
  <c r="AQ59" i="13"/>
  <c r="AP62" i="13" s="1"/>
  <c r="AQ163" i="12"/>
  <c r="AQ164" i="12" s="1"/>
  <c r="AO267" i="12"/>
  <c r="AN268" i="12" s="1"/>
  <c r="AM271" i="12" s="1"/>
  <c r="AO267" i="13"/>
  <c r="AN268" i="13" s="1"/>
  <c r="AM271" i="13" s="1"/>
  <c r="AP60" i="12"/>
  <c r="AO63" i="12" s="1"/>
  <c r="AC58" i="8" s="1"/>
  <c r="AQ60" i="12"/>
  <c r="AB28" i="8"/>
  <c r="AP62" i="12"/>
  <c r="AD68" i="8" s="1"/>
  <c r="AP215" i="12"/>
  <c r="AO218" i="12" s="1"/>
  <c r="AQ163" i="13"/>
  <c r="AP215" i="13"/>
  <c r="AO218" i="13" s="1"/>
  <c r="AP245" i="13"/>
  <c r="AP255" i="13" s="1"/>
  <c r="AP265" i="13" s="1"/>
  <c r="AP236" i="13"/>
  <c r="AP246" i="13" s="1"/>
  <c r="AP256" i="13" s="1"/>
  <c r="AQ278" i="13"/>
  <c r="AQ287" i="13"/>
  <c r="AQ289" i="13" s="1"/>
  <c r="AQ299" i="13" s="1"/>
  <c r="AQ309" i="13" s="1"/>
  <c r="AQ318" i="13"/>
  <c r="AP236" i="12"/>
  <c r="AP246" i="12" s="1"/>
  <c r="AP256" i="12" s="1"/>
  <c r="AP245" i="12"/>
  <c r="AP255" i="12" s="1"/>
  <c r="AP265" i="12" s="1"/>
  <c r="AP238" i="12"/>
  <c r="AP248" i="12" s="1"/>
  <c r="AP258" i="12" s="1"/>
  <c r="AP237" i="12"/>
  <c r="AP247" i="12" s="1"/>
  <c r="AP257" i="12" s="1"/>
  <c r="AQ278" i="12"/>
  <c r="AQ287" i="12"/>
  <c r="AQ318" i="12"/>
  <c r="AQ235" i="12"/>
  <c r="AQ239" i="12" s="1"/>
  <c r="AQ249" i="12" s="1"/>
  <c r="AQ259" i="12" s="1"/>
  <c r="AQ226" i="12"/>
  <c r="AQ266" i="12"/>
  <c r="AQ184" i="12"/>
  <c r="AQ194" i="12" s="1"/>
  <c r="AQ204" i="12" s="1"/>
  <c r="AQ193" i="12"/>
  <c r="AQ203" i="12" s="1"/>
  <c r="AQ213" i="12" s="1"/>
  <c r="AQ186" i="12"/>
  <c r="AQ196" i="12" s="1"/>
  <c r="AQ206" i="12" s="1"/>
  <c r="AQ185" i="12"/>
  <c r="AQ195" i="12" s="1"/>
  <c r="AQ205" i="12" s="1"/>
  <c r="AQ226" i="13"/>
  <c r="AQ235" i="13"/>
  <c r="AQ237" i="13" s="1"/>
  <c r="AQ247" i="13" s="1"/>
  <c r="AQ257" i="13" s="1"/>
  <c r="AQ266" i="13"/>
  <c r="AP288" i="12"/>
  <c r="AP298" i="12" s="1"/>
  <c r="AP308" i="12" s="1"/>
  <c r="AP297" i="12"/>
  <c r="AP307" i="12" s="1"/>
  <c r="AP317" i="12" s="1"/>
  <c r="AP292" i="12"/>
  <c r="AP302" i="12" s="1"/>
  <c r="AP312" i="12" s="1"/>
  <c r="AP296" i="12"/>
  <c r="AP306" i="12" s="1"/>
  <c r="AP316" i="12" s="1"/>
  <c r="AP295" i="12"/>
  <c r="AP305" i="12" s="1"/>
  <c r="AP315" i="12" s="1"/>
  <c r="AP293" i="12"/>
  <c r="AP303" i="12" s="1"/>
  <c r="AP313" i="12" s="1"/>
  <c r="AP294" i="12"/>
  <c r="AP304" i="12" s="1"/>
  <c r="AP314" i="12" s="1"/>
  <c r="AQ193" i="13"/>
  <c r="AQ203" i="13" s="1"/>
  <c r="AQ213" i="13" s="1"/>
  <c r="AQ184" i="13"/>
  <c r="AQ194" i="13" s="1"/>
  <c r="AQ204" i="13" s="1"/>
  <c r="AP288" i="13"/>
  <c r="AP298" i="13" s="1"/>
  <c r="AP308" i="13" s="1"/>
  <c r="AP297" i="13"/>
  <c r="AP307" i="13" s="1"/>
  <c r="AP317" i="13" s="1"/>
  <c r="AP296" i="13"/>
  <c r="AP306" i="13" s="1"/>
  <c r="AP316" i="13" s="1"/>
  <c r="AP292" i="13"/>
  <c r="AP302" i="13" s="1"/>
  <c r="AP312" i="13" s="1"/>
  <c r="AP290" i="13"/>
  <c r="AP300" i="13" s="1"/>
  <c r="AP310" i="13" s="1"/>
  <c r="AP291" i="13"/>
  <c r="AP301" i="13" s="1"/>
  <c r="AP311" i="13" s="1"/>
  <c r="AP294" i="13"/>
  <c r="AP304" i="13" s="1"/>
  <c r="AP314" i="13" s="1"/>
  <c r="AP293" i="13"/>
  <c r="AP303" i="13" s="1"/>
  <c r="AP313" i="13" s="1"/>
  <c r="AP295" i="13"/>
  <c r="AP305" i="13" s="1"/>
  <c r="AP315" i="13" s="1"/>
  <c r="AH29" i="8" l="1"/>
  <c r="AH39" i="8"/>
  <c r="AA38" i="8"/>
  <c r="AD38" i="8"/>
  <c r="AP115" i="13"/>
  <c r="AG59" i="8" s="1"/>
  <c r="AH69" i="8"/>
  <c r="AA68" i="8"/>
  <c r="AE69" i="8"/>
  <c r="AE59" i="8"/>
  <c r="AD28" i="8"/>
  <c r="AD18" i="8"/>
  <c r="AE29" i="8"/>
  <c r="AE19" i="8"/>
  <c r="AH19" i="8"/>
  <c r="AA28" i="8"/>
  <c r="AA18" i="8"/>
  <c r="V49" i="8"/>
  <c r="T49" i="8" s="1"/>
  <c r="AQ115" i="13"/>
  <c r="AO112" i="12"/>
  <c r="AN115" i="12" s="1"/>
  <c r="AM323" i="12"/>
  <c r="AQ111" i="12"/>
  <c r="AN322" i="12"/>
  <c r="AM323" i="13"/>
  <c r="AF28" i="8"/>
  <c r="AB30" i="8"/>
  <c r="AN322" i="13"/>
  <c r="AA48" i="8"/>
  <c r="AN270" i="12"/>
  <c r="AQ291" i="12"/>
  <c r="AQ301" i="12" s="1"/>
  <c r="AQ311" i="12" s="1"/>
  <c r="AQ289" i="12"/>
  <c r="AQ299" i="12" s="1"/>
  <c r="AQ309" i="12" s="1"/>
  <c r="AQ290" i="12"/>
  <c r="AQ300" i="12" s="1"/>
  <c r="AQ310" i="12" s="1"/>
  <c r="AP319" i="13"/>
  <c r="AO320" i="13" s="1"/>
  <c r="AN323" i="13" s="1"/>
  <c r="AP319" i="12"/>
  <c r="AO320" i="12" s="1"/>
  <c r="AN323" i="12" s="1"/>
  <c r="AP267" i="13"/>
  <c r="AO270" i="13" s="1"/>
  <c r="AQ62" i="13"/>
  <c r="AH18" i="8" s="1"/>
  <c r="AF18" i="8"/>
  <c r="AQ60" i="13"/>
  <c r="AP166" i="12"/>
  <c r="AQ166" i="12"/>
  <c r="AQ240" i="13"/>
  <c r="AQ250" i="13" s="1"/>
  <c r="AQ260" i="13" s="1"/>
  <c r="AQ241" i="13"/>
  <c r="AQ251" i="13" s="1"/>
  <c r="AQ261" i="13" s="1"/>
  <c r="AQ243" i="13"/>
  <c r="AQ253" i="13" s="1"/>
  <c r="AQ263" i="13" s="1"/>
  <c r="AQ244" i="13"/>
  <c r="AQ254" i="13" s="1"/>
  <c r="AQ264" i="13" s="1"/>
  <c r="AQ238" i="13"/>
  <c r="AQ248" i="13" s="1"/>
  <c r="AQ258" i="13" s="1"/>
  <c r="AQ239" i="13"/>
  <c r="AQ249" i="13" s="1"/>
  <c r="AQ259" i="13" s="1"/>
  <c r="AQ242" i="13"/>
  <c r="AQ252" i="13" s="1"/>
  <c r="AQ262" i="13" s="1"/>
  <c r="AQ244" i="12"/>
  <c r="AQ254" i="12" s="1"/>
  <c r="AQ264" i="12" s="1"/>
  <c r="AQ242" i="12"/>
  <c r="AQ252" i="12" s="1"/>
  <c r="AQ262" i="12" s="1"/>
  <c r="AQ243" i="12"/>
  <c r="AQ253" i="12" s="1"/>
  <c r="AQ263" i="12" s="1"/>
  <c r="AQ241" i="12"/>
  <c r="AQ251" i="12" s="1"/>
  <c r="AQ261" i="12" s="1"/>
  <c r="AQ240" i="12"/>
  <c r="AQ250" i="12" s="1"/>
  <c r="AQ260" i="12" s="1"/>
  <c r="AP63" i="12"/>
  <c r="AC68" i="8" s="1"/>
  <c r="AO216" i="13"/>
  <c r="AN219" i="13" s="1"/>
  <c r="AO216" i="12"/>
  <c r="AN219" i="12" s="1"/>
  <c r="AF30" i="8"/>
  <c r="AF20" i="8"/>
  <c r="AP164" i="13"/>
  <c r="AO167" i="13" s="1"/>
  <c r="AP166" i="13"/>
  <c r="AH60" i="8" s="1"/>
  <c r="AF70" i="8"/>
  <c r="AF60" i="8"/>
  <c r="AH50" i="8"/>
  <c r="AE50" i="8"/>
  <c r="AG50" i="8"/>
  <c r="AF40" i="8"/>
  <c r="AF50" i="8"/>
  <c r="AD70" i="8"/>
  <c r="AB70" i="8"/>
  <c r="AB60" i="8"/>
  <c r="AC60" i="8"/>
  <c r="AB50" i="8"/>
  <c r="AA60" i="8"/>
  <c r="AD50" i="8"/>
  <c r="AC50" i="8"/>
  <c r="AA50" i="8"/>
  <c r="AD60" i="8"/>
  <c r="AB40" i="8"/>
  <c r="AP60" i="13"/>
  <c r="AO63" i="13" s="1"/>
  <c r="AH58" i="8"/>
  <c r="AF68" i="8"/>
  <c r="AF58" i="8"/>
  <c r="AE58" i="8"/>
  <c r="AH48" i="8"/>
  <c r="AF38" i="8"/>
  <c r="AF48" i="8"/>
  <c r="AE68" i="8"/>
  <c r="AH38" i="8"/>
  <c r="AQ215" i="13"/>
  <c r="AQ216" i="13" s="1"/>
  <c r="AP164" i="12"/>
  <c r="AO167" i="12" s="1"/>
  <c r="AB20" i="8"/>
  <c r="U58" i="8"/>
  <c r="AQ215" i="12"/>
  <c r="AQ216" i="12" s="1"/>
  <c r="AN270" i="13"/>
  <c r="AQ63" i="12"/>
  <c r="AC28" i="8" s="1"/>
  <c r="AP267" i="12"/>
  <c r="AO268" i="12" s="1"/>
  <c r="AN271" i="12" s="1"/>
  <c r="AQ166" i="13"/>
  <c r="AQ164" i="13"/>
  <c r="AQ236" i="13"/>
  <c r="AQ246" i="13" s="1"/>
  <c r="AQ256" i="13" s="1"/>
  <c r="AQ245" i="13"/>
  <c r="AQ255" i="13" s="1"/>
  <c r="AQ265" i="13" s="1"/>
  <c r="AQ288" i="12"/>
  <c r="AQ298" i="12" s="1"/>
  <c r="AQ308" i="12" s="1"/>
  <c r="AQ297" i="12"/>
  <c r="AQ307" i="12" s="1"/>
  <c r="AQ317" i="12" s="1"/>
  <c r="AQ293" i="12"/>
  <c r="AQ303" i="12" s="1"/>
  <c r="AQ313" i="12" s="1"/>
  <c r="AQ295" i="12"/>
  <c r="AQ305" i="12" s="1"/>
  <c r="AQ315" i="12" s="1"/>
  <c r="AQ294" i="12"/>
  <c r="AQ304" i="12" s="1"/>
  <c r="AQ314" i="12" s="1"/>
  <c r="AQ292" i="12"/>
  <c r="AQ302" i="12" s="1"/>
  <c r="AQ312" i="12" s="1"/>
  <c r="AQ296" i="12"/>
  <c r="AQ306" i="12" s="1"/>
  <c r="AQ316" i="12" s="1"/>
  <c r="AQ288" i="13"/>
  <c r="AQ298" i="13" s="1"/>
  <c r="AQ308" i="13" s="1"/>
  <c r="AQ297" i="13"/>
  <c r="AQ307" i="13" s="1"/>
  <c r="AQ317" i="13" s="1"/>
  <c r="AQ291" i="13"/>
  <c r="AQ301" i="13" s="1"/>
  <c r="AQ311" i="13" s="1"/>
  <c r="AQ294" i="13"/>
  <c r="AQ304" i="13" s="1"/>
  <c r="AQ314" i="13" s="1"/>
  <c r="AQ292" i="13"/>
  <c r="AQ302" i="13" s="1"/>
  <c r="AQ312" i="13" s="1"/>
  <c r="AQ293" i="13"/>
  <c r="AQ303" i="13" s="1"/>
  <c r="AQ313" i="13" s="1"/>
  <c r="AQ296" i="13"/>
  <c r="AQ306" i="13" s="1"/>
  <c r="AQ316" i="13" s="1"/>
  <c r="AQ290" i="13"/>
  <c r="AQ300" i="13" s="1"/>
  <c r="AQ310" i="13" s="1"/>
  <c r="AQ295" i="13"/>
  <c r="AQ305" i="13" s="1"/>
  <c r="AQ315" i="13" s="1"/>
  <c r="AQ167" i="12"/>
  <c r="AQ236" i="12"/>
  <c r="AQ246" i="12" s="1"/>
  <c r="AQ256" i="12" s="1"/>
  <c r="AQ245" i="12"/>
  <c r="AQ255" i="12" s="1"/>
  <c r="AQ265" i="12" s="1"/>
  <c r="AQ237" i="12"/>
  <c r="AQ247" i="12" s="1"/>
  <c r="AQ257" i="12" s="1"/>
  <c r="AQ238" i="12"/>
  <c r="AQ248" i="12" s="1"/>
  <c r="AQ258" i="12" s="1"/>
  <c r="AD20" i="8" l="1"/>
  <c r="AD40" i="8"/>
  <c r="AA40" i="8"/>
  <c r="AA20" i="8"/>
  <c r="AE30" i="8"/>
  <c r="AG39" i="8"/>
  <c r="V39" i="8" s="1"/>
  <c r="T39" i="8" s="1"/>
  <c r="AE40" i="8"/>
  <c r="AH20" i="8"/>
  <c r="AH40" i="8"/>
  <c r="V59" i="8"/>
  <c r="T59" i="8" s="1"/>
  <c r="U68" i="8"/>
  <c r="S68" i="8" s="1"/>
  <c r="AH68" i="8"/>
  <c r="AE60" i="8"/>
  <c r="AE70" i="8"/>
  <c r="AH70" i="8"/>
  <c r="AG19" i="8"/>
  <c r="V19" i="8" s="1"/>
  <c r="T19" i="8" s="1"/>
  <c r="AG69" i="8"/>
  <c r="V69" i="8" s="1"/>
  <c r="T69" i="8" s="1"/>
  <c r="AA70" i="8"/>
  <c r="AD30" i="8"/>
  <c r="AA30" i="8"/>
  <c r="AC18" i="8"/>
  <c r="U18" i="8" s="1"/>
  <c r="AH30" i="8"/>
  <c r="AH28" i="8"/>
  <c r="AG29" i="8"/>
  <c r="V29" i="8" s="1"/>
  <c r="T29" i="8" s="1"/>
  <c r="AE28" i="8"/>
  <c r="AB59" i="8"/>
  <c r="AD59" i="8"/>
  <c r="U28" i="8"/>
  <c r="AE20" i="8"/>
  <c r="AE18" i="8"/>
  <c r="AO268" i="13"/>
  <c r="AN271" i="13" s="1"/>
  <c r="AB49" i="8"/>
  <c r="AB69" i="8"/>
  <c r="AB19" i="8"/>
  <c r="AC49" i="8"/>
  <c r="AB29" i="8"/>
  <c r="AA49" i="8"/>
  <c r="AD49" i="8"/>
  <c r="AQ114" i="12"/>
  <c r="AP112" i="12"/>
  <c r="AO115" i="12" s="1"/>
  <c r="AP114" i="12"/>
  <c r="AB39" i="8"/>
  <c r="AQ112" i="12"/>
  <c r="AO322" i="12"/>
  <c r="AP167" i="13"/>
  <c r="AQ63" i="13"/>
  <c r="AP167" i="12"/>
  <c r="AC20" i="8" s="1"/>
  <c r="AO322" i="13"/>
  <c r="AQ167" i="13"/>
  <c r="AC48" i="8"/>
  <c r="U48" i="8" s="1"/>
  <c r="AC38" i="8"/>
  <c r="U38" i="8" s="1"/>
  <c r="AP63" i="13"/>
  <c r="AG58" i="8" s="1"/>
  <c r="V58" i="8" s="1"/>
  <c r="AE48" i="8"/>
  <c r="AE38" i="8"/>
  <c r="AG48" i="8"/>
  <c r="AQ319" i="13"/>
  <c r="AP322" i="13" s="1"/>
  <c r="AQ319" i="12"/>
  <c r="AQ320" i="12" s="1"/>
  <c r="AP218" i="12"/>
  <c r="AD71" i="8" s="1"/>
  <c r="AQ267" i="13"/>
  <c r="AF72" i="8" s="1"/>
  <c r="AF31" i="8"/>
  <c r="AF21" i="8"/>
  <c r="AP218" i="13"/>
  <c r="AP216" i="12"/>
  <c r="AO219" i="12" s="1"/>
  <c r="AC51" i="8" s="1"/>
  <c r="AQ218" i="12"/>
  <c r="AD41" i="8" s="1"/>
  <c r="AP216" i="13"/>
  <c r="AO219" i="13" s="1"/>
  <c r="AQ218" i="13"/>
  <c r="AB31" i="8"/>
  <c r="AO270" i="12"/>
  <c r="V50" i="8"/>
  <c r="T50" i="8" s="1"/>
  <c r="U50" i="8"/>
  <c r="U60" i="8"/>
  <c r="AD61" i="8"/>
  <c r="AB61" i="8"/>
  <c r="AB71" i="8"/>
  <c r="AA71" i="8"/>
  <c r="AC61" i="8"/>
  <c r="AA61" i="8"/>
  <c r="AD51" i="8"/>
  <c r="AB41" i="8"/>
  <c r="AA51" i="8"/>
  <c r="AB51" i="8"/>
  <c r="S58" i="8"/>
  <c r="AE51" i="8"/>
  <c r="AF71" i="8"/>
  <c r="AF51" i="8"/>
  <c r="AF61" i="8"/>
  <c r="AH61" i="8"/>
  <c r="AG51" i="8"/>
  <c r="AH51" i="8"/>
  <c r="AE71" i="8"/>
  <c r="AE61" i="8"/>
  <c r="AF41" i="8"/>
  <c r="AQ267" i="12"/>
  <c r="AQ268" i="12" s="1"/>
  <c r="AB21" i="8"/>
  <c r="AQ219" i="13"/>
  <c r="AQ219" i="12"/>
  <c r="AD39" i="8" l="1"/>
  <c r="AA39" i="8"/>
  <c r="AG38" i="8"/>
  <c r="V38" i="8" s="1"/>
  <c r="T38" i="8" s="1"/>
  <c r="AH31" i="8"/>
  <c r="AH41" i="8"/>
  <c r="U20" i="8"/>
  <c r="S20" i="8" s="1"/>
  <c r="AA21" i="8"/>
  <c r="AA41" i="8"/>
  <c r="AC40" i="8"/>
  <c r="U40" i="8" s="1"/>
  <c r="S40" i="8" s="1"/>
  <c r="AG60" i="8"/>
  <c r="V60" i="8" s="1"/>
  <c r="T60" i="8" s="1"/>
  <c r="AG40" i="8"/>
  <c r="V40" i="8" s="1"/>
  <c r="T40" i="8" s="1"/>
  <c r="AE41" i="8"/>
  <c r="AA59" i="8"/>
  <c r="AD19" i="8"/>
  <c r="AD21" i="8"/>
  <c r="AA29" i="8"/>
  <c r="AG68" i="8"/>
  <c r="V68" i="8" s="1"/>
  <c r="T68" i="8" s="1"/>
  <c r="AE31" i="8"/>
  <c r="AH71" i="8"/>
  <c r="AC30" i="8"/>
  <c r="U30" i="8" s="1"/>
  <c r="S30" i="8" s="1"/>
  <c r="AC70" i="8"/>
  <c r="U70" i="8" s="1"/>
  <c r="S70" i="8" s="1"/>
  <c r="AG30" i="8"/>
  <c r="V30" i="8" s="1"/>
  <c r="T30" i="8" s="1"/>
  <c r="AG70" i="8"/>
  <c r="V70" i="8" s="1"/>
  <c r="T70" i="8" s="1"/>
  <c r="AA69" i="8"/>
  <c r="AD69" i="8"/>
  <c r="AG28" i="8"/>
  <c r="V28" i="8" s="1"/>
  <c r="T28" i="8" s="1"/>
  <c r="AD31" i="8"/>
  <c r="AA31" i="8"/>
  <c r="AD29" i="8"/>
  <c r="AA19" i="8"/>
  <c r="S38" i="8"/>
  <c r="S28" i="8"/>
  <c r="AH21" i="8"/>
  <c r="AE21" i="8"/>
  <c r="S18" i="8"/>
  <c r="AG20" i="8"/>
  <c r="V20" i="8" s="1"/>
  <c r="T20" i="8" s="1"/>
  <c r="AG18" i="8"/>
  <c r="V18" i="8" s="1"/>
  <c r="CK18" i="8" s="1"/>
  <c r="AF42" i="8"/>
  <c r="U49" i="8"/>
  <c r="AQ115" i="12"/>
  <c r="AP115" i="12"/>
  <c r="AC69" i="8" s="1"/>
  <c r="AP322" i="12"/>
  <c r="AP320" i="12"/>
  <c r="AO323" i="12" s="1"/>
  <c r="AQ322" i="12"/>
  <c r="AP219" i="13"/>
  <c r="S48" i="8"/>
  <c r="AP219" i="12"/>
  <c r="AQ322" i="13"/>
  <c r="V48" i="8"/>
  <c r="AQ320" i="13"/>
  <c r="AQ323" i="13" s="1"/>
  <c r="AP320" i="13"/>
  <c r="AO323" i="13" s="1"/>
  <c r="AQ268" i="13"/>
  <c r="AF32" i="8"/>
  <c r="AP270" i="13"/>
  <c r="AG52" i="8"/>
  <c r="AE52" i="8"/>
  <c r="AP268" i="13"/>
  <c r="AO271" i="13" s="1"/>
  <c r="AQ270" i="13"/>
  <c r="AF52" i="8"/>
  <c r="AH52" i="8"/>
  <c r="AF22" i="8"/>
  <c r="AH62" i="8"/>
  <c r="AF62" i="8"/>
  <c r="AB32" i="8"/>
  <c r="AQ270" i="12"/>
  <c r="V51" i="8"/>
  <c r="T51" i="8" s="1"/>
  <c r="U61" i="8"/>
  <c r="S60" i="8"/>
  <c r="AB62" i="8"/>
  <c r="AB52" i="8"/>
  <c r="AA62" i="8"/>
  <c r="AB72" i="8"/>
  <c r="AD62" i="8"/>
  <c r="AA52" i="8"/>
  <c r="AD52" i="8"/>
  <c r="AC62" i="8"/>
  <c r="AB42" i="8"/>
  <c r="S50" i="8"/>
  <c r="T58" i="8"/>
  <c r="U51" i="8"/>
  <c r="AP270" i="12"/>
  <c r="AD72" i="8" s="1"/>
  <c r="AP268" i="12"/>
  <c r="AO271" i="12" s="1"/>
  <c r="AC52" i="8" s="1"/>
  <c r="AB22" i="8"/>
  <c r="AQ323" i="12"/>
  <c r="AB73" i="8"/>
  <c r="AB63" i="8"/>
  <c r="AB53" i="8"/>
  <c r="AA63" i="8"/>
  <c r="AA73" i="8"/>
  <c r="AB23" i="8"/>
  <c r="AB33" i="8"/>
  <c r="AB43" i="8"/>
  <c r="AA53" i="8"/>
  <c r="AF63" i="8"/>
  <c r="AE63" i="8"/>
  <c r="AF53" i="8"/>
  <c r="AF23" i="8"/>
  <c r="AF73" i="8"/>
  <c r="AE73" i="8"/>
  <c r="AE53" i="8"/>
  <c r="AF33" i="8"/>
  <c r="AF43" i="8"/>
  <c r="AQ271" i="12"/>
  <c r="AE23" i="8" l="1"/>
  <c r="AH22" i="8"/>
  <c r="AA43" i="8"/>
  <c r="AA42" i="8"/>
  <c r="AD42" i="8"/>
  <c r="AE43" i="8"/>
  <c r="AD22" i="8"/>
  <c r="AE22" i="8"/>
  <c r="AH32" i="8"/>
  <c r="AH42" i="8"/>
  <c r="AA23" i="8"/>
  <c r="AC21" i="8"/>
  <c r="U21" i="8" s="1"/>
  <c r="S21" i="8" s="1"/>
  <c r="AC41" i="8"/>
  <c r="U41" i="8" s="1"/>
  <c r="S41" i="8" s="1"/>
  <c r="AE42" i="8"/>
  <c r="AG31" i="8"/>
  <c r="V31" i="8" s="1"/>
  <c r="T31" i="8" s="1"/>
  <c r="AG41" i="8"/>
  <c r="V41" i="8" s="1"/>
  <c r="T41" i="8" s="1"/>
  <c r="AC59" i="8"/>
  <c r="U59" i="8" s="1"/>
  <c r="S59" i="8" s="1"/>
  <c r="AG71" i="8"/>
  <c r="V71" i="8" s="1"/>
  <c r="T71" i="8" s="1"/>
  <c r="AE33" i="8"/>
  <c r="U69" i="8"/>
  <c r="S69" i="8" s="1"/>
  <c r="AA72" i="8"/>
  <c r="AH72" i="8"/>
  <c r="AE72" i="8"/>
  <c r="AC31" i="8"/>
  <c r="U31" i="8" s="1"/>
  <c r="S31" i="8" s="1"/>
  <c r="AC71" i="8"/>
  <c r="U71" i="8" s="1"/>
  <c r="S71" i="8" s="1"/>
  <c r="AG21" i="8"/>
  <c r="V21" i="8" s="1"/>
  <c r="T21" i="8" s="1"/>
  <c r="AG61" i="8"/>
  <c r="V61" i="8" s="1"/>
  <c r="T61" i="8" s="1"/>
  <c r="AE62" i="8"/>
  <c r="AA33" i="8"/>
  <c r="AD32" i="8"/>
  <c r="AA32" i="8"/>
  <c r="AE32" i="8"/>
  <c r="AC19" i="8"/>
  <c r="U19" i="8" s="1"/>
  <c r="CK19" i="8" s="1"/>
  <c r="AA22" i="8"/>
  <c r="CK38" i="8"/>
  <c r="CK20" i="8"/>
  <c r="CJ38" i="8"/>
  <c r="CH38" i="8"/>
  <c r="CG38" i="8"/>
  <c r="T18" i="8"/>
  <c r="AC29" i="8"/>
  <c r="U29" i="8" s="1"/>
  <c r="AC39" i="8"/>
  <c r="U39" i="8" s="1"/>
  <c r="S49" i="8"/>
  <c r="AP323" i="12"/>
  <c r="AC33" i="8" s="1"/>
  <c r="AP271" i="13"/>
  <c r="AG62" i="8" s="1"/>
  <c r="AQ271" i="13"/>
  <c r="AG72" i="8" s="1"/>
  <c r="T48" i="8"/>
  <c r="AP323" i="13"/>
  <c r="AG73" i="8" s="1"/>
  <c r="V52" i="8"/>
  <c r="T52" i="8" s="1"/>
  <c r="AP271" i="12"/>
  <c r="AC22" i="8" s="1"/>
  <c r="U52" i="8"/>
  <c r="S61" i="8"/>
  <c r="S51" i="8"/>
  <c r="U62" i="8"/>
  <c r="AH23" i="8"/>
  <c r="AG63" i="8"/>
  <c r="AH63" i="8"/>
  <c r="AH33" i="8"/>
  <c r="AG53" i="8"/>
  <c r="AH53" i="8"/>
  <c r="AH43" i="8"/>
  <c r="AH73" i="8"/>
  <c r="AC53" i="8"/>
  <c r="AD73" i="8"/>
  <c r="AD53" i="8"/>
  <c r="AD43" i="8"/>
  <c r="AD23" i="8"/>
  <c r="AD33" i="8"/>
  <c r="AC73" i="8"/>
  <c r="AD63" i="8"/>
  <c r="AC63" i="8"/>
  <c r="AG23" i="8" l="1"/>
  <c r="V23" i="8" s="1"/>
  <c r="T23" i="8" s="1"/>
  <c r="AG33" i="8"/>
  <c r="V33" i="8" s="1"/>
  <c r="T33" i="8" s="1"/>
  <c r="AC23" i="8"/>
  <c r="U23" i="8" s="1"/>
  <c r="AC43" i="8"/>
  <c r="U43" i="8" s="1"/>
  <c r="AC42" i="8"/>
  <c r="U42" i="8" s="1"/>
  <c r="S42" i="8" s="1"/>
  <c r="AG43" i="8"/>
  <c r="V43" i="8" s="1"/>
  <c r="T43" i="8" s="1"/>
  <c r="AG42" i="8"/>
  <c r="V42" i="8" s="1"/>
  <c r="T42" i="8" s="1"/>
  <c r="V62" i="8"/>
  <c r="T62" i="8" s="1"/>
  <c r="V72" i="8"/>
  <c r="T72" i="8" s="1"/>
  <c r="AC72" i="8"/>
  <c r="U72" i="8" s="1"/>
  <c r="S72" i="8" s="1"/>
  <c r="AC32" i="8"/>
  <c r="U32" i="8" s="1"/>
  <c r="S32" i="8" s="1"/>
  <c r="AG22" i="8"/>
  <c r="V22" i="8" s="1"/>
  <c r="T22" i="8" s="1"/>
  <c r="AG32" i="8"/>
  <c r="V32" i="8" s="1"/>
  <c r="T32" i="8" s="1"/>
  <c r="S19" i="8"/>
  <c r="U22" i="8"/>
  <c r="S22" i="8" s="1"/>
  <c r="CI38" i="8"/>
  <c r="Z38" i="8" s="1"/>
  <c r="S29" i="8"/>
  <c r="S39" i="8"/>
  <c r="CK21" i="8"/>
  <c r="U53" i="8"/>
  <c r="V73" i="8"/>
  <c r="T73" i="8" s="1"/>
  <c r="U33" i="8"/>
  <c r="V63" i="8"/>
  <c r="T63" i="8" s="1"/>
  <c r="V53" i="8"/>
  <c r="T53" i="8" s="1"/>
  <c r="U73" i="8"/>
  <c r="U63" i="8"/>
  <c r="S62" i="8"/>
  <c r="S52" i="8"/>
  <c r="AK38" i="8" l="1"/>
  <c r="AJ38" i="8"/>
  <c r="CK23" i="8"/>
  <c r="CK22" i="8"/>
  <c r="S73" i="8"/>
  <c r="S43" i="8"/>
  <c r="S53" i="8"/>
  <c r="S33" i="8"/>
  <c r="S23" i="8"/>
  <c r="S63" i="8"/>
  <c r="CH18" i="8" l="1"/>
  <c r="CJ19" i="8" l="1"/>
  <c r="CG19" i="8"/>
  <c r="CH19" i="8"/>
  <c r="CI19" i="8" l="1"/>
  <c r="Z19" i="8" s="1"/>
  <c r="CJ20" i="8"/>
  <c r="CG20" i="8"/>
  <c r="CH20" i="8"/>
  <c r="AL19" i="8" l="1"/>
  <c r="AJ19" i="8"/>
  <c r="AK19" i="8"/>
  <c r="CI20" i="8"/>
  <c r="Z20" i="8" s="1"/>
  <c r="CJ21" i="8"/>
  <c r="CG21" i="8"/>
  <c r="CH21" i="8"/>
  <c r="AJ20" i="8" l="1"/>
  <c r="AK20" i="8"/>
  <c r="CI21" i="8"/>
  <c r="Z21" i="8" s="1"/>
  <c r="CG22" i="8"/>
  <c r="CJ22" i="8"/>
  <c r="CJ23" i="8"/>
  <c r="AL20" i="8"/>
  <c r="CH22" i="8"/>
  <c r="CH23" i="8"/>
  <c r="AK21" i="8" l="1"/>
  <c r="AJ21" i="8"/>
  <c r="CI22" i="8"/>
  <c r="Z22" i="8" s="1"/>
  <c r="CG23" i="8"/>
  <c r="CI23" i="8" s="1"/>
  <c r="Z23" i="8" s="1"/>
  <c r="AL21" i="8"/>
  <c r="R19" i="8"/>
  <c r="Q19" i="8"/>
  <c r="AK22" i="8" l="1"/>
  <c r="AJ22" i="8"/>
  <c r="AJ23" i="8"/>
  <c r="AK23" i="8"/>
  <c r="AL23" i="8"/>
  <c r="Y19" i="8"/>
  <c r="AL22" i="8"/>
  <c r="Q20" i="8"/>
  <c r="BP39" i="8"/>
  <c r="BU39" i="8" s="1"/>
  <c r="CC39" i="8" s="1"/>
  <c r="BK39" i="8" l="1"/>
  <c r="BI39" i="8"/>
  <c r="BM39" i="8"/>
  <c r="CK39" i="8" s="1"/>
  <c r="D19" i="8"/>
  <c r="E19" i="8" s="1"/>
  <c r="BP40" i="8"/>
  <c r="BU40" i="8" s="1"/>
  <c r="CC40" i="8" s="1"/>
  <c r="BK40" i="8" l="1"/>
  <c r="BI40" i="8"/>
  <c r="BM40" i="8"/>
  <c r="CK40" i="8" s="1"/>
  <c r="Q22" i="8"/>
  <c r="CG39" i="8"/>
  <c r="CJ39" i="8"/>
  <c r="R22" i="8"/>
  <c r="BP41" i="8"/>
  <c r="BU41" i="8" s="1"/>
  <c r="CC41" i="8" s="1"/>
  <c r="CH39" i="8"/>
  <c r="BI41" i="8" l="1"/>
  <c r="BK41" i="8"/>
  <c r="BM41" i="8"/>
  <c r="CK41" i="8" s="1"/>
  <c r="Y22" i="8"/>
  <c r="D22" i="8" s="1"/>
  <c r="E22" i="8" s="1"/>
  <c r="CI39" i="8"/>
  <c r="Z39" i="8" s="1"/>
  <c r="CJ40" i="8"/>
  <c r="CG40" i="8"/>
  <c r="AL38" i="8"/>
  <c r="CH40" i="8"/>
  <c r="BP42" i="8"/>
  <c r="BU42" i="8" s="1"/>
  <c r="CC42" i="8" s="1"/>
  <c r="AO38" i="8"/>
  <c r="L39" i="8" s="1"/>
  <c r="N39" i="8" s="1"/>
  <c r="AP38" i="8"/>
  <c r="AM38" i="8"/>
  <c r="CR20" i="8" s="1"/>
  <c r="AN38" i="8"/>
  <c r="AJ39" i="8" l="1"/>
  <c r="AK39" i="8"/>
  <c r="BK42" i="8"/>
  <c r="BI42" i="8"/>
  <c r="BM42" i="8"/>
  <c r="CK42" i="8" s="1"/>
  <c r="CI40" i="8"/>
  <c r="Z40" i="8" s="1"/>
  <c r="CQ20" i="8"/>
  <c r="I38" i="8"/>
  <c r="CQ31" i="8"/>
  <c r="J38" i="8"/>
  <c r="CJ41" i="8"/>
  <c r="CG41" i="8"/>
  <c r="AP39" i="8"/>
  <c r="AO39" i="8"/>
  <c r="AM39" i="8"/>
  <c r="AL39" i="8"/>
  <c r="AN39" i="8"/>
  <c r="CH41" i="8"/>
  <c r="BP43" i="8"/>
  <c r="K38" i="8"/>
  <c r="M38" i="8" s="1"/>
  <c r="L42" i="8"/>
  <c r="N42" i="8" s="1"/>
  <c r="N36" i="8"/>
  <c r="L40" i="8"/>
  <c r="N40" i="8" s="1"/>
  <c r="L38" i="8"/>
  <c r="N38" i="8" s="1"/>
  <c r="L41" i="8"/>
  <c r="N41" i="8" s="1"/>
  <c r="L43" i="8"/>
  <c r="N43" i="8" s="1"/>
  <c r="CR31" i="8"/>
  <c r="K43" i="8"/>
  <c r="M43" i="8" s="1"/>
  <c r="L36" i="8"/>
  <c r="K39" i="8"/>
  <c r="M39" i="8" s="1"/>
  <c r="K41" i="8"/>
  <c r="M41" i="8" s="1"/>
  <c r="K40" i="8"/>
  <c r="M40" i="8" s="1"/>
  <c r="K42" i="8"/>
  <c r="M42" i="8" s="1"/>
  <c r="AP40" i="8" l="1"/>
  <c r="AK40" i="8"/>
  <c r="AJ40" i="8"/>
  <c r="O38" i="8"/>
  <c r="P38" i="8"/>
  <c r="CI41" i="8"/>
  <c r="Z41" i="8" s="1"/>
  <c r="J39" i="8"/>
  <c r="P39" i="8" s="1"/>
  <c r="BU43" i="8"/>
  <c r="CC43" i="8" s="1"/>
  <c r="I39" i="8"/>
  <c r="O39" i="8" s="1"/>
  <c r="AL40" i="8"/>
  <c r="CG42" i="8"/>
  <c r="CJ42" i="8"/>
  <c r="AM40" i="8"/>
  <c r="AO40" i="8"/>
  <c r="AN40" i="8"/>
  <c r="Q39" i="8"/>
  <c r="R38" i="8"/>
  <c r="CH42" i="8"/>
  <c r="Q38" i="8"/>
  <c r="R39" i="8"/>
  <c r="J40" i="8" l="1"/>
  <c r="P40" i="8" s="1"/>
  <c r="AJ41" i="8"/>
  <c r="AK41" i="8"/>
  <c r="BK43" i="8"/>
  <c r="BI43" i="8"/>
  <c r="CJ43" i="8" s="1"/>
  <c r="BM43" i="8"/>
  <c r="CI42" i="8"/>
  <c r="Z42" i="8" s="1"/>
  <c r="I40" i="8"/>
  <c r="O40" i="8" s="1"/>
  <c r="Y39" i="8"/>
  <c r="Y38" i="8"/>
  <c r="AO41" i="8"/>
  <c r="AM41" i="8"/>
  <c r="AP41" i="8"/>
  <c r="AL41" i="8"/>
  <c r="AN41" i="8"/>
  <c r="Q40" i="8"/>
  <c r="R40" i="8"/>
  <c r="AK42" i="8" l="1"/>
  <c r="AJ42" i="8"/>
  <c r="CK43" i="8"/>
  <c r="CH43" i="8"/>
  <c r="D38" i="8"/>
  <c r="E38" i="8" s="1"/>
  <c r="D39" i="8"/>
  <c r="E39" i="8" s="1"/>
  <c r="CG43" i="8"/>
  <c r="I41" i="8"/>
  <c r="O41" i="8" s="1"/>
  <c r="J41" i="8"/>
  <c r="P41" i="8" s="1"/>
  <c r="AL42" i="8"/>
  <c r="AP42" i="8"/>
  <c r="AO42" i="8"/>
  <c r="AM42" i="8"/>
  <c r="AN42" i="8"/>
  <c r="Y40" i="8"/>
  <c r="CI43" i="8" l="1"/>
  <c r="Z43" i="8" s="1"/>
  <c r="D40" i="8"/>
  <c r="E40" i="8" s="1"/>
  <c r="I42" i="8"/>
  <c r="O42" i="8" s="1"/>
  <c r="J42" i="8"/>
  <c r="P42" i="8" s="1"/>
  <c r="R41" i="8"/>
  <c r="Q41" i="8"/>
  <c r="AJ43" i="8" l="1"/>
  <c r="AK43" i="8"/>
  <c r="AM43" i="8"/>
  <c r="AP43" i="8"/>
  <c r="AN43" i="8"/>
  <c r="AO43" i="8"/>
  <c r="AL43" i="8"/>
  <c r="Y41" i="8"/>
  <c r="R42" i="8"/>
  <c r="Q42" i="8"/>
  <c r="R43" i="8" l="1"/>
  <c r="I43" i="8"/>
  <c r="O43" i="8" s="1"/>
  <c r="Q43" i="8"/>
  <c r="J43" i="8"/>
  <c r="P43" i="8" s="1"/>
  <c r="D41" i="8"/>
  <c r="E41" i="8" s="1"/>
  <c r="Y42" i="8"/>
  <c r="BR26" i="8" l="1"/>
  <c r="Y43" i="8"/>
  <c r="D43" i="8" s="1"/>
  <c r="E43" i="8" s="1"/>
  <c r="F43" i="8" s="1"/>
  <c r="D42" i="8"/>
  <c r="E42" i="8" s="1"/>
  <c r="F42" i="8" l="1"/>
  <c r="F41" i="8" s="1"/>
  <c r="F40" i="8" s="1"/>
  <c r="F39" i="8" s="1"/>
  <c r="F38" i="8" s="1"/>
  <c r="F44" i="8" s="1"/>
  <c r="V44" i="8" l="1"/>
  <c r="F53" i="1" s="1"/>
  <c r="Z44" i="8"/>
  <c r="U44" i="8"/>
  <c r="CW20" i="8" s="1"/>
  <c r="Q44" i="8"/>
  <c r="C53" i="1" s="1"/>
  <c r="Y44" i="8"/>
  <c r="H53" i="1" s="1"/>
  <c r="J53" i="1" s="1"/>
  <c r="L53" i="11" s="1"/>
  <c r="R44" i="8"/>
  <c r="E53" i="1" s="1"/>
  <c r="CI44" i="8"/>
  <c r="J36" i="8"/>
  <c r="DE20" i="8" s="1"/>
  <c r="DG20" i="8" s="1"/>
  <c r="I36" i="8"/>
  <c r="DD20" i="8" s="1"/>
  <c r="DF20" i="8" s="1"/>
  <c r="BV44" i="8"/>
  <c r="H44" i="8"/>
  <c r="CU31" i="8" s="1"/>
  <c r="E13" i="20"/>
  <c r="F13" i="20" s="1"/>
  <c r="C13" i="20"/>
  <c r="V34" i="20" s="1"/>
  <c r="P13" i="20"/>
  <c r="G44" i="8"/>
  <c r="CV20" i="8" s="1"/>
  <c r="V36" i="8"/>
  <c r="CX20" i="8" s="1"/>
  <c r="X44" i="8"/>
  <c r="CY20" i="8" s="1"/>
  <c r="BX44" i="8"/>
  <c r="G13" i="20"/>
  <c r="BW44" i="8"/>
  <c r="CS20" i="8"/>
  <c r="DI20" i="8" s="1"/>
  <c r="J44" i="8"/>
  <c r="BU44" i="8"/>
  <c r="I44" i="8"/>
  <c r="G53" i="1" l="1"/>
  <c r="D53" i="1"/>
  <c r="CS31" i="8"/>
  <c r="V36" i="20"/>
  <c r="T37" i="20"/>
  <c r="V35" i="20"/>
  <c r="T36" i="20"/>
  <c r="U36" i="20"/>
  <c r="W37" i="20"/>
  <c r="V37" i="20"/>
  <c r="W34" i="20"/>
  <c r="CV31" i="8"/>
  <c r="W36" i="20"/>
  <c r="U34" i="20"/>
  <c r="T35" i="20"/>
  <c r="U35" i="20"/>
  <c r="W35" i="20"/>
  <c r="U37" i="20"/>
  <c r="T34" i="20"/>
  <c r="N53" i="11"/>
  <c r="M53" i="11"/>
  <c r="X34" i="20" l="1"/>
  <c r="X37" i="20"/>
  <c r="X36" i="20"/>
  <c r="X35" i="20"/>
  <c r="N13" i="20" l="1"/>
  <c r="O13" i="20" s="1"/>
  <c r="H13" i="20" s="1"/>
  <c r="K53" i="1" l="1"/>
  <c r="I13" i="20"/>
  <c r="CG18" i="8" l="1"/>
  <c r="CI18" i="8" s="1"/>
  <c r="Z18" i="8" s="1"/>
  <c r="AK18" i="8" l="1"/>
  <c r="AJ18" i="8"/>
  <c r="AN18" i="8"/>
  <c r="AM18" i="8"/>
  <c r="AM19" i="8" s="1"/>
  <c r="AM20" i="8" s="1"/>
  <c r="AM21" i="8" s="1"/>
  <c r="AM22" i="8" s="1"/>
  <c r="AM23" i="8" s="1"/>
  <c r="CL18" i="8"/>
  <c r="CJ18" i="8"/>
  <c r="AP18" i="8"/>
  <c r="AL18" i="8"/>
  <c r="AO18" i="8"/>
  <c r="AO19" i="8" s="1"/>
  <c r="AO20" i="8" s="1"/>
  <c r="AO21" i="8" s="1"/>
  <c r="AO22" i="8" s="1"/>
  <c r="AO23" i="8" s="1"/>
  <c r="AP19" i="8" l="1"/>
  <c r="AP20" i="8" s="1"/>
  <c r="AN19" i="8"/>
  <c r="AN20" i="8" s="1"/>
  <c r="K23" i="8"/>
  <c r="T8" i="8" s="1"/>
  <c r="K21" i="8"/>
  <c r="M21" i="8" s="1"/>
  <c r="K19" i="8"/>
  <c r="T12" i="8" s="1"/>
  <c r="K20" i="8"/>
  <c r="T11" i="8" s="1"/>
  <c r="K18" i="8"/>
  <c r="M18" i="8" s="1"/>
  <c r="K22" i="8"/>
  <c r="T9" i="8" s="1"/>
  <c r="CR18" i="8"/>
  <c r="CQ18" i="8"/>
  <c r="I18" i="8"/>
  <c r="L20" i="8"/>
  <c r="N16" i="8"/>
  <c r="L21" i="8"/>
  <c r="L18" i="8"/>
  <c r="CR29" i="8"/>
  <c r="L19" i="8"/>
  <c r="L22" i="8"/>
  <c r="L23" i="8"/>
  <c r="CQ29" i="8"/>
  <c r="J18" i="8"/>
  <c r="L16" i="8"/>
  <c r="Q18" i="8"/>
  <c r="J19" i="8" l="1"/>
  <c r="I19" i="8"/>
  <c r="M22" i="8"/>
  <c r="T10" i="8"/>
  <c r="M23" i="8"/>
  <c r="T13" i="8"/>
  <c r="M20" i="8"/>
  <c r="M19" i="8"/>
  <c r="AN21" i="8"/>
  <c r="I20" i="8"/>
  <c r="AP21" i="8"/>
  <c r="J20" i="8"/>
  <c r="R20" i="8" s="1"/>
  <c r="O18" i="8"/>
  <c r="R18" i="8"/>
  <c r="N20" i="8"/>
  <c r="U11" i="8"/>
  <c r="U8" i="8"/>
  <c r="N23" i="8"/>
  <c r="N18" i="8"/>
  <c r="P18" i="8" s="1"/>
  <c r="U13" i="8"/>
  <c r="N19" i="8"/>
  <c r="U12" i="8"/>
  <c r="N22" i="8"/>
  <c r="U9" i="8"/>
  <c r="U10" i="8"/>
  <c r="N21" i="8"/>
  <c r="P19" i="8" l="1"/>
  <c r="O19" i="8"/>
  <c r="Y18" i="8"/>
  <c r="D18" i="8" s="1"/>
  <c r="E18" i="8" s="1"/>
  <c r="Y20" i="8"/>
  <c r="D20" i="8" s="1"/>
  <c r="E20" i="8" s="1"/>
  <c r="O20" i="8"/>
  <c r="P20" i="8"/>
  <c r="AP22" i="8"/>
  <c r="J21" i="8"/>
  <c r="P21" i="8" s="1"/>
  <c r="AN22" i="8"/>
  <c r="I21" i="8"/>
  <c r="O21" i="8" s="1"/>
  <c r="Q21" i="8" l="1"/>
  <c r="R21" i="8"/>
  <c r="Q23" i="8"/>
  <c r="R23" i="8"/>
  <c r="AN23" i="8"/>
  <c r="I23" i="8" s="1"/>
  <c r="I22" i="8"/>
  <c r="O22" i="8" s="1"/>
  <c r="AP23" i="8"/>
  <c r="J23" i="8" s="1"/>
  <c r="J22" i="8"/>
  <c r="P22" i="8" s="1"/>
  <c r="Y21" i="8" l="1"/>
  <c r="D21" i="8" s="1"/>
  <c r="E21" i="8" s="1"/>
  <c r="Y23" i="8"/>
  <c r="D23" i="8" s="1"/>
  <c r="E23" i="8" s="1"/>
  <c r="F23" i="8" s="1"/>
  <c r="F22" i="8" s="1"/>
  <c r="P23" i="8"/>
  <c r="O23" i="8"/>
  <c r="F21" i="8" l="1"/>
  <c r="F20" i="8" s="1"/>
  <c r="F19" i="8" s="1"/>
  <c r="F18" i="8" s="1"/>
  <c r="F24" i="8" s="1"/>
  <c r="DJ20" i="8"/>
  <c r="DK20" i="8"/>
  <c r="I24" i="8" l="1"/>
  <c r="Z24" i="8"/>
  <c r="G51" i="1" s="1"/>
  <c r="Y24" i="8"/>
  <c r="H51" i="1" s="1"/>
  <c r="M55" i="11" s="1"/>
  <c r="V24" i="8"/>
  <c r="F51" i="1" s="1"/>
  <c r="R24" i="8"/>
  <c r="E51" i="1" s="1"/>
  <c r="U24" i="8"/>
  <c r="D51" i="1" s="1"/>
  <c r="Q24" i="8"/>
  <c r="C51" i="1" s="1"/>
  <c r="G11" i="20"/>
  <c r="CI24" i="8"/>
  <c r="BV24" i="8"/>
  <c r="H24" i="8"/>
  <c r="CU29" i="8" s="1"/>
  <c r="CS18" i="8"/>
  <c r="DI18" i="8" s="1"/>
  <c r="BX24" i="8"/>
  <c r="AM24" i="8"/>
  <c r="E11" i="20"/>
  <c r="F11" i="20" s="1"/>
  <c r="AO24" i="8"/>
  <c r="P11" i="20"/>
  <c r="X24" i="8"/>
  <c r="CY18" i="8" s="1"/>
  <c r="C11" i="20"/>
  <c r="U26" i="20" s="1"/>
  <c r="G24" i="8"/>
  <c r="CV18" i="8" s="1"/>
  <c r="J24" i="8"/>
  <c r="J16" i="8"/>
  <c r="DE18" i="8" s="1"/>
  <c r="DG18" i="8" s="1"/>
  <c r="I16" i="8"/>
  <c r="DD18" i="8" s="1"/>
  <c r="DF18" i="8" s="1"/>
  <c r="BU24" i="8"/>
  <c r="BW24" i="8"/>
  <c r="V16" i="8"/>
  <c r="CX18" i="8" s="1"/>
  <c r="CO20" i="8"/>
  <c r="CP20" i="8" s="1"/>
  <c r="CW18" i="8" l="1"/>
  <c r="CV29" i="8"/>
  <c r="CS29" i="8"/>
  <c r="N55" i="11"/>
  <c r="CO18" i="8"/>
  <c r="CU18" i="8" s="1"/>
  <c r="W28" i="20"/>
  <c r="V27" i="20"/>
  <c r="W29" i="20"/>
  <c r="T26" i="20"/>
  <c r="V26" i="20"/>
  <c r="U29" i="20"/>
  <c r="V28" i="20"/>
  <c r="T28" i="20"/>
  <c r="U28" i="20"/>
  <c r="T27" i="20"/>
  <c r="V29" i="20"/>
  <c r="T29" i="20"/>
  <c r="W27" i="20"/>
  <c r="W26" i="20"/>
  <c r="U27" i="20"/>
  <c r="J51" i="1"/>
  <c r="L55" i="11" s="1"/>
  <c r="DK18" i="8"/>
  <c r="DJ18" i="8"/>
  <c r="CT31" i="8"/>
  <c r="CU20" i="8"/>
  <c r="X26" i="20" l="1"/>
  <c r="X27" i="20"/>
  <c r="X28" i="20"/>
  <c r="X29" i="20"/>
  <c r="CP18" i="8"/>
  <c r="CT29" i="8"/>
  <c r="N11" i="20" l="1"/>
  <c r="O11" i="20" s="1"/>
  <c r="I11" i="20" s="1"/>
  <c r="BR46" i="8"/>
  <c r="BO46" i="8"/>
  <c r="BQ46" i="8"/>
  <c r="BP46" i="8"/>
  <c r="BP48" i="8"/>
  <c r="BP49" i="8" s="1"/>
  <c r="BP50" i="8" s="1"/>
  <c r="BP51" i="8" s="1"/>
  <c r="BP52" i="8" s="1"/>
  <c r="BQ48" i="8"/>
  <c r="BQ49" i="8" s="1"/>
  <c r="BQ50" i="8" s="1"/>
  <c r="BQ51" i="8" s="1"/>
  <c r="BZ51" i="8" s="1"/>
  <c r="CB51" i="8" s="1"/>
  <c r="BR48" i="8"/>
  <c r="AT48" i="8"/>
  <c r="AT49" i="8" s="1"/>
  <c r="AR48" i="8"/>
  <c r="AR49" i="8" s="1"/>
  <c r="AR50" i="8" s="1"/>
  <c r="BO48" i="8"/>
  <c r="BY48" i="8" s="1"/>
  <c r="CA48" i="8" s="1"/>
  <c r="AQ48" i="8"/>
  <c r="AS48" i="8"/>
  <c r="H11" i="20" l="1"/>
  <c r="K51" i="1"/>
  <c r="AW48" i="8"/>
  <c r="AW49" i="8" s="1"/>
  <c r="AW50" i="8" s="1"/>
  <c r="AW51" i="8" s="1"/>
  <c r="AW52" i="8" s="1"/>
  <c r="AW53" i="8" s="1"/>
  <c r="BV48" i="8"/>
  <c r="BZ48" i="8"/>
  <c r="CB48" i="8" s="1"/>
  <c r="AQ49" i="8"/>
  <c r="AQ50" i="8" s="1"/>
  <c r="AQ51" i="8" s="1"/>
  <c r="AQ52" i="8" s="1"/>
  <c r="AQ53" i="8" s="1"/>
  <c r="BO49" i="8"/>
  <c r="BY49" i="8" s="1"/>
  <c r="CA49" i="8" s="1"/>
  <c r="AR51" i="8"/>
  <c r="CZ21" i="8"/>
  <c r="AU48" i="8"/>
  <c r="BA48" i="8"/>
  <c r="BC48" i="8"/>
  <c r="BC49" i="8" s="1"/>
  <c r="BC50" i="8" s="1"/>
  <c r="BC51" i="8" s="1"/>
  <c r="BC52" i="8" s="1"/>
  <c r="BC53" i="8" s="1"/>
  <c r="BR49" i="8"/>
  <c r="BU48" i="8"/>
  <c r="CC48" i="8" s="1"/>
  <c r="CZ32" i="8"/>
  <c r="AS49" i="8"/>
  <c r="AS50" i="8" s="1"/>
  <c r="AS51" i="8" s="1"/>
  <c r="AS52" i="8" s="1"/>
  <c r="AS53" i="8" s="1"/>
  <c r="AZ48" i="8"/>
  <c r="AV48" i="8"/>
  <c r="BZ50" i="8"/>
  <c r="CB50" i="8" s="1"/>
  <c r="BQ52" i="8"/>
  <c r="AX48" i="8"/>
  <c r="AX49" i="8" s="1"/>
  <c r="AX50" i="8" s="1"/>
  <c r="AX51" i="8" s="1"/>
  <c r="AX52" i="8" s="1"/>
  <c r="AX53" i="8" s="1"/>
  <c r="BD48" i="8"/>
  <c r="BD49" i="8" s="1"/>
  <c r="BD50" i="8" s="1"/>
  <c r="BD51" i="8" s="1"/>
  <c r="BD52" i="8" s="1"/>
  <c r="BD53" i="8" s="1"/>
  <c r="DA21" i="8"/>
  <c r="BW48" i="8"/>
  <c r="CE48" i="8" s="1"/>
  <c r="AY48" i="8"/>
  <c r="DA32" i="8"/>
  <c r="BX48" i="8"/>
  <c r="BB48" i="8"/>
  <c r="AT50" i="8"/>
  <c r="BP53" i="8"/>
  <c r="BZ49" i="8"/>
  <c r="CB49" i="8" s="1"/>
  <c r="BW49" i="8" l="1"/>
  <c r="CE49" i="8" s="1"/>
  <c r="CF48" i="8"/>
  <c r="BL48" i="8" s="1"/>
  <c r="BW50" i="8"/>
  <c r="CD48" i="8"/>
  <c r="BO50" i="8"/>
  <c r="BU50" i="8" s="1"/>
  <c r="BU49" i="8"/>
  <c r="CC49" i="8" s="1"/>
  <c r="AZ49" i="8"/>
  <c r="AZ50" i="8" s="1"/>
  <c r="AZ51" i="8" s="1"/>
  <c r="AZ52" i="8" s="1"/>
  <c r="AZ53" i="8" s="1"/>
  <c r="BF48" i="8"/>
  <c r="BF49" i="8" s="1"/>
  <c r="BF50" i="8" s="1"/>
  <c r="BF51" i="8" s="1"/>
  <c r="BF52" i="8" s="1"/>
  <c r="BF53" i="8" s="1"/>
  <c r="BG48" i="8"/>
  <c r="BG49" i="8" s="1"/>
  <c r="BG50" i="8" s="1"/>
  <c r="BG51" i="8" s="1"/>
  <c r="BG52" i="8" s="1"/>
  <c r="BG53" i="8" s="1"/>
  <c r="BA49" i="8"/>
  <c r="BX49" i="8"/>
  <c r="CF49" i="8" s="1"/>
  <c r="AV49" i="8"/>
  <c r="AT51" i="8"/>
  <c r="BX50" i="8"/>
  <c r="CF50" i="8" s="1"/>
  <c r="BE48" i="8"/>
  <c r="BE49" i="8" s="1"/>
  <c r="BE50" i="8" s="1"/>
  <c r="BE51" i="8" s="1"/>
  <c r="BE52" i="8" s="1"/>
  <c r="BE53" i="8" s="1"/>
  <c r="AY49" i="8"/>
  <c r="AY50" i="8" s="1"/>
  <c r="AY51" i="8" s="1"/>
  <c r="AY52" i="8" s="1"/>
  <c r="AY53" i="8" s="1"/>
  <c r="BZ52" i="8"/>
  <c r="CB52" i="8" s="1"/>
  <c r="BQ53" i="8"/>
  <c r="BZ53" i="8" s="1"/>
  <c r="CB53" i="8" s="1"/>
  <c r="AU49" i="8"/>
  <c r="BM48" i="8"/>
  <c r="AR52" i="8"/>
  <c r="BW51" i="8"/>
  <c r="BB49" i="8"/>
  <c r="BH48" i="8"/>
  <c r="BH49" i="8" s="1"/>
  <c r="BH50" i="8" s="1"/>
  <c r="BH51" i="8" s="1"/>
  <c r="BH52" i="8" s="1"/>
  <c r="BH53" i="8" s="1"/>
  <c r="BV49" i="8"/>
  <c r="CD49" i="8" s="1"/>
  <c r="BR50" i="8"/>
  <c r="BJ48" i="8" l="1"/>
  <c r="BO51" i="8"/>
  <c r="BO52" i="8" s="1"/>
  <c r="BY50" i="8"/>
  <c r="CA50" i="8" s="1"/>
  <c r="CE50" i="8" s="1"/>
  <c r="BN48" i="8"/>
  <c r="CH48" i="8" s="1"/>
  <c r="BV50" i="8"/>
  <c r="CD50" i="8" s="1"/>
  <c r="BR51" i="8"/>
  <c r="AV50" i="8"/>
  <c r="BL49" i="8"/>
  <c r="AU50" i="8"/>
  <c r="BM49" i="8"/>
  <c r="BK48" i="8"/>
  <c r="CG48" i="8" s="1"/>
  <c r="CK48" i="8"/>
  <c r="BI48" i="8"/>
  <c r="BN49" i="8"/>
  <c r="BB50" i="8"/>
  <c r="BJ49" i="8"/>
  <c r="BW52" i="8"/>
  <c r="AR53" i="8"/>
  <c r="BW53" i="8" s="1"/>
  <c r="BX51" i="8"/>
  <c r="CF51" i="8" s="1"/>
  <c r="AT52" i="8"/>
  <c r="BA50" i="8"/>
  <c r="BK49" i="8"/>
  <c r="BI49" i="8"/>
  <c r="BU51" i="8" l="1"/>
  <c r="CJ48" i="8"/>
  <c r="CC50" i="8"/>
  <c r="BK50" i="8" s="1"/>
  <c r="BY51" i="8"/>
  <c r="CA51" i="8" s="1"/>
  <c r="CE51" i="8" s="1"/>
  <c r="CG49" i="8"/>
  <c r="CI48" i="8"/>
  <c r="Z48" i="8" s="1"/>
  <c r="CJ49" i="8"/>
  <c r="BJ50" i="8"/>
  <c r="BN50" i="8"/>
  <c r="BB51" i="8"/>
  <c r="BL50" i="8"/>
  <c r="AV51" i="8"/>
  <c r="BY52" i="8"/>
  <c r="CA52" i="8" s="1"/>
  <c r="CE52" i="8" s="1"/>
  <c r="BO53" i="8"/>
  <c r="BU52" i="8"/>
  <c r="CH49" i="8"/>
  <c r="CK49" i="8"/>
  <c r="BV51" i="8"/>
  <c r="CD51" i="8" s="1"/>
  <c r="BR52" i="8"/>
  <c r="AT53" i="8"/>
  <c r="BX53" i="8" s="1"/>
  <c r="CF53" i="8" s="1"/>
  <c r="BX52" i="8"/>
  <c r="CF52" i="8" s="1"/>
  <c r="BA51" i="8"/>
  <c r="BM50" i="8"/>
  <c r="AU51" i="8"/>
  <c r="AN48" i="8" l="1"/>
  <c r="CQ21" i="8" s="1"/>
  <c r="AK48" i="8"/>
  <c r="AJ48" i="8"/>
  <c r="BI50" i="8"/>
  <c r="CJ50" i="8" s="1"/>
  <c r="CC52" i="8"/>
  <c r="CC51" i="8"/>
  <c r="BK51" i="8" s="1"/>
  <c r="CG50" i="8"/>
  <c r="AP48" i="8"/>
  <c r="AL48" i="8"/>
  <c r="AM48" i="8"/>
  <c r="K49" i="8" s="1"/>
  <c r="M49" i="8" s="1"/>
  <c r="AO48" i="8"/>
  <c r="CR32" i="8" s="1"/>
  <c r="CI49" i="8"/>
  <c r="Z49" i="8" s="1"/>
  <c r="BV52" i="8"/>
  <c r="CD52" i="8" s="1"/>
  <c r="BR53" i="8"/>
  <c r="BV53" i="8" s="1"/>
  <c r="CD53" i="8" s="1"/>
  <c r="BM51" i="8"/>
  <c r="AU52" i="8"/>
  <c r="BY53" i="8"/>
  <c r="CA53" i="8" s="1"/>
  <c r="CE53" i="8" s="1"/>
  <c r="BU53" i="8"/>
  <c r="BJ51" i="8"/>
  <c r="BN51" i="8"/>
  <c r="BB52" i="8"/>
  <c r="AV52" i="8"/>
  <c r="BL51" i="8"/>
  <c r="CH50" i="8"/>
  <c r="CK50" i="8"/>
  <c r="BA52" i="8"/>
  <c r="BI51" i="8" l="1"/>
  <c r="CJ51" i="8" s="1"/>
  <c r="AO49" i="8"/>
  <c r="AJ49" i="8"/>
  <c r="AK49" i="8"/>
  <c r="CQ32" i="8"/>
  <c r="K53" i="8"/>
  <c r="M53" i="8" s="1"/>
  <c r="CC53" i="8"/>
  <c r="Q48" i="8"/>
  <c r="AP49" i="8"/>
  <c r="K50" i="8"/>
  <c r="M50" i="8" s="1"/>
  <c r="R48" i="8"/>
  <c r="L49" i="8"/>
  <c r="N49" i="8" s="1"/>
  <c r="N46" i="8"/>
  <c r="K52" i="8"/>
  <c r="M52" i="8" s="1"/>
  <c r="L46" i="8"/>
  <c r="AM49" i="8"/>
  <c r="I48" i="8"/>
  <c r="AL49" i="8"/>
  <c r="K48" i="8"/>
  <c r="M48" i="8" s="1"/>
  <c r="CR21" i="8"/>
  <c r="K51" i="8"/>
  <c r="M51" i="8" s="1"/>
  <c r="AN49" i="8"/>
  <c r="L53" i="8"/>
  <c r="N53" i="8" s="1"/>
  <c r="L51" i="8"/>
  <c r="N51" i="8" s="1"/>
  <c r="L50" i="8"/>
  <c r="N50" i="8" s="1"/>
  <c r="J48" i="8"/>
  <c r="L52" i="8"/>
  <c r="N52" i="8" s="1"/>
  <c r="L48" i="8"/>
  <c r="N48" i="8" s="1"/>
  <c r="CG51" i="8"/>
  <c r="CI50" i="8"/>
  <c r="Z50" i="8" s="1"/>
  <c r="BL52" i="8"/>
  <c r="AV53" i="8"/>
  <c r="BL53" i="8" s="1"/>
  <c r="BA53" i="8"/>
  <c r="BK52" i="8"/>
  <c r="BI52" i="8"/>
  <c r="BB53" i="8"/>
  <c r="BJ52" i="8"/>
  <c r="BN52" i="8"/>
  <c r="BM52" i="8"/>
  <c r="AU53" i="8"/>
  <c r="BM53" i="8" s="1"/>
  <c r="CH51" i="8"/>
  <c r="CK51" i="8"/>
  <c r="Y48" i="8" l="1"/>
  <c r="D48" i="8" s="1"/>
  <c r="E48" i="8" s="1"/>
  <c r="J49" i="8"/>
  <c r="P49" i="8" s="1"/>
  <c r="AL50" i="8"/>
  <c r="AK50" i="8"/>
  <c r="AJ50" i="8"/>
  <c r="P48" i="8"/>
  <c r="O48" i="8"/>
  <c r="R49" i="8"/>
  <c r="Q49" i="8"/>
  <c r="I49" i="8"/>
  <c r="O49" i="8" s="1"/>
  <c r="AP50" i="8"/>
  <c r="AM50" i="8"/>
  <c r="AN50" i="8"/>
  <c r="AO50" i="8"/>
  <c r="CG52" i="8"/>
  <c r="CI51" i="8"/>
  <c r="Z51" i="8" s="1"/>
  <c r="CJ52" i="8"/>
  <c r="BN53" i="8"/>
  <c r="CH53" i="8" s="1"/>
  <c r="BJ53" i="8"/>
  <c r="CK53" i="8"/>
  <c r="BK53" i="8"/>
  <c r="CG53" i="8" s="1"/>
  <c r="BI53" i="8"/>
  <c r="CK52" i="8"/>
  <c r="CH52" i="8"/>
  <c r="AL51" i="8" l="1"/>
  <c r="AJ51" i="8"/>
  <c r="AK51" i="8"/>
  <c r="AP51" i="8"/>
  <c r="J50" i="8"/>
  <c r="P50" i="8" s="1"/>
  <c r="AN51" i="8"/>
  <c r="I50" i="8"/>
  <c r="O50" i="8" s="1"/>
  <c r="Y49" i="8"/>
  <c r="D49" i="8" s="1"/>
  <c r="E49" i="8" s="1"/>
  <c r="Q50" i="8"/>
  <c r="R50" i="8"/>
  <c r="AO51" i="8"/>
  <c r="AM51" i="8"/>
  <c r="CJ53" i="8"/>
  <c r="CI52" i="8"/>
  <c r="Z52" i="8" s="1"/>
  <c r="CI53" i="8"/>
  <c r="Z53" i="8" s="1"/>
  <c r="I51" i="8" l="1"/>
  <c r="O51" i="8" s="1"/>
  <c r="AJ53" i="8"/>
  <c r="AK53" i="8"/>
  <c r="AK52" i="8"/>
  <c r="AJ52" i="8"/>
  <c r="J51" i="8"/>
  <c r="P51" i="8" s="1"/>
  <c r="Q51" i="8"/>
  <c r="Y50" i="8"/>
  <c r="D50" i="8" s="1"/>
  <c r="E50" i="8" s="1"/>
  <c r="R51" i="8"/>
  <c r="AN53" i="8"/>
  <c r="AO53" i="8"/>
  <c r="AL53" i="8"/>
  <c r="AM53" i="8"/>
  <c r="AP53" i="8"/>
  <c r="AO52" i="8"/>
  <c r="AN52" i="8"/>
  <c r="AL52" i="8"/>
  <c r="AP52" i="8"/>
  <c r="AM52" i="8"/>
  <c r="J52" i="8" l="1"/>
  <c r="P52" i="8" s="1"/>
  <c r="Y51" i="8"/>
  <c r="D51" i="8" s="1"/>
  <c r="E51" i="8" s="1"/>
  <c r="R52" i="8"/>
  <c r="J53" i="8"/>
  <c r="P53" i="8" s="1"/>
  <c r="R53" i="8"/>
  <c r="I52" i="8"/>
  <c r="O52" i="8" s="1"/>
  <c r="I53" i="8"/>
  <c r="O53" i="8" s="1"/>
  <c r="Q52" i="8"/>
  <c r="Q53" i="8"/>
  <c r="Y52" i="8" l="1"/>
  <c r="D52" i="8" s="1"/>
  <c r="E52" i="8" s="1"/>
  <c r="Y53" i="8"/>
  <c r="D53" i="8" s="1"/>
  <c r="E53" i="8" s="1"/>
  <c r="F53" i="8" s="1"/>
  <c r="F52" i="8" l="1"/>
  <c r="F51" i="8" s="1"/>
  <c r="F50" i="8" s="1"/>
  <c r="F49" i="8" s="1"/>
  <c r="F48" i="8" s="1"/>
  <c r="F54" i="8" s="1"/>
  <c r="V54" i="8" l="1"/>
  <c r="CV32" i="8" s="1"/>
  <c r="R54" i="8"/>
  <c r="E54" i="1" s="1"/>
  <c r="Z54" i="8"/>
  <c r="CO21" i="8" s="1"/>
  <c r="Q54" i="8"/>
  <c r="C54" i="1" s="1"/>
  <c r="U54" i="8"/>
  <c r="CW21" i="8" s="1"/>
  <c r="Y54" i="8"/>
  <c r="H54" i="1" s="1"/>
  <c r="N52" i="11" s="1"/>
  <c r="C14" i="20"/>
  <c r="V38" i="20" s="1"/>
  <c r="J46" i="8"/>
  <c r="DE21" i="8" s="1"/>
  <c r="DG21" i="8" s="1"/>
  <c r="I46" i="8"/>
  <c r="DD21" i="8" s="1"/>
  <c r="DF21" i="8" s="1"/>
  <c r="BU54" i="8"/>
  <c r="BX54" i="8"/>
  <c r="G14" i="20"/>
  <c r="CI54" i="8"/>
  <c r="BV54" i="8"/>
  <c r="G54" i="8"/>
  <c r="CV21" i="8" s="1"/>
  <c r="E14" i="20"/>
  <c r="F14" i="20" s="1"/>
  <c r="CS21" i="8"/>
  <c r="CS32" i="8" s="1"/>
  <c r="V46" i="8"/>
  <c r="CX21" i="8" s="1"/>
  <c r="X54" i="8"/>
  <c r="CY21" i="8" s="1"/>
  <c r="J54" i="8"/>
  <c r="BW54" i="8"/>
  <c r="I54" i="8"/>
  <c r="H54" i="8"/>
  <c r="CU32" i="8" s="1"/>
  <c r="P14" i="20"/>
  <c r="BO56" i="8"/>
  <c r="BP56" i="8"/>
  <c r="BQ56" i="8"/>
  <c r="BO58" i="8"/>
  <c r="BR58" i="8"/>
  <c r="BQ58" i="8"/>
  <c r="BQ59" i="8" s="1"/>
  <c r="BP58" i="8"/>
  <c r="BP59" i="8" s="1"/>
  <c r="AR58" i="8"/>
  <c r="DA22" i="8" s="1"/>
  <c r="AS58" i="8"/>
  <c r="CZ33" i="8" s="1"/>
  <c r="AT58" i="8"/>
  <c r="AQ58" i="8"/>
  <c r="T40" i="20" l="1"/>
  <c r="W38" i="20"/>
  <c r="W39" i="20"/>
  <c r="T38" i="20"/>
  <c r="U40" i="20"/>
  <c r="U38" i="20"/>
  <c r="W40" i="20"/>
  <c r="T41" i="20"/>
  <c r="U39" i="20"/>
  <c r="V41" i="20"/>
  <c r="T39" i="20"/>
  <c r="U41" i="20"/>
  <c r="V40" i="20"/>
  <c r="W41" i="20"/>
  <c r="V39" i="20"/>
  <c r="F54" i="1"/>
  <c r="J54" i="1"/>
  <c r="L52" i="11" s="1"/>
  <c r="M52" i="11"/>
  <c r="D54" i="1"/>
  <c r="DI21" i="8"/>
  <c r="DK21" i="8" s="1"/>
  <c r="G54" i="1"/>
  <c r="CT32" i="8"/>
  <c r="CU21" i="8"/>
  <c r="CP21" i="8"/>
  <c r="BC58" i="8"/>
  <c r="BC59" i="8" s="1"/>
  <c r="BC60" i="8" s="1"/>
  <c r="BC61" i="8" s="1"/>
  <c r="BC62" i="8" s="1"/>
  <c r="BC63" i="8" s="1"/>
  <c r="BW58" i="8"/>
  <c r="AR59" i="8"/>
  <c r="AR60" i="8" s="1"/>
  <c r="AR61" i="8" s="1"/>
  <c r="BA58" i="8"/>
  <c r="BA59" i="8" s="1"/>
  <c r="BP60" i="8"/>
  <c r="BR59" i="8"/>
  <c r="BV58" i="8"/>
  <c r="BU58" i="8"/>
  <c r="AT59" i="8"/>
  <c r="DA33" i="8"/>
  <c r="AX58" i="8"/>
  <c r="AX59" i="8" s="1"/>
  <c r="AX60" i="8" s="1"/>
  <c r="AX61" i="8" s="1"/>
  <c r="AX62" i="8" s="1"/>
  <c r="AX63" i="8" s="1"/>
  <c r="BX58" i="8"/>
  <c r="AU58" i="8"/>
  <c r="AQ59" i="8"/>
  <c r="AQ60" i="8" s="1"/>
  <c r="AQ61" i="8" s="1"/>
  <c r="AQ62" i="8" s="1"/>
  <c r="AQ63" i="8" s="1"/>
  <c r="CZ22" i="8"/>
  <c r="AW58" i="8"/>
  <c r="AW59" i="8" s="1"/>
  <c r="AW60" i="8" s="1"/>
  <c r="AW61" i="8" s="1"/>
  <c r="AW62" i="8" s="1"/>
  <c r="AW63" i="8" s="1"/>
  <c r="AZ58" i="8"/>
  <c r="AS59" i="8"/>
  <c r="AS60" i="8" s="1"/>
  <c r="AS61" i="8" s="1"/>
  <c r="AS62" i="8" s="1"/>
  <c r="AS63" i="8" s="1"/>
  <c r="BB58" i="8"/>
  <c r="AY58" i="8"/>
  <c r="BZ59" i="8"/>
  <c r="CB59" i="8" s="1"/>
  <c r="BQ60" i="8"/>
  <c r="BY58" i="8"/>
  <c r="CA58" i="8" s="1"/>
  <c r="BO59" i="8"/>
  <c r="BU59" i="8" s="1"/>
  <c r="BZ58" i="8"/>
  <c r="CB58" i="8" s="1"/>
  <c r="BD58" i="8"/>
  <c r="BD59" i="8" s="1"/>
  <c r="BD60" i="8" s="1"/>
  <c r="BD61" i="8" s="1"/>
  <c r="BD62" i="8" s="1"/>
  <c r="BD63" i="8" s="1"/>
  <c r="AV58" i="8"/>
  <c r="X39" i="20" l="1"/>
  <c r="X38" i="20"/>
  <c r="N14" i="20" s="1"/>
  <c r="X41" i="20"/>
  <c r="X40" i="20"/>
  <c r="DJ21" i="8"/>
  <c r="CE58" i="8"/>
  <c r="BM58" i="8" s="1"/>
  <c r="CF58" i="8"/>
  <c r="BL58" i="8" s="1"/>
  <c r="CC58" i="8"/>
  <c r="CD58" i="8"/>
  <c r="BG58" i="8"/>
  <c r="BG59" i="8" s="1"/>
  <c r="BG60" i="8" s="1"/>
  <c r="BG61" i="8" s="1"/>
  <c r="BG62" i="8" s="1"/>
  <c r="BG63" i="8" s="1"/>
  <c r="BW59" i="8"/>
  <c r="BZ60" i="8"/>
  <c r="CB60" i="8" s="1"/>
  <c r="BQ61" i="8"/>
  <c r="AU59" i="8"/>
  <c r="BW61" i="8"/>
  <c r="AR62" i="8"/>
  <c r="AT60" i="8"/>
  <c r="BX59" i="8"/>
  <c r="CF59" i="8" s="1"/>
  <c r="BR60" i="8"/>
  <c r="BV59" i="8"/>
  <c r="CD59" i="8" s="1"/>
  <c r="BB59" i="8"/>
  <c r="BH58" i="8"/>
  <c r="BH59" i="8" s="1"/>
  <c r="BH60" i="8" s="1"/>
  <c r="BH61" i="8" s="1"/>
  <c r="BH62" i="8" s="1"/>
  <c r="BH63" i="8" s="1"/>
  <c r="BA60" i="8"/>
  <c r="BY59" i="8"/>
  <c r="CA59" i="8" s="1"/>
  <c r="CC59" i="8" s="1"/>
  <c r="BO60" i="8"/>
  <c r="BU60" i="8" s="1"/>
  <c r="AV59" i="8"/>
  <c r="BE58" i="8"/>
  <c r="BE59" i="8" s="1"/>
  <c r="BE60" i="8" s="1"/>
  <c r="BE61" i="8" s="1"/>
  <c r="BE62" i="8" s="1"/>
  <c r="BE63" i="8" s="1"/>
  <c r="AY59" i="8"/>
  <c r="AY60" i="8" s="1"/>
  <c r="AY61" i="8" s="1"/>
  <c r="AY62" i="8" s="1"/>
  <c r="AY63" i="8" s="1"/>
  <c r="AZ59" i="8"/>
  <c r="AZ60" i="8" s="1"/>
  <c r="AZ61" i="8" s="1"/>
  <c r="AZ62" i="8" s="1"/>
  <c r="AZ63" i="8" s="1"/>
  <c r="BF58" i="8"/>
  <c r="BF59" i="8" s="1"/>
  <c r="BF60" i="8" s="1"/>
  <c r="BF61" i="8" s="1"/>
  <c r="BF62" i="8" s="1"/>
  <c r="BF63" i="8" s="1"/>
  <c r="BW60" i="8"/>
  <c r="BP61" i="8"/>
  <c r="O14" i="20" l="1"/>
  <c r="H14" i="20" s="1"/>
  <c r="CE59" i="8"/>
  <c r="BM59" i="8" s="1"/>
  <c r="AT61" i="8"/>
  <c r="BX60" i="8"/>
  <c r="CF60" i="8" s="1"/>
  <c r="AU60" i="8"/>
  <c r="BZ61" i="8"/>
  <c r="CB61" i="8" s="1"/>
  <c r="BQ62" i="8"/>
  <c r="BP62" i="8"/>
  <c r="BI59" i="8"/>
  <c r="BJ58" i="8"/>
  <c r="BV60" i="8"/>
  <c r="CD60" i="8" s="1"/>
  <c r="BR61" i="8"/>
  <c r="BK58" i="8"/>
  <c r="CG58" i="8" s="1"/>
  <c r="AV60" i="8"/>
  <c r="BL59" i="8"/>
  <c r="BA61" i="8"/>
  <c r="BJ59" i="8"/>
  <c r="BB60" i="8"/>
  <c r="BN59" i="8"/>
  <c r="AR63" i="8"/>
  <c r="BW63" i="8" s="1"/>
  <c r="BW62" i="8"/>
  <c r="BO61" i="8"/>
  <c r="BY60" i="8"/>
  <c r="CA60" i="8" s="1"/>
  <c r="CC60" i="8" s="1"/>
  <c r="BK59" i="8"/>
  <c r="BN58" i="8"/>
  <c r="CH58" i="8" s="1"/>
  <c r="CK58" i="8"/>
  <c r="BI58" i="8"/>
  <c r="K54" i="1" l="1"/>
  <c r="I14" i="20"/>
  <c r="BK60" i="8"/>
  <c r="BI60" i="8"/>
  <c r="CE60" i="8"/>
  <c r="BM60" i="8" s="1"/>
  <c r="CJ58" i="8"/>
  <c r="CI58" i="8"/>
  <c r="Z58" i="8" s="1"/>
  <c r="BY61" i="8"/>
  <c r="CA61" i="8" s="1"/>
  <c r="CE61" i="8" s="1"/>
  <c r="BO62" i="8"/>
  <c r="BU62" i="8" s="1"/>
  <c r="BN60" i="8"/>
  <c r="BJ60" i="8"/>
  <c r="BB61" i="8"/>
  <c r="BU61" i="8"/>
  <c r="AU61" i="8"/>
  <c r="CG59" i="8"/>
  <c r="BL60" i="8"/>
  <c r="AV61" i="8"/>
  <c r="BZ62" i="8"/>
  <c r="CB62" i="8" s="1"/>
  <c r="BQ63" i="8"/>
  <c r="BZ63" i="8" s="1"/>
  <c r="CB63" i="8" s="1"/>
  <c r="BR62" i="8"/>
  <c r="BV61" i="8"/>
  <c r="CD61" i="8" s="1"/>
  <c r="BP63" i="8"/>
  <c r="CH59" i="8"/>
  <c r="CK59" i="8"/>
  <c r="BA62" i="8"/>
  <c r="CJ59" i="8"/>
  <c r="AT62" i="8"/>
  <c r="BX61" i="8"/>
  <c r="CF61" i="8" s="1"/>
  <c r="CJ60" i="8" l="1"/>
  <c r="AK58" i="8"/>
  <c r="AJ58" i="8"/>
  <c r="CG60" i="8"/>
  <c r="CC61" i="8"/>
  <c r="BK61" i="8" s="1"/>
  <c r="CI59" i="8"/>
  <c r="Z59" i="8" s="1"/>
  <c r="CH60" i="8"/>
  <c r="CK60" i="8"/>
  <c r="AT63" i="8"/>
  <c r="BX63" i="8" s="1"/>
  <c r="CF63" i="8" s="1"/>
  <c r="BX62" i="8"/>
  <c r="CF62" i="8" s="1"/>
  <c r="BY62" i="8"/>
  <c r="CA62" i="8" s="1"/>
  <c r="CE62" i="8" s="1"/>
  <c r="BO63" i="8"/>
  <c r="BY63" i="8" s="1"/>
  <c r="CA63" i="8" s="1"/>
  <c r="CE63" i="8" s="1"/>
  <c r="BN61" i="8"/>
  <c r="BJ61" i="8"/>
  <c r="BB62" i="8"/>
  <c r="BA63" i="8"/>
  <c r="BR63" i="8"/>
  <c r="BV63" i="8" s="1"/>
  <c r="CD63" i="8" s="1"/>
  <c r="BV62" i="8"/>
  <c r="CD62" i="8" s="1"/>
  <c r="AV62" i="8"/>
  <c r="BL61" i="8"/>
  <c r="AU62" i="8"/>
  <c r="BM61" i="8"/>
  <c r="AN58" i="8"/>
  <c r="AP58" i="8"/>
  <c r="AO58" i="8"/>
  <c r="AL58" i="8"/>
  <c r="AM58" i="8"/>
  <c r="AJ59" i="8" l="1"/>
  <c r="AK59" i="8"/>
  <c r="CG61" i="8"/>
  <c r="BI61" i="8"/>
  <c r="CJ61" i="8" s="1"/>
  <c r="CC62" i="8"/>
  <c r="AN59" i="8"/>
  <c r="AM59" i="8"/>
  <c r="AL59" i="8"/>
  <c r="AO59" i="8"/>
  <c r="AP59" i="8"/>
  <c r="CI60" i="8"/>
  <c r="Z60" i="8" s="1"/>
  <c r="BU63" i="8"/>
  <c r="CC63" i="8" s="1"/>
  <c r="BI63" i="8" s="1"/>
  <c r="Q58" i="8"/>
  <c r="CR22" i="8"/>
  <c r="K62" i="8"/>
  <c r="M62" i="8" s="1"/>
  <c r="K63" i="8"/>
  <c r="M63" i="8" s="1"/>
  <c r="L56" i="8"/>
  <c r="K60" i="8"/>
  <c r="M60" i="8" s="1"/>
  <c r="K58" i="8"/>
  <c r="M58" i="8" s="1"/>
  <c r="K59" i="8"/>
  <c r="M59" i="8" s="1"/>
  <c r="K61" i="8"/>
  <c r="M61" i="8" s="1"/>
  <c r="BM62" i="8"/>
  <c r="AU63" i="8"/>
  <c r="BM63" i="8" s="1"/>
  <c r="J58" i="8"/>
  <c r="CQ33" i="8"/>
  <c r="CH61" i="8"/>
  <c r="CK61" i="8"/>
  <c r="CR33" i="8"/>
  <c r="L61" i="8"/>
  <c r="N61" i="8" s="1"/>
  <c r="L63" i="8"/>
  <c r="N63" i="8" s="1"/>
  <c r="L58" i="8"/>
  <c r="N58" i="8" s="1"/>
  <c r="L62" i="8"/>
  <c r="N62" i="8" s="1"/>
  <c r="L59" i="8"/>
  <c r="N59" i="8" s="1"/>
  <c r="N56" i="8"/>
  <c r="L60" i="8"/>
  <c r="N60" i="8" s="1"/>
  <c r="BN62" i="8"/>
  <c r="BB63" i="8"/>
  <c r="BJ62" i="8"/>
  <c r="R58" i="8"/>
  <c r="CQ22" i="8"/>
  <c r="I58" i="8"/>
  <c r="BL62" i="8"/>
  <c r="AV63" i="8"/>
  <c r="BL63" i="8" s="1"/>
  <c r="O58" i="8" l="1"/>
  <c r="BK63" i="8"/>
  <c r="CG63" i="8" s="1"/>
  <c r="Q59" i="8"/>
  <c r="R59" i="8"/>
  <c r="AP60" i="8"/>
  <c r="AK60" i="8"/>
  <c r="AJ60" i="8"/>
  <c r="Y58" i="8"/>
  <c r="D58" i="8" s="1"/>
  <c r="E58" i="8" s="1"/>
  <c r="P58" i="8"/>
  <c r="BK62" i="8"/>
  <c r="CG62" i="8" s="1"/>
  <c r="BI62" i="8"/>
  <c r="CJ62" i="8" s="1"/>
  <c r="I59" i="8"/>
  <c r="O59" i="8" s="1"/>
  <c r="J59" i="8"/>
  <c r="P59" i="8" s="1"/>
  <c r="AN60" i="8"/>
  <c r="AL60" i="8"/>
  <c r="AO60" i="8"/>
  <c r="AM60" i="8"/>
  <c r="CI61" i="8"/>
  <c r="Z61" i="8" s="1"/>
  <c r="CK63" i="8"/>
  <c r="BJ63" i="8"/>
  <c r="CJ63" i="8" s="1"/>
  <c r="BN63" i="8"/>
  <c r="CH63" i="8" s="1"/>
  <c r="CH62" i="8"/>
  <c r="CK62" i="8"/>
  <c r="J60" i="8" l="1"/>
  <c r="P60" i="8" s="1"/>
  <c r="Y59" i="8"/>
  <c r="D59" i="8" s="1"/>
  <c r="E59" i="8" s="1"/>
  <c r="AO61" i="8"/>
  <c r="AJ61" i="8"/>
  <c r="AK61" i="8"/>
  <c r="R60" i="8"/>
  <c r="Q60" i="8"/>
  <c r="I60" i="8"/>
  <c r="O60" i="8" s="1"/>
  <c r="CI62" i="8"/>
  <c r="Z62" i="8" s="1"/>
  <c r="AL61" i="8"/>
  <c r="AN61" i="8"/>
  <c r="AP61" i="8"/>
  <c r="AM61" i="8"/>
  <c r="CI63" i="8"/>
  <c r="Z63" i="8" s="1"/>
  <c r="J61" i="8" l="1"/>
  <c r="P61" i="8" s="1"/>
  <c r="AJ63" i="8"/>
  <c r="AK63" i="8"/>
  <c r="AP62" i="8"/>
  <c r="AK62" i="8"/>
  <c r="AJ62" i="8"/>
  <c r="Y60" i="8"/>
  <c r="D60" i="8" s="1"/>
  <c r="E60" i="8" s="1"/>
  <c r="AM62" i="8"/>
  <c r="AN62" i="8"/>
  <c r="AL62" i="8"/>
  <c r="AO62" i="8"/>
  <c r="Q61" i="8"/>
  <c r="I61" i="8"/>
  <c r="O61" i="8" s="1"/>
  <c r="R61" i="8"/>
  <c r="AL63" i="8"/>
  <c r="AM63" i="8"/>
  <c r="AO63" i="8"/>
  <c r="AN63" i="8"/>
  <c r="AP63" i="8"/>
  <c r="J62" i="8" l="1"/>
  <c r="P62" i="8" s="1"/>
  <c r="Q62" i="8"/>
  <c r="I62" i="8"/>
  <c r="O62" i="8" s="1"/>
  <c r="R62" i="8"/>
  <c r="Y61" i="8"/>
  <c r="D61" i="8" s="1"/>
  <c r="E61" i="8" s="1"/>
  <c r="J63" i="8"/>
  <c r="P63" i="8" s="1"/>
  <c r="Q63" i="8"/>
  <c r="I63" i="8"/>
  <c r="O63" i="8" s="1"/>
  <c r="R63" i="8"/>
  <c r="Y62" i="8" l="1"/>
  <c r="D62" i="8" s="1"/>
  <c r="E62" i="8" s="1"/>
  <c r="Y63" i="8"/>
  <c r="D63" i="8" s="1"/>
  <c r="E63" i="8" s="1"/>
  <c r="F63" i="8" s="1"/>
  <c r="F62" i="8" l="1"/>
  <c r="F61" i="8" s="1"/>
  <c r="F60" i="8" s="1"/>
  <c r="F59" i="8" s="1"/>
  <c r="F58" i="8" s="1"/>
  <c r="F64" i="8" s="1"/>
  <c r="BO66" i="8"/>
  <c r="BO68" i="8"/>
  <c r="BO69" i="8" s="1"/>
  <c r="BY69" i="8" s="1"/>
  <c r="CA69" i="8" s="1"/>
  <c r="BP68" i="8"/>
  <c r="AR68" i="8"/>
  <c r="AQ68" i="8"/>
  <c r="BU68" i="8" l="1"/>
  <c r="Q64" i="8"/>
  <c r="C55" i="1" s="1"/>
  <c r="R64" i="8"/>
  <c r="E55" i="1" s="1"/>
  <c r="Y64" i="8"/>
  <c r="H55" i="1" s="1"/>
  <c r="Z64" i="8"/>
  <c r="V64" i="8"/>
  <c r="U64" i="8"/>
  <c r="D55" i="1" s="1"/>
  <c r="I56" i="8"/>
  <c r="DD22" i="8" s="1"/>
  <c r="DF22" i="8" s="1"/>
  <c r="J56" i="8"/>
  <c r="DE22" i="8" s="1"/>
  <c r="DG22" i="8" s="1"/>
  <c r="I64" i="8"/>
  <c r="BU64" i="8"/>
  <c r="H64" i="8"/>
  <c r="CU33" i="8" s="1"/>
  <c r="CS22" i="8"/>
  <c r="E15" i="20"/>
  <c r="F15" i="20" s="1"/>
  <c r="G15" i="20"/>
  <c r="P15" i="20"/>
  <c r="V56" i="8"/>
  <c r="CX22" i="8" s="1"/>
  <c r="C15" i="20"/>
  <c r="BW64" i="8"/>
  <c r="BX64" i="8"/>
  <c r="X64" i="8"/>
  <c r="CY22" i="8" s="1"/>
  <c r="G64" i="8"/>
  <c r="CV22" i="8" s="1"/>
  <c r="CI64" i="8"/>
  <c r="BV64" i="8"/>
  <c r="J64" i="8"/>
  <c r="BO70" i="8"/>
  <c r="BP69" i="8"/>
  <c r="BY68" i="8"/>
  <c r="CA68" i="8" s="1"/>
  <c r="CZ23" i="8"/>
  <c r="G20" i="19" s="1"/>
  <c r="G13" i="19" s="1"/>
  <c r="BC68" i="8"/>
  <c r="BC69" i="8" s="1"/>
  <c r="BC70" i="8" s="1"/>
  <c r="BC71" i="8" s="1"/>
  <c r="BC72" i="8" s="1"/>
  <c r="BC73" i="8" s="1"/>
  <c r="AQ69" i="8"/>
  <c r="AQ70" i="8" s="1"/>
  <c r="AQ71" i="8" s="1"/>
  <c r="AQ72" i="8" s="1"/>
  <c r="AQ73" i="8" s="1"/>
  <c r="AU68" i="8"/>
  <c r="BA68" i="8"/>
  <c r="AW68" i="8"/>
  <c r="AW69" i="8" s="1"/>
  <c r="AW70" i="8" s="1"/>
  <c r="AW71" i="8" s="1"/>
  <c r="AW72" i="8" s="1"/>
  <c r="AW73" i="8" s="1"/>
  <c r="AR69" i="8"/>
  <c r="BW68" i="8"/>
  <c r="DA23" i="8"/>
  <c r="G21" i="19" s="1"/>
  <c r="AY68" i="8"/>
  <c r="CC68" i="8" l="1"/>
  <c r="CE68" i="8"/>
  <c r="BM68" i="8" s="1"/>
  <c r="CW22" i="8"/>
  <c r="CO22" i="8"/>
  <c r="CU22" i="8" s="1"/>
  <c r="G55" i="1"/>
  <c r="BR56" i="8" s="1"/>
  <c r="V42" i="20"/>
  <c r="T43" i="20"/>
  <c r="V44" i="20"/>
  <c r="U42" i="20"/>
  <c r="W45" i="20"/>
  <c r="U45" i="20"/>
  <c r="W43" i="20"/>
  <c r="V43" i="20"/>
  <c r="T45" i="20"/>
  <c r="T42" i="20"/>
  <c r="U44" i="20"/>
  <c r="T44" i="20"/>
  <c r="V45" i="20"/>
  <c r="W42" i="20"/>
  <c r="W44" i="20"/>
  <c r="U43" i="20"/>
  <c r="CS33" i="8"/>
  <c r="DI22" i="8"/>
  <c r="N51" i="11"/>
  <c r="J55" i="1"/>
  <c r="L51" i="11" s="1"/>
  <c r="M51" i="11"/>
  <c r="F55" i="1"/>
  <c r="CV33" i="8"/>
  <c r="BW69" i="8"/>
  <c r="CE69" i="8" s="1"/>
  <c r="AR70" i="8"/>
  <c r="AU69" i="8"/>
  <c r="AY69" i="8"/>
  <c r="AY70" i="8" s="1"/>
  <c r="AY71" i="8" s="1"/>
  <c r="AY72" i="8" s="1"/>
  <c r="AY73" i="8" s="1"/>
  <c r="BE68" i="8"/>
  <c r="BE69" i="8" s="1"/>
  <c r="BE70" i="8" s="1"/>
  <c r="BE71" i="8" s="1"/>
  <c r="BE72" i="8" s="1"/>
  <c r="BE73" i="8" s="1"/>
  <c r="BP70" i="8"/>
  <c r="BU69" i="8"/>
  <c r="CC69" i="8" s="1"/>
  <c r="BG68" i="8"/>
  <c r="BG69" i="8" s="1"/>
  <c r="BG70" i="8" s="1"/>
  <c r="BG71" i="8" s="1"/>
  <c r="BG72" i="8" s="1"/>
  <c r="BG73" i="8" s="1"/>
  <c r="BA69" i="8"/>
  <c r="BY70" i="8"/>
  <c r="CA70" i="8" s="1"/>
  <c r="BO71" i="8"/>
  <c r="BK68" i="8" l="1"/>
  <c r="CG68" i="8" s="1"/>
  <c r="CP22" i="8"/>
  <c r="X43" i="20"/>
  <c r="CT33" i="8"/>
  <c r="X44" i="20"/>
  <c r="X42" i="20"/>
  <c r="N15" i="20" s="1"/>
  <c r="X45" i="20"/>
  <c r="DK22" i="8"/>
  <c r="DJ22" i="8"/>
  <c r="BI68" i="8"/>
  <c r="CJ68" i="8" s="1"/>
  <c r="CH68" i="8"/>
  <c r="CK68" i="8"/>
  <c r="BI69" i="8"/>
  <c r="CJ69" i="8" s="1"/>
  <c r="BA70" i="8"/>
  <c r="BK69" i="8"/>
  <c r="CG69" i="8" s="1"/>
  <c r="BP71" i="8"/>
  <c r="BU70" i="8"/>
  <c r="CC70" i="8" s="1"/>
  <c r="AU70" i="8"/>
  <c r="BM69" i="8"/>
  <c r="BY71" i="8"/>
  <c r="CA71" i="8" s="1"/>
  <c r="BO72" i="8"/>
  <c r="AR71" i="8"/>
  <c r="BW70" i="8"/>
  <c r="CE70" i="8" s="1"/>
  <c r="O15" i="20" l="1"/>
  <c r="H15" i="20" s="1"/>
  <c r="CI68" i="8"/>
  <c r="Z68" i="8" s="1"/>
  <c r="BW71" i="8"/>
  <c r="CE71" i="8" s="1"/>
  <c r="AR72" i="8"/>
  <c r="BM70" i="8"/>
  <c r="AU71" i="8"/>
  <c r="BI70" i="8"/>
  <c r="CJ70" i="8" s="1"/>
  <c r="BK70" i="8"/>
  <c r="CG70" i="8" s="1"/>
  <c r="BA71" i="8"/>
  <c r="BY72" i="8"/>
  <c r="CA72" i="8" s="1"/>
  <c r="BO73" i="8"/>
  <c r="BY73" i="8" s="1"/>
  <c r="CA73" i="8" s="1"/>
  <c r="BU71" i="8"/>
  <c r="CC71" i="8" s="1"/>
  <c r="BP72" i="8"/>
  <c r="CH69" i="8"/>
  <c r="CK69" i="8"/>
  <c r="K55" i="1" l="1"/>
  <c r="I15" i="20"/>
  <c r="AO68" i="8"/>
  <c r="CR34" i="8" s="1"/>
  <c r="AK68" i="8"/>
  <c r="AJ68" i="8"/>
  <c r="AM68" i="8"/>
  <c r="CR23" i="8" s="1"/>
  <c r="AN68" i="8"/>
  <c r="AP68" i="8"/>
  <c r="AL68" i="8"/>
  <c r="CI69" i="8"/>
  <c r="Z69" i="8" s="1"/>
  <c r="BM71" i="8"/>
  <c r="AU72" i="8"/>
  <c r="BU72" i="8"/>
  <c r="CC72" i="8" s="1"/>
  <c r="BP73" i="8"/>
  <c r="BU73" i="8" s="1"/>
  <c r="CC73" i="8" s="1"/>
  <c r="BA72" i="8"/>
  <c r="BI71" i="8"/>
  <c r="CJ71" i="8" s="1"/>
  <c r="BK71" i="8"/>
  <c r="CG71" i="8" s="1"/>
  <c r="CK70" i="8"/>
  <c r="CH70" i="8"/>
  <c r="BW72" i="8"/>
  <c r="CE72" i="8" s="1"/>
  <c r="AR73" i="8"/>
  <c r="BW73" i="8" s="1"/>
  <c r="CE73" i="8" s="1"/>
  <c r="L72" i="8" l="1"/>
  <c r="N72" i="8" s="1"/>
  <c r="L73" i="8"/>
  <c r="N73" i="8" s="1"/>
  <c r="L69" i="8"/>
  <c r="N69" i="8" s="1"/>
  <c r="L71" i="8"/>
  <c r="N71" i="8" s="1"/>
  <c r="L68" i="8"/>
  <c r="N68" i="8" s="1"/>
  <c r="L70" i="8"/>
  <c r="N70" i="8" s="1"/>
  <c r="K68" i="8"/>
  <c r="M68" i="8" s="1"/>
  <c r="AL69" i="8"/>
  <c r="AJ69" i="8"/>
  <c r="AK69" i="8"/>
  <c r="CQ34" i="8"/>
  <c r="CQ23" i="8"/>
  <c r="K69" i="8"/>
  <c r="M69" i="8" s="1"/>
  <c r="K71" i="8"/>
  <c r="M71" i="8" s="1"/>
  <c r="R68" i="8"/>
  <c r="K72" i="8"/>
  <c r="M72" i="8" s="1"/>
  <c r="K70" i="8"/>
  <c r="M70" i="8" s="1"/>
  <c r="K73" i="8"/>
  <c r="M73" i="8" s="1"/>
  <c r="Q68" i="8"/>
  <c r="L66" i="8"/>
  <c r="I68" i="8"/>
  <c r="O68" i="8" s="1"/>
  <c r="N66" i="8"/>
  <c r="J68" i="8"/>
  <c r="AO69" i="8"/>
  <c r="AN69" i="8"/>
  <c r="AM69" i="8"/>
  <c r="AP69" i="8"/>
  <c r="CI70" i="8"/>
  <c r="Z70" i="8" s="1"/>
  <c r="BK72" i="8"/>
  <c r="CG72" i="8" s="1"/>
  <c r="BA73" i="8"/>
  <c r="BI72" i="8"/>
  <c r="CJ72" i="8" s="1"/>
  <c r="BM72" i="8"/>
  <c r="AU73" i="8"/>
  <c r="BM73" i="8" s="1"/>
  <c r="CK71" i="8"/>
  <c r="CH71" i="8"/>
  <c r="Y68" i="8" l="1"/>
  <c r="D68" i="8" s="1"/>
  <c r="E68" i="8" s="1"/>
  <c r="P68" i="8"/>
  <c r="AK70" i="8"/>
  <c r="AJ70" i="8"/>
  <c r="J69" i="8"/>
  <c r="P69" i="8" s="1"/>
  <c r="I69" i="8"/>
  <c r="O69" i="8" s="1"/>
  <c r="R69" i="8"/>
  <c r="Q69" i="8"/>
  <c r="CH72" i="8"/>
  <c r="CK72" i="8"/>
  <c r="AL70" i="8"/>
  <c r="AM70" i="8"/>
  <c r="AP70" i="8"/>
  <c r="AN70" i="8"/>
  <c r="AO70" i="8"/>
  <c r="CH73" i="8"/>
  <c r="CK73" i="8"/>
  <c r="CI71" i="8"/>
  <c r="Z71" i="8" s="1"/>
  <c r="BK73" i="8"/>
  <c r="CG73" i="8" s="1"/>
  <c r="BI73" i="8"/>
  <c r="CJ73" i="8" s="1"/>
  <c r="J70" i="8" l="1"/>
  <c r="P70" i="8" s="1"/>
  <c r="AJ71" i="8"/>
  <c r="AK71" i="8"/>
  <c r="Y69" i="8"/>
  <c r="D69" i="8" s="1"/>
  <c r="E69" i="8" s="1"/>
  <c r="I70" i="8"/>
  <c r="O70" i="8" s="1"/>
  <c r="CI72" i="8"/>
  <c r="Z72" i="8" s="1"/>
  <c r="CI73" i="8"/>
  <c r="Z73" i="8" s="1"/>
  <c r="R70" i="8"/>
  <c r="Q70" i="8"/>
  <c r="AN71" i="8"/>
  <c r="AO71" i="8"/>
  <c r="AL71" i="8"/>
  <c r="AP71" i="8"/>
  <c r="AM71" i="8"/>
  <c r="AO73" i="8" l="1"/>
  <c r="AJ73" i="8"/>
  <c r="AK73" i="8"/>
  <c r="AN72" i="8"/>
  <c r="AK72" i="8"/>
  <c r="AJ72" i="8"/>
  <c r="AM72" i="8"/>
  <c r="AO72" i="8"/>
  <c r="AP72" i="8"/>
  <c r="AL72" i="8"/>
  <c r="AN73" i="8"/>
  <c r="Y70" i="8"/>
  <c r="D70" i="8" s="1"/>
  <c r="E70" i="8" s="1"/>
  <c r="AP73" i="8"/>
  <c r="AL73" i="8"/>
  <c r="AM73" i="8"/>
  <c r="J71" i="8"/>
  <c r="P71" i="8" s="1"/>
  <c r="R71" i="8"/>
  <c r="Q71" i="8"/>
  <c r="I71" i="8"/>
  <c r="O71" i="8" s="1"/>
  <c r="I72" i="8" l="1"/>
  <c r="O72" i="8" s="1"/>
  <c r="J73" i="8"/>
  <c r="P73" i="8" s="1"/>
  <c r="J72" i="8"/>
  <c r="P72" i="8" s="1"/>
  <c r="Q72" i="8"/>
  <c r="R72" i="8"/>
  <c r="I73" i="8"/>
  <c r="O73" i="8" s="1"/>
  <c r="Q73" i="8"/>
  <c r="R73" i="8"/>
  <c r="Y71" i="8"/>
  <c r="D71" i="8" s="1"/>
  <c r="E71" i="8" s="1"/>
  <c r="Y72" i="8" l="1"/>
  <c r="D72" i="8" s="1"/>
  <c r="E72" i="8" s="1"/>
  <c r="Y73" i="8"/>
  <c r="D73" i="8" s="1"/>
  <c r="E73" i="8" s="1"/>
  <c r="F73" i="8" s="1"/>
  <c r="F72" i="8" l="1"/>
  <c r="F71" i="8" s="1"/>
  <c r="F70" i="8" s="1"/>
  <c r="F69" i="8" s="1"/>
  <c r="F68" i="8" s="1"/>
  <c r="BQ26" i="8"/>
  <c r="BO26" i="8"/>
  <c r="BP26" i="8"/>
  <c r="BR28" i="8"/>
  <c r="BR29" i="8" s="1"/>
  <c r="AR28" i="8"/>
  <c r="AT28" i="8"/>
  <c r="BQ28" i="8"/>
  <c r="BZ28" i="8" s="1"/>
  <c r="CB28" i="8" s="1"/>
  <c r="BO28" i="8"/>
  <c r="BY28" i="8" s="1"/>
  <c r="CA28" i="8" s="1"/>
  <c r="BP28" i="8"/>
  <c r="AS28" i="8"/>
  <c r="AQ28" i="8"/>
  <c r="F74" i="8" l="1"/>
  <c r="BU28" i="8"/>
  <c r="CC28" i="8" s="1"/>
  <c r="BQ29" i="8"/>
  <c r="BZ29" i="8" s="1"/>
  <c r="CB29" i="8" s="1"/>
  <c r="BO29" i="8"/>
  <c r="AY28" i="8"/>
  <c r="AY29" i="8" s="1"/>
  <c r="AY30" i="8" s="1"/>
  <c r="AY31" i="8" s="1"/>
  <c r="AY32" i="8" s="1"/>
  <c r="AY33" i="8" s="1"/>
  <c r="AS29" i="8"/>
  <c r="AS30" i="8" s="1"/>
  <c r="AS31" i="8" s="1"/>
  <c r="AS32" i="8" s="1"/>
  <c r="AS33" i="8" s="1"/>
  <c r="BP29" i="8"/>
  <c r="AZ28" i="8"/>
  <c r="BF28" i="8" s="1"/>
  <c r="BF29" i="8" s="1"/>
  <c r="BF30" i="8" s="1"/>
  <c r="BF31" i="8" s="1"/>
  <c r="BF32" i="8" s="1"/>
  <c r="BF33" i="8" s="1"/>
  <c r="AU28" i="8"/>
  <c r="CZ19" i="8"/>
  <c r="AQ29" i="8"/>
  <c r="AQ30" i="8" s="1"/>
  <c r="AQ31" i="8" s="1"/>
  <c r="AQ32" i="8" s="1"/>
  <c r="AQ33" i="8" s="1"/>
  <c r="AW28" i="8"/>
  <c r="AW29" i="8" s="1"/>
  <c r="AW30" i="8" s="1"/>
  <c r="AW31" i="8" s="1"/>
  <c r="AW32" i="8" s="1"/>
  <c r="AW33" i="8" s="1"/>
  <c r="BA28" i="8"/>
  <c r="CZ30" i="8"/>
  <c r="AV28" i="8"/>
  <c r="AX28" i="8"/>
  <c r="AX29" i="8" s="1"/>
  <c r="AX30" i="8" s="1"/>
  <c r="AX31" i="8" s="1"/>
  <c r="AX32" i="8" s="1"/>
  <c r="AX33" i="8" s="1"/>
  <c r="BD28" i="8"/>
  <c r="BD29" i="8" s="1"/>
  <c r="BD30" i="8" s="1"/>
  <c r="BD31" i="8" s="1"/>
  <c r="BD32" i="8" s="1"/>
  <c r="BD33" i="8" s="1"/>
  <c r="BB28" i="8"/>
  <c r="BR30" i="8"/>
  <c r="BC28" i="8"/>
  <c r="BC29" i="8" s="1"/>
  <c r="BC30" i="8" s="1"/>
  <c r="BC31" i="8" s="1"/>
  <c r="BC32" i="8" s="1"/>
  <c r="BC33" i="8" s="1"/>
  <c r="AT29" i="8"/>
  <c r="DA30" i="8"/>
  <c r="BX28" i="8"/>
  <c r="CF28" i="8" s="1"/>
  <c r="DA19" i="8"/>
  <c r="BW28" i="8"/>
  <c r="CE28" i="8" s="1"/>
  <c r="AR29" i="8"/>
  <c r="BV28" i="8"/>
  <c r="CD28" i="8" s="1"/>
  <c r="BE28" i="8" l="1"/>
  <c r="BE29" i="8" s="1"/>
  <c r="BE30" i="8" s="1"/>
  <c r="BE31" i="8" s="1"/>
  <c r="BE32" i="8" s="1"/>
  <c r="BE33" i="8" s="1"/>
  <c r="V74" i="8"/>
  <c r="F56" i="1" s="1"/>
  <c r="R74" i="8"/>
  <c r="E56" i="1" s="1"/>
  <c r="Z74" i="8"/>
  <c r="Q74" i="8"/>
  <c r="C56" i="1" s="1"/>
  <c r="U74" i="8"/>
  <c r="Y74" i="8"/>
  <c r="H56" i="1" s="1"/>
  <c r="N50" i="11" s="1"/>
  <c r="BU74" i="8"/>
  <c r="I66" i="8"/>
  <c r="DD23" i="8" s="1"/>
  <c r="DF23" i="8" s="1"/>
  <c r="V53" i="19" s="1"/>
  <c r="J66" i="8"/>
  <c r="DE23" i="8" s="1"/>
  <c r="DG23" i="8" s="1"/>
  <c r="V55" i="19" s="1"/>
  <c r="H74" i="8"/>
  <c r="CU34" i="8" s="1"/>
  <c r="I40" i="19" s="1"/>
  <c r="X74" i="8"/>
  <c r="CY23" i="8" s="1"/>
  <c r="I55" i="19" s="1"/>
  <c r="BW74" i="8"/>
  <c r="BV74" i="8"/>
  <c r="G74" i="8"/>
  <c r="CV23" i="8" s="1"/>
  <c r="G40" i="19" s="1"/>
  <c r="J74" i="8"/>
  <c r="C16" i="20"/>
  <c r="P16" i="20"/>
  <c r="G16" i="20"/>
  <c r="CS23" i="8"/>
  <c r="E16" i="20"/>
  <c r="F16" i="20" s="1"/>
  <c r="V66" i="8"/>
  <c r="CX23" i="8" s="1"/>
  <c r="G55" i="19" s="1"/>
  <c r="CI74" i="8"/>
  <c r="BX74" i="8"/>
  <c r="I74" i="8"/>
  <c r="BV29" i="8"/>
  <c r="CD29" i="8" s="1"/>
  <c r="BQ30" i="8"/>
  <c r="BV30" i="8" s="1"/>
  <c r="BY29" i="8"/>
  <c r="CA29" i="8" s="1"/>
  <c r="BO30" i="8"/>
  <c r="AZ29" i="8"/>
  <c r="AZ30" i="8" s="1"/>
  <c r="AZ31" i="8" s="1"/>
  <c r="AZ32" i="8" s="1"/>
  <c r="AZ33" i="8" s="1"/>
  <c r="BU29" i="8"/>
  <c r="BP30" i="8"/>
  <c r="AR30" i="8"/>
  <c r="BW29" i="8"/>
  <c r="BL28" i="8"/>
  <c r="AV29" i="8"/>
  <c r="BM28" i="8"/>
  <c r="AU29" i="8"/>
  <c r="BN28" i="8"/>
  <c r="BB29" i="8"/>
  <c r="BJ28" i="8"/>
  <c r="BH28" i="8"/>
  <c r="BH29" i="8" s="1"/>
  <c r="BH30" i="8" s="1"/>
  <c r="BH31" i="8" s="1"/>
  <c r="BH32" i="8" s="1"/>
  <c r="BH33" i="8" s="1"/>
  <c r="BX29" i="8"/>
  <c r="CF29" i="8" s="1"/>
  <c r="AT30" i="8"/>
  <c r="BR31" i="8"/>
  <c r="BG28" i="8"/>
  <c r="BG29" i="8" s="1"/>
  <c r="BG30" i="8" s="1"/>
  <c r="BG31" i="8" s="1"/>
  <c r="BG32" i="8" s="1"/>
  <c r="BG33" i="8" s="1"/>
  <c r="BA29" i="8"/>
  <c r="BK28" i="8" l="1"/>
  <c r="CG28" i="8" s="1"/>
  <c r="BI28" i="8"/>
  <c r="CJ28" i="8" s="1"/>
  <c r="G31" i="19"/>
  <c r="G32" i="19" s="1"/>
  <c r="AL10" i="8"/>
  <c r="AK10" i="8"/>
  <c r="AF10" i="8"/>
  <c r="G41" i="19"/>
  <c r="G39" i="19"/>
  <c r="G43" i="19"/>
  <c r="G42" i="19"/>
  <c r="G33" i="19"/>
  <c r="I33" i="19" s="1"/>
  <c r="CO23" i="8"/>
  <c r="G56" i="1"/>
  <c r="M50" i="11"/>
  <c r="J56" i="1"/>
  <c r="D56" i="1"/>
  <c r="CW23" i="8"/>
  <c r="G54" i="19" s="1"/>
  <c r="CS34" i="8"/>
  <c r="DI23" i="8"/>
  <c r="CV34" i="8"/>
  <c r="I54" i="19" s="1"/>
  <c r="W47" i="20"/>
  <c r="V48" i="20"/>
  <c r="W48" i="20"/>
  <c r="U49" i="20"/>
  <c r="T46" i="20"/>
  <c r="T47" i="20"/>
  <c r="V49" i="20"/>
  <c r="W46" i="20"/>
  <c r="U48" i="20"/>
  <c r="V47" i="20"/>
  <c r="U47" i="20"/>
  <c r="W49" i="20"/>
  <c r="V46" i="20"/>
  <c r="T49" i="20"/>
  <c r="T48" i="20"/>
  <c r="U46" i="20"/>
  <c r="CC29" i="8"/>
  <c r="BK29" i="8" s="1"/>
  <c r="CE29" i="8"/>
  <c r="BM29" i="8" s="1"/>
  <c r="BZ30" i="8"/>
  <c r="CB30" i="8" s="1"/>
  <c r="CD30" i="8" s="1"/>
  <c r="BQ31" i="8"/>
  <c r="BV31" i="8" s="1"/>
  <c r="BO31" i="8"/>
  <c r="BY30" i="8"/>
  <c r="CA30" i="8" s="1"/>
  <c r="BP31" i="8"/>
  <c r="BU30" i="8"/>
  <c r="BR32" i="8"/>
  <c r="BL29" i="8"/>
  <c r="AV30" i="8"/>
  <c r="AU30" i="8"/>
  <c r="CH28" i="8"/>
  <c r="CK28" i="8"/>
  <c r="BA30" i="8"/>
  <c r="AT31" i="8"/>
  <c r="BX30" i="8"/>
  <c r="BJ29" i="8"/>
  <c r="BN29" i="8"/>
  <c r="BB30" i="8"/>
  <c r="BW30" i="8"/>
  <c r="AR31" i="8"/>
  <c r="BI29" i="8" l="1"/>
  <c r="CJ29" i="8" s="1"/>
  <c r="V47" i="19"/>
  <c r="W53" i="19" s="1"/>
  <c r="DK23" i="8"/>
  <c r="G44" i="19"/>
  <c r="G46" i="19" s="1"/>
  <c r="I41" i="19"/>
  <c r="I42" i="19"/>
  <c r="I43" i="19"/>
  <c r="I39" i="19"/>
  <c r="I31" i="19"/>
  <c r="I32" i="19" s="1"/>
  <c r="L50" i="11"/>
  <c r="G7" i="19"/>
  <c r="CU23" i="8"/>
  <c r="G36" i="19" s="1"/>
  <c r="V33" i="19"/>
  <c r="CP23" i="8"/>
  <c r="X49" i="20"/>
  <c r="X48" i="20"/>
  <c r="X46" i="20"/>
  <c r="CT34" i="8"/>
  <c r="I36" i="19" s="1"/>
  <c r="X47" i="20"/>
  <c r="DJ23" i="8"/>
  <c r="CE30" i="8"/>
  <c r="BM30" i="8" s="1"/>
  <c r="CC30" i="8"/>
  <c r="BK30" i="8" s="1"/>
  <c r="CF30" i="8"/>
  <c r="BL30" i="8" s="1"/>
  <c r="BZ31" i="8"/>
  <c r="CB31" i="8" s="1"/>
  <c r="CD31" i="8" s="1"/>
  <c r="BQ32" i="8"/>
  <c r="BV32" i="8" s="1"/>
  <c r="CG29" i="8"/>
  <c r="BO32" i="8"/>
  <c r="BY31" i="8"/>
  <c r="CA31" i="8" s="1"/>
  <c r="BP32" i="8"/>
  <c r="BU31" i="8"/>
  <c r="BW31" i="8"/>
  <c r="AR32" i="8"/>
  <c r="BA31" i="8"/>
  <c r="AU31" i="8"/>
  <c r="AV31" i="8"/>
  <c r="CH29" i="8"/>
  <c r="CK29" i="8"/>
  <c r="BN30" i="8"/>
  <c r="BB31" i="8"/>
  <c r="BJ30" i="8"/>
  <c r="AT32" i="8"/>
  <c r="BX31" i="8"/>
  <c r="CI28" i="8"/>
  <c r="Z28" i="8" s="1"/>
  <c r="BR33" i="8"/>
  <c r="BI30" i="8" l="1"/>
  <c r="CJ30" i="8" s="1"/>
  <c r="G35" i="19"/>
  <c r="W55" i="19"/>
  <c r="I35" i="19"/>
  <c r="I37" i="19"/>
  <c r="I44" i="19"/>
  <c r="N16" i="20"/>
  <c r="O16" i="20" s="1"/>
  <c r="H16" i="20" s="1"/>
  <c r="AJ28" i="8"/>
  <c r="AK28" i="8"/>
  <c r="I19" i="19"/>
  <c r="G19" i="19"/>
  <c r="G47" i="19"/>
  <c r="G37" i="19"/>
  <c r="CF31" i="8"/>
  <c r="BL31" i="8" s="1"/>
  <c r="CC31" i="8"/>
  <c r="BK31" i="8" s="1"/>
  <c r="CE31" i="8"/>
  <c r="BM31" i="8" s="1"/>
  <c r="BQ33" i="8"/>
  <c r="BZ33" i="8" s="1"/>
  <c r="CB33" i="8" s="1"/>
  <c r="BZ32" i="8"/>
  <c r="CB32" i="8" s="1"/>
  <c r="CD32" i="8" s="1"/>
  <c r="CI29" i="8"/>
  <c r="Z29" i="8" s="1"/>
  <c r="BY32" i="8"/>
  <c r="CA32" i="8" s="1"/>
  <c r="BO33" i="8"/>
  <c r="BY33" i="8" s="1"/>
  <c r="CA33" i="8" s="1"/>
  <c r="BP33" i="8"/>
  <c r="BU32" i="8"/>
  <c r="CG30" i="8"/>
  <c r="CH30" i="8"/>
  <c r="CK30" i="8"/>
  <c r="AU32" i="8"/>
  <c r="AR33" i="8"/>
  <c r="BW33" i="8" s="1"/>
  <c r="BW32" i="8"/>
  <c r="AT33" i="8"/>
  <c r="BX33" i="8" s="1"/>
  <c r="BX32" i="8"/>
  <c r="AM28" i="8"/>
  <c r="AL28" i="8"/>
  <c r="AN28" i="8"/>
  <c r="AP28" i="8"/>
  <c r="AO28" i="8"/>
  <c r="BB32" i="8"/>
  <c r="BN31" i="8"/>
  <c r="BJ31" i="8"/>
  <c r="AV32" i="8"/>
  <c r="BA32" i="8"/>
  <c r="Q28" i="8" l="1"/>
  <c r="AL29" i="8"/>
  <c r="AJ29" i="8"/>
  <c r="AK29" i="8"/>
  <c r="Q10" i="19"/>
  <c r="G22" i="19"/>
  <c r="G17" i="19"/>
  <c r="N10" i="19"/>
  <c r="AO9" i="19"/>
  <c r="G51" i="19"/>
  <c r="D52" i="19"/>
  <c r="L56" i="1" s="1"/>
  <c r="BQ4" i="19"/>
  <c r="I22" i="19"/>
  <c r="I17" i="19"/>
  <c r="I16" i="20"/>
  <c r="K56" i="1"/>
  <c r="BI31" i="8"/>
  <c r="CJ31" i="8" s="1"/>
  <c r="CE32" i="8"/>
  <c r="BM32" i="8" s="1"/>
  <c r="CC32" i="8"/>
  <c r="BI32" i="8" s="1"/>
  <c r="CF32" i="8"/>
  <c r="BL32" i="8" s="1"/>
  <c r="CF33" i="8"/>
  <c r="BV33" i="8"/>
  <c r="CD33" i="8" s="1"/>
  <c r="CE33" i="8"/>
  <c r="BU33" i="8"/>
  <c r="CC33" i="8" s="1"/>
  <c r="AP29" i="8"/>
  <c r="CG31" i="8"/>
  <c r="CI30" i="8"/>
  <c r="Z30" i="8" s="1"/>
  <c r="AM29" i="8"/>
  <c r="AN29" i="8"/>
  <c r="AO29" i="8"/>
  <c r="AV33" i="8"/>
  <c r="L30" i="8"/>
  <c r="N30" i="8" s="1"/>
  <c r="L31" i="8"/>
  <c r="N31" i="8" s="1"/>
  <c r="CR30" i="8"/>
  <c r="L32" i="8"/>
  <c r="N32" i="8" s="1"/>
  <c r="N26" i="8"/>
  <c r="L28" i="8"/>
  <c r="N28" i="8" s="1"/>
  <c r="L33" i="8"/>
  <c r="N33" i="8" s="1"/>
  <c r="L29" i="8"/>
  <c r="N29" i="8" s="1"/>
  <c r="CH31" i="8"/>
  <c r="CK31" i="8"/>
  <c r="R28" i="8"/>
  <c r="K28" i="8"/>
  <c r="M28" i="8" s="1"/>
  <c r="K33" i="8"/>
  <c r="M33" i="8" s="1"/>
  <c r="K29" i="8"/>
  <c r="M29" i="8" s="1"/>
  <c r="K31" i="8"/>
  <c r="M31" i="8" s="1"/>
  <c r="L26" i="8"/>
  <c r="K30" i="8"/>
  <c r="M30" i="8" s="1"/>
  <c r="CR19" i="8"/>
  <c r="K32" i="8"/>
  <c r="M32" i="8" s="1"/>
  <c r="BA33" i="8"/>
  <c r="CQ30" i="8"/>
  <c r="J28" i="8"/>
  <c r="BN32" i="8"/>
  <c r="BB33" i="8"/>
  <c r="BJ32" i="8"/>
  <c r="I28" i="8"/>
  <c r="CQ19" i="8"/>
  <c r="AU33" i="8"/>
  <c r="Y28" i="8" l="1"/>
  <c r="D28" i="8" s="1"/>
  <c r="E28" i="8" s="1"/>
  <c r="AO30" i="8"/>
  <c r="AK30" i="8"/>
  <c r="AJ30" i="8"/>
  <c r="BM33" i="8"/>
  <c r="BQ5" i="19"/>
  <c r="BR4" i="19"/>
  <c r="AS15" i="19"/>
  <c r="AS16" i="19" s="1"/>
  <c r="G52" i="19"/>
  <c r="AJ4" i="19"/>
  <c r="AR4" i="19"/>
  <c r="AR5" i="19" s="1"/>
  <c r="AR6" i="19" s="1"/>
  <c r="AR7" i="19" s="1"/>
  <c r="AR8" i="19" s="1"/>
  <c r="AR9" i="19" s="1"/>
  <c r="AR10" i="19" s="1"/>
  <c r="AR11" i="19" s="1"/>
  <c r="AR12" i="19" s="1"/>
  <c r="AR13" i="19" s="1"/>
  <c r="AR14" i="19" s="1"/>
  <c r="AE19" i="19"/>
  <c r="AE21" i="19" s="1"/>
  <c r="AR15" i="19"/>
  <c r="AR16" i="19" s="1"/>
  <c r="I52" i="19"/>
  <c r="BZ15" i="19"/>
  <c r="BZ16" i="19" s="1"/>
  <c r="BY15" i="19"/>
  <c r="BY16" i="19" s="1"/>
  <c r="BY4" i="19"/>
  <c r="BY5" i="19" s="1"/>
  <c r="BY6" i="19" s="1"/>
  <c r="BY7" i="19" s="1"/>
  <c r="BY8" i="19" s="1"/>
  <c r="BY9" i="19" s="1"/>
  <c r="BY10" i="19" s="1"/>
  <c r="BY11" i="19" s="1"/>
  <c r="BY12" i="19" s="1"/>
  <c r="BY13" i="19" s="1"/>
  <c r="BY14" i="19" s="1"/>
  <c r="BM21" i="19"/>
  <c r="BM23" i="19" s="1"/>
  <c r="G48" i="19"/>
  <c r="G23" i="19"/>
  <c r="G24" i="19" s="1"/>
  <c r="G49" i="19" s="1"/>
  <c r="AI17" i="19"/>
  <c r="I23" i="19"/>
  <c r="BP19" i="19" s="1"/>
  <c r="BP17" i="19"/>
  <c r="I48" i="19"/>
  <c r="AO8" i="19"/>
  <c r="AN8" i="19" s="1"/>
  <c r="AN9" i="19"/>
  <c r="AO14" i="19"/>
  <c r="AO4" i="19"/>
  <c r="AN4" i="19" s="1"/>
  <c r="AO17" i="19"/>
  <c r="AN17" i="19" s="1"/>
  <c r="AO10" i="19"/>
  <c r="AN10" i="19" s="1"/>
  <c r="BK32" i="8"/>
  <c r="CG32" i="8" s="1"/>
  <c r="R29" i="8"/>
  <c r="BL33" i="8"/>
  <c r="AN30" i="8"/>
  <c r="AP30" i="8"/>
  <c r="AL30" i="8"/>
  <c r="O28" i="8"/>
  <c r="AM30" i="8"/>
  <c r="J29" i="8"/>
  <c r="P29" i="8" s="1"/>
  <c r="P28" i="8"/>
  <c r="I29" i="8"/>
  <c r="O29" i="8" s="1"/>
  <c r="Q29" i="8"/>
  <c r="CI31" i="8"/>
  <c r="Z31" i="8" s="1"/>
  <c r="CH32" i="8"/>
  <c r="CK32" i="8"/>
  <c r="BJ33" i="8"/>
  <c r="BN33" i="8"/>
  <c r="CJ32" i="8"/>
  <c r="BI33" i="8"/>
  <c r="BK33" i="8"/>
  <c r="J30" i="8" l="1"/>
  <c r="P30" i="8" s="1"/>
  <c r="CH33" i="8"/>
  <c r="CG33" i="8"/>
  <c r="AS4" i="19"/>
  <c r="AS5" i="19" s="1"/>
  <c r="AS6" i="19" s="1"/>
  <c r="AS7" i="19" s="1"/>
  <c r="AS8" i="19" s="1"/>
  <c r="AS9" i="19" s="1"/>
  <c r="AS10" i="19" s="1"/>
  <c r="AS11" i="19" s="1"/>
  <c r="AS12" i="19" s="1"/>
  <c r="AS13" i="19" s="1"/>
  <c r="AS14" i="19" s="1"/>
  <c r="CK33" i="8"/>
  <c r="AM31" i="8"/>
  <c r="AJ31" i="8"/>
  <c r="AK31" i="8"/>
  <c r="BZ4" i="19"/>
  <c r="BZ5" i="19" s="1"/>
  <c r="BZ6" i="19" s="1"/>
  <c r="BZ7" i="19" s="1"/>
  <c r="BZ8" i="19" s="1"/>
  <c r="BZ9" i="19" s="1"/>
  <c r="BZ10" i="19" s="1"/>
  <c r="BZ11" i="19" s="1"/>
  <c r="BZ12" i="19" s="1"/>
  <c r="BZ13" i="19" s="1"/>
  <c r="BZ14" i="19" s="1"/>
  <c r="I24" i="19"/>
  <c r="AO20" i="19"/>
  <c r="AN14" i="19"/>
  <c r="AO19" i="19"/>
  <c r="I45" i="19"/>
  <c r="I46" i="19" s="1"/>
  <c r="I47" i="19" s="1"/>
  <c r="AJ17" i="19"/>
  <c r="AK19" i="19"/>
  <c r="AK17" i="19"/>
  <c r="AJ19" i="19"/>
  <c r="BQ17" i="19"/>
  <c r="BR17" i="19"/>
  <c r="AI19" i="19"/>
  <c r="G50" i="19"/>
  <c r="G53" i="19" s="1"/>
  <c r="AK4" i="19"/>
  <c r="AK5" i="19" s="1"/>
  <c r="AK6" i="19" s="1"/>
  <c r="AK7" i="19" s="1"/>
  <c r="AK8" i="19" s="1"/>
  <c r="AK9" i="19" s="1"/>
  <c r="AK10" i="19" s="1"/>
  <c r="AK11" i="19" s="1"/>
  <c r="AK12" i="19" s="1"/>
  <c r="AK13" i="19" s="1"/>
  <c r="AK14" i="19" s="1"/>
  <c r="AJ5" i="19"/>
  <c r="AJ6" i="19" s="1"/>
  <c r="AJ7" i="19" s="1"/>
  <c r="AJ8" i="19" s="1"/>
  <c r="AJ9" i="19" s="1"/>
  <c r="BR5" i="19"/>
  <c r="BQ6" i="19"/>
  <c r="Y29" i="8"/>
  <c r="D29" i="8" s="1"/>
  <c r="E29" i="8" s="1"/>
  <c r="I30" i="8"/>
  <c r="O30" i="8" s="1"/>
  <c r="Q30" i="8"/>
  <c r="R30" i="8"/>
  <c r="CJ33" i="8"/>
  <c r="AN31" i="8"/>
  <c r="AL31" i="8"/>
  <c r="AO31" i="8"/>
  <c r="AP31" i="8"/>
  <c r="CI32" i="8"/>
  <c r="Z32" i="8" s="1"/>
  <c r="CI33" i="8" l="1"/>
  <c r="Z33" i="8" s="1"/>
  <c r="AO33" i="8" s="1"/>
  <c r="I31" i="8"/>
  <c r="O31" i="8" s="1"/>
  <c r="AN32" i="8"/>
  <c r="AK32" i="8"/>
  <c r="AJ32" i="8"/>
  <c r="G56" i="19"/>
  <c r="I50" i="19"/>
  <c r="BV9" i="19"/>
  <c r="I51" i="19"/>
  <c r="AQ16" i="19"/>
  <c r="AM16" i="19"/>
  <c r="AM15" i="19"/>
  <c r="AQ15" i="19" s="1"/>
  <c r="AM4" i="19"/>
  <c r="AM14" i="19"/>
  <c r="AO7" i="19"/>
  <c r="AN7" i="19" s="1"/>
  <c r="AO6" i="19"/>
  <c r="AN6" i="19" s="1"/>
  <c r="AO5" i="19"/>
  <c r="AN5" i="19" s="1"/>
  <c r="I49" i="19"/>
  <c r="AJ10" i="19"/>
  <c r="AJ11" i="19" s="1"/>
  <c r="AJ12" i="19" s="1"/>
  <c r="AJ13" i="19" s="1"/>
  <c r="AJ14" i="19"/>
  <c r="AL14" i="19" s="1"/>
  <c r="BT15" i="19"/>
  <c r="BX15" i="19" s="1"/>
  <c r="BT4" i="19"/>
  <c r="BT16" i="19"/>
  <c r="BX16" i="19"/>
  <c r="AL16" i="19"/>
  <c r="AP16" i="19"/>
  <c r="AL15" i="19"/>
  <c r="AP15" i="19" s="1"/>
  <c r="AL4" i="19"/>
  <c r="BS4" i="19"/>
  <c r="BS16" i="19"/>
  <c r="BW16" i="19"/>
  <c r="BS15" i="19"/>
  <c r="BW15" i="19" s="1"/>
  <c r="AO11" i="19"/>
  <c r="AN11" i="19" s="1"/>
  <c r="AO13" i="19"/>
  <c r="AN13" i="19" s="1"/>
  <c r="AO12" i="19"/>
  <c r="AN12" i="19" s="1"/>
  <c r="BR6" i="19"/>
  <c r="BQ7" i="19"/>
  <c r="AN20" i="19"/>
  <c r="AN19" i="19"/>
  <c r="Y30" i="8"/>
  <c r="D30" i="8" s="1"/>
  <c r="E30" i="8" s="1"/>
  <c r="J31" i="8"/>
  <c r="P31" i="8" s="1"/>
  <c r="Q31" i="8"/>
  <c r="R31" i="8"/>
  <c r="AP32" i="8"/>
  <c r="AM32" i="8"/>
  <c r="AL32" i="8"/>
  <c r="AO32" i="8"/>
  <c r="AP33" i="8" l="1"/>
  <c r="J33" i="8" s="1"/>
  <c r="P33" i="8" s="1"/>
  <c r="AN33" i="8"/>
  <c r="AK33" i="8"/>
  <c r="AJ33" i="8"/>
  <c r="AL33" i="8"/>
  <c r="AM33" i="8"/>
  <c r="AL8" i="19"/>
  <c r="AP8" i="19" s="1"/>
  <c r="AL10" i="19"/>
  <c r="AL13" i="19" s="1"/>
  <c r="AP13" i="19" s="1"/>
  <c r="AP4" i="19"/>
  <c r="I32" i="8"/>
  <c r="O32" i="8" s="1"/>
  <c r="AP14" i="19"/>
  <c r="AM8" i="19"/>
  <c r="AM5" i="19" s="1"/>
  <c r="AQ5" i="19" s="1"/>
  <c r="BR7" i="19"/>
  <c r="BQ8" i="19"/>
  <c r="AQ4" i="19"/>
  <c r="I53" i="19"/>
  <c r="AQ14" i="19"/>
  <c r="AM10" i="19"/>
  <c r="BU9" i="19"/>
  <c r="BV14" i="19"/>
  <c r="BU14" i="19" s="1"/>
  <c r="BV8" i="19"/>
  <c r="BU8" i="19" s="1"/>
  <c r="BV10" i="19"/>
  <c r="BU10" i="19" s="1"/>
  <c r="BV4" i="19"/>
  <c r="BU4" i="19" s="1"/>
  <c r="BV17" i="19"/>
  <c r="BU17" i="19" s="1"/>
  <c r="Y31" i="8"/>
  <c r="D31" i="8" s="1"/>
  <c r="E31" i="8" s="1"/>
  <c r="J32" i="8"/>
  <c r="P32" i="8" s="1"/>
  <c r="R32" i="8"/>
  <c r="Q32" i="8"/>
  <c r="Q33" i="8" l="1"/>
  <c r="R33" i="8"/>
  <c r="I33" i="8"/>
  <c r="O33" i="8" s="1"/>
  <c r="BU19" i="19"/>
  <c r="AL11" i="19"/>
  <c r="AP11" i="19" s="1"/>
  <c r="AL6" i="19"/>
  <c r="AP6" i="19" s="1"/>
  <c r="AL7" i="19"/>
  <c r="AP7" i="19" s="1"/>
  <c r="AL5" i="19"/>
  <c r="AP5" i="19" s="1"/>
  <c r="AX5" i="19" s="1"/>
  <c r="AX4" i="19"/>
  <c r="AL12" i="19"/>
  <c r="AP12" i="19" s="1"/>
  <c r="AP10" i="19"/>
  <c r="AL9" i="19"/>
  <c r="AP9" i="19" s="1"/>
  <c r="AX14" i="19"/>
  <c r="AM6" i="19"/>
  <c r="AQ6" i="19" s="1"/>
  <c r="AM7" i="19"/>
  <c r="AQ7" i="19" s="1"/>
  <c r="AQ8" i="19"/>
  <c r="AX8" i="19" s="1"/>
  <c r="BV20" i="19"/>
  <c r="BV11" i="19" s="1"/>
  <c r="BU11" i="19" s="1"/>
  <c r="AM11" i="19"/>
  <c r="AM12" i="19"/>
  <c r="AQ12" i="19" s="1"/>
  <c r="AM13" i="19"/>
  <c r="AQ10" i="19"/>
  <c r="BV19" i="19"/>
  <c r="AM9" i="19"/>
  <c r="I56" i="19"/>
  <c r="H57" i="19"/>
  <c r="BQ9" i="19"/>
  <c r="BR8" i="19"/>
  <c r="BU20" i="19"/>
  <c r="Y32" i="8"/>
  <c r="D32" i="8" s="1"/>
  <c r="E32" i="8" s="1"/>
  <c r="Y33" i="8" l="1"/>
  <c r="D33" i="8" s="1"/>
  <c r="E33" i="8" s="1"/>
  <c r="F33" i="8" s="1"/>
  <c r="F32" i="8" s="1"/>
  <c r="F31" i="8" s="1"/>
  <c r="F30" i="8" s="1"/>
  <c r="F29" i="8" s="1"/>
  <c r="F28" i="8" s="1"/>
  <c r="F34" i="8" s="1"/>
  <c r="AX6" i="19"/>
  <c r="AX12" i="19"/>
  <c r="BV12" i="19"/>
  <c r="BU12" i="19" s="1"/>
  <c r="BV13" i="19"/>
  <c r="BU13" i="19" s="1"/>
  <c r="J57" i="19"/>
  <c r="I58" i="19"/>
  <c r="L59" i="1"/>
  <c r="AX10" i="19"/>
  <c r="BV5" i="19"/>
  <c r="BU5" i="19" s="1"/>
  <c r="BV6" i="19"/>
  <c r="BU6" i="19" s="1"/>
  <c r="BV7" i="19"/>
  <c r="BU7" i="19" s="1"/>
  <c r="AQ13" i="19"/>
  <c r="AX13" i="19" s="1"/>
  <c r="AQ9" i="19"/>
  <c r="AX9" i="19" s="1"/>
  <c r="BQ10" i="19"/>
  <c r="BR9" i="19"/>
  <c r="AX7" i="19"/>
  <c r="AQ11" i="19"/>
  <c r="AX11" i="19" s="1"/>
  <c r="V34" i="8" l="1"/>
  <c r="CV30" i="8" s="1"/>
  <c r="R34" i="8"/>
  <c r="E52" i="1" s="1"/>
  <c r="Z34" i="8"/>
  <c r="Q34" i="8"/>
  <c r="C52" i="1" s="1"/>
  <c r="U34" i="8"/>
  <c r="CW19" i="8" s="1"/>
  <c r="Y34" i="8"/>
  <c r="H52" i="1" s="1"/>
  <c r="J52" i="1" s="1"/>
  <c r="L54" i="11" s="1"/>
  <c r="P12" i="20"/>
  <c r="I26" i="8"/>
  <c r="DD19" i="8" s="1"/>
  <c r="DF19" i="8" s="1"/>
  <c r="J26" i="8"/>
  <c r="DE19" i="8" s="1"/>
  <c r="DG19" i="8" s="1"/>
  <c r="BQ11" i="19"/>
  <c r="BR10" i="19"/>
  <c r="BU34" i="8"/>
  <c r="G34" i="8"/>
  <c r="CV19" i="8" s="1"/>
  <c r="BX34" i="8"/>
  <c r="H34" i="8"/>
  <c r="CU30" i="8" s="1"/>
  <c r="X34" i="8"/>
  <c r="CY19" i="8" s="1"/>
  <c r="I34" i="8"/>
  <c r="V26" i="8"/>
  <c r="CX19" i="8" s="1"/>
  <c r="BV34" i="8"/>
  <c r="CI34" i="8"/>
  <c r="BW34" i="8"/>
  <c r="C12" i="20"/>
  <c r="W32" i="20" s="1"/>
  <c r="E12" i="20"/>
  <c r="F12" i="20" s="1"/>
  <c r="J34" i="8"/>
  <c r="CS19" i="8"/>
  <c r="DI19" i="8" s="1"/>
  <c r="G12" i="20"/>
  <c r="BR11" i="19" l="1"/>
  <c r="BQ12" i="19"/>
  <c r="CO19" i="8"/>
  <c r="CP19" i="8" s="1"/>
  <c r="G52" i="1"/>
  <c r="M54" i="11"/>
  <c r="F52" i="1"/>
  <c r="CS30" i="8"/>
  <c r="U30" i="20"/>
  <c r="N54" i="11"/>
  <c r="W30" i="20"/>
  <c r="U32" i="20"/>
  <c r="V33" i="20"/>
  <c r="V30" i="20"/>
  <c r="T31" i="20"/>
  <c r="W31" i="20"/>
  <c r="V32" i="20"/>
  <c r="T32" i="20"/>
  <c r="T30" i="20"/>
  <c r="U31" i="20"/>
  <c r="U33" i="20"/>
  <c r="W33" i="20"/>
  <c r="T33" i="20"/>
  <c r="V31" i="20"/>
  <c r="D52" i="1"/>
  <c r="DJ19" i="8"/>
  <c r="DK19" i="8"/>
  <c r="BQ13" i="19" l="1"/>
  <c r="BR12" i="19"/>
  <c r="CT30" i="8"/>
  <c r="CU19" i="8"/>
  <c r="X33" i="20"/>
  <c r="X31" i="20"/>
  <c r="X32" i="20"/>
  <c r="X30" i="20"/>
  <c r="BQ14" i="19" l="1"/>
  <c r="BR13" i="19"/>
  <c r="N12" i="20"/>
  <c r="O12" i="20" s="1"/>
  <c r="H12" i="20" s="1"/>
  <c r="BR14" i="19" l="1"/>
  <c r="BT14" i="19" s="1"/>
  <c r="BS14" i="19"/>
  <c r="K52" i="1"/>
  <c r="I12" i="20"/>
  <c r="BW14" i="19" l="1"/>
  <c r="BW4" i="19"/>
  <c r="BS8" i="19"/>
  <c r="BS10" i="19"/>
  <c r="BT10" i="19"/>
  <c r="BT8" i="19"/>
  <c r="BX14" i="19"/>
  <c r="BX4" i="19"/>
  <c r="CA14" i="19" l="1"/>
  <c r="AU14" i="19"/>
  <c r="CA4" i="19"/>
  <c r="AT4" i="19"/>
  <c r="AT14" i="19"/>
  <c r="CE4" i="19"/>
  <c r="CB4" i="19"/>
  <c r="AU4" i="19"/>
  <c r="BS6" i="19"/>
  <c r="BS5" i="19"/>
  <c r="BS7" i="19"/>
  <c r="BW8" i="19"/>
  <c r="BS9" i="19"/>
  <c r="CB14" i="19"/>
  <c r="CE14" i="19"/>
  <c r="BT6" i="19"/>
  <c r="BX6" i="19" s="1"/>
  <c r="BT9" i="19"/>
  <c r="BX9" i="19" s="1"/>
  <c r="BT5" i="19"/>
  <c r="BX5" i="19" s="1"/>
  <c r="BT7" i="19"/>
  <c r="BX7" i="19" s="1"/>
  <c r="BX8" i="19"/>
  <c r="BT12" i="19"/>
  <c r="BX12" i="19" s="1"/>
  <c r="BT11" i="19"/>
  <c r="BX11" i="19" s="1"/>
  <c r="BX10" i="19"/>
  <c r="BT13" i="19"/>
  <c r="BX13" i="19" s="1"/>
  <c r="BW10" i="19"/>
  <c r="BS12" i="19"/>
  <c r="BS11" i="19"/>
  <c r="BS13" i="19"/>
  <c r="AU8" i="19" l="1"/>
  <c r="AU10" i="19"/>
  <c r="CE10" i="19"/>
  <c r="BW9" i="19"/>
  <c r="CE9" i="19" s="1"/>
  <c r="BW6" i="19"/>
  <c r="CE6" i="19" s="1"/>
  <c r="BW13" i="19"/>
  <c r="CE13" i="19" s="1"/>
  <c r="CA10" i="19"/>
  <c r="CB8" i="19"/>
  <c r="CE8" i="19"/>
  <c r="CA8" i="19"/>
  <c r="AT8" i="19"/>
  <c r="BW7" i="19"/>
  <c r="CE7" i="19" s="1"/>
  <c r="AT10" i="19"/>
  <c r="BW11" i="19"/>
  <c r="CE11" i="19" s="1"/>
  <c r="CB10" i="19"/>
  <c r="BW12" i="19"/>
  <c r="CE12" i="19" s="1"/>
  <c r="BW5" i="19"/>
  <c r="CE5" i="19" s="1"/>
  <c r="CA9" i="19" l="1"/>
  <c r="CB12" i="19"/>
  <c r="CB9" i="19"/>
  <c r="AT9" i="19"/>
  <c r="AU9" i="19"/>
  <c r="AT7" i="19"/>
  <c r="CB13" i="19"/>
  <c r="AU7" i="19"/>
  <c r="AT13" i="19"/>
  <c r="CB6" i="19"/>
  <c r="CA7" i="19"/>
  <c r="CB7" i="19"/>
  <c r="AU6" i="19"/>
  <c r="AT5" i="19"/>
  <c r="AU11" i="19"/>
  <c r="CA12" i="19"/>
  <c r="CB11" i="19"/>
  <c r="CA13" i="19"/>
  <c r="AT6" i="19"/>
  <c r="AT12" i="19"/>
  <c r="AU12" i="19"/>
  <c r="AU13" i="19"/>
  <c r="AU5" i="19"/>
  <c r="AT11" i="19"/>
  <c r="CA6" i="19"/>
  <c r="CB5" i="19"/>
  <c r="CA11" i="19"/>
  <c r="CA5" i="19"/>
  <c r="AT17" i="19" l="1"/>
  <c r="AW5" i="19" s="1"/>
  <c r="AU17" i="19"/>
  <c r="AW4" i="19" s="1"/>
  <c r="CB17" i="19"/>
  <c r="CD8" i="19" s="1"/>
  <c r="CA17" i="19"/>
  <c r="AW6" i="19" l="1"/>
  <c r="AW7" i="19"/>
  <c r="CD4" i="19"/>
  <c r="AW8" i="19"/>
  <c r="CD7" i="19"/>
  <c r="CD5" i="19"/>
  <c r="CD6"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rodwebster</author>
    <author>Robin</author>
  </authors>
  <commentList>
    <comment ref="H9" authorId="0" shapeId="0" xr:uid="{00000000-0006-0000-0000-000001000000}">
      <text>
        <r>
          <rPr>
            <b/>
            <sz val="12"/>
            <color indexed="10"/>
            <rFont val="Tahoma"/>
            <family val="2"/>
          </rPr>
          <t>Aggregate size</t>
        </r>
      </text>
    </comment>
    <comment ref="H10" authorId="0" shapeId="0" xr:uid="{00000000-0006-0000-0000-000002000000}">
      <text>
        <r>
          <rPr>
            <b/>
            <sz val="12"/>
            <color indexed="10"/>
            <rFont val="Tahoma"/>
            <family val="2"/>
          </rPr>
          <t>Cover Design Tolerance. Used only for checking cover.</t>
        </r>
      </text>
    </comment>
    <comment ref="B11" authorId="0" shapeId="0" xr:uid="{00000000-0006-0000-0000-000003000000}">
      <text>
        <r>
          <rPr>
            <b/>
            <sz val="12"/>
            <color indexed="81"/>
            <rFont val="Tahoma"/>
            <family val="2"/>
          </rPr>
          <t>Basic Creep
Factor</t>
        </r>
        <r>
          <rPr>
            <sz val="8"/>
            <color indexed="81"/>
            <rFont val="Tahoma"/>
            <family val="2"/>
          </rPr>
          <t xml:space="preserve">
</t>
        </r>
      </text>
    </comment>
    <comment ref="E11" authorId="0" shapeId="0" xr:uid="{00000000-0006-0000-0000-000004000000}">
      <text>
        <r>
          <rPr>
            <b/>
            <sz val="12"/>
            <color indexed="81"/>
            <rFont val="Tahoma"/>
            <family val="2"/>
          </rPr>
          <t>Effective Creep
Factor</t>
        </r>
        <r>
          <rPr>
            <sz val="8"/>
            <color indexed="81"/>
            <rFont val="Tahoma"/>
            <family val="2"/>
          </rPr>
          <t xml:space="preserve">
</t>
        </r>
      </text>
    </comment>
    <comment ref="H19" authorId="1" shapeId="0" xr:uid="{00000000-0006-0000-0000-000005000000}">
      <text>
        <r>
          <rPr>
            <b/>
            <sz val="12"/>
            <color indexed="81"/>
            <rFont val="Tahoma"/>
            <family val="2"/>
          </rPr>
          <t>Use this table to replicate the rotational restraint offered at the top and bottom in each direction.
West and East influence Z-Z axis restraint
North and South influence Y-Y axis restraint
To replicate a Fully Fixed End, enter:-
b = 1000, h = 1000, L = 1, Remote End = F
To replicate a Fully Pinned End in one direction, delete all 8 values and leave blank.
See adjacent diagrams</t>
        </r>
      </text>
    </comment>
    <comment ref="D20" authorId="1" shapeId="0" xr:uid="{00000000-0006-0000-0000-000006000000}">
      <text>
        <r>
          <rPr>
            <b/>
            <sz val="12"/>
            <color indexed="81"/>
            <rFont val="Arial"/>
            <family val="2"/>
          </rPr>
          <t>Use Unbraced Slender Columns with Caution.  An Unbraced column must have Connecting Beams/Slabs at one end or at both ends.</t>
        </r>
      </text>
    </comment>
    <comment ref="J20" authorId="1" shapeId="0" xr:uid="{00000000-0006-0000-0000-000007000000}">
      <text>
        <r>
          <rPr>
            <b/>
            <sz val="12"/>
            <color indexed="81"/>
            <rFont val="Tahoma"/>
            <family val="2"/>
          </rPr>
          <t>L = CLEAR SPAN</t>
        </r>
      </text>
    </comment>
    <comment ref="C25" authorId="0" shapeId="0" xr:uid="{00000000-0006-0000-0000-000008000000}">
      <text>
        <r>
          <rPr>
            <b/>
            <sz val="12"/>
            <color indexed="17"/>
            <rFont val="Tahoma"/>
            <family val="2"/>
          </rPr>
          <t>Clear Height</t>
        </r>
      </text>
    </comment>
    <comment ref="D25" authorId="0" shapeId="0" xr:uid="{00000000-0006-0000-0000-000009000000}">
      <text>
        <r>
          <rPr>
            <b/>
            <sz val="12"/>
            <color indexed="17"/>
            <rFont val="Tahoma"/>
            <family val="2"/>
          </rPr>
          <t>Effective Length</t>
        </r>
      </text>
    </comment>
    <comment ref="E25" authorId="0" shapeId="0" xr:uid="{00000000-0006-0000-0000-00000A000000}">
      <text>
        <r>
          <rPr>
            <b/>
            <sz val="12"/>
            <color indexed="17"/>
            <rFont val="Tahoma"/>
            <family val="2"/>
          </rPr>
          <t>Effective Thickness</t>
        </r>
      </text>
    </comment>
    <comment ref="E29" authorId="1" shapeId="0" xr:uid="{00000000-0006-0000-0000-00000B000000}">
      <text>
        <r>
          <rPr>
            <b/>
            <sz val="12"/>
            <color indexed="81"/>
            <rFont val="Tahoma"/>
            <family val="2"/>
          </rPr>
          <t>Mimp Application to Axes</t>
        </r>
        <r>
          <rPr>
            <sz val="12"/>
            <color indexed="81"/>
            <rFont val="Tahoma"/>
            <family val="2"/>
          </rPr>
          <t xml:space="preserve">
EC2 only requires that the Mimp be applied to the axis that gives the worst effect.  Some engineers feel that in some circumstances this should be applied to both axes.  Also, it is possible that the update to EC2 will require this.
Default is CRITICAL AXIS</t>
        </r>
      </text>
    </comment>
    <comment ref="I29" authorId="1" shapeId="0" xr:uid="{00000000-0006-0000-0000-00000C000000}">
      <text>
        <r>
          <rPr>
            <b/>
            <sz val="12"/>
            <color indexed="81"/>
            <rFont val="Tahoma"/>
            <family val="2"/>
          </rPr>
          <t>This is the asumed % in PD 6687-1-20 Cl 2.11.2.   A higher value will increase the stiffnesses of the restraining beams and result in a smaller value for Lo and end restraint factors for M2.</t>
        </r>
      </text>
    </comment>
    <comment ref="E30" authorId="1" shapeId="0" xr:uid="{00000000-0006-0000-0000-00000D000000}">
      <text>
        <r>
          <rPr>
            <b/>
            <sz val="12"/>
            <color indexed="81"/>
            <rFont val="Tahoma"/>
            <family val="2"/>
          </rPr>
          <t xml:space="preserve">Mimp Application
</t>
        </r>
        <r>
          <rPr>
            <sz val="12"/>
            <color indexed="81"/>
            <rFont val="Tahoma"/>
            <family val="2"/>
          </rPr>
          <t>Mimp is only applied to the Critical Axis or Both Axes (if selected).</t>
        </r>
        <r>
          <rPr>
            <b/>
            <sz val="12"/>
            <color indexed="81"/>
            <rFont val="Tahoma"/>
            <family val="2"/>
          </rPr>
          <t xml:space="preserve">
</t>
        </r>
        <r>
          <rPr>
            <sz val="12"/>
            <color indexed="81"/>
            <rFont val="Tahoma"/>
            <family val="2"/>
          </rPr>
          <t xml:space="preserve">Mimp can also be applied to the Mi2 side only to replicate designs by earlier TCC programs and other programs. 
However the TCC "How to Design" guide now shows the Mimp added to both sides to create an envelope of maximum Absolute values.  
For a Slender Column with double curvature and rotational fixity at the Mi1 end, this can often result in a greater Absolute moment at the Mi1 end.
Default is therefore Mi2 &amp; Mi1 SIDES
So, Mimp is applied to the Mi2 sign side with the same sign as Mi2.
This will create Mo2 &amp; Mo1 and MoEd.
M2 will always have the same sign as Mi2 and hence Mo2.
The Mimp that is applied to the Mi2 value sign side is used to calculate the worst case of Mo2 and MoEd &amp; M2.
The Mimp that is applied to the Mi1 value sign is only used to calculate Mo1 &amp; 2Mimp &amp; -(rs x 0.5M2).
This is quite a complex procedure and requires a strict discipline in respect of signs and is illustrated by the diagrams in the Calc page and Refs page.
</t>
        </r>
      </text>
    </comment>
    <comment ref="H30" authorId="1" shapeId="0" xr:uid="{00000000-0006-0000-0000-00000E000000}">
      <text>
        <r>
          <rPr>
            <b/>
            <sz val="12"/>
            <color indexed="81"/>
            <rFont val="Tahoma"/>
            <family val="2"/>
          </rPr>
          <t>Enter Y ONLY if the column above is likely to INCREASE the ROTATION at the top of the column.  Ref EC2 5.8.3.2 (4).
This is very difficult to assess.
Entering Y will REDUCE the top restraint and increase Lo which in turn will increase Mimp and M2.
Default is N</t>
        </r>
      </text>
    </comment>
    <comment ref="J30" authorId="1" shapeId="0" xr:uid="{00000000-0006-0000-0000-00000F000000}">
      <text>
        <r>
          <rPr>
            <b/>
            <sz val="12"/>
            <color indexed="81"/>
            <rFont val="Tahoma"/>
            <family val="2"/>
          </rPr>
          <t>Enter Y ONLY if the column below is likely to INCREASE the ROTATION at the bottom of the column.  Ref EC2 5.8.3.2 (4).
This is very difficult to assess.
Entering Y will REDUCE the bottom restraint and increase Lo which in turn will increase Mimp and M2.
Default is N</t>
        </r>
      </text>
    </comment>
    <comment ref="E31" authorId="1" shapeId="0" xr:uid="{00000000-0006-0000-0000-000010000000}">
      <text>
        <r>
          <rPr>
            <b/>
            <sz val="12"/>
            <color indexed="81"/>
            <rFont val="Tahoma"/>
            <family val="2"/>
          </rPr>
          <t>Increase dia to remove a fire failure or warning</t>
        </r>
      </text>
    </comment>
    <comment ref="H39" authorId="1" shapeId="0" xr:uid="{00000000-0006-0000-0000-000011000000}">
      <text>
        <r>
          <rPr>
            <b/>
            <sz val="12"/>
            <color indexed="81"/>
            <rFont val="Tahoma"/>
            <family val="2"/>
          </rPr>
          <t>Apply to a Braced column
For an unbraced column
MEd = M02 + M2</t>
        </r>
      </text>
    </comment>
    <comment ref="E40" authorId="1" shapeId="0" xr:uid="{00000000-0006-0000-0000-000012000000}">
      <text>
        <r>
          <rPr>
            <b/>
            <sz val="12"/>
            <color indexed="81"/>
            <rFont val="Tahoma"/>
            <family val="2"/>
          </rPr>
          <t>Ensure that the moments are sensibly compatible with the end rotaional restraint.  For example it is possible to have a small initial moment at a highly restrained end but it would be not be possible to have an initial moment at a pinned end unless there is a corbel or a cantilever beam.</t>
        </r>
      </text>
    </comment>
    <comment ref="G40" authorId="1" shapeId="0" xr:uid="{00000000-0006-0000-0000-000013000000}">
      <text>
        <r>
          <rPr>
            <b/>
            <sz val="12"/>
            <color indexed="81"/>
            <rFont val="Tahoma"/>
            <family val="2"/>
          </rPr>
          <t>Ensure that the moments are sensibly compatible with the end rotaional restraint.  For example it is possible to have a small initial moment at a highly restrained end but it would be not be possible to have an initial moment at a pinned end unless there is a corbel or a cantilever beam.</t>
        </r>
      </text>
    </comment>
    <comment ref="B41" authorId="1" shapeId="0" xr:uid="{00000000-0006-0000-0000-000014000000}">
      <text>
        <r>
          <rPr>
            <b/>
            <sz val="14"/>
            <color indexed="81"/>
            <rFont val="Trebuchet MS"/>
            <family val="2"/>
          </rPr>
          <t xml:space="preserve">NOTE
</t>
        </r>
        <r>
          <rPr>
            <sz val="14"/>
            <color indexed="81"/>
            <rFont val="Trebuchet MS"/>
            <family val="2"/>
          </rPr>
          <t>References must be entirely numeric and must increase in value from top to bottom.  These are used in an Excel  Lookup command which allows the Calc page to display any of the 6 loadcases.  Do not delete these cells.</t>
        </r>
      </text>
    </comment>
    <comment ref="J42" authorId="1" shapeId="0" xr:uid="{00000000-0006-0000-0000-000015000000}">
      <text>
        <r>
          <rPr>
            <sz val="12"/>
            <color indexed="81"/>
            <rFont val="Tahoma"/>
            <family val="2"/>
          </rPr>
          <t>Enter Loadcase to see the associated Moment Diagrams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Robin</author>
  </authors>
  <commentList>
    <comment ref="D50" authorId="0" shapeId="0" xr:uid="{00000000-0006-0000-0200-000001000000}">
      <text>
        <r>
          <rPr>
            <b/>
            <sz val="12"/>
            <color indexed="81"/>
            <rFont val="Tahoma"/>
            <family val="2"/>
          </rPr>
          <t>NOTE - The user can over-ride the program's choice to be sure that the program has made the correct choice.  Calc sheet Manual adjustment text results and graphs are NOT reproduced in the MAIN sheet text results. 
This feature cannot be used if BOTH AXES is set in the MAIN sheet.</t>
        </r>
      </text>
    </comment>
    <comment ref="B51" authorId="0" shapeId="0" xr:uid="{00000000-0006-0000-0200-000002000000}">
      <text>
        <r>
          <rPr>
            <b/>
            <sz val="12"/>
            <color indexed="81"/>
            <rFont val="Tahoma"/>
            <family val="2"/>
          </rPr>
          <t>rs = Rotational Stiffness Factor which varies between 0 (Pinned) &amp; 1.0 (Fixed).  See Slen Tab</t>
        </r>
      </text>
    </comment>
    <comment ref="D52" authorId="0" shapeId="0" xr:uid="{00000000-0006-0000-0200-000003000000}">
      <text>
        <r>
          <rPr>
            <b/>
            <sz val="12"/>
            <color indexed="81"/>
            <rFont val="Tahoma"/>
            <family val="2"/>
          </rPr>
          <t>In some cases the worst case is NO added Mimp. The user can check this via the CRIT option above.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Robin</author>
    <author>Rod Webster</author>
  </authors>
  <commentList>
    <comment ref="B9" authorId="0" shapeId="0" xr:uid="{00000000-0006-0000-0500-000001000000}">
      <text>
        <r>
          <rPr>
            <b/>
            <sz val="12"/>
            <color indexed="81"/>
            <rFont val="Tahoma"/>
            <family val="2"/>
          </rPr>
          <t>Stiffness is % of uncracked stiffness x 4Izz/L for a fixed end and 3Izz/L for a pinned end.</t>
        </r>
      </text>
    </comment>
    <comment ref="K16" authorId="1" shapeId="0" xr:uid="{00000000-0006-0000-0500-000002000000}">
      <text>
        <r>
          <rPr>
            <sz val="10"/>
            <color indexed="16"/>
            <rFont val="Tahoma"/>
            <family val="2"/>
          </rPr>
          <t>20∙A∙B in equation (5.13N).</t>
        </r>
        <r>
          <rPr>
            <sz val="8"/>
            <color indexed="81"/>
            <rFont val="Tahoma"/>
            <family val="2"/>
          </rPr>
          <t xml:space="preserve">
</t>
        </r>
      </text>
    </comment>
    <comment ref="B26" authorId="0" shapeId="0" xr:uid="{00000000-0006-0000-0500-000003000000}">
      <text>
        <r>
          <rPr>
            <b/>
            <sz val="12"/>
            <color indexed="81"/>
            <rFont val="Tahoma"/>
            <family val="2"/>
          </rPr>
          <t>Stiffness is % of uncracked stiffness x 4Iyy/L for a fixed end and 3Iyy/L for a pinned end.</t>
        </r>
      </text>
    </comment>
  </commentList>
</comments>
</file>

<file path=xl/sharedStrings.xml><?xml version="1.0" encoding="utf-8"?>
<sst xmlns="http://schemas.openxmlformats.org/spreadsheetml/2006/main" count="2886" uniqueCount="956">
  <si>
    <t xml:space="preserve">bars per </t>
  </si>
  <si>
    <t xml:space="preserve"> Project</t>
  </si>
  <si>
    <t xml:space="preserve"> Client</t>
  </si>
  <si>
    <t>Made by</t>
  </si>
  <si>
    <t xml:space="preserve"> Date</t>
  </si>
  <si>
    <t xml:space="preserve"> Page</t>
  </si>
  <si>
    <t xml:space="preserve"> Location</t>
  </si>
  <si>
    <t>GRAPHIC FOR CROSS SECTION</t>
  </si>
  <si>
    <t>Checked</t>
  </si>
  <si>
    <t xml:space="preserve"> Revision</t>
  </si>
  <si>
    <t xml:space="preserve"> Job No</t>
  </si>
  <si>
    <t>space</t>
  </si>
  <si>
    <t xml:space="preserve"> MATERIALS</t>
  </si>
  <si>
    <t>N/mm²</t>
  </si>
  <si>
    <t>mm</t>
  </si>
  <si>
    <t xml:space="preserve"> SECTION</t>
  </si>
  <si>
    <t>h</t>
  </si>
  <si>
    <t>b</t>
  </si>
  <si>
    <t>with</t>
  </si>
  <si>
    <t>and</t>
  </si>
  <si>
    <t>TABLES 3.21 &amp; 3.22</t>
  </si>
  <si>
    <t>Braced X</t>
  </si>
  <si>
    <t xml:space="preserve"> RESTRAINTS</t>
  </si>
  <si>
    <t>Top</t>
  </si>
  <si>
    <t>Btm</t>
  </si>
  <si>
    <t>Braced Y</t>
  </si>
  <si>
    <t>Condition</t>
  </si>
  <si>
    <t>Braced ?</t>
  </si>
  <si>
    <t>Unbraced X</t>
  </si>
  <si>
    <t>Unbraced Y</t>
  </si>
  <si>
    <t>AXIAL</t>
  </si>
  <si>
    <t>N</t>
  </si>
  <si>
    <t xml:space="preserve"> BAR ARRANGEMENTS</t>
  </si>
  <si>
    <t>Bar</t>
  </si>
  <si>
    <t>Ø</t>
  </si>
  <si>
    <t>Link Ø</t>
  </si>
  <si>
    <t>Checks</t>
  </si>
  <si>
    <t>Y AXIS</t>
  </si>
  <si>
    <t>REBAR</t>
  </si>
  <si>
    <t>SEE CHARTS ON NEXT SHEET</t>
  </si>
  <si>
    <t xml:space="preserve"> Made by</t>
  </si>
  <si>
    <t xml:space="preserve"> Checked</t>
  </si>
  <si>
    <t>ALL CALCULATIONS DERIVED FROM</t>
  </si>
  <si>
    <t>Bar diameter</t>
  </si>
  <si>
    <t>d' =</t>
  </si>
  <si>
    <t>d =</t>
  </si>
  <si>
    <t>Asc =</t>
  </si>
  <si>
    <t>mm²</t>
  </si>
  <si>
    <t>spacing =</t>
  </si>
  <si>
    <t>Interval =</t>
  </si>
  <si>
    <t>40 intervals</t>
  </si>
  <si>
    <t>Nuz</t>
  </si>
  <si>
    <t>Neutral axis</t>
  </si>
  <si>
    <t>Fc</t>
  </si>
  <si>
    <t>Conc comp force</t>
  </si>
  <si>
    <t>inter d'</t>
  </si>
  <si>
    <t>Steel comp strain</t>
  </si>
  <si>
    <t>inter strain</t>
  </si>
  <si>
    <t>Steel tens strain</t>
  </si>
  <si>
    <t>fsc</t>
  </si>
  <si>
    <t>Steel comp stress</t>
  </si>
  <si>
    <t>inter stress</t>
  </si>
  <si>
    <t>fst</t>
  </si>
  <si>
    <t>Steel tens stress</t>
  </si>
  <si>
    <t>Fsc</t>
  </si>
  <si>
    <t>Steel comp force</t>
  </si>
  <si>
    <t>inter Fs</t>
  </si>
  <si>
    <t>Fst</t>
  </si>
  <si>
    <t>Steel tens force</t>
  </si>
  <si>
    <t>z</t>
  </si>
  <si>
    <t>Conc lever arm</t>
  </si>
  <si>
    <t>Fc + Fsc - Fst</t>
  </si>
  <si>
    <t>M</t>
  </si>
  <si>
    <t>M O R</t>
  </si>
  <si>
    <t>Labels</t>
  </si>
  <si>
    <t>for chart</t>
  </si>
  <si>
    <t>Asc</t>
  </si>
  <si>
    <t>N =</t>
  </si>
  <si>
    <t>Status</t>
  </si>
  <si>
    <t>AXIS</t>
  </si>
  <si>
    <t>lu N</t>
  </si>
  <si>
    <t>lu Mdif</t>
  </si>
  <si>
    <t>lu Ndif</t>
  </si>
  <si>
    <t>Date</t>
  </si>
  <si>
    <t>Version</t>
  </si>
  <si>
    <t>Action</t>
  </si>
  <si>
    <t>KEY</t>
  </si>
  <si>
    <t>outline</t>
  </si>
  <si>
    <t>link</t>
  </si>
  <si>
    <t>LOADCASES</t>
  </si>
  <si>
    <t>LOADCASE</t>
  </si>
  <si>
    <t>Disclaimer</t>
  </si>
  <si>
    <t>Status of spreadsheet</t>
  </si>
  <si>
    <t>a</t>
  </si>
  <si>
    <t>-</t>
  </si>
  <si>
    <t>Y</t>
  </si>
  <si>
    <t>fck</t>
  </si>
  <si>
    <t>fyk</t>
  </si>
  <si>
    <t>dg</t>
  </si>
  <si>
    <t>Top West</t>
  </si>
  <si>
    <t>Top East</t>
  </si>
  <si>
    <t>Top North</t>
  </si>
  <si>
    <t>Top South</t>
  </si>
  <si>
    <t>Bottom East</t>
  </si>
  <si>
    <t>Bottom North</t>
  </si>
  <si>
    <t>Bottom South</t>
  </si>
  <si>
    <t>Bottom West</t>
  </si>
  <si>
    <t>Storey</t>
  </si>
  <si>
    <t>FIGURE 3.5 AND 6.1</t>
  </si>
  <si>
    <r>
      <t xml:space="preserve">l </t>
    </r>
    <r>
      <rPr>
        <sz val="14"/>
        <rFont val="Tekton"/>
        <family val="2"/>
      </rPr>
      <t>=</t>
    </r>
  </si>
  <si>
    <t>fyd =</t>
  </si>
  <si>
    <t>net fyd =</t>
  </si>
  <si>
    <r>
      <t>e</t>
    </r>
    <r>
      <rPr>
        <vertAlign val="subscript"/>
        <sz val="14"/>
        <rFont val="Tekton"/>
        <family val="2"/>
      </rPr>
      <t>cu3</t>
    </r>
    <r>
      <rPr>
        <sz val="14"/>
        <rFont val="Tekton"/>
        <family val="2"/>
      </rPr>
      <t xml:space="preserve"> =</t>
    </r>
  </si>
  <si>
    <r>
      <t>e</t>
    </r>
    <r>
      <rPr>
        <vertAlign val="subscript"/>
        <sz val="14"/>
        <rFont val="Tekton"/>
        <family val="2"/>
      </rPr>
      <t>c3</t>
    </r>
    <r>
      <rPr>
        <sz val="14"/>
        <rFont val="Tekton"/>
        <family val="2"/>
      </rPr>
      <t xml:space="preserve"> =</t>
    </r>
  </si>
  <si>
    <r>
      <t>(1-</t>
    </r>
    <r>
      <rPr>
        <sz val="12"/>
        <rFont val="Symbol"/>
        <family val="1"/>
        <charset val="2"/>
      </rPr>
      <t>e</t>
    </r>
    <r>
      <rPr>
        <vertAlign val="subscript"/>
        <sz val="12"/>
        <rFont val="Tekton"/>
        <family val="2"/>
      </rPr>
      <t>c3</t>
    </r>
    <r>
      <rPr>
        <sz val="12"/>
        <rFont val="Tekton"/>
        <family val="2"/>
      </rPr>
      <t>/</t>
    </r>
    <r>
      <rPr>
        <sz val="12"/>
        <rFont val="Symbol"/>
        <family val="1"/>
        <charset val="2"/>
      </rPr>
      <t>e</t>
    </r>
    <r>
      <rPr>
        <vertAlign val="subscript"/>
        <sz val="12"/>
        <rFont val="Tekton"/>
        <family val="2"/>
      </rPr>
      <t>c3u</t>
    </r>
    <r>
      <rPr>
        <sz val="12"/>
        <rFont val="Tekton"/>
        <family val="2"/>
      </rPr>
      <t>)h</t>
    </r>
  </si>
  <si>
    <t>x</t>
  </si>
  <si>
    <r>
      <t>e</t>
    </r>
    <r>
      <rPr>
        <sz val="12"/>
        <rFont val="Tekton"/>
        <family val="2"/>
      </rPr>
      <t>c max</t>
    </r>
  </si>
  <si>
    <t>Limiting strain</t>
  </si>
  <si>
    <r>
      <t>e</t>
    </r>
    <r>
      <rPr>
        <sz val="12"/>
        <color indexed="17"/>
        <rFont val="Tekton"/>
        <family val="2"/>
      </rPr>
      <t>sc</t>
    </r>
  </si>
  <si>
    <r>
      <t>e</t>
    </r>
    <r>
      <rPr>
        <sz val="12"/>
        <color indexed="17"/>
        <rFont val="Tekton"/>
        <family val="2"/>
      </rPr>
      <t>st</t>
    </r>
  </si>
  <si>
    <t>c</t>
  </si>
  <si>
    <t>19 intervals</t>
  </si>
  <si>
    <t>k</t>
  </si>
  <si>
    <t>Bottom</t>
  </si>
  <si>
    <r>
      <t>L</t>
    </r>
    <r>
      <rPr>
        <b/>
        <vertAlign val="subscript"/>
        <sz val="12"/>
        <color indexed="17"/>
        <rFont val="Tekton"/>
        <family val="2"/>
      </rPr>
      <t>0</t>
    </r>
  </si>
  <si>
    <t>Braced</t>
  </si>
  <si>
    <t>Unbraced</t>
  </si>
  <si>
    <t>Slenderness Ratios</t>
  </si>
  <si>
    <t>A</t>
  </si>
  <si>
    <r>
      <t>L</t>
    </r>
    <r>
      <rPr>
        <vertAlign val="subscript"/>
        <sz val="12"/>
        <rFont val="Tekton"/>
        <family val="2"/>
      </rPr>
      <t>0</t>
    </r>
  </si>
  <si>
    <r>
      <t>n</t>
    </r>
    <r>
      <rPr>
        <sz val="12"/>
        <rFont val="Tekton"/>
        <family val="2"/>
      </rPr>
      <t xml:space="preserve"> =</t>
    </r>
  </si>
  <si>
    <t>Ac.fcd =</t>
  </si>
  <si>
    <r>
      <t>f</t>
    </r>
    <r>
      <rPr>
        <sz val="12"/>
        <rFont val="Tekton"/>
        <family val="2"/>
      </rPr>
      <t>ef =</t>
    </r>
  </si>
  <si>
    <t>GENERAL DATA</t>
  </si>
  <si>
    <r>
      <t>a</t>
    </r>
    <r>
      <rPr>
        <sz val="12"/>
        <rFont val="Tekton"/>
        <family val="2"/>
      </rPr>
      <t>1 y =</t>
    </r>
  </si>
  <si>
    <t>N diff</t>
  </si>
  <si>
    <t>M diff</t>
  </si>
  <si>
    <t>Biaxial</t>
  </si>
  <si>
    <t>Check</t>
  </si>
  <si>
    <t>Biaxial Check</t>
  </si>
  <si>
    <t>First issue for in-house comment</t>
  </si>
  <si>
    <t>ho =</t>
  </si>
  <si>
    <t>Correction to CASES cells D8:D13</t>
  </si>
  <si>
    <r>
      <t>h</t>
    </r>
    <r>
      <rPr>
        <sz val="12"/>
        <rFont val="Tekton"/>
        <family val="2"/>
      </rPr>
      <t>.fcd =</t>
    </r>
  </si>
  <si>
    <t>(5.39)</t>
  </si>
  <si>
    <t>Equation (5.39)</t>
  </si>
  <si>
    <t>(5.15)</t>
  </si>
  <si>
    <t>(5.16)</t>
  </si>
  <si>
    <t>Updated to final draft of EN.</t>
  </si>
  <si>
    <r>
      <t>a</t>
    </r>
    <r>
      <rPr>
        <vertAlign val="subscript"/>
        <sz val="14"/>
        <rFont val="Tekton"/>
        <family val="2"/>
      </rPr>
      <t>cc</t>
    </r>
    <r>
      <rPr>
        <sz val="14"/>
        <rFont val="Tekton"/>
        <family val="2"/>
      </rPr>
      <t xml:space="preserve"> =</t>
    </r>
  </si>
  <si>
    <t>Column D2</t>
  </si>
  <si>
    <t>EC2 Ref</t>
  </si>
  <si>
    <t>Function</t>
  </si>
  <si>
    <t>Value</t>
  </si>
  <si>
    <t>UK</t>
  </si>
  <si>
    <t>Table 2.2</t>
  </si>
  <si>
    <t>concrete</t>
  </si>
  <si>
    <t>steel</t>
  </si>
  <si>
    <t>3.1.6 (1)P</t>
  </si>
  <si>
    <t>strength factor</t>
  </si>
  <si>
    <t>5.2(5)</t>
  </si>
  <si>
    <t>basic imperfection slope</t>
  </si>
  <si>
    <t>8.2(2)</t>
  </si>
  <si>
    <r>
      <t>k</t>
    </r>
    <r>
      <rPr>
        <sz val="8"/>
        <rFont val="Tekton"/>
        <family val="2"/>
      </rPr>
      <t>1</t>
    </r>
  </si>
  <si>
    <t>min bar spacing</t>
  </si>
  <si>
    <t>?</t>
  </si>
  <si>
    <t>- = -</t>
  </si>
  <si>
    <r>
      <t>k</t>
    </r>
    <r>
      <rPr>
        <sz val="8"/>
        <rFont val="Tekton"/>
        <family val="2"/>
      </rPr>
      <t>2</t>
    </r>
    <r>
      <rPr>
        <sz val="12"/>
        <rFont val="Tekton"/>
        <family val="2"/>
      </rPr>
      <t/>
    </r>
  </si>
  <si>
    <t>9.5.2 (1)</t>
  </si>
  <si>
    <t>min column bar dia</t>
  </si>
  <si>
    <t>9.5.2 (2)</t>
  </si>
  <si>
    <t>min column steel</t>
  </si>
  <si>
    <r>
      <t>x N</t>
    </r>
    <r>
      <rPr>
        <i/>
        <sz val="8"/>
        <rFont val="Tekton"/>
        <family val="2"/>
      </rPr>
      <t>Ed</t>
    </r>
    <r>
      <rPr>
        <i/>
        <sz val="12"/>
        <rFont val="Tekton"/>
        <family val="2"/>
      </rPr>
      <t>/f</t>
    </r>
    <r>
      <rPr>
        <i/>
        <sz val="8"/>
        <rFont val="Tekton"/>
        <family val="2"/>
      </rPr>
      <t>yd</t>
    </r>
    <r>
      <rPr>
        <sz val="12"/>
        <color indexed="10"/>
        <rFont val="Tekton"/>
        <family val="2"/>
      </rPr>
      <t/>
    </r>
  </si>
  <si>
    <t>9.5.2(3)</t>
  </si>
  <si>
    <t>max column steel</t>
  </si>
  <si>
    <r>
      <t>A</t>
    </r>
    <r>
      <rPr>
        <sz val="10"/>
        <rFont val="Tekton"/>
        <family val="2"/>
      </rPr>
      <t>s,min</t>
    </r>
  </si>
  <si>
    <t>As</t>
  </si>
  <si>
    <t>Updated to revised November 2002 draft of EN. DIV!0 error corrected in CASES!I28:J23. Conditional formatting added on MAIN. National Annex sheet added and linked.</t>
  </si>
  <si>
    <t>(F) or (P)</t>
  </si>
  <si>
    <t>CONNECTING BEAMS/SLABS</t>
  </si>
  <si>
    <t>L =</t>
  </si>
  <si>
    <t>Column I/L</t>
  </si>
  <si>
    <t>Correction to rotational stiffness calculation.</t>
  </si>
  <si>
    <t>Correction to calculation of 1/rx and 1/ry.</t>
  </si>
  <si>
    <t>Relative rotational stiffnesses updated to UK background document.</t>
  </si>
  <si>
    <t>Beam stiffnesses are</t>
  </si>
  <si>
    <t>of uncracked stiffness</t>
  </si>
  <si>
    <t>Column above?</t>
  </si>
  <si>
    <t>Col below?</t>
  </si>
  <si>
    <t>RCCen53 β9</t>
  </si>
  <si>
    <t>RCCen53 β8</t>
  </si>
  <si>
    <t>RCCen53 β7</t>
  </si>
  <si>
    <t>RCCen53 β6</t>
  </si>
  <si>
    <t>RCCen53 β5</t>
  </si>
  <si>
    <t>RCCen53 β4</t>
  </si>
  <si>
    <t>RCCen53 β3</t>
  </si>
  <si>
    <t>RCCen53 β2</t>
  </si>
  <si>
    <t>RCCen53 β1</t>
  </si>
  <si>
    <t>RCCen53 β10</t>
  </si>
  <si>
    <t>Change to relative stiffness for unbraced columns. Input added for percentage of beam stiffness to allow for cracking.</t>
  </si>
  <si>
    <r>
      <t xml:space="preserve">SYMMETRICALLY REINFORCED RECTANGULAR COLUMN DESIGN, BENT ABOUT TWO AXES TO </t>
    </r>
    <r>
      <rPr>
        <sz val="8"/>
        <color indexed="16"/>
        <rFont val="Trebuchet MS"/>
        <family val="2"/>
      </rPr>
      <t>EN 1992-1 : 2004</t>
    </r>
  </si>
  <si>
    <r>
      <t>γ</t>
    </r>
    <r>
      <rPr>
        <sz val="10"/>
        <rFont val="Tekton"/>
        <family val="2"/>
      </rPr>
      <t>s</t>
    </r>
  </si>
  <si>
    <r>
      <t>γ</t>
    </r>
    <r>
      <rPr>
        <sz val="10"/>
        <rFont val="Tekton"/>
        <family val="2"/>
      </rPr>
      <t>c</t>
    </r>
  </si>
  <si>
    <r>
      <t>b</t>
    </r>
    <r>
      <rPr>
        <sz val="11"/>
        <color indexed="62"/>
        <rFont val="Tekton"/>
        <family val="2"/>
      </rPr>
      <t xml:space="preserve"> (mm)</t>
    </r>
  </si>
  <si>
    <r>
      <t>h</t>
    </r>
    <r>
      <rPr>
        <b/>
        <sz val="11"/>
        <color indexed="62"/>
        <rFont val="Tekton"/>
        <family val="2"/>
      </rPr>
      <t xml:space="preserve"> </t>
    </r>
    <r>
      <rPr>
        <sz val="11"/>
        <color indexed="62"/>
        <rFont val="Tekton"/>
        <family val="2"/>
      </rPr>
      <t>(mm)</t>
    </r>
  </si>
  <si>
    <r>
      <t>L</t>
    </r>
    <r>
      <rPr>
        <sz val="11"/>
        <color indexed="62"/>
        <rFont val="Tekton"/>
        <family val="2"/>
      </rPr>
      <t xml:space="preserve"> (m)</t>
    </r>
  </si>
  <si>
    <r>
      <t>L</t>
    </r>
    <r>
      <rPr>
        <sz val="11"/>
        <color indexed="62"/>
        <rFont val="Trebuchet MS"/>
        <family val="2"/>
      </rPr>
      <t xml:space="preserve"> </t>
    </r>
    <r>
      <rPr>
        <sz val="12"/>
        <color indexed="62"/>
        <rFont val="Tekton"/>
        <family val="2"/>
      </rPr>
      <t>(mm)</t>
    </r>
  </si>
  <si>
    <r>
      <t>L</t>
    </r>
    <r>
      <rPr>
        <b/>
        <vertAlign val="subscript"/>
        <sz val="11"/>
        <color indexed="62"/>
        <rFont val="Trebuchet MS"/>
        <family val="2"/>
      </rPr>
      <t>0</t>
    </r>
    <r>
      <rPr>
        <sz val="11"/>
        <color indexed="62"/>
        <rFont val="Trebuchet MS"/>
        <family val="2"/>
      </rPr>
      <t xml:space="preserve"> </t>
    </r>
    <r>
      <rPr>
        <sz val="12"/>
        <color indexed="62"/>
        <rFont val="Tekton"/>
        <family val="2"/>
      </rPr>
      <t>(mm)</t>
    </r>
  </si>
  <si>
    <r>
      <t>h</t>
    </r>
    <r>
      <rPr>
        <b/>
        <vertAlign val="subscript"/>
        <sz val="11"/>
        <color indexed="62"/>
        <rFont val="Trebuchet MS"/>
        <family val="2"/>
      </rPr>
      <t>0</t>
    </r>
    <r>
      <rPr>
        <sz val="11"/>
        <color indexed="62"/>
        <rFont val="Trebuchet MS"/>
        <family val="2"/>
      </rPr>
      <t xml:space="preserve"> </t>
    </r>
    <r>
      <rPr>
        <sz val="12"/>
        <color indexed="62"/>
        <rFont val="Tekton"/>
        <family val="2"/>
      </rPr>
      <t>(mm)</t>
    </r>
  </si>
  <si>
    <r>
      <t>Asc</t>
    </r>
    <r>
      <rPr>
        <sz val="12"/>
        <color indexed="62"/>
        <rFont val="Tekton"/>
        <family val="2"/>
      </rPr>
      <t xml:space="preserve"> %</t>
    </r>
  </si>
  <si>
    <r>
      <t>BAR CENTRES</t>
    </r>
    <r>
      <rPr>
        <sz val="12"/>
        <color indexed="62"/>
        <rFont val="Tekton"/>
        <family val="2"/>
      </rPr>
      <t xml:space="preserve"> (mm)</t>
    </r>
  </si>
  <si>
    <r>
      <t>Nuz</t>
    </r>
    <r>
      <rPr>
        <sz val="12"/>
        <color indexed="62"/>
        <rFont val="Tekton"/>
        <family val="2"/>
      </rPr>
      <t xml:space="preserve"> (kN)</t>
    </r>
  </si>
  <si>
    <r>
      <t>TOP MOMENTS</t>
    </r>
    <r>
      <rPr>
        <sz val="11"/>
        <color indexed="62"/>
        <rFont val="Marker"/>
        <family val="2"/>
      </rPr>
      <t xml:space="preserve"> </t>
    </r>
    <r>
      <rPr>
        <sz val="11"/>
        <color indexed="62"/>
        <rFont val="Tekton"/>
        <family val="2"/>
      </rPr>
      <t>(kNm)</t>
    </r>
  </si>
  <si>
    <r>
      <t>BTM MOMENTS</t>
    </r>
    <r>
      <rPr>
        <sz val="11"/>
        <color indexed="62"/>
        <rFont val="Marker"/>
        <family val="2"/>
      </rPr>
      <t xml:space="preserve"> </t>
    </r>
    <r>
      <rPr>
        <sz val="11"/>
        <color indexed="62"/>
        <rFont val="Tekton"/>
        <family val="2"/>
      </rPr>
      <t>(kNm)</t>
    </r>
  </si>
  <si>
    <r>
      <t>N</t>
    </r>
    <r>
      <rPr>
        <sz val="12"/>
        <color indexed="62"/>
        <rFont val="Tekton"/>
        <family val="2"/>
      </rPr>
      <t xml:space="preserve"> (kN)</t>
    </r>
  </si>
  <si>
    <r>
      <t>My</t>
    </r>
    <r>
      <rPr>
        <b/>
        <sz val="8"/>
        <color indexed="62"/>
        <rFont val="Trebuchet MS"/>
        <family val="2"/>
      </rPr>
      <t>02</t>
    </r>
  </si>
  <si>
    <r>
      <t>My</t>
    </r>
    <r>
      <rPr>
        <b/>
        <sz val="8"/>
        <color indexed="62"/>
        <rFont val="Trebuchet MS"/>
        <family val="2"/>
      </rPr>
      <t>01</t>
    </r>
  </si>
  <si>
    <r>
      <t>AXIAL LOAD N</t>
    </r>
    <r>
      <rPr>
        <b/>
        <vertAlign val="subscript"/>
        <sz val="14"/>
        <color indexed="16"/>
        <rFont val="Trebuchet MS"/>
        <family val="2"/>
      </rPr>
      <t>Ed</t>
    </r>
    <r>
      <rPr>
        <b/>
        <sz val="14"/>
        <color indexed="16"/>
        <rFont val="Trebuchet MS"/>
        <family val="2"/>
      </rPr>
      <t xml:space="preserve"> </t>
    </r>
    <r>
      <rPr>
        <sz val="14"/>
        <rFont val="Tekton"/>
        <family val="2"/>
      </rPr>
      <t>(kN)</t>
    </r>
  </si>
  <si>
    <t>As or Ø &lt; minimum</t>
  </si>
  <si>
    <t xml:space="preserve"> DESIGN</t>
  </si>
  <si>
    <t xml:space="preserve"> MOMENTS</t>
  </si>
  <si>
    <t>Critical</t>
  </si>
  <si>
    <r>
      <t>n</t>
    </r>
    <r>
      <rPr>
        <b/>
        <vertAlign val="subscript"/>
        <sz val="14"/>
        <color indexed="62"/>
        <rFont val="Trebuchet MS"/>
        <family val="2"/>
      </rPr>
      <t>u</t>
    </r>
  </si>
  <si>
    <r>
      <t>n</t>
    </r>
    <r>
      <rPr>
        <b/>
        <sz val="12"/>
        <color indexed="62"/>
        <rFont val="Trebuchet MS"/>
        <family val="2"/>
      </rPr>
      <t>bal</t>
    </r>
  </si>
  <si>
    <t>λ</t>
  </si>
  <si>
    <t>ω</t>
  </si>
  <si>
    <r>
      <t>λ</t>
    </r>
    <r>
      <rPr>
        <b/>
        <sz val="12"/>
        <color indexed="62"/>
        <rFont val="Trebuchet MS"/>
        <family val="2"/>
      </rPr>
      <t xml:space="preserve"> fact</t>
    </r>
  </si>
  <si>
    <r>
      <t>λ</t>
    </r>
    <r>
      <rPr>
        <b/>
        <vertAlign val="subscript"/>
        <sz val="12"/>
        <color indexed="62"/>
        <rFont val="Trebuchet MS"/>
        <family val="2"/>
      </rPr>
      <t>lim</t>
    </r>
    <r>
      <rPr>
        <sz val="12"/>
        <color indexed="62"/>
        <rFont val="Trebuchet MS"/>
        <family val="2"/>
      </rPr>
      <t xml:space="preserve"> y</t>
    </r>
  </si>
  <si>
    <r>
      <t>N</t>
    </r>
    <r>
      <rPr>
        <vertAlign val="subscript"/>
        <sz val="12"/>
        <color indexed="62"/>
        <rFont val="Trebuchet MS"/>
        <family val="2"/>
      </rPr>
      <t>Ed</t>
    </r>
    <r>
      <rPr>
        <sz val="12"/>
        <color indexed="62"/>
        <rFont val="Trebuchet MS"/>
        <family val="2"/>
      </rPr>
      <t>/</t>
    </r>
    <r>
      <rPr>
        <b/>
        <sz val="12"/>
        <color indexed="62"/>
        <rFont val="Trebuchet MS"/>
        <family val="2"/>
      </rPr>
      <t>N</t>
    </r>
    <r>
      <rPr>
        <vertAlign val="subscript"/>
        <sz val="12"/>
        <color indexed="62"/>
        <rFont val="Trebuchet MS"/>
        <family val="2"/>
      </rPr>
      <t>Rd</t>
    </r>
  </si>
  <si>
    <r>
      <t>lu M</t>
    </r>
    <r>
      <rPr>
        <b/>
        <vertAlign val="subscript"/>
        <sz val="11"/>
        <color indexed="62"/>
        <rFont val="Trebuchet MS"/>
        <family val="2"/>
      </rPr>
      <t>ED</t>
    </r>
  </si>
  <si>
    <r>
      <t>β</t>
    </r>
    <r>
      <rPr>
        <sz val="12"/>
        <color indexed="62"/>
        <rFont val="Trebuchet MS"/>
        <family val="2"/>
      </rPr>
      <t>x</t>
    </r>
  </si>
  <si>
    <r>
      <t>N</t>
    </r>
    <r>
      <rPr>
        <vertAlign val="subscript"/>
        <sz val="12"/>
        <color indexed="62"/>
        <rFont val="Trebuchet MS"/>
        <family val="2"/>
      </rPr>
      <t>Rd</t>
    </r>
  </si>
  <si>
    <r>
      <t>N</t>
    </r>
    <r>
      <rPr>
        <b/>
        <vertAlign val="subscript"/>
        <sz val="12"/>
        <color indexed="62"/>
        <rFont val="Trebuchet MS"/>
        <family val="2"/>
      </rPr>
      <t>uz</t>
    </r>
  </si>
  <si>
    <r>
      <t>γ</t>
    </r>
    <r>
      <rPr>
        <vertAlign val="subscript"/>
        <sz val="12"/>
        <rFont val="Trebuchet MS"/>
        <family val="2"/>
      </rPr>
      <t>c</t>
    </r>
  </si>
  <si>
    <r>
      <t>γ</t>
    </r>
    <r>
      <rPr>
        <vertAlign val="subscript"/>
        <sz val="12"/>
        <rFont val="Trebuchet MS"/>
        <family val="2"/>
      </rPr>
      <t>s</t>
    </r>
  </si>
  <si>
    <r>
      <t>α</t>
    </r>
    <r>
      <rPr>
        <vertAlign val="subscript"/>
        <sz val="12"/>
        <rFont val="Trebuchet MS"/>
        <family val="2"/>
      </rPr>
      <t>cc</t>
    </r>
  </si>
  <si>
    <r>
      <t>A</t>
    </r>
    <r>
      <rPr>
        <vertAlign val="subscript"/>
        <sz val="12"/>
        <rFont val="Trebuchet MS"/>
        <family val="2"/>
      </rPr>
      <t>s,max</t>
    </r>
  </si>
  <si>
    <r>
      <t>θ</t>
    </r>
    <r>
      <rPr>
        <sz val="8"/>
        <rFont val="Trebuchet MS"/>
        <family val="2"/>
      </rPr>
      <t>0</t>
    </r>
  </si>
  <si>
    <r>
      <t>Ø</t>
    </r>
    <r>
      <rPr>
        <sz val="8"/>
        <rFont val="Trebuchet MS"/>
        <family val="2"/>
      </rPr>
      <t>min</t>
    </r>
  </si>
  <si>
    <r>
      <t>A</t>
    </r>
    <r>
      <rPr>
        <sz val="8"/>
        <rFont val="Trebuchet MS"/>
        <family val="2"/>
      </rPr>
      <t>s,min</t>
    </r>
  </si>
  <si>
    <t>Curve labelling enhanced on chart.  RE-BADGED.</t>
  </si>
  <si>
    <t>TCC53 v1.0</t>
  </si>
  <si>
    <t>Correction to sign convention for M0E</t>
  </si>
  <si>
    <t>Correction to b and kf on CASES</t>
  </si>
  <si>
    <r>
      <t>height</t>
    </r>
    <r>
      <rPr>
        <sz val="11"/>
        <color indexed="62"/>
        <rFont val="Tekton"/>
        <family val="2"/>
      </rPr>
      <t xml:space="preserve"> </t>
    </r>
    <r>
      <rPr>
        <sz val="9"/>
        <color indexed="62"/>
        <rFont val="Tekton"/>
        <family val="2"/>
      </rPr>
      <t>(mm)</t>
    </r>
  </si>
  <si>
    <t>φ</t>
  </si>
  <si>
    <t>φef</t>
  </si>
  <si>
    <t>Steel class</t>
  </si>
  <si>
    <r>
      <t>Δ</t>
    </r>
    <r>
      <rPr>
        <vertAlign val="subscript"/>
        <sz val="12"/>
        <rFont val="Tekton"/>
        <family val="2"/>
      </rPr>
      <t>c,dev</t>
    </r>
  </si>
  <si>
    <r>
      <t xml:space="preserve">Originated from </t>
    </r>
    <r>
      <rPr>
        <sz val="8"/>
        <color indexed="16"/>
        <rFont val="Trebuchet MS"/>
        <family val="2"/>
      </rPr>
      <t>TCC53.xls</t>
    </r>
    <r>
      <rPr>
        <sz val="8"/>
        <color indexed="8"/>
        <rFont val="Trebuchet MS"/>
        <family val="2"/>
      </rPr>
      <t xml:space="preserve"> </t>
    </r>
  </si>
  <si>
    <t>The Concrete Centre</t>
  </si>
  <si>
    <t>FB625</t>
  </si>
  <si>
    <t>v3 release. Page nos, User Guide and registration details amended.</t>
  </si>
  <si>
    <t>TCC53 v3.0</t>
  </si>
  <si>
    <t>SLENDERNESS - Z axis Bending</t>
  </si>
  <si>
    <t>CALCULATIONS - Z axis</t>
  </si>
  <si>
    <r>
      <t>M</t>
    </r>
    <r>
      <rPr>
        <vertAlign val="subscript"/>
        <sz val="12"/>
        <rFont val="Tekton"/>
        <family val="2"/>
      </rPr>
      <t>OE</t>
    </r>
    <r>
      <rPr>
        <sz val="12"/>
        <rFont val="Tekton"/>
        <family val="2"/>
      </rPr>
      <t xml:space="preserve"> z =</t>
    </r>
  </si>
  <si>
    <r>
      <t>M</t>
    </r>
    <r>
      <rPr>
        <vertAlign val="subscript"/>
        <sz val="12"/>
        <rFont val="Tekton"/>
        <family val="2"/>
      </rPr>
      <t>imp</t>
    </r>
    <r>
      <rPr>
        <sz val="12"/>
        <rFont val="Tekton"/>
        <family val="2"/>
      </rPr>
      <t xml:space="preserve"> z =</t>
    </r>
  </si>
  <si>
    <r>
      <t>Me</t>
    </r>
    <r>
      <rPr>
        <vertAlign val="subscript"/>
        <sz val="12"/>
        <rFont val="Tekton"/>
        <family val="2"/>
      </rPr>
      <t>0</t>
    </r>
    <r>
      <rPr>
        <sz val="12"/>
        <rFont val="Tekton"/>
        <family val="2"/>
      </rPr>
      <t xml:space="preserve"> z =</t>
    </r>
  </si>
  <si>
    <r>
      <t>1/r</t>
    </r>
    <r>
      <rPr>
        <vertAlign val="subscript"/>
        <sz val="12"/>
        <color indexed="62"/>
        <rFont val="Trebuchet MS"/>
        <family val="2"/>
      </rPr>
      <t>0</t>
    </r>
    <r>
      <rPr>
        <b/>
        <sz val="12"/>
        <color indexed="62"/>
        <rFont val="Trebuchet MS"/>
        <family val="2"/>
      </rPr>
      <t xml:space="preserve"> </t>
    </r>
    <r>
      <rPr>
        <sz val="12"/>
        <color indexed="62"/>
        <rFont val="Trebuchet MS"/>
        <family val="2"/>
      </rPr>
      <t>z</t>
    </r>
  </si>
  <si>
    <r>
      <t>Kφ</t>
    </r>
    <r>
      <rPr>
        <sz val="12"/>
        <color indexed="62"/>
        <rFont val="Trebuchet MS"/>
        <family val="2"/>
      </rPr>
      <t xml:space="preserve"> z</t>
    </r>
  </si>
  <si>
    <r>
      <t>e</t>
    </r>
    <r>
      <rPr>
        <vertAlign val="subscript"/>
        <sz val="12"/>
        <rFont val="Tekton"/>
        <family val="2"/>
      </rPr>
      <t>0</t>
    </r>
    <r>
      <rPr>
        <sz val="12"/>
        <rFont val="Tekton"/>
        <family val="2"/>
      </rPr>
      <t xml:space="preserve"> z =</t>
    </r>
  </si>
  <si>
    <r>
      <t>β</t>
    </r>
    <r>
      <rPr>
        <sz val="12"/>
        <color indexed="62"/>
        <rFont val="Trebuchet MS"/>
        <family val="2"/>
      </rPr>
      <t>z</t>
    </r>
  </si>
  <si>
    <r>
      <t>Kr</t>
    </r>
    <r>
      <rPr>
        <sz val="12"/>
        <color indexed="62"/>
        <rFont val="Trebuchet MS"/>
        <family val="2"/>
      </rPr>
      <t>z</t>
    </r>
  </si>
  <si>
    <r>
      <t xml:space="preserve">1/r </t>
    </r>
    <r>
      <rPr>
        <sz val="12"/>
        <color indexed="62"/>
        <rFont val="Trebuchet MS"/>
        <family val="2"/>
      </rPr>
      <t>z</t>
    </r>
  </si>
  <si>
    <r>
      <t>M</t>
    </r>
    <r>
      <rPr>
        <b/>
        <vertAlign val="subscript"/>
        <sz val="12"/>
        <color indexed="62"/>
        <rFont val="Trebuchet MS"/>
        <family val="2"/>
      </rPr>
      <t>2</t>
    </r>
    <r>
      <rPr>
        <sz val="12"/>
        <color indexed="62"/>
        <rFont val="Trebuchet MS"/>
        <family val="2"/>
      </rPr>
      <t xml:space="preserve"> z</t>
    </r>
  </si>
  <si>
    <r>
      <t>M</t>
    </r>
    <r>
      <rPr>
        <b/>
        <vertAlign val="subscript"/>
        <sz val="12"/>
        <color indexed="62"/>
        <rFont val="Trebuchet MS"/>
        <family val="2"/>
      </rPr>
      <t>Ed</t>
    </r>
    <r>
      <rPr>
        <sz val="12"/>
        <color indexed="62"/>
        <rFont val="Trebuchet MS"/>
        <family val="2"/>
      </rPr>
      <t xml:space="preserve"> z</t>
    </r>
  </si>
  <si>
    <r>
      <t>M</t>
    </r>
    <r>
      <rPr>
        <b/>
        <vertAlign val="subscript"/>
        <sz val="12"/>
        <color indexed="62"/>
        <rFont val="Trebuchet MS"/>
        <family val="2"/>
      </rPr>
      <t>Rd</t>
    </r>
    <r>
      <rPr>
        <b/>
        <sz val="12"/>
        <color indexed="62"/>
        <rFont val="Trebuchet MS"/>
        <family val="2"/>
      </rPr>
      <t xml:space="preserve"> </t>
    </r>
    <r>
      <rPr>
        <sz val="12"/>
        <color indexed="62"/>
        <rFont val="Trebuchet MS"/>
        <family val="2"/>
      </rPr>
      <t>z</t>
    </r>
  </si>
  <si>
    <r>
      <t>Z axis M</t>
    </r>
    <r>
      <rPr>
        <b/>
        <vertAlign val="subscript"/>
        <sz val="11"/>
        <color indexed="62"/>
        <rFont val="Trebuchet MS"/>
        <family val="2"/>
      </rPr>
      <t>Rd</t>
    </r>
    <r>
      <rPr>
        <b/>
        <sz val="11"/>
        <color indexed="62"/>
        <rFont val="Trebuchet MS"/>
        <family val="2"/>
      </rPr>
      <t>'s</t>
    </r>
  </si>
  <si>
    <r>
      <t>MOMENT M</t>
    </r>
    <r>
      <rPr>
        <b/>
        <vertAlign val="subscript"/>
        <sz val="14"/>
        <color indexed="16"/>
        <rFont val="Trebuchet MS"/>
        <family val="2"/>
      </rPr>
      <t>Ed</t>
    </r>
    <r>
      <rPr>
        <b/>
        <sz val="14"/>
        <color indexed="16"/>
        <rFont val="Trebuchet MS"/>
        <family val="2"/>
      </rPr>
      <t xml:space="preserve"> Z </t>
    </r>
    <r>
      <rPr>
        <sz val="14"/>
        <rFont val="Tekton"/>
        <family val="2"/>
      </rPr>
      <t>(kNm)</t>
    </r>
  </si>
  <si>
    <r>
      <t>M</t>
    </r>
    <r>
      <rPr>
        <b/>
        <vertAlign val="subscript"/>
        <sz val="12"/>
        <color indexed="62"/>
        <rFont val="Trebuchet MS"/>
        <family val="2"/>
      </rPr>
      <t>Ed</t>
    </r>
    <r>
      <rPr>
        <b/>
        <sz val="12"/>
        <color indexed="62"/>
        <rFont val="Trebuchet MS"/>
        <family val="2"/>
      </rPr>
      <t xml:space="preserve"> z</t>
    </r>
  </si>
  <si>
    <r>
      <t>M</t>
    </r>
    <r>
      <rPr>
        <b/>
        <vertAlign val="subscript"/>
        <sz val="12"/>
        <color indexed="62"/>
        <rFont val="Trebuchet MS"/>
        <family val="2"/>
      </rPr>
      <t>Rd</t>
    </r>
    <r>
      <rPr>
        <b/>
        <sz val="12"/>
        <color indexed="62"/>
        <rFont val="Trebuchet MS"/>
        <family val="2"/>
      </rPr>
      <t xml:space="preserve"> z</t>
    </r>
  </si>
  <si>
    <t>TCC53 v3.1</t>
  </si>
  <si>
    <t>B</t>
  </si>
  <si>
    <t>See 'Refs' page for explanation of column moment notation.</t>
  </si>
  <si>
    <t>Z AXIS</t>
  </si>
  <si>
    <r>
      <t>M</t>
    </r>
    <r>
      <rPr>
        <b/>
        <vertAlign val="subscript"/>
        <sz val="12"/>
        <color indexed="62"/>
        <rFont val="Trebuchet MS"/>
        <family val="2"/>
      </rPr>
      <t>Ed</t>
    </r>
    <r>
      <rPr>
        <b/>
        <sz val="12"/>
        <color indexed="62"/>
        <rFont val="Trebuchet MS"/>
        <family val="2"/>
      </rPr>
      <t xml:space="preserve"> y</t>
    </r>
  </si>
  <si>
    <r>
      <t>M</t>
    </r>
    <r>
      <rPr>
        <b/>
        <vertAlign val="subscript"/>
        <sz val="12"/>
        <color indexed="62"/>
        <rFont val="Trebuchet MS"/>
        <family val="2"/>
      </rPr>
      <t>Rd</t>
    </r>
    <r>
      <rPr>
        <b/>
        <sz val="12"/>
        <color indexed="62"/>
        <rFont val="Trebuchet MS"/>
        <family val="2"/>
      </rPr>
      <t xml:space="preserve"> y</t>
    </r>
  </si>
  <si>
    <r>
      <t>Mz</t>
    </r>
    <r>
      <rPr>
        <b/>
        <sz val="8"/>
        <color indexed="62"/>
        <rFont val="Trebuchet MS"/>
        <family val="2"/>
      </rPr>
      <t>02</t>
    </r>
  </si>
  <si>
    <r>
      <t>Mz</t>
    </r>
    <r>
      <rPr>
        <b/>
        <sz val="8"/>
        <color indexed="62"/>
        <rFont val="Trebuchet MS"/>
        <family val="2"/>
      </rPr>
      <t>01</t>
    </r>
  </si>
  <si>
    <r>
      <t>MOMENT M</t>
    </r>
    <r>
      <rPr>
        <b/>
        <vertAlign val="subscript"/>
        <sz val="14"/>
        <color indexed="16"/>
        <rFont val="Trebuchet MS"/>
        <family val="2"/>
      </rPr>
      <t>Ed</t>
    </r>
    <r>
      <rPr>
        <b/>
        <sz val="14"/>
        <color indexed="16"/>
        <rFont val="Trebuchet MS"/>
        <family val="2"/>
      </rPr>
      <t xml:space="preserve"> Y </t>
    </r>
    <r>
      <rPr>
        <sz val="14"/>
        <rFont val="Tekton"/>
        <family val="2"/>
      </rPr>
      <t>(kNm)</t>
    </r>
  </si>
  <si>
    <t>CALCULATIONS - Y axis</t>
  </si>
  <si>
    <t>SLENDERNESS - Y axis Bending</t>
  </si>
  <si>
    <r>
      <t>1/r</t>
    </r>
    <r>
      <rPr>
        <vertAlign val="subscript"/>
        <sz val="12"/>
        <color indexed="62"/>
        <rFont val="Trebuchet MS"/>
        <family val="2"/>
      </rPr>
      <t>0</t>
    </r>
    <r>
      <rPr>
        <b/>
        <sz val="12"/>
        <color indexed="62"/>
        <rFont val="Trebuchet MS"/>
        <family val="2"/>
      </rPr>
      <t xml:space="preserve"> </t>
    </r>
    <r>
      <rPr>
        <sz val="12"/>
        <color indexed="62"/>
        <rFont val="Trebuchet MS"/>
        <family val="2"/>
      </rPr>
      <t>y</t>
    </r>
  </si>
  <si>
    <r>
      <t>K</t>
    </r>
    <r>
      <rPr>
        <sz val="12"/>
        <color indexed="62"/>
        <rFont val="Trebuchet MS"/>
        <family val="2"/>
      </rPr>
      <t>φ y</t>
    </r>
  </si>
  <si>
    <r>
      <t>a</t>
    </r>
    <r>
      <rPr>
        <sz val="12"/>
        <rFont val="Tekton"/>
        <family val="2"/>
      </rPr>
      <t>1 z =</t>
    </r>
  </si>
  <si>
    <r>
      <t>e</t>
    </r>
    <r>
      <rPr>
        <vertAlign val="subscript"/>
        <sz val="12"/>
        <rFont val="Tekton"/>
        <family val="2"/>
      </rPr>
      <t>0</t>
    </r>
    <r>
      <rPr>
        <sz val="12"/>
        <rFont val="Tekton"/>
        <family val="2"/>
      </rPr>
      <t xml:space="preserve"> y =</t>
    </r>
  </si>
  <si>
    <r>
      <t>M</t>
    </r>
    <r>
      <rPr>
        <vertAlign val="subscript"/>
        <sz val="12"/>
        <rFont val="Tekton"/>
        <family val="2"/>
      </rPr>
      <t>OE</t>
    </r>
    <r>
      <rPr>
        <sz val="12"/>
        <rFont val="Tekton"/>
        <family val="2"/>
      </rPr>
      <t xml:space="preserve"> y =</t>
    </r>
  </si>
  <si>
    <r>
      <t>Me</t>
    </r>
    <r>
      <rPr>
        <vertAlign val="subscript"/>
        <sz val="12"/>
        <rFont val="Tekton"/>
        <family val="2"/>
      </rPr>
      <t>0</t>
    </r>
    <r>
      <rPr>
        <sz val="12"/>
        <rFont val="Tekton"/>
        <family val="2"/>
      </rPr>
      <t xml:space="preserve"> y =</t>
    </r>
  </si>
  <si>
    <r>
      <t>M</t>
    </r>
    <r>
      <rPr>
        <vertAlign val="subscript"/>
        <sz val="12"/>
        <rFont val="Tekton"/>
        <family val="2"/>
      </rPr>
      <t>imp</t>
    </r>
    <r>
      <rPr>
        <sz val="12"/>
        <rFont val="Tekton"/>
        <family val="2"/>
      </rPr>
      <t xml:space="preserve"> y =</t>
    </r>
  </si>
  <si>
    <r>
      <t>Kr</t>
    </r>
    <r>
      <rPr>
        <sz val="12"/>
        <color indexed="62"/>
        <rFont val="Trebuchet MS"/>
        <family val="2"/>
      </rPr>
      <t>y</t>
    </r>
  </si>
  <si>
    <r>
      <t>λ</t>
    </r>
    <r>
      <rPr>
        <b/>
        <vertAlign val="subscript"/>
        <sz val="12"/>
        <color indexed="62"/>
        <rFont val="Trebuchet MS"/>
        <family val="2"/>
      </rPr>
      <t>lim</t>
    </r>
    <r>
      <rPr>
        <sz val="12"/>
        <color indexed="62"/>
        <rFont val="Trebuchet MS"/>
        <family val="2"/>
      </rPr>
      <t xml:space="preserve"> z</t>
    </r>
  </si>
  <si>
    <r>
      <t xml:space="preserve">1/r </t>
    </r>
    <r>
      <rPr>
        <sz val="12"/>
        <color indexed="62"/>
        <rFont val="Trebuchet MS"/>
        <family val="2"/>
      </rPr>
      <t>y</t>
    </r>
  </si>
  <si>
    <r>
      <t>M</t>
    </r>
    <r>
      <rPr>
        <b/>
        <vertAlign val="subscript"/>
        <sz val="12"/>
        <color indexed="62"/>
        <rFont val="Trebuchet MS"/>
        <family val="2"/>
      </rPr>
      <t>2</t>
    </r>
    <r>
      <rPr>
        <sz val="12"/>
        <color indexed="62"/>
        <rFont val="Trebuchet MS"/>
        <family val="2"/>
      </rPr>
      <t xml:space="preserve"> y</t>
    </r>
  </si>
  <si>
    <r>
      <t>M</t>
    </r>
    <r>
      <rPr>
        <b/>
        <vertAlign val="subscript"/>
        <sz val="12"/>
        <color indexed="62"/>
        <rFont val="Trebuchet MS"/>
        <family val="2"/>
      </rPr>
      <t>Ed</t>
    </r>
    <r>
      <rPr>
        <sz val="12"/>
        <color indexed="62"/>
        <rFont val="Trebuchet MS"/>
        <family val="2"/>
      </rPr>
      <t xml:space="preserve"> y</t>
    </r>
  </si>
  <si>
    <r>
      <t>M</t>
    </r>
    <r>
      <rPr>
        <b/>
        <vertAlign val="subscript"/>
        <sz val="12"/>
        <color indexed="62"/>
        <rFont val="Trebuchet MS"/>
        <family val="2"/>
      </rPr>
      <t>Rd</t>
    </r>
    <r>
      <rPr>
        <b/>
        <sz val="12"/>
        <color indexed="62"/>
        <rFont val="Trebuchet MS"/>
        <family val="2"/>
      </rPr>
      <t xml:space="preserve"> </t>
    </r>
    <r>
      <rPr>
        <sz val="12"/>
        <color indexed="62"/>
        <rFont val="Trebuchet MS"/>
        <family val="2"/>
      </rPr>
      <t>y</t>
    </r>
  </si>
  <si>
    <r>
      <t>Y axis M</t>
    </r>
    <r>
      <rPr>
        <b/>
        <vertAlign val="subscript"/>
        <sz val="11"/>
        <color indexed="62"/>
        <rFont val="Trebuchet MS"/>
        <family val="2"/>
      </rPr>
      <t>Rd</t>
    </r>
    <r>
      <rPr>
        <b/>
        <sz val="11"/>
        <color indexed="62"/>
        <rFont val="Trebuchet MS"/>
        <family val="2"/>
      </rPr>
      <t>'s</t>
    </r>
  </si>
  <si>
    <t>Spreadsheets to  EC2</t>
  </si>
  <si>
    <t>Advisory Group</t>
  </si>
  <si>
    <t>TCC53 v3.2</t>
  </si>
  <si>
    <r>
      <t xml:space="preserve">Cover to link, </t>
    </r>
    <r>
      <rPr>
        <sz val="13"/>
        <rFont val="Tekton"/>
        <family val="2"/>
      </rPr>
      <t>C</t>
    </r>
    <r>
      <rPr>
        <vertAlign val="subscript"/>
        <sz val="13"/>
        <rFont val="Tekton"/>
        <family val="2"/>
      </rPr>
      <t>nom</t>
    </r>
  </si>
  <si>
    <t>About Y axis</t>
  </si>
  <si>
    <t>About Z axis</t>
  </si>
  <si>
    <t>SLENDERNESS</t>
  </si>
  <si>
    <t>5.8.3.2(3)</t>
  </si>
  <si>
    <r>
      <t>Max[0.1, EI/l</t>
    </r>
    <r>
      <rPr>
        <i/>
        <vertAlign val="subscript"/>
        <sz val="12"/>
        <rFont val="Tekton"/>
        <family val="2"/>
      </rPr>
      <t>cols</t>
    </r>
    <r>
      <rPr>
        <i/>
        <sz val="12"/>
        <rFont val="Tekton"/>
        <family val="2"/>
      </rPr>
      <t>/∑(κEI/l</t>
    </r>
    <r>
      <rPr>
        <i/>
        <vertAlign val="subscript"/>
        <sz val="12"/>
        <rFont val="Tekton"/>
        <family val="2"/>
      </rPr>
      <t>beams</t>
    </r>
    <r>
      <rPr>
        <i/>
        <sz val="12"/>
        <rFont val="Tekton"/>
        <family val="2"/>
      </rPr>
      <t>)]</t>
    </r>
  </si>
  <si>
    <t>(κ=2 braced, or 4 unbraced)</t>
  </si>
  <si>
    <r>
      <t xml:space="preserve">Effective length, </t>
    </r>
    <r>
      <rPr>
        <b/>
        <i/>
        <sz val="12"/>
        <color indexed="16"/>
        <rFont val="Trebuchet MS"/>
        <family val="2"/>
      </rPr>
      <t>l</t>
    </r>
    <r>
      <rPr>
        <b/>
        <i/>
        <vertAlign val="subscript"/>
        <sz val="12"/>
        <color indexed="16"/>
        <rFont val="Trebuchet MS"/>
        <family val="2"/>
      </rPr>
      <t>0</t>
    </r>
  </si>
  <si>
    <r>
      <t xml:space="preserve">Clear height, </t>
    </r>
    <r>
      <rPr>
        <b/>
        <i/>
        <sz val="12"/>
        <color indexed="16"/>
        <rFont val="Trebuchet MS"/>
        <family val="2"/>
      </rPr>
      <t>L</t>
    </r>
  </si>
  <si>
    <r>
      <t xml:space="preserve">Radius of gyration, </t>
    </r>
    <r>
      <rPr>
        <b/>
        <i/>
        <sz val="12"/>
        <color indexed="16"/>
        <rFont val="Trebuchet MS"/>
        <family val="2"/>
      </rPr>
      <t>i</t>
    </r>
  </si>
  <si>
    <t>5.8.3.2(1)</t>
  </si>
  <si>
    <r>
      <t xml:space="preserve">Slenderness ratio, </t>
    </r>
    <r>
      <rPr>
        <b/>
        <i/>
        <sz val="12"/>
        <color indexed="16"/>
        <rFont val="Trebuchet MS"/>
        <family val="2"/>
      </rPr>
      <t>λ</t>
    </r>
  </si>
  <si>
    <r>
      <t>l</t>
    </r>
    <r>
      <rPr>
        <i/>
        <vertAlign val="subscript"/>
        <sz val="12"/>
        <rFont val="Tekton"/>
        <family val="2"/>
      </rPr>
      <t>0</t>
    </r>
    <r>
      <rPr>
        <i/>
        <sz val="12"/>
        <rFont val="Tekton"/>
        <family val="2"/>
      </rPr>
      <t>/i</t>
    </r>
  </si>
  <si>
    <r>
      <t xml:space="preserve">Reinforcement ratio, </t>
    </r>
    <r>
      <rPr>
        <b/>
        <i/>
        <sz val="12"/>
        <color indexed="16"/>
        <rFont val="Trebuchet MS"/>
        <family val="2"/>
      </rPr>
      <t>ω</t>
    </r>
  </si>
  <si>
    <t>5.8.3.1</t>
  </si>
  <si>
    <r>
      <t xml:space="preserve">Relative normal force, </t>
    </r>
    <r>
      <rPr>
        <b/>
        <i/>
        <sz val="12"/>
        <color indexed="16"/>
        <rFont val="Trebuchet MS"/>
        <family val="2"/>
      </rPr>
      <t>n</t>
    </r>
  </si>
  <si>
    <r>
      <t>A</t>
    </r>
    <r>
      <rPr>
        <i/>
        <vertAlign val="subscript"/>
        <sz val="12"/>
        <rFont val="Tekton"/>
        <family val="2"/>
      </rPr>
      <t>s</t>
    </r>
    <r>
      <rPr>
        <i/>
        <sz val="12"/>
        <rFont val="Tekton"/>
        <family val="2"/>
      </rPr>
      <t>∙f</t>
    </r>
    <r>
      <rPr>
        <i/>
        <vertAlign val="subscript"/>
        <sz val="12"/>
        <rFont val="Tekton"/>
        <family val="2"/>
      </rPr>
      <t>yd</t>
    </r>
    <r>
      <rPr>
        <i/>
        <sz val="12"/>
        <rFont val="Tekton"/>
        <family val="2"/>
      </rPr>
      <t>/(A</t>
    </r>
    <r>
      <rPr>
        <i/>
        <vertAlign val="subscript"/>
        <sz val="12"/>
        <rFont val="Tekton"/>
        <family val="2"/>
      </rPr>
      <t>c</t>
    </r>
    <r>
      <rPr>
        <i/>
        <sz val="12"/>
        <rFont val="Tekton"/>
        <family val="2"/>
      </rPr>
      <t>∙f</t>
    </r>
    <r>
      <rPr>
        <i/>
        <vertAlign val="subscript"/>
        <sz val="12"/>
        <rFont val="Tekton"/>
        <family val="2"/>
      </rPr>
      <t>cd</t>
    </r>
    <r>
      <rPr>
        <i/>
        <sz val="12"/>
        <rFont val="Tekton"/>
        <family val="2"/>
      </rPr>
      <t>)</t>
    </r>
  </si>
  <si>
    <r>
      <t>N</t>
    </r>
    <r>
      <rPr>
        <i/>
        <vertAlign val="subscript"/>
        <sz val="12"/>
        <rFont val="Tekton"/>
        <family val="2"/>
      </rPr>
      <t>Ed</t>
    </r>
    <r>
      <rPr>
        <i/>
        <sz val="12"/>
        <rFont val="Tekton"/>
        <family val="2"/>
      </rPr>
      <t>/(A</t>
    </r>
    <r>
      <rPr>
        <i/>
        <vertAlign val="subscript"/>
        <sz val="12"/>
        <rFont val="Tekton"/>
        <family val="2"/>
      </rPr>
      <t>c</t>
    </r>
    <r>
      <rPr>
        <i/>
        <sz val="12"/>
        <rFont val="Tekton"/>
        <family val="2"/>
      </rPr>
      <t>∙f</t>
    </r>
    <r>
      <rPr>
        <i/>
        <vertAlign val="subscript"/>
        <sz val="12"/>
        <rFont val="Tekton"/>
        <family val="2"/>
      </rPr>
      <t>cd</t>
    </r>
    <r>
      <rPr>
        <i/>
        <sz val="12"/>
        <rFont val="Tekton"/>
        <family val="2"/>
      </rPr>
      <t>)</t>
    </r>
  </si>
  <si>
    <r>
      <t xml:space="preserve">Limiting slenderness, </t>
    </r>
    <r>
      <rPr>
        <b/>
        <i/>
        <sz val="12"/>
        <color indexed="16"/>
        <rFont val="Trebuchet MS"/>
        <family val="2"/>
      </rPr>
      <t>λ</t>
    </r>
    <r>
      <rPr>
        <b/>
        <i/>
        <vertAlign val="subscript"/>
        <sz val="12"/>
        <color indexed="16"/>
        <rFont val="Trebuchet MS"/>
        <family val="2"/>
      </rPr>
      <t>lim</t>
    </r>
  </si>
  <si>
    <t>Slenderness condition</t>
  </si>
  <si>
    <t>kN</t>
  </si>
  <si>
    <r>
      <t>(n</t>
    </r>
    <r>
      <rPr>
        <i/>
        <vertAlign val="subscript"/>
        <sz val="12"/>
        <rFont val="Tekton"/>
        <family val="2"/>
      </rPr>
      <t>u</t>
    </r>
    <r>
      <rPr>
        <i/>
        <sz val="12"/>
        <rFont val="Tekton"/>
        <family val="2"/>
      </rPr>
      <t xml:space="preserve"> - n)/(n</t>
    </r>
    <r>
      <rPr>
        <i/>
        <vertAlign val="subscript"/>
        <sz val="12"/>
        <rFont val="Tekton"/>
        <family val="2"/>
      </rPr>
      <t>u</t>
    </r>
    <r>
      <rPr>
        <i/>
        <sz val="12"/>
        <rFont val="Tekton"/>
        <family val="2"/>
      </rPr>
      <t xml:space="preserve"> - n</t>
    </r>
    <r>
      <rPr>
        <i/>
        <vertAlign val="subscript"/>
        <sz val="12"/>
        <rFont val="Tekton"/>
        <family val="2"/>
      </rPr>
      <t>bal</t>
    </r>
    <r>
      <rPr>
        <i/>
        <sz val="12"/>
        <rFont val="Tekton"/>
        <family val="2"/>
      </rPr>
      <t>)</t>
    </r>
  </si>
  <si>
    <r>
      <t xml:space="preserve">At maximum MOR, </t>
    </r>
    <r>
      <rPr>
        <b/>
        <i/>
        <sz val="12"/>
        <color indexed="16"/>
        <rFont val="Trebuchet MS"/>
        <family val="2"/>
      </rPr>
      <t>n</t>
    </r>
    <r>
      <rPr>
        <b/>
        <i/>
        <vertAlign val="subscript"/>
        <sz val="12"/>
        <color indexed="16"/>
        <rFont val="Trebuchet MS"/>
        <family val="2"/>
      </rPr>
      <t>bal</t>
    </r>
  </si>
  <si>
    <t>5.8.8.3(3)</t>
  </si>
  <si>
    <t>Eqn (5.36)</t>
  </si>
  <si>
    <t>5.8.8.3(4)</t>
  </si>
  <si>
    <r>
      <t xml:space="preserve">Axial correction factor, </t>
    </r>
    <r>
      <rPr>
        <b/>
        <i/>
        <sz val="12"/>
        <color indexed="16"/>
        <rFont val="Trebuchet MS"/>
        <family val="2"/>
      </rPr>
      <t>K</t>
    </r>
    <r>
      <rPr>
        <b/>
        <i/>
        <vertAlign val="subscript"/>
        <sz val="12"/>
        <color indexed="16"/>
        <rFont val="Trebuchet MS"/>
        <family val="2"/>
      </rPr>
      <t>r</t>
    </r>
  </si>
  <si>
    <r>
      <t xml:space="preserve">Creep adjust factor, </t>
    </r>
    <r>
      <rPr>
        <b/>
        <i/>
        <sz val="12"/>
        <color indexed="16"/>
        <rFont val="Trebuchet MS"/>
        <family val="2"/>
      </rPr>
      <t>β</t>
    </r>
  </si>
  <si>
    <r>
      <t>0.35 + f</t>
    </r>
    <r>
      <rPr>
        <i/>
        <vertAlign val="subscript"/>
        <sz val="12"/>
        <rFont val="Tekton"/>
        <family val="2"/>
      </rPr>
      <t>ck</t>
    </r>
    <r>
      <rPr>
        <i/>
        <sz val="12"/>
        <rFont val="Tekton"/>
        <family val="2"/>
      </rPr>
      <t>/200 - λ / 150</t>
    </r>
  </si>
  <si>
    <r>
      <t xml:space="preserve">Creep effect factor, </t>
    </r>
    <r>
      <rPr>
        <b/>
        <i/>
        <sz val="12"/>
        <color indexed="16"/>
        <rFont val="Trebuchet MS"/>
        <family val="2"/>
      </rPr>
      <t>K</t>
    </r>
    <r>
      <rPr>
        <b/>
        <i/>
        <vertAlign val="subscript"/>
        <sz val="12"/>
        <color indexed="16"/>
        <rFont val="Trebuchet MS"/>
        <family val="2"/>
      </rPr>
      <t>φ</t>
    </r>
  </si>
  <si>
    <r>
      <t>1 + β∙φ</t>
    </r>
    <r>
      <rPr>
        <i/>
        <vertAlign val="subscript"/>
        <sz val="12"/>
        <rFont val="Tekton"/>
        <family val="2"/>
      </rPr>
      <t>ef</t>
    </r>
    <r>
      <rPr>
        <i/>
        <sz val="12"/>
        <rFont val="Tekton"/>
        <family val="2"/>
      </rPr>
      <t xml:space="preserve"> ≤ 1</t>
    </r>
  </si>
  <si>
    <t>Eqn (5.37)</t>
  </si>
  <si>
    <t>Eqn (5.34)</t>
  </si>
  <si>
    <r>
      <t xml:space="preserve">Curvature, </t>
    </r>
    <r>
      <rPr>
        <b/>
        <i/>
        <sz val="12"/>
        <color indexed="16"/>
        <rFont val="Trebuchet MS"/>
        <family val="2"/>
      </rPr>
      <t>1/r</t>
    </r>
    <r>
      <rPr>
        <sz val="10"/>
        <rFont val="Arial"/>
        <family val="2"/>
      </rPr>
      <t/>
    </r>
  </si>
  <si>
    <t>5.8.8.3(1)</t>
  </si>
  <si>
    <r>
      <t>f</t>
    </r>
    <r>
      <rPr>
        <i/>
        <vertAlign val="subscript"/>
        <sz val="12"/>
        <rFont val="Tekton"/>
        <family val="2"/>
      </rPr>
      <t>yd</t>
    </r>
    <r>
      <rPr>
        <i/>
        <sz val="12"/>
        <rFont val="Tekton"/>
        <family val="2"/>
      </rPr>
      <t xml:space="preserve"> /(0.45d.E</t>
    </r>
    <r>
      <rPr>
        <i/>
        <vertAlign val="subscript"/>
        <sz val="12"/>
        <rFont val="Tekton"/>
        <family val="2"/>
      </rPr>
      <t>s</t>
    </r>
    <r>
      <rPr>
        <i/>
        <sz val="12"/>
        <rFont val="Tekton"/>
        <family val="2"/>
      </rPr>
      <t>)</t>
    </r>
  </si>
  <si>
    <r>
      <t>K</t>
    </r>
    <r>
      <rPr>
        <i/>
        <vertAlign val="subscript"/>
        <sz val="12"/>
        <rFont val="Tekton"/>
        <family val="2"/>
      </rPr>
      <t>r</t>
    </r>
    <r>
      <rPr>
        <i/>
        <sz val="12"/>
        <rFont val="Tekton"/>
        <family val="2"/>
      </rPr>
      <t>∙K</t>
    </r>
    <r>
      <rPr>
        <i/>
        <vertAlign val="subscript"/>
        <sz val="12"/>
        <rFont val="Tekton"/>
        <family val="2"/>
      </rPr>
      <t>φ</t>
    </r>
    <r>
      <rPr>
        <i/>
        <sz val="12"/>
        <rFont val="Tekton"/>
        <family val="2"/>
      </rPr>
      <t>∙1/r</t>
    </r>
    <r>
      <rPr>
        <i/>
        <vertAlign val="subscript"/>
        <sz val="12"/>
        <rFont val="Tekton"/>
        <family val="2"/>
      </rPr>
      <t>0</t>
    </r>
  </si>
  <si>
    <t>from charts</t>
  </si>
  <si>
    <r>
      <t xml:space="preserve">Basic curvature, </t>
    </r>
    <r>
      <rPr>
        <b/>
        <i/>
        <sz val="12"/>
        <color indexed="16"/>
        <rFont val="Trebuchet MS"/>
        <family val="2"/>
      </rPr>
      <t>1/r</t>
    </r>
    <r>
      <rPr>
        <b/>
        <i/>
        <vertAlign val="subscript"/>
        <sz val="12"/>
        <color indexed="16"/>
        <rFont val="Trebuchet MS"/>
        <family val="2"/>
      </rPr>
      <t>0</t>
    </r>
  </si>
  <si>
    <t>5.8.8.2(3)</t>
  </si>
  <si>
    <r>
      <t xml:space="preserve">Curvature distribution, </t>
    </r>
    <r>
      <rPr>
        <b/>
        <i/>
        <sz val="12"/>
        <color indexed="16"/>
        <rFont val="Trebuchet MS"/>
        <family val="2"/>
      </rPr>
      <t>c</t>
    </r>
  </si>
  <si>
    <r>
      <t xml:space="preserve">Deflection, </t>
    </r>
    <r>
      <rPr>
        <b/>
        <i/>
        <sz val="12"/>
        <color indexed="16"/>
        <rFont val="Trebuchet MS"/>
        <family val="2"/>
      </rPr>
      <t>e</t>
    </r>
    <r>
      <rPr>
        <b/>
        <i/>
        <vertAlign val="subscript"/>
        <sz val="12"/>
        <color indexed="16"/>
        <rFont val="Trebuchet MS"/>
        <family val="2"/>
      </rPr>
      <t>2</t>
    </r>
  </si>
  <si>
    <t>kNm</t>
  </si>
  <si>
    <t>5.8.8.2(4)</t>
  </si>
  <si>
    <t>Eqn (5.33)</t>
  </si>
  <si>
    <r>
      <t>(1/r)∙l</t>
    </r>
    <r>
      <rPr>
        <i/>
        <vertAlign val="subscript"/>
        <sz val="12"/>
        <rFont val="Tekton"/>
        <family val="2"/>
      </rPr>
      <t>0</t>
    </r>
    <r>
      <rPr>
        <i/>
        <sz val="12"/>
        <rFont val="Tekton"/>
        <family val="2"/>
      </rPr>
      <t>² /c</t>
    </r>
  </si>
  <si>
    <t>MOMENTS</t>
  </si>
  <si>
    <t>IMPERFECTIONS</t>
  </si>
  <si>
    <r>
      <t xml:space="preserve">Inclination, </t>
    </r>
    <r>
      <rPr>
        <b/>
        <i/>
        <sz val="12"/>
        <color indexed="16"/>
        <rFont val="Tekton"/>
        <family val="2"/>
      </rPr>
      <t>θ</t>
    </r>
    <r>
      <rPr>
        <b/>
        <i/>
        <vertAlign val="subscript"/>
        <sz val="12"/>
        <color indexed="16"/>
        <rFont val="Tekton"/>
        <family val="2"/>
      </rPr>
      <t>i</t>
    </r>
  </si>
  <si>
    <t>Eqn (5.1)</t>
  </si>
  <si>
    <r>
      <t xml:space="preserve">Imperfection M, </t>
    </r>
    <r>
      <rPr>
        <b/>
        <i/>
        <sz val="12"/>
        <color indexed="16"/>
        <rFont val="Trebuchet MS"/>
        <family val="2"/>
      </rPr>
      <t>M</t>
    </r>
    <r>
      <rPr>
        <b/>
        <i/>
        <vertAlign val="subscript"/>
        <sz val="12"/>
        <color indexed="16"/>
        <rFont val="Trebuchet MS"/>
        <family val="2"/>
      </rPr>
      <t>imp</t>
    </r>
  </si>
  <si>
    <t>Eqn (5.2)</t>
  </si>
  <si>
    <r>
      <t xml:space="preserve">Minimum moment, </t>
    </r>
    <r>
      <rPr>
        <b/>
        <i/>
        <sz val="12"/>
        <color indexed="16"/>
        <rFont val="Trebuchet MS"/>
        <family val="2"/>
      </rPr>
      <t>M</t>
    </r>
    <r>
      <rPr>
        <b/>
        <i/>
        <vertAlign val="subscript"/>
        <sz val="12"/>
        <color indexed="16"/>
        <rFont val="Trebuchet MS"/>
        <family val="2"/>
      </rPr>
      <t>min</t>
    </r>
  </si>
  <si>
    <r>
      <t xml:space="preserve">Section MOR, </t>
    </r>
    <r>
      <rPr>
        <b/>
        <i/>
        <sz val="12"/>
        <color indexed="16"/>
        <rFont val="Trebuchet MS"/>
        <family val="2"/>
      </rPr>
      <t>M</t>
    </r>
    <r>
      <rPr>
        <b/>
        <i/>
        <vertAlign val="subscript"/>
        <sz val="12"/>
        <color indexed="16"/>
        <rFont val="Trebuchet MS"/>
        <family val="2"/>
      </rPr>
      <t>Rd</t>
    </r>
  </si>
  <si>
    <t>As =</t>
  </si>
  <si>
    <r>
      <t>N</t>
    </r>
    <r>
      <rPr>
        <i/>
        <vertAlign val="subscript"/>
        <sz val="12"/>
        <rFont val="Tekton"/>
        <family val="2"/>
      </rPr>
      <t>Ed</t>
    </r>
    <r>
      <rPr>
        <i/>
        <sz val="12"/>
        <rFont val="Tekton"/>
        <family val="2"/>
      </rPr>
      <t xml:space="preserve"> /(A</t>
    </r>
    <r>
      <rPr>
        <i/>
        <vertAlign val="subscript"/>
        <sz val="12"/>
        <rFont val="Tekton"/>
        <family val="2"/>
      </rPr>
      <t>c</t>
    </r>
    <r>
      <rPr>
        <i/>
        <sz val="12"/>
        <rFont val="Tekton"/>
        <family val="2"/>
      </rPr>
      <t>∙f</t>
    </r>
    <r>
      <rPr>
        <i/>
        <vertAlign val="subscript"/>
        <sz val="12"/>
        <rFont val="Tekton"/>
        <family val="2"/>
      </rPr>
      <t>cd</t>
    </r>
    <r>
      <rPr>
        <i/>
        <sz val="12"/>
        <rFont val="Tekton"/>
        <family val="2"/>
      </rPr>
      <t xml:space="preserve"> + A</t>
    </r>
    <r>
      <rPr>
        <i/>
        <vertAlign val="subscript"/>
        <sz val="12"/>
        <rFont val="Tekton"/>
        <family val="2"/>
      </rPr>
      <t>s</t>
    </r>
    <r>
      <rPr>
        <i/>
        <sz val="12"/>
        <rFont val="Tekton"/>
        <family val="2"/>
      </rPr>
      <t>∙f</t>
    </r>
    <r>
      <rPr>
        <i/>
        <vertAlign val="subscript"/>
        <sz val="12"/>
        <rFont val="Tekton"/>
        <family val="2"/>
      </rPr>
      <t>yd</t>
    </r>
    <r>
      <rPr>
        <i/>
        <sz val="12"/>
        <rFont val="Tekton"/>
        <family val="2"/>
      </rPr>
      <t>) =</t>
    </r>
  </si>
  <si>
    <r>
      <t>(M</t>
    </r>
    <r>
      <rPr>
        <i/>
        <vertAlign val="subscript"/>
        <sz val="12"/>
        <rFont val="Tekton"/>
        <family val="2"/>
      </rPr>
      <t>Edy</t>
    </r>
    <r>
      <rPr>
        <i/>
        <sz val="12"/>
        <rFont val="Tekton"/>
        <family val="2"/>
      </rPr>
      <t>/M</t>
    </r>
    <r>
      <rPr>
        <i/>
        <vertAlign val="subscript"/>
        <sz val="12"/>
        <rFont val="Tekton"/>
        <family val="2"/>
      </rPr>
      <t>Rdy</t>
    </r>
    <r>
      <rPr>
        <i/>
        <sz val="12"/>
        <rFont val="Tekton"/>
        <family val="2"/>
      </rPr>
      <t>)</t>
    </r>
    <r>
      <rPr>
        <i/>
        <vertAlign val="superscript"/>
        <sz val="12"/>
        <rFont val="Tekton"/>
        <family val="2"/>
      </rPr>
      <t>a</t>
    </r>
    <r>
      <rPr>
        <i/>
        <sz val="12"/>
        <rFont val="Tekton"/>
        <family val="2"/>
      </rPr>
      <t xml:space="preserve"> + (M</t>
    </r>
    <r>
      <rPr>
        <i/>
        <vertAlign val="subscript"/>
        <sz val="12"/>
        <rFont val="Tekton"/>
        <family val="2"/>
      </rPr>
      <t>Edz</t>
    </r>
    <r>
      <rPr>
        <i/>
        <sz val="12"/>
        <rFont val="Tekton"/>
        <family val="2"/>
      </rPr>
      <t>/M</t>
    </r>
    <r>
      <rPr>
        <i/>
        <vertAlign val="subscript"/>
        <sz val="12"/>
        <rFont val="Tekton"/>
        <family val="2"/>
      </rPr>
      <t>Rdz</t>
    </r>
    <r>
      <rPr>
        <i/>
        <sz val="12"/>
        <rFont val="Tekton"/>
        <family val="2"/>
      </rPr>
      <t>)</t>
    </r>
    <r>
      <rPr>
        <i/>
        <vertAlign val="superscript"/>
        <sz val="12"/>
        <rFont val="Tekton"/>
        <family val="2"/>
      </rPr>
      <t>a</t>
    </r>
    <r>
      <rPr>
        <i/>
        <sz val="12"/>
        <rFont val="Tekton"/>
        <family val="2"/>
      </rPr>
      <t xml:space="preserve"> =</t>
    </r>
  </si>
  <si>
    <t>TCC53 v3.3</t>
  </si>
  <si>
    <t>Typical calculation sheet added.</t>
  </si>
  <si>
    <t>TCC53 v3.4</t>
  </si>
  <si>
    <t>Lookup table for Calc sheet</t>
  </si>
  <si>
    <t>TCC53 v3.5</t>
  </si>
  <si>
    <t>TCC53 v3.6</t>
  </si>
  <si>
    <t>Public release version</t>
  </si>
  <si>
    <t>TCC53 v3.7</t>
  </si>
  <si>
    <r>
      <t>M</t>
    </r>
    <r>
      <rPr>
        <b/>
        <vertAlign val="subscript"/>
        <sz val="12"/>
        <color indexed="62"/>
        <rFont val="Trebuchet MS"/>
        <family val="2"/>
      </rPr>
      <t>Ed</t>
    </r>
    <r>
      <rPr>
        <sz val="12"/>
        <color indexed="62"/>
        <rFont val="Trebuchet MS"/>
        <family val="2"/>
      </rPr>
      <t xml:space="preserve"> y*</t>
    </r>
  </si>
  <si>
    <r>
      <t>M</t>
    </r>
    <r>
      <rPr>
        <b/>
        <vertAlign val="subscript"/>
        <sz val="12"/>
        <color indexed="62"/>
        <rFont val="Trebuchet MS"/>
        <family val="2"/>
      </rPr>
      <t>Ed</t>
    </r>
    <r>
      <rPr>
        <sz val="12"/>
        <color indexed="62"/>
        <rFont val="Trebuchet MS"/>
        <family val="2"/>
      </rPr>
      <t xml:space="preserve"> z*</t>
    </r>
  </si>
  <si>
    <t>TCC53 v4.0</t>
  </si>
  <si>
    <t>Updated to revised UK National Annex</t>
  </si>
  <si>
    <t>TCC53 v4.1</t>
  </si>
  <si>
    <t>Improvement to rotational stiffness output on "Calcs" page.</t>
  </si>
  <si>
    <r>
      <t xml:space="preserve">Revision history </t>
    </r>
    <r>
      <rPr>
        <b/>
        <i/>
        <sz val="12"/>
        <color indexed="62"/>
        <rFont val="Arial Narrow"/>
        <family val="2"/>
      </rPr>
      <t xml:space="preserve"> </t>
    </r>
    <r>
      <rPr>
        <b/>
        <i/>
        <sz val="12"/>
        <color indexed="60"/>
        <rFont val="Arial Narrow"/>
        <family val="2"/>
      </rPr>
      <t>TCC53 Column Design</t>
    </r>
  </si>
  <si>
    <r>
      <t>Size</t>
    </r>
    <r>
      <rPr>
        <sz val="14"/>
        <color indexed="62"/>
        <rFont val="Arial Narrow"/>
        <family val="2"/>
      </rPr>
      <t xml:space="preserve"> </t>
    </r>
    <r>
      <rPr>
        <sz val="12"/>
        <color indexed="62"/>
        <rFont val="Arial Narrow"/>
        <family val="2"/>
      </rPr>
      <t>(kB)</t>
    </r>
  </si>
  <si>
    <r>
      <t>Improvement in calculation of λ</t>
    </r>
    <r>
      <rPr>
        <vertAlign val="subscript"/>
        <sz val="11"/>
        <rFont val="Arial Narrow"/>
        <family val="2"/>
      </rPr>
      <t>lim</t>
    </r>
    <r>
      <rPr>
        <sz val="11"/>
        <rFont val="Arial Narrow"/>
        <family val="2"/>
      </rPr>
      <t>. M</t>
    </r>
    <r>
      <rPr>
        <vertAlign val="subscript"/>
        <sz val="11"/>
        <rFont val="Arial Narrow"/>
        <family val="2"/>
      </rPr>
      <t>min</t>
    </r>
    <r>
      <rPr>
        <sz val="11"/>
        <rFont val="Arial Narrow"/>
        <family val="2"/>
      </rPr>
      <t xml:space="preserve"> now omitted from biaxial check. Critical X corrected to critical Y axis.</t>
    </r>
  </si>
  <si>
    <r>
      <t>Correction to addition of M</t>
    </r>
    <r>
      <rPr>
        <vertAlign val="subscript"/>
        <sz val="11"/>
        <rFont val="Arial Narrow"/>
        <family val="2"/>
      </rPr>
      <t>2</t>
    </r>
    <r>
      <rPr>
        <sz val="11"/>
        <rFont val="Arial Narrow"/>
        <family val="2"/>
      </rPr>
      <t>/2 to end moments when calculating M</t>
    </r>
    <r>
      <rPr>
        <vertAlign val="subscript"/>
        <sz val="11"/>
        <rFont val="Arial Narrow"/>
        <family val="2"/>
      </rPr>
      <t>Ed</t>
    </r>
    <r>
      <rPr>
        <sz val="11"/>
        <rFont val="Arial Narrow"/>
        <family val="2"/>
      </rPr>
      <t>.</t>
    </r>
  </si>
  <si>
    <r>
      <t>"No solution" errors formatted out when N entered as zero. Calculation of Kφ</t>
    </r>
    <r>
      <rPr>
        <vertAlign val="subscript"/>
        <sz val="11"/>
        <rFont val="Arial Narrow"/>
        <family val="2"/>
      </rPr>
      <t>y</t>
    </r>
    <r>
      <rPr>
        <sz val="11"/>
        <rFont val="Arial Narrow"/>
        <family val="2"/>
      </rPr>
      <t xml:space="preserve"> and Kφ</t>
    </r>
    <r>
      <rPr>
        <vertAlign val="subscript"/>
        <sz val="11"/>
        <rFont val="Arial Narrow"/>
        <family val="2"/>
      </rPr>
      <t>z</t>
    </r>
    <r>
      <rPr>
        <sz val="11"/>
        <rFont val="Arial Narrow"/>
        <family val="2"/>
      </rPr>
      <t xml:space="preserve"> relocated on Cases sheet.</t>
    </r>
  </si>
  <si>
    <r>
      <t xml:space="preserve">Correction to inclination </t>
    </r>
    <r>
      <rPr>
        <i/>
        <sz val="11"/>
        <rFont val="Arial Narrow"/>
        <family val="2"/>
      </rPr>
      <t>θi</t>
    </r>
    <r>
      <rPr>
        <sz val="11"/>
        <rFont val="Arial Narrow"/>
        <family val="2"/>
      </rPr>
      <t xml:space="preserve"> in calculation of imperfection moments.</t>
    </r>
  </si>
  <si>
    <r>
      <t>Cover defined as C</t>
    </r>
    <r>
      <rPr>
        <vertAlign val="subscript"/>
        <sz val="11"/>
        <rFont val="Arial Narrow"/>
        <family val="2"/>
      </rPr>
      <t>nom</t>
    </r>
    <r>
      <rPr>
        <sz val="11"/>
        <rFont val="Arial Narrow"/>
        <family val="2"/>
      </rPr>
      <t>. DIV!0 reference corrected at Slen!C12:13.</t>
    </r>
  </si>
  <si>
    <r>
      <t>X-X axis renamed Y-Y, Y-Y axis renamed Z-Z. Correction to axes to which M</t>
    </r>
    <r>
      <rPr>
        <vertAlign val="subscript"/>
        <sz val="11"/>
        <rFont val="Arial Narrow"/>
        <family val="2"/>
      </rPr>
      <t>2</t>
    </r>
    <r>
      <rPr>
        <sz val="11"/>
        <rFont val="Arial Narrow"/>
        <family val="2"/>
      </rPr>
      <t xml:space="preserve"> added. Clarification to formulae determing M</t>
    </r>
    <r>
      <rPr>
        <vertAlign val="subscript"/>
        <sz val="11"/>
        <rFont val="Arial Narrow"/>
        <family val="2"/>
      </rPr>
      <t>Ed</t>
    </r>
    <r>
      <rPr>
        <sz val="11"/>
        <rFont val="Arial Narrow"/>
        <family val="2"/>
      </rPr>
      <t>. Moments diagram added on Refs! Page.</t>
    </r>
  </si>
  <si>
    <t>All advice or information from MPA-The Concrete Centre is intended for those who will evaluate the significance and limitations of its contents and take responsibility for its use and application. No liability (including that for negligence) for any loss resulting from such advice or information is accepted by MPA-The Concrete Centre or its subcontractors, suppliers or advisors. Users should note that all MPA-The Concrete Centre software and publications are subject to revision from time to time and they should therefore ensure that they are in possession of the latest version.
This spreadsheet should be used in compliance with the accompanying publication 'User Guide RC Spreadsheets: v4' available from The Concrete Centre www.concretecentre.com/rcdesign Tel +44 (0)1276 606800</t>
  </si>
  <si>
    <t>This spreadsheet is shareware but may not be used for commercial purposes until the user has registered with The Concrete Centre using the licence validation form available on The Concrete Centre website www.concretecentre.com/rcdesign</t>
  </si>
  <si>
    <t>TCC53 v4.2</t>
  </si>
  <si>
    <t>Correction to limiting slendernesses for loadcases 3 thru 6 on "Cases" page.</t>
  </si>
  <si>
    <t>TCC53 v4.3</t>
  </si>
  <si>
    <r>
      <t>Changing max A</t>
    </r>
    <r>
      <rPr>
        <vertAlign val="subscript"/>
        <sz val="11"/>
        <rFont val="Arial Narrow"/>
        <family val="2"/>
      </rPr>
      <t>s</t>
    </r>
    <r>
      <rPr>
        <sz val="11"/>
        <rFont val="Arial Narrow"/>
        <family val="2"/>
      </rPr>
      <t xml:space="preserve"> on Refs page now allows user to exceed 4% steel.</t>
    </r>
  </si>
  <si>
    <t>TCC53 v4.4</t>
  </si>
  <si>
    <t>Axes for L reversed at MAIN!D26 and D27.</t>
  </si>
  <si>
    <t>TCC53 v4.5</t>
  </si>
  <si>
    <t>Minimum moment included in biaxial ckeck on Cases page.</t>
  </si>
  <si>
    <t>TCC53 v4.6</t>
  </si>
  <si>
    <r>
      <t>Correction to N</t>
    </r>
    <r>
      <rPr>
        <vertAlign val="subscript"/>
        <sz val="11"/>
        <rFont val="Arial Narrow"/>
        <family val="2"/>
      </rPr>
      <t>Rd</t>
    </r>
    <r>
      <rPr>
        <sz val="11"/>
        <rFont val="Arial Narrow"/>
        <family val="2"/>
      </rPr>
      <t xml:space="preserve"> on "Cases" page.</t>
    </r>
  </si>
  <si>
    <t>TCC53 v4.7</t>
  </si>
  <si>
    <r>
      <t>Correction to final desgn M, M</t>
    </r>
    <r>
      <rPr>
        <vertAlign val="subscript"/>
        <sz val="11"/>
        <rFont val="Arial Narrow"/>
        <family val="2"/>
      </rPr>
      <t>Ed</t>
    </r>
    <r>
      <rPr>
        <sz val="11"/>
        <rFont val="Arial Narrow"/>
        <family val="2"/>
      </rPr>
      <t xml:space="preserve"> on "Calc" page.</t>
    </r>
  </si>
  <si>
    <t>6.1 (4)</t>
  </si>
  <si>
    <r>
      <t xml:space="preserve">Relative force, </t>
    </r>
    <r>
      <rPr>
        <b/>
        <i/>
        <sz val="12"/>
        <color indexed="16"/>
        <rFont val="Trebuchet MS"/>
        <family val="2"/>
      </rPr>
      <t>N</t>
    </r>
    <r>
      <rPr>
        <b/>
        <i/>
        <vertAlign val="subscript"/>
        <sz val="12"/>
        <color indexed="16"/>
        <rFont val="Trebuchet MS"/>
        <family val="2"/>
      </rPr>
      <t>Ed</t>
    </r>
    <r>
      <rPr>
        <b/>
        <i/>
        <sz val="12"/>
        <color indexed="16"/>
        <rFont val="Trebuchet MS"/>
        <family val="2"/>
      </rPr>
      <t>/N</t>
    </r>
    <r>
      <rPr>
        <b/>
        <i/>
        <vertAlign val="subscript"/>
        <sz val="12"/>
        <color indexed="16"/>
        <rFont val="Trebuchet MS"/>
        <family val="2"/>
      </rPr>
      <t>Rd</t>
    </r>
  </si>
  <si>
    <t>TCC53 v4.8</t>
  </si>
  <si>
    <r>
      <t xml:space="preserve"> = N</t>
    </r>
    <r>
      <rPr>
        <i/>
        <vertAlign val="subscript"/>
        <sz val="12"/>
        <rFont val="Tekton"/>
        <family val="2"/>
      </rPr>
      <t>Ed</t>
    </r>
    <r>
      <rPr>
        <i/>
        <sz val="12"/>
        <rFont val="Tekton"/>
        <family val="2"/>
      </rPr>
      <t>e</t>
    </r>
    <r>
      <rPr>
        <i/>
        <vertAlign val="subscript"/>
        <sz val="12"/>
        <rFont val="Tekton"/>
        <family val="2"/>
      </rPr>
      <t>0</t>
    </r>
    <r>
      <rPr>
        <i/>
        <sz val="12"/>
        <rFont val="Tekton"/>
        <family val="2"/>
      </rPr>
      <t xml:space="preserve"> = Max(20, h/30)∙N</t>
    </r>
    <r>
      <rPr>
        <i/>
        <vertAlign val="subscript"/>
        <sz val="12"/>
        <rFont val="Tekton"/>
        <family val="2"/>
      </rPr>
      <t>Ed</t>
    </r>
    <r>
      <rPr>
        <i/>
        <sz val="12"/>
        <rFont val="Tekton"/>
        <family val="2"/>
      </rPr>
      <t xml:space="preserve"> </t>
    </r>
  </si>
  <si>
    <r>
      <t>= N</t>
    </r>
    <r>
      <rPr>
        <i/>
        <vertAlign val="subscript"/>
        <sz val="12"/>
        <rFont val="Tekton"/>
        <family val="2"/>
      </rPr>
      <t>Ed</t>
    </r>
    <r>
      <rPr>
        <i/>
        <sz val="12"/>
        <rFont val="Tekton"/>
        <family val="2"/>
      </rPr>
      <t>e</t>
    </r>
    <r>
      <rPr>
        <i/>
        <vertAlign val="subscript"/>
        <sz val="12"/>
        <rFont val="Tekton"/>
        <family val="2"/>
      </rPr>
      <t>i</t>
    </r>
    <r>
      <rPr>
        <i/>
        <sz val="12"/>
        <rFont val="Tekton"/>
        <family val="2"/>
      </rPr>
      <t xml:space="preserve"> = θ</t>
    </r>
    <r>
      <rPr>
        <i/>
        <vertAlign val="subscript"/>
        <sz val="12"/>
        <rFont val="Tekton"/>
        <family val="2"/>
      </rPr>
      <t>i</t>
    </r>
    <r>
      <rPr>
        <i/>
        <sz val="12"/>
        <rFont val="Tekton"/>
        <family val="2"/>
      </rPr>
      <t>∙N</t>
    </r>
    <r>
      <rPr>
        <i/>
        <vertAlign val="subscript"/>
        <sz val="12"/>
        <rFont val="Tekton"/>
        <family val="2"/>
      </rPr>
      <t>Ed</t>
    </r>
    <r>
      <rPr>
        <i/>
        <sz val="12"/>
        <rFont val="Tekton"/>
        <family val="2"/>
      </rPr>
      <t>∙l</t>
    </r>
    <r>
      <rPr>
        <i/>
        <vertAlign val="subscript"/>
        <sz val="12"/>
        <rFont val="Tekton"/>
        <family val="2"/>
      </rPr>
      <t>0</t>
    </r>
    <r>
      <rPr>
        <i/>
        <sz val="12"/>
        <rFont val="Tekton"/>
        <family val="2"/>
      </rPr>
      <t xml:space="preserve">/2 = </t>
    </r>
  </si>
  <si>
    <r>
      <t>On "Calc" page, order rearranged for clarity and biaxial check corrected, method of selecting critical axis improved. On "Cases", M</t>
    </r>
    <r>
      <rPr>
        <vertAlign val="subscript"/>
        <sz val="11"/>
        <rFont val="Arial Narrow"/>
        <family val="2"/>
      </rPr>
      <t>imp</t>
    </r>
    <r>
      <rPr>
        <sz val="11"/>
        <rFont val="Arial Narrow"/>
        <family val="2"/>
      </rPr>
      <t xml:space="preserve"> only added to critcal axis.</t>
    </r>
  </si>
  <si>
    <t>TCC53 v4.9</t>
  </si>
  <si>
    <r>
      <t>Improvement to calculation of λ</t>
    </r>
    <r>
      <rPr>
        <vertAlign val="subscript"/>
        <sz val="11"/>
        <rFont val="Arial Narrow"/>
        <family val="2"/>
      </rPr>
      <t>lim</t>
    </r>
    <r>
      <rPr>
        <sz val="11"/>
        <rFont val="Arial Narrow"/>
        <family val="2"/>
      </rPr>
      <t xml:space="preserve"> on "Cases" page. Correction to braced/unbraced statements on "Calc".</t>
    </r>
  </si>
  <si>
    <t xml:space="preserve">on Y-AXIS </t>
  </si>
  <si>
    <t xml:space="preserve">on Z-AXIS </t>
  </si>
  <si>
    <t xml:space="preserve">about Y-AXIS </t>
  </si>
  <si>
    <t xml:space="preserve">about Z-AXIS </t>
  </si>
  <si>
    <t>TCC53 v4.10</t>
  </si>
  <si>
    <t>Correction to critical axis on "Cases" page. Clarification of axes and adjustment to effective lengths on "MAIN" page.</t>
  </si>
  <si>
    <t>λ factor</t>
  </si>
  <si>
    <t>TCC53 v4.11</t>
  </si>
  <si>
    <r>
      <t xml:space="preserve">Correction to </t>
    </r>
    <r>
      <rPr>
        <b/>
        <sz val="11"/>
        <rFont val="Arial Narrow"/>
        <family val="2"/>
      </rPr>
      <t>A</t>
    </r>
    <r>
      <rPr>
        <sz val="11"/>
        <rFont val="Arial Narrow"/>
        <family val="2"/>
      </rPr>
      <t xml:space="preserve"> and</t>
    </r>
    <r>
      <rPr>
        <b/>
        <sz val="11"/>
        <rFont val="Arial Narrow"/>
        <family val="2"/>
      </rPr>
      <t xml:space="preserve"> r</t>
    </r>
    <r>
      <rPr>
        <b/>
        <vertAlign val="subscript"/>
        <sz val="11"/>
        <rFont val="Arial Narrow"/>
        <family val="2"/>
      </rPr>
      <t>m</t>
    </r>
    <r>
      <rPr>
        <sz val="11"/>
        <rFont val="Arial Narrow"/>
        <family val="2"/>
      </rPr>
      <t xml:space="preserve"> in equation 5.13N.</t>
    </r>
  </si>
  <si>
    <t>In expression 5.13N</t>
  </si>
  <si>
    <t>C</t>
  </si>
  <si>
    <t>R 30</t>
  </si>
  <si>
    <t>R 60</t>
  </si>
  <si>
    <t>R 90</t>
  </si>
  <si>
    <t>R 120</t>
  </si>
  <si>
    <t>R 180</t>
  </si>
  <si>
    <t>R 240</t>
  </si>
  <si>
    <t>Fire</t>
  </si>
  <si>
    <t>b1</t>
  </si>
  <si>
    <t>b2</t>
  </si>
  <si>
    <t>a1</t>
  </si>
  <si>
    <t>a2</t>
  </si>
  <si>
    <t>Table 5.2b</t>
  </si>
  <si>
    <t>ω = 0.1</t>
  </si>
  <si>
    <t>ω = 0.5</t>
  </si>
  <si>
    <t>ω = 1.0</t>
  </si>
  <si>
    <t xml:space="preserve"> Fire resistance checks to Table 5.2b of EN 1992-1-2</t>
  </si>
  <si>
    <t>Selected fire period = R</t>
  </si>
  <si>
    <t>n</t>
  </si>
  <si>
    <r>
      <t>A</t>
    </r>
    <r>
      <rPr>
        <vertAlign val="subscript"/>
        <sz val="12"/>
        <rFont val="Tekton"/>
        <family val="2"/>
      </rPr>
      <t>c</t>
    </r>
    <r>
      <rPr>
        <sz val="12"/>
        <rFont val="Tekton"/>
        <family val="2"/>
      </rPr>
      <t>f</t>
    </r>
    <r>
      <rPr>
        <vertAlign val="subscript"/>
        <sz val="12"/>
        <rFont val="Tekton"/>
        <family val="2"/>
      </rPr>
      <t xml:space="preserve">cd </t>
    </r>
    <r>
      <rPr>
        <sz val="12"/>
        <rFont val="Tekton"/>
        <family val="2"/>
      </rPr>
      <t>=</t>
    </r>
  </si>
  <si>
    <r>
      <t>f</t>
    </r>
    <r>
      <rPr>
        <vertAlign val="subscript"/>
        <sz val="12"/>
        <rFont val="Tekton"/>
        <family val="2"/>
      </rPr>
      <t xml:space="preserve">yd </t>
    </r>
    <r>
      <rPr>
        <sz val="12"/>
        <rFont val="Tekton"/>
        <family val="2"/>
      </rPr>
      <t>=</t>
    </r>
  </si>
  <si>
    <r>
      <t>b</t>
    </r>
    <r>
      <rPr>
        <vertAlign val="subscript"/>
        <sz val="12"/>
        <rFont val="Tekton"/>
        <family val="2"/>
      </rPr>
      <t>min</t>
    </r>
    <r>
      <rPr>
        <sz val="12"/>
        <rFont val="Tekton"/>
        <family val="2"/>
      </rPr>
      <t xml:space="preserve"> =</t>
    </r>
  </si>
  <si>
    <t>Table</t>
  </si>
  <si>
    <t>value</t>
  </si>
  <si>
    <r>
      <t>A</t>
    </r>
    <r>
      <rPr>
        <b/>
        <vertAlign val="subscript"/>
        <sz val="12"/>
        <color rgb="FF002060"/>
        <rFont val="Trebuchet MS"/>
        <family val="2"/>
      </rPr>
      <t>c</t>
    </r>
    <r>
      <rPr>
        <b/>
        <sz val="12"/>
        <color rgb="FF002060"/>
        <rFont val="Trebuchet MS"/>
        <family val="2"/>
      </rPr>
      <t>f</t>
    </r>
    <r>
      <rPr>
        <b/>
        <vertAlign val="subscript"/>
        <sz val="12"/>
        <color rgb="FF002060"/>
        <rFont val="Trebuchet MS"/>
        <family val="2"/>
      </rPr>
      <t xml:space="preserve">cd </t>
    </r>
    <r>
      <rPr>
        <b/>
        <sz val="12"/>
        <color rgb="FF002060"/>
        <rFont val="Trebuchet MS"/>
        <family val="2"/>
      </rPr>
      <t>+</t>
    </r>
  </si>
  <si>
    <r>
      <rPr>
        <b/>
        <i/>
        <sz val="12"/>
        <color rgb="FF002060"/>
        <rFont val="Trebuchet MS"/>
        <family val="2"/>
      </rPr>
      <t>N</t>
    </r>
    <r>
      <rPr>
        <b/>
        <vertAlign val="subscript"/>
        <sz val="12"/>
        <color rgb="FF002060"/>
        <rFont val="Trebuchet MS"/>
        <family val="2"/>
      </rPr>
      <t>0Ed,fi</t>
    </r>
  </si>
  <si>
    <r>
      <t>A</t>
    </r>
    <r>
      <rPr>
        <b/>
        <vertAlign val="subscript"/>
        <sz val="12"/>
        <color rgb="FF002060"/>
        <rFont val="Trebuchet MS"/>
        <family val="2"/>
      </rPr>
      <t>s</t>
    </r>
    <r>
      <rPr>
        <b/>
        <sz val="12"/>
        <color rgb="FF002060"/>
        <rFont val="Trebuchet MS"/>
        <family val="2"/>
      </rPr>
      <t>f</t>
    </r>
    <r>
      <rPr>
        <b/>
        <vertAlign val="subscript"/>
        <sz val="12"/>
        <color rgb="FF002060"/>
        <rFont val="Trebuchet MS"/>
        <family val="2"/>
      </rPr>
      <t>yd</t>
    </r>
  </si>
  <si>
    <t>%</t>
  </si>
  <si>
    <t>Insufficient cover</t>
  </si>
  <si>
    <t>Column size too small</t>
  </si>
  <si>
    <t>INDEX for Fire warnings</t>
  </si>
  <si>
    <t>See 'Fire" page.</t>
  </si>
  <si>
    <t>Column size &gt; 600. CHECK</t>
  </si>
  <si>
    <t>TCC53 v4.12</t>
  </si>
  <si>
    <t>Fire resistance advice added.</t>
  </si>
  <si>
    <t>TCC53 v4.13</t>
  </si>
  <si>
    <r>
      <t>K</t>
    </r>
    <r>
      <rPr>
        <vertAlign val="subscript"/>
        <sz val="11"/>
        <rFont val="Arial Narrow"/>
        <family val="2"/>
      </rPr>
      <t>r</t>
    </r>
    <r>
      <rPr>
        <sz val="11"/>
        <rFont val="Arial Narrow"/>
        <family val="2"/>
      </rPr>
      <t xml:space="preserve"> limited to ≤ 1 on "Cases" page.</t>
    </r>
  </si>
  <si>
    <r>
      <t>8 if M</t>
    </r>
    <r>
      <rPr>
        <i/>
        <vertAlign val="subscript"/>
        <sz val="12"/>
        <rFont val="Tekton"/>
        <family val="2"/>
      </rPr>
      <t>0</t>
    </r>
    <r>
      <rPr>
        <i/>
        <sz val="12"/>
        <rFont val="Tekton"/>
        <family val="2"/>
      </rPr>
      <t xml:space="preserve"> constant, otherwise π²</t>
    </r>
  </si>
  <si>
    <t>TCC53 v4.14</t>
  </si>
  <si>
    <r>
      <t>M</t>
    </r>
    <r>
      <rPr>
        <vertAlign val="subscript"/>
        <sz val="11"/>
        <rFont val="Arial Narrow"/>
        <family val="2"/>
      </rPr>
      <t>min</t>
    </r>
    <r>
      <rPr>
        <sz val="11"/>
        <rFont val="Arial Narrow"/>
        <family val="2"/>
      </rPr>
      <t xml:space="preserve"> to clause 6.1(4) included on both axes. For calculation of M</t>
    </r>
    <r>
      <rPr>
        <vertAlign val="subscript"/>
        <sz val="11"/>
        <rFont val="Arial Narrow"/>
        <family val="2"/>
      </rPr>
      <t>imp</t>
    </r>
    <r>
      <rPr>
        <sz val="11"/>
        <rFont val="Arial Narrow"/>
        <family val="2"/>
      </rPr>
      <t>, clarification of critical axis selection added.</t>
    </r>
  </si>
  <si>
    <t>TCC53 v4.15</t>
  </si>
  <si>
    <r>
      <t>Correction to calculation of λ</t>
    </r>
    <r>
      <rPr>
        <vertAlign val="subscript"/>
        <sz val="11"/>
        <rFont val="Arial Narrow"/>
        <family val="2"/>
      </rPr>
      <t>lim</t>
    </r>
    <r>
      <rPr>
        <sz val="11"/>
        <rFont val="Arial Narrow"/>
        <family val="2"/>
      </rPr>
      <t xml:space="preserve"> for columns with double curvature. Explanation of double curvature added on 'MAIN'.</t>
    </r>
  </si>
  <si>
    <t>5.8.9(2)</t>
  </si>
  <si>
    <t>TCC53 v4.16</t>
  </si>
  <si>
    <r>
      <t>On "Calc" sheet, units for 1/r and 1/r</t>
    </r>
    <r>
      <rPr>
        <vertAlign val="subscript"/>
        <sz val="11"/>
        <rFont val="Arial Narrow"/>
        <family val="2"/>
      </rPr>
      <t>0</t>
    </r>
    <r>
      <rPr>
        <sz val="11"/>
        <rFont val="Arial Narrow"/>
        <family val="2"/>
      </rPr>
      <t xml:space="preserve"> corrected to "/m". Clause reference adde at Calc!J41 (</t>
    </r>
    <r>
      <rPr>
        <i/>
        <sz val="11"/>
        <rFont val="Arial Narrow"/>
        <family val="2"/>
      </rPr>
      <t>M</t>
    </r>
    <r>
      <rPr>
        <i/>
        <vertAlign val="subscript"/>
        <sz val="11"/>
        <rFont val="Arial Narrow"/>
        <family val="2"/>
      </rPr>
      <t>imp</t>
    </r>
    <r>
      <rPr>
        <i/>
        <sz val="11"/>
        <rFont val="Arial Narrow"/>
        <family val="2"/>
      </rPr>
      <t xml:space="preserve"> added to critical axis only</t>
    </r>
    <r>
      <rPr>
        <sz val="11"/>
        <rFont val="Arial Narrow"/>
        <family val="2"/>
      </rPr>
      <t>).</t>
    </r>
  </si>
  <si>
    <t>TCC53 v4.17</t>
  </si>
  <si>
    <r>
      <t>Correction to M</t>
    </r>
    <r>
      <rPr>
        <vertAlign val="subscript"/>
        <sz val="11"/>
        <rFont val="Arial Narrow"/>
        <family val="2"/>
      </rPr>
      <t>min</t>
    </r>
    <r>
      <rPr>
        <sz val="11"/>
        <rFont val="Arial Narrow"/>
        <family val="2"/>
      </rPr>
      <t xml:space="preserve"> (</t>
    </r>
    <r>
      <rPr>
        <i/>
        <sz val="11"/>
        <rFont val="Arial Narrow"/>
        <family val="2"/>
      </rPr>
      <t>affects "Calc" page only</t>
    </r>
    <r>
      <rPr>
        <sz val="11"/>
        <rFont val="Arial Narrow"/>
        <family val="2"/>
      </rPr>
      <t>).</t>
    </r>
  </si>
  <si>
    <t>TCC53 v4.18</t>
  </si>
  <si>
    <r>
      <t>Improvement to selection of critical axis for application of M</t>
    </r>
    <r>
      <rPr>
        <vertAlign val="subscript"/>
        <sz val="11"/>
        <rFont val="Arial Narrow"/>
        <family val="2"/>
      </rPr>
      <t>imp</t>
    </r>
    <r>
      <rPr>
        <sz val="11"/>
        <rFont val="Arial Narrow"/>
        <family val="2"/>
      </rPr>
      <t>.</t>
    </r>
  </si>
  <si>
    <t>TCC53 v4.19</t>
  </si>
  <si>
    <r>
      <t>M</t>
    </r>
    <r>
      <rPr>
        <vertAlign val="subscript"/>
        <sz val="11"/>
        <rFont val="Arial Narrow"/>
        <family val="2"/>
      </rPr>
      <t>imp</t>
    </r>
    <r>
      <rPr>
        <sz val="11"/>
        <rFont val="Arial Narrow"/>
        <family val="2"/>
      </rPr>
      <t xml:space="preserve"> only added on critical axis.</t>
    </r>
  </si>
  <si>
    <t>TCC53 v4.20</t>
  </si>
  <si>
    <r>
      <t>M</t>
    </r>
    <r>
      <rPr>
        <b/>
        <vertAlign val="subscript"/>
        <sz val="12"/>
        <color indexed="62"/>
        <rFont val="Trebuchet MS"/>
        <family val="2"/>
      </rPr>
      <t>imp</t>
    </r>
    <r>
      <rPr>
        <sz val="12"/>
        <color indexed="62"/>
        <rFont val="Trebuchet MS"/>
        <family val="2"/>
      </rPr>
      <t>y/M</t>
    </r>
    <r>
      <rPr>
        <vertAlign val="subscript"/>
        <sz val="12"/>
        <color indexed="62"/>
        <rFont val="Trebuchet MS"/>
        <family val="2"/>
      </rPr>
      <t>Rd</t>
    </r>
    <r>
      <rPr>
        <sz val="12"/>
        <color indexed="62"/>
        <rFont val="Trebuchet MS"/>
        <family val="2"/>
      </rPr>
      <t>y</t>
    </r>
  </si>
  <si>
    <r>
      <t>M</t>
    </r>
    <r>
      <rPr>
        <b/>
        <vertAlign val="subscript"/>
        <sz val="12"/>
        <color indexed="62"/>
        <rFont val="Trebuchet MS"/>
        <family val="2"/>
      </rPr>
      <t>imp</t>
    </r>
    <r>
      <rPr>
        <sz val="12"/>
        <color indexed="62"/>
        <rFont val="Trebuchet MS"/>
        <family val="2"/>
      </rPr>
      <t>z/M</t>
    </r>
    <r>
      <rPr>
        <vertAlign val="subscript"/>
        <sz val="12"/>
        <color indexed="62"/>
        <rFont val="Trebuchet MS"/>
        <family val="2"/>
      </rPr>
      <t>Rd</t>
    </r>
    <r>
      <rPr>
        <sz val="12"/>
        <color indexed="62"/>
        <rFont val="Trebuchet MS"/>
        <family val="2"/>
      </rPr>
      <t>z</t>
    </r>
  </si>
  <si>
    <t>TCC53 v4.21</t>
  </si>
  <si>
    <r>
      <t xml:space="preserve">Correction to calculation of </t>
    </r>
    <r>
      <rPr>
        <i/>
        <sz val="11"/>
        <rFont val="Arial Narrow"/>
        <family val="2"/>
      </rPr>
      <t>M</t>
    </r>
    <r>
      <rPr>
        <vertAlign val="subscript"/>
        <sz val="11"/>
        <rFont val="Arial Narrow"/>
        <family val="2"/>
      </rPr>
      <t>max</t>
    </r>
    <r>
      <rPr>
        <sz val="11"/>
        <rFont val="Arial Narrow"/>
        <family val="2"/>
      </rPr>
      <t>.</t>
    </r>
  </si>
  <si>
    <t>TCC53 v4.22</t>
  </si>
  <si>
    <r>
      <t xml:space="preserve">Precise method added for selection of critical axis for addition of </t>
    </r>
    <r>
      <rPr>
        <i/>
        <sz val="11"/>
        <rFont val="Arial Narrow"/>
        <family val="2"/>
      </rPr>
      <t>M</t>
    </r>
    <r>
      <rPr>
        <vertAlign val="subscript"/>
        <sz val="11"/>
        <rFont val="Arial Narrow"/>
        <family val="2"/>
      </rPr>
      <t>imp</t>
    </r>
    <r>
      <rPr>
        <sz val="11"/>
        <rFont val="Arial Narrow"/>
        <family val="2"/>
      </rPr>
      <t>.</t>
    </r>
  </si>
  <si>
    <t>TCC53 v4.23</t>
  </si>
  <si>
    <t>Correction to cells S19:S23 on "Cases" sheet.</t>
  </si>
  <si>
    <t>TCC53 v4.24</t>
  </si>
  <si>
    <t>TCC53 v4.25</t>
  </si>
  <si>
    <t>Correction to B and C values to clause 5.8.3.1.</t>
  </si>
  <si>
    <r>
      <rPr>
        <i/>
        <sz val="11"/>
        <rFont val="Arial Narrow"/>
        <family val="2"/>
      </rPr>
      <t>M</t>
    </r>
    <r>
      <rPr>
        <vertAlign val="subscript"/>
        <sz val="11"/>
        <rFont val="Arial Narrow"/>
        <family val="2"/>
      </rPr>
      <t>imp</t>
    </r>
    <r>
      <rPr>
        <sz val="11"/>
        <rFont val="Arial Narrow"/>
        <family val="2"/>
      </rPr>
      <t xml:space="preserve"> added to </t>
    </r>
    <r>
      <rPr>
        <i/>
        <sz val="11"/>
        <rFont val="Arial Narrow"/>
        <family val="2"/>
      </rPr>
      <t>M</t>
    </r>
    <r>
      <rPr>
        <vertAlign val="subscript"/>
        <sz val="11"/>
        <rFont val="Arial Narrow"/>
        <family val="2"/>
      </rPr>
      <t>02</t>
    </r>
    <r>
      <rPr>
        <sz val="11"/>
        <rFont val="Arial Narrow"/>
        <family val="2"/>
      </rPr>
      <t xml:space="preserve"> in derivation of limiting </t>
    </r>
    <r>
      <rPr>
        <i/>
        <sz val="11"/>
        <rFont val="Arial Narrow"/>
        <family val="2"/>
      </rPr>
      <t>λ</t>
    </r>
    <r>
      <rPr>
        <sz val="11"/>
        <rFont val="Arial Narrow"/>
        <family val="2"/>
      </rPr>
      <t>.</t>
    </r>
  </si>
  <si>
    <t>TCC53 v4.26</t>
  </si>
  <si>
    <r>
      <t xml:space="preserve">Removed possible double addition of </t>
    </r>
    <r>
      <rPr>
        <i/>
        <sz val="11"/>
        <rFont val="Arial Narrow"/>
        <family val="2"/>
      </rPr>
      <t>M</t>
    </r>
    <r>
      <rPr>
        <vertAlign val="subscript"/>
        <sz val="11"/>
        <rFont val="Arial Narrow"/>
        <family val="2"/>
      </rPr>
      <t>imp</t>
    </r>
    <r>
      <rPr>
        <sz val="11"/>
        <rFont val="Arial Narrow"/>
        <family val="2"/>
      </rPr>
      <t>.</t>
    </r>
  </si>
  <si>
    <r>
      <t>λ fact = 20A</t>
    </r>
    <r>
      <rPr>
        <sz val="12"/>
        <rFont val="Arial Narrow"/>
        <family val="2"/>
      </rPr>
      <t>·</t>
    </r>
    <r>
      <rPr>
        <sz val="12"/>
        <rFont val="Tekton"/>
        <family val="2"/>
      </rPr>
      <t>B</t>
    </r>
  </si>
  <si>
    <t>TCC53 v4.27</t>
  </si>
  <si>
    <r>
      <t xml:space="preserve">Repaired C values to clause 5.8.3.1. </t>
    </r>
    <r>
      <rPr>
        <i/>
        <sz val="11"/>
        <rFont val="Arial Narrow"/>
        <family val="2"/>
      </rPr>
      <t>M</t>
    </r>
    <r>
      <rPr>
        <vertAlign val="subscript"/>
        <sz val="11"/>
        <rFont val="Arial Narrow"/>
        <family val="2"/>
      </rPr>
      <t>01</t>
    </r>
    <r>
      <rPr>
        <sz val="11"/>
        <rFont val="Arial Narrow"/>
        <family val="2"/>
      </rPr>
      <t xml:space="preserve"> and </t>
    </r>
    <r>
      <rPr>
        <i/>
        <sz val="11"/>
        <rFont val="Arial Narrow"/>
        <family val="2"/>
      </rPr>
      <t>M</t>
    </r>
    <r>
      <rPr>
        <vertAlign val="subscript"/>
        <sz val="11"/>
        <rFont val="Arial Narrow"/>
        <family val="2"/>
      </rPr>
      <t>02</t>
    </r>
    <r>
      <rPr>
        <sz val="11"/>
        <rFont val="Arial Narrow"/>
        <family val="2"/>
      </rPr>
      <t xml:space="preserve"> values reversed for square columns.</t>
    </r>
  </si>
  <si>
    <r>
      <t xml:space="preserve">Precise method corrected for selection of critical axis for addition of </t>
    </r>
    <r>
      <rPr>
        <i/>
        <sz val="11"/>
        <rFont val="Arial Narrow"/>
        <family val="2"/>
      </rPr>
      <t>M</t>
    </r>
    <r>
      <rPr>
        <vertAlign val="subscript"/>
        <sz val="11"/>
        <rFont val="Arial Narrow"/>
        <family val="2"/>
      </rPr>
      <t>min</t>
    </r>
    <r>
      <rPr>
        <sz val="11"/>
        <rFont val="Arial Narrow"/>
        <family val="2"/>
      </rPr>
      <t>.</t>
    </r>
  </si>
  <si>
    <t>TCC53 v4.28</t>
  </si>
  <si>
    <r>
      <t xml:space="preserve">Correction to inclusion of </t>
    </r>
    <r>
      <rPr>
        <i/>
        <sz val="11"/>
        <rFont val="Arial Narrow"/>
        <family val="2"/>
      </rPr>
      <t>M</t>
    </r>
    <r>
      <rPr>
        <vertAlign val="subscript"/>
        <sz val="11"/>
        <rFont val="Arial Narrow"/>
        <family val="2"/>
      </rPr>
      <t>imp</t>
    </r>
    <r>
      <rPr>
        <sz val="11"/>
        <rFont val="Arial Narrow"/>
        <family val="2"/>
      </rPr>
      <t>.</t>
    </r>
  </si>
  <si>
    <t>TCC53 v4.29</t>
  </si>
  <si>
    <r>
      <t xml:space="preserve">On "Calc" page, correction to </t>
    </r>
    <r>
      <rPr>
        <i/>
        <sz val="11"/>
        <rFont val="Arial Narrow"/>
        <family val="2"/>
      </rPr>
      <t>M</t>
    </r>
    <r>
      <rPr>
        <vertAlign val="subscript"/>
        <sz val="11"/>
        <rFont val="Arial Narrow"/>
        <family val="2"/>
      </rPr>
      <t>min</t>
    </r>
    <r>
      <rPr>
        <sz val="11"/>
        <rFont val="Arial Narrow"/>
        <family val="2"/>
      </rPr>
      <t>.</t>
    </r>
  </si>
  <si>
    <t>chg</t>
  </si>
  <si>
    <r>
      <t>I</t>
    </r>
    <r>
      <rPr>
        <b/>
        <vertAlign val="subscript"/>
        <sz val="12"/>
        <color indexed="62"/>
        <rFont val="Trebuchet MS"/>
        <family val="2"/>
      </rPr>
      <t>conc</t>
    </r>
  </si>
  <si>
    <r>
      <t>2</t>
    </r>
    <r>
      <rPr>
        <vertAlign val="superscript"/>
        <sz val="12"/>
        <rFont val="Tekton"/>
        <family val="2"/>
      </rPr>
      <t>nd</t>
    </r>
    <r>
      <rPr>
        <sz val="12"/>
        <rFont val="Tekton"/>
        <family val="2"/>
      </rPr>
      <t xml:space="preserve"> order moment, </t>
    </r>
    <r>
      <rPr>
        <b/>
        <i/>
        <sz val="12"/>
        <color indexed="16"/>
        <rFont val="Trebuchet MS"/>
        <family val="2"/>
      </rPr>
      <t>M</t>
    </r>
    <r>
      <rPr>
        <b/>
        <i/>
        <vertAlign val="subscript"/>
        <sz val="12"/>
        <color indexed="16"/>
        <rFont val="Trebuchet MS"/>
        <family val="2"/>
      </rPr>
      <t>2</t>
    </r>
  </si>
  <si>
    <t>i</t>
  </si>
  <si>
    <t>TCC53 v4.30 prov 32</t>
  </si>
  <si>
    <t>(excluding reinforcement)</t>
  </si>
  <si>
    <t>No longerb double count imperfections in criticl direction</t>
  </si>
  <si>
    <t>FROM ANALYSIS</t>
  </si>
  <si>
    <t>2nd ORDER MOMENTS (if 'slender')</t>
  </si>
  <si>
    <t>Repeat extension to cells bellow</t>
  </si>
  <si>
    <r>
      <t>On Cases! page: correction for C in I18:J73 (r</t>
    </r>
    <r>
      <rPr>
        <vertAlign val="subscript"/>
        <sz val="11"/>
        <rFont val="Arial Narrow"/>
        <family val="2"/>
      </rPr>
      <t>m</t>
    </r>
    <r>
      <rPr>
        <sz val="11"/>
        <rFont val="Arial Narrow"/>
        <family val="2"/>
      </rPr>
      <t xml:space="preserve"> -ve), R$16 in I19:I23 &amp; R$ in J48:J73.  In I18:J73, TCC's limit on</t>
    </r>
    <r>
      <rPr>
        <sz val="11"/>
        <rFont val="Symbol"/>
        <family val="1"/>
        <charset val="2"/>
      </rPr>
      <t xml:space="preserve"> l</t>
    </r>
    <r>
      <rPr>
        <vertAlign val="subscript"/>
        <sz val="11"/>
        <rFont val="Arial Narrow"/>
        <family val="2"/>
      </rPr>
      <t>lim</t>
    </r>
    <r>
      <rPr>
        <sz val="11"/>
        <rFont val="Arial Narrow"/>
        <family val="2"/>
      </rPr>
      <t xml:space="preserve"> raised to 50.
On CHARTS!  biaxial check chart added.
In Slen! in calculation of radius of gyration,areas of reinforcement excluded in cells D17:E22 and E34:E39. Following on Slen!G7:H7 deleted and Calc!F15 changed. M</t>
    </r>
    <r>
      <rPr>
        <vertAlign val="subscript"/>
        <sz val="11"/>
        <rFont val="Arial Narrow"/>
        <family val="2"/>
      </rPr>
      <t>0y1</t>
    </r>
    <r>
      <rPr>
        <sz val="11"/>
        <rFont val="Arial Narrow"/>
        <family val="2"/>
      </rPr>
      <t xml:space="preserve"> or M</t>
    </r>
    <r>
      <rPr>
        <vertAlign val="subscript"/>
        <sz val="11"/>
        <rFont val="Arial Narrow"/>
        <family val="2"/>
      </rPr>
      <t>0z1</t>
    </r>
    <r>
      <rPr>
        <sz val="11"/>
        <rFont val="Arial Narrow"/>
        <family val="2"/>
      </rPr>
      <t xml:space="preserve"> at Cell! AP18 &amp; AN18 now includes N</t>
    </r>
    <r>
      <rPr>
        <vertAlign val="subscript"/>
        <sz val="11"/>
        <rFont val="Arial Narrow"/>
        <family val="2"/>
      </rPr>
      <t>Ed</t>
    </r>
    <r>
      <rPr>
        <sz val="11"/>
        <rFont val="Arial Narrow"/>
        <family val="2"/>
      </rPr>
      <t>e</t>
    </r>
    <r>
      <rPr>
        <vertAlign val="subscript"/>
        <sz val="11"/>
        <rFont val="Arial Narrow"/>
        <family val="2"/>
      </rPr>
      <t>i</t>
    </r>
  </si>
  <si>
    <t>TCC53 v4.30 prelim V5</t>
  </si>
  <si>
    <t>Minimum Moment check added to Critical Direction</t>
  </si>
  <si>
    <t>TCC53 v4.30 prelim V6</t>
  </si>
  <si>
    <t>Some Formatting changes</t>
  </si>
  <si>
    <t>TCC53 v4.30 prelim V7</t>
  </si>
  <si>
    <t>F</t>
  </si>
  <si>
    <t>MYT</t>
  </si>
  <si>
    <t>MYB</t>
  </si>
  <si>
    <t>Max Abs</t>
  </si>
  <si>
    <t>My</t>
  </si>
  <si>
    <t>MZT</t>
  </si>
  <si>
    <t>MZB</t>
  </si>
  <si>
    <t>My1</t>
  </si>
  <si>
    <t>My2</t>
  </si>
  <si>
    <t>Mz1</t>
  </si>
  <si>
    <t>Mz2</t>
  </si>
  <si>
    <t xml:space="preserve">Data For My Chart    </t>
  </si>
  <si>
    <t xml:space="preserve">Data For Mz Chart    </t>
  </si>
  <si>
    <t>For the Normal Condition of Double Curvature, Top and Bottom Moments Must be of Opposite Sign</t>
  </si>
  <si>
    <t>Main - Notes regarding double curvature revised. Note regarding single curvature added.   Calcs - My and Mz Chart Diagrams added.  Refs - Note added below the moment diagram clarifying  moment sign usage.</t>
  </si>
  <si>
    <t>User Values From MAIN</t>
  </si>
  <si>
    <t>Adjusted by RA to include Minimum Moment Check</t>
  </si>
  <si>
    <t>Max Frorm My or Mz</t>
  </si>
  <si>
    <t>L / C</t>
  </si>
  <si>
    <t>Proportion</t>
  </si>
  <si>
    <t>Values</t>
  </si>
  <si>
    <r>
      <t>M</t>
    </r>
    <r>
      <rPr>
        <b/>
        <vertAlign val="subscript"/>
        <sz val="12"/>
        <color indexed="62"/>
        <rFont val="Trebuchet MS"/>
        <family val="2"/>
      </rPr>
      <t>0y</t>
    </r>
  </si>
  <si>
    <r>
      <t>M</t>
    </r>
    <r>
      <rPr>
        <b/>
        <vertAlign val="subscript"/>
        <sz val="12"/>
        <color indexed="62"/>
        <rFont val="Trebuchet MS"/>
        <family val="2"/>
      </rPr>
      <t>0z</t>
    </r>
  </si>
  <si>
    <t>LC</t>
  </si>
  <si>
    <t>Axis</t>
  </si>
  <si>
    <t>Dia</t>
  </si>
  <si>
    <t>kry</t>
  </si>
  <si>
    <t>Z24</t>
  </si>
  <si>
    <t>AN18</t>
  </si>
  <si>
    <t>AM18</t>
  </si>
  <si>
    <t>F24</t>
  </si>
  <si>
    <t>H16</t>
  </si>
  <si>
    <t>I24</t>
  </si>
  <si>
    <t>G24</t>
  </si>
  <si>
    <t>U24</t>
  </si>
  <si>
    <t>V16</t>
  </si>
  <si>
    <t>X24</t>
  </si>
  <si>
    <t>AP18</t>
  </si>
  <si>
    <t>AO18</t>
  </si>
  <si>
    <t>J24</t>
  </si>
  <si>
    <t>H24</t>
  </si>
  <si>
    <t>V24</t>
  </si>
  <si>
    <t xml:space="preserve"> DETAILED CALCULATION</t>
  </si>
  <si>
    <t>Mo Only</t>
  </si>
  <si>
    <t>For Single Curvature, The Top and Bottom Moments Should be the same sign</t>
  </si>
  <si>
    <t>TCC53 v4.30 prelim V8</t>
  </si>
  <si>
    <r>
      <t>Main - My and Mz chart thumbnail diagrams added user can choose which one to view.  Text note re M</t>
    </r>
    <r>
      <rPr>
        <sz val="8"/>
        <rFont val="Arial Narrow"/>
        <family val="2"/>
      </rPr>
      <t>oED</t>
    </r>
    <r>
      <rPr>
        <sz val="11"/>
        <rFont val="Arial Narrow"/>
        <family val="2"/>
      </rPr>
      <t xml:space="preserve"> procedure replaced with formulae based note.  Calcs - My and Mz chart thumbnail diagrams added.  Ability to select any of 6 load cases added.  Choice can be independent of the diagrams selected on Main sheet.   Cases - Basic (without imperfections) M</t>
    </r>
    <r>
      <rPr>
        <sz val="8"/>
        <rFont val="Arial Narrow"/>
        <family val="2"/>
      </rPr>
      <t>o2</t>
    </r>
    <r>
      <rPr>
        <sz val="11"/>
        <rFont val="Arial Narrow"/>
        <family val="2"/>
      </rPr>
      <t xml:space="preserve"> and M</t>
    </r>
    <r>
      <rPr>
        <sz val="8"/>
        <rFont val="Arial Narrow"/>
        <family val="2"/>
      </rPr>
      <t>o1</t>
    </r>
    <r>
      <rPr>
        <sz val="11"/>
        <rFont val="Arial Narrow"/>
        <family val="2"/>
      </rPr>
      <t xml:space="preserve"> values added.  Slenderness Limits calculation corrected in respect of calculation of C.  Additional VLOOKUP tables added to allow choice of load case in Calcs sheet.</t>
    </r>
  </si>
  <si>
    <t>Other loadcases Row values will be in intervals of 10</t>
  </si>
  <si>
    <r>
      <t>Min[1,Max(⅔, 2/√L)]∙θ</t>
    </r>
    <r>
      <rPr>
        <i/>
        <vertAlign val="subscript"/>
        <sz val="12"/>
        <rFont val="Tekton"/>
        <family val="2"/>
      </rPr>
      <t>0</t>
    </r>
  </si>
  <si>
    <t>Cell Refs are those for Load Case 1</t>
  </si>
  <si>
    <t>AQ18</t>
  </si>
  <si>
    <t>AR18</t>
  </si>
  <si>
    <t>Myo1D</t>
  </si>
  <si>
    <t>Myo2D</t>
  </si>
  <si>
    <t>AS18</t>
  </si>
  <si>
    <t>AT18</t>
  </si>
  <si>
    <t>TCC53 v4.30 prelim V9</t>
  </si>
  <si>
    <r>
      <t>My</t>
    </r>
    <r>
      <rPr>
        <b/>
        <sz val="8"/>
        <color indexed="62"/>
        <rFont val="Trebuchet MS"/>
        <family val="2"/>
      </rPr>
      <t>0e</t>
    </r>
  </si>
  <si>
    <r>
      <t>Mz</t>
    </r>
    <r>
      <rPr>
        <b/>
        <sz val="8"/>
        <color indexed="62"/>
        <rFont val="Trebuchet MS"/>
        <family val="2"/>
      </rPr>
      <t>0e</t>
    </r>
  </si>
  <si>
    <t>Z</t>
  </si>
  <si>
    <t>Max M</t>
  </si>
  <si>
    <t>My02</t>
  </si>
  <si>
    <t>My01</t>
  </si>
  <si>
    <t>Mz02</t>
  </si>
  <si>
    <t>Mz01</t>
  </si>
  <si>
    <r>
      <t>M</t>
    </r>
    <r>
      <rPr>
        <b/>
        <vertAlign val="subscript"/>
        <sz val="14"/>
        <rFont val="Arial"/>
        <family val="2"/>
      </rPr>
      <t>0e</t>
    </r>
  </si>
  <si>
    <r>
      <t>M</t>
    </r>
    <r>
      <rPr>
        <b/>
        <vertAlign val="subscript"/>
        <sz val="14"/>
        <color indexed="62"/>
        <rFont val="Trebuchet MS"/>
        <family val="2"/>
      </rPr>
      <t>Ed</t>
    </r>
  </si>
  <si>
    <r>
      <rPr>
        <b/>
        <sz val="14"/>
        <color indexed="62"/>
        <rFont val="Calibri"/>
        <family val="2"/>
      </rPr>
      <t>│</t>
    </r>
    <r>
      <rPr>
        <b/>
        <sz val="14"/>
        <color indexed="62"/>
        <rFont val="Trebuchet MS"/>
        <family val="2"/>
      </rPr>
      <t>M</t>
    </r>
    <r>
      <rPr>
        <b/>
        <vertAlign val="subscript"/>
        <sz val="14"/>
        <color indexed="62"/>
        <rFont val="Trebuchet MS"/>
        <family val="2"/>
      </rPr>
      <t>02</t>
    </r>
    <r>
      <rPr>
        <b/>
        <sz val="14"/>
        <color indexed="62"/>
        <rFont val="Calibri"/>
        <family val="2"/>
      </rPr>
      <t>│</t>
    </r>
  </si>
  <si>
    <t>MID HEIGHT</t>
  </si>
  <si>
    <r>
      <t>M</t>
    </r>
    <r>
      <rPr>
        <b/>
        <vertAlign val="subscript"/>
        <sz val="14"/>
        <color indexed="62"/>
        <rFont val="Trebuchet MS"/>
        <family val="2"/>
      </rPr>
      <t>0Ed</t>
    </r>
  </si>
  <si>
    <t>+</t>
  </si>
  <si>
    <t>IMPERFECTION</t>
  </si>
  <si>
    <t>Mmax</t>
  </si>
  <si>
    <r>
      <t>Calcs -  Calculation of M</t>
    </r>
    <r>
      <rPr>
        <vertAlign val="subscript"/>
        <sz val="11"/>
        <rFont val="Arial Narrow"/>
        <family val="2"/>
      </rPr>
      <t>01</t>
    </r>
    <r>
      <rPr>
        <sz val="11"/>
        <rFont val="Arial Narrow"/>
        <family val="2"/>
      </rPr>
      <t>, M</t>
    </r>
    <r>
      <rPr>
        <vertAlign val="subscript"/>
        <sz val="11"/>
        <rFont val="Arial Narrow"/>
        <family val="2"/>
      </rPr>
      <t>02</t>
    </r>
    <r>
      <rPr>
        <sz val="11"/>
        <rFont val="Arial Narrow"/>
        <family val="2"/>
      </rPr>
      <t>, M</t>
    </r>
    <r>
      <rPr>
        <vertAlign val="subscript"/>
        <sz val="11"/>
        <rFont val="Arial Narrow"/>
        <family val="2"/>
      </rPr>
      <t>0e</t>
    </r>
    <r>
      <rPr>
        <sz val="11"/>
        <rFont val="Arial Narrow"/>
        <family val="2"/>
      </rPr>
      <t xml:space="preserve"> &amp; M0</t>
    </r>
    <r>
      <rPr>
        <vertAlign val="subscript"/>
        <sz val="11"/>
        <rFont val="Arial Narrow"/>
        <family val="2"/>
      </rPr>
      <t>ED</t>
    </r>
    <r>
      <rPr>
        <sz val="11"/>
        <rFont val="Arial Narrow"/>
        <family val="2"/>
      </rPr>
      <t xml:space="preserve"> re-ordered.                                         Cases - Signs for M</t>
    </r>
    <r>
      <rPr>
        <vertAlign val="subscript"/>
        <sz val="11"/>
        <rFont val="Arial Narrow"/>
        <family val="2"/>
      </rPr>
      <t>02</t>
    </r>
    <r>
      <rPr>
        <sz val="11"/>
        <rFont val="Arial Narrow"/>
        <family val="2"/>
      </rPr>
      <t xml:space="preserve"> &amp; M</t>
    </r>
    <r>
      <rPr>
        <vertAlign val="subscript"/>
        <sz val="11"/>
        <rFont val="Arial Narrow"/>
        <family val="2"/>
      </rPr>
      <t>01</t>
    </r>
    <r>
      <rPr>
        <sz val="11"/>
        <rFont val="Arial Narrow"/>
        <family val="2"/>
      </rPr>
      <t xml:space="preserve"> corrected.  Calculation of 1st order Mmax added to compare M</t>
    </r>
    <r>
      <rPr>
        <vertAlign val="subscript"/>
        <sz val="11"/>
        <rFont val="Arial Narrow"/>
        <family val="2"/>
      </rPr>
      <t>0ED</t>
    </r>
    <r>
      <rPr>
        <sz val="11"/>
        <rFont val="Arial Narrow"/>
        <family val="2"/>
      </rPr>
      <t xml:space="preserve">  &amp;  │M</t>
    </r>
    <r>
      <rPr>
        <vertAlign val="subscript"/>
        <sz val="11"/>
        <rFont val="Arial Narrow"/>
        <family val="2"/>
      </rPr>
      <t>02</t>
    </r>
    <r>
      <rPr>
        <sz val="11"/>
        <rFont val="Arial Narrow"/>
        <family val="2"/>
      </rPr>
      <t xml:space="preserve"> │ &amp; Mmin.  Critical Axis calc now uses this Mmax.</t>
    </r>
  </si>
  <si>
    <t>USED</t>
  </si>
  <si>
    <t>FOR</t>
  </si>
  <si>
    <t>CRITICAL</t>
  </si>
  <si>
    <t>AXIS CHECK</t>
  </si>
  <si>
    <t>TCC53 v4.30 prelim V10</t>
  </si>
  <si>
    <t xml:space="preserve">Calcs -  Critical Axis calculation basis does not include Mmin.  Minor changes                </t>
  </si>
  <si>
    <t>θn = Mn Ln / (3 or 4 ) Ein</t>
  </si>
  <si>
    <t>Mn = M x (3 or 4) ( EIn/Ln ) / ( (3 or 4) Ein/Ln + (3 or 4) Eis/Ls ) )</t>
  </si>
  <si>
    <r>
      <rPr>
        <sz val="14"/>
        <rFont val="Calibri"/>
        <family val="2"/>
      </rPr>
      <t>θ</t>
    </r>
    <r>
      <rPr>
        <sz val="14"/>
        <rFont val="Arial"/>
        <family val="2"/>
      </rPr>
      <t>n = M x (3 or 4) ( EIn/Ln ) / ( (3 or 4) Ein/Ln + (3 or 4) Eis/Ls ) )  x  Ln / (3 or 4 ) Ein</t>
    </r>
  </si>
  <si>
    <r>
      <rPr>
        <sz val="14"/>
        <rFont val="Calibri"/>
        <family val="2"/>
      </rPr>
      <t>θ</t>
    </r>
    <r>
      <rPr>
        <sz val="14"/>
        <rFont val="Arial"/>
        <family val="2"/>
      </rPr>
      <t xml:space="preserve">n = M x 1 / ( (3 or 4) Ein/Ln + (3 or 4) Eis/Ls ) ) </t>
    </r>
  </si>
  <si>
    <r>
      <rPr>
        <sz val="14"/>
        <rFont val="Calibri"/>
        <family val="2"/>
      </rPr>
      <t>θ</t>
    </r>
    <r>
      <rPr>
        <sz val="14"/>
        <rFont val="Arial"/>
        <family val="2"/>
      </rPr>
      <t xml:space="preserve">n / M =  1 / ( (3 or 4) Ein/Ln + (3 or 4) Eis/Ls ) ) </t>
    </r>
  </si>
  <si>
    <t>Use 3 if remote end is pinned and 4 if remote end is fixed</t>
  </si>
  <si>
    <r>
      <t>k1 = (</t>
    </r>
    <r>
      <rPr>
        <sz val="14"/>
        <rFont val="Calibri"/>
        <family val="2"/>
      </rPr>
      <t>θ</t>
    </r>
    <r>
      <rPr>
        <sz val="14"/>
        <rFont val="Arial"/>
        <family val="2"/>
      </rPr>
      <t xml:space="preserve">n / M) x (Eic/Lc)  =  (Eic/Lc) / ( (3 or 4) Ein/Ln + (3 or 4) Eis/Ls ) ) </t>
    </r>
  </si>
  <si>
    <r>
      <t>k1 = (</t>
    </r>
    <r>
      <rPr>
        <sz val="14"/>
        <rFont val="Calibri"/>
        <family val="2"/>
      </rPr>
      <t>θ</t>
    </r>
    <r>
      <rPr>
        <sz val="14"/>
        <rFont val="Arial"/>
        <family val="2"/>
      </rPr>
      <t xml:space="preserve">n / M) x (Eic/Lc)  =  (Ic/Lc) / ( (3 or 4) In/Ln + (3 or 4) Is/Ls ) ) </t>
    </r>
  </si>
  <si>
    <t>Ht</t>
  </si>
  <si>
    <t>Imp</t>
  </si>
  <si>
    <t>Analysis</t>
  </si>
  <si>
    <t>M2</t>
  </si>
  <si>
    <t>Des2</t>
  </si>
  <si>
    <t>Ist Ord</t>
  </si>
  <si>
    <t>-Imp</t>
  </si>
  <si>
    <t>-Ist Ord</t>
  </si>
  <si>
    <t>-M2</t>
  </si>
  <si>
    <t>-Des2</t>
  </si>
  <si>
    <t>-1st ord</t>
  </si>
  <si>
    <t>Mo2</t>
  </si>
  <si>
    <t>DATA USED TO GENERATE MY MOMENT DIAGRAMS</t>
  </si>
  <si>
    <t>DATA USED TO GENERATE MZ MOMENT DIAGRAMS</t>
  </si>
  <si>
    <r>
      <rPr>
        <b/>
        <i/>
        <sz val="12"/>
        <color rgb="FFC00000"/>
        <rFont val="Trebuchet MS"/>
        <family val="2"/>
      </rPr>
      <t>A</t>
    </r>
    <r>
      <rPr>
        <i/>
        <sz val="12"/>
        <rFont val="Tekton"/>
        <family val="2"/>
      </rPr>
      <t xml:space="preserve">, </t>
    </r>
    <r>
      <rPr>
        <b/>
        <i/>
        <sz val="12"/>
        <color rgb="FFC00000"/>
        <rFont val="Trebuchet MS"/>
        <family val="2"/>
      </rPr>
      <t>B</t>
    </r>
    <r>
      <rPr>
        <i/>
        <sz val="12"/>
        <rFont val="Tekton"/>
        <family val="2"/>
      </rPr>
      <t xml:space="preserve"> and </t>
    </r>
    <r>
      <rPr>
        <b/>
        <i/>
        <sz val="12"/>
        <color rgb="FFC00000"/>
        <rFont val="Trebuchet MS"/>
        <family val="2"/>
      </rPr>
      <t xml:space="preserve">C / </t>
    </r>
    <r>
      <rPr>
        <b/>
        <sz val="12"/>
        <color rgb="FFC00000"/>
        <rFont val="Calibri"/>
        <family val="2"/>
      </rPr>
      <t>√</t>
    </r>
    <r>
      <rPr>
        <b/>
        <i/>
        <sz val="12"/>
        <color rgb="FFC00000"/>
        <rFont val="Trebuchet MS"/>
        <family val="2"/>
      </rPr>
      <t>n</t>
    </r>
  </si>
  <si>
    <t>C / √n</t>
  </si>
  <si>
    <t>Min</t>
  </si>
  <si>
    <t>-Min</t>
  </si>
  <si>
    <t>Max</t>
  </si>
  <si>
    <t>X</t>
  </si>
  <si>
    <t>Max From My or Mz</t>
  </si>
  <si>
    <t>Critical axis</t>
  </si>
  <si>
    <r>
      <t xml:space="preserve">Note    </t>
    </r>
    <r>
      <rPr>
        <b/>
        <i/>
        <sz val="12"/>
        <rFont val="Calibri"/>
        <family val="2"/>
      </rPr>
      <t xml:space="preserve">│ Value │  =   Absolute Value                     </t>
    </r>
    <r>
      <rPr>
        <b/>
        <sz val="12"/>
        <rFont val="Calibri"/>
        <family val="2"/>
      </rPr>
      <t xml:space="preserve">      </t>
    </r>
  </si>
  <si>
    <t>Data For My Chart</t>
  </si>
  <si>
    <t>Data For Mz Chart</t>
  </si>
  <si>
    <r>
      <t>M</t>
    </r>
    <r>
      <rPr>
        <i/>
        <vertAlign val="subscript"/>
        <sz val="12"/>
        <color indexed="21"/>
        <rFont val="Trebuchet MS"/>
        <family val="2"/>
      </rPr>
      <t>min</t>
    </r>
    <r>
      <rPr>
        <i/>
        <sz val="12"/>
        <color indexed="21"/>
        <rFont val="Trebuchet MS"/>
        <family val="2"/>
      </rPr>
      <t xml:space="preserve"> only considered in critical</t>
    </r>
  </si>
  <si>
    <t>axis in Design Moment Check</t>
  </si>
  <si>
    <r>
      <t>M</t>
    </r>
    <r>
      <rPr>
        <i/>
        <vertAlign val="subscript"/>
        <sz val="12"/>
        <color indexed="21"/>
        <rFont val="Trebuchet MS"/>
        <family val="2"/>
      </rPr>
      <t>imp</t>
    </r>
    <r>
      <rPr>
        <i/>
        <sz val="12"/>
        <color indexed="21"/>
        <rFont val="Trebuchet MS"/>
        <family val="2"/>
      </rPr>
      <t xml:space="preserve"> only added to critical</t>
    </r>
  </si>
  <si>
    <t>axis moments</t>
  </si>
  <si>
    <t>TCC53 v4.30 prelim V11</t>
  </si>
  <si>
    <t>Calcs -  First order moments now include imperfections about the direction that results in the critical first order design.   Detailed moment diagrams provided to demonstrate the addition of 2nd order moments.</t>
  </si>
  <si>
    <t xml:space="preserve"> MOMENT DIAGRAMS</t>
  </si>
  <si>
    <t>TCC53 v4.30 prelim V13</t>
  </si>
  <si>
    <t>Calcs - User can select Imperfection Axis.  AUTO = Automatically calculated using Critical First Order Moments.  BOTH = Y and Z axes.  Y = Y axis.  Z = Z axis.</t>
  </si>
  <si>
    <t>FIRST ORDER</t>
  </si>
  <si>
    <t>SECOND</t>
  </si>
  <si>
    <t>ORDER</t>
  </si>
  <si>
    <t>Cy</t>
  </si>
  <si>
    <t>Cz</t>
  </si>
  <si>
    <t>Mo + Imp on Critical Axis</t>
  </si>
  <si>
    <t>Mo + Imp on Both Axis</t>
  </si>
  <si>
    <t>ON EACH</t>
  </si>
  <si>
    <t>NO</t>
  </si>
  <si>
    <t>With No Imperfections</t>
  </si>
  <si>
    <t>AND</t>
  </si>
  <si>
    <t>1ST</t>
  </si>
  <si>
    <t>2ND</t>
  </si>
  <si>
    <t>CHECK</t>
  </si>
  <si>
    <t>BI - AXIAL</t>
  </si>
  <si>
    <t>FIRST</t>
  </si>
  <si>
    <t>BOTH AXES</t>
  </si>
  <si>
    <t>ABS</t>
  </si>
  <si>
    <t>Y AXIS ONLY</t>
  </si>
  <si>
    <t>Z AXIS ONLY</t>
  </si>
  <si>
    <t>MAX</t>
  </si>
  <si>
    <t>USED FOR</t>
  </si>
  <si>
    <t>MAX END</t>
  </si>
  <si>
    <t>IMP</t>
  </si>
  <si>
    <t>BASIC</t>
  </si>
  <si>
    <r>
      <t>N</t>
    </r>
    <r>
      <rPr>
        <i/>
        <vertAlign val="subscript"/>
        <sz val="12"/>
        <rFont val="Tekton"/>
        <family val="2"/>
      </rPr>
      <t>Ed</t>
    </r>
    <r>
      <rPr>
        <i/>
        <sz val="12"/>
        <rFont val="Tekton"/>
        <family val="2"/>
      </rPr>
      <t>∙e</t>
    </r>
    <r>
      <rPr>
        <i/>
        <vertAlign val="subscript"/>
        <sz val="12"/>
        <rFont val="Tekton"/>
        <family val="2"/>
      </rPr>
      <t>2</t>
    </r>
    <r>
      <rPr>
        <i/>
        <sz val="12"/>
        <rFont val="Tekton"/>
        <family val="2"/>
      </rPr>
      <t xml:space="preserve"> otherwise,if short, 0</t>
    </r>
  </si>
  <si>
    <t>WORST AXIS</t>
  </si>
  <si>
    <t>SECOND ORDER</t>
  </si>
  <si>
    <t xml:space="preserve"> IMPERFECTIONS ARE APPLIED TO</t>
  </si>
  <si>
    <t>CRIT</t>
  </si>
  <si>
    <t>TCC53 v4.30 prelim V14</t>
  </si>
  <si>
    <t>ABSOLUTE</t>
  </si>
  <si>
    <t>MIN END</t>
  </si>
  <si>
    <r>
      <rPr>
        <b/>
        <sz val="14"/>
        <color indexed="62"/>
        <rFont val="Calibri"/>
        <family val="2"/>
      </rPr>
      <t>│</t>
    </r>
    <r>
      <rPr>
        <b/>
        <sz val="14"/>
        <color indexed="62"/>
        <rFont val="Trebuchet MS"/>
        <family val="2"/>
      </rPr>
      <t>M</t>
    </r>
    <r>
      <rPr>
        <b/>
        <vertAlign val="subscript"/>
        <sz val="14"/>
        <color indexed="62"/>
        <rFont val="Trebuchet MS"/>
        <family val="2"/>
      </rPr>
      <t>01</t>
    </r>
    <r>
      <rPr>
        <b/>
        <sz val="14"/>
        <color indexed="62"/>
        <rFont val="Calibri"/>
        <family val="2"/>
      </rPr>
      <t>│</t>
    </r>
  </si>
  <si>
    <t>EQUIV</t>
  </si>
  <si>
    <r>
      <t>M</t>
    </r>
    <r>
      <rPr>
        <b/>
        <vertAlign val="subscript"/>
        <sz val="14"/>
        <color indexed="62"/>
        <rFont val="Trebuchet MS"/>
        <family val="2"/>
      </rPr>
      <t>01</t>
    </r>
  </si>
  <si>
    <t>Main  -  Ability to select BOTH AXES or CRITICAL AXIS.             Calcs  -  If CRITICAL AXIS is set the prgram calculates the Axis.  The user can force the program to calculate using a different axis to see the difference.   The program now includes 2nd Order M2 Moments and the final Bi-Axial check to assess the critical axis.</t>
  </si>
  <si>
    <t>For a moment M applied at joint A to a beam of length L and Moment of Inertia I and Youngs Modulus E</t>
  </si>
  <si>
    <t>If it is fixed at Joint B, the Rotaion in Radians is</t>
  </si>
  <si>
    <t>If it is pinned at Joint B, the Rotation in Radians is</t>
  </si>
  <si>
    <r>
      <rPr>
        <sz val="12"/>
        <rFont val="Calibri"/>
        <family val="2"/>
      </rPr>
      <t>θ</t>
    </r>
    <r>
      <rPr>
        <sz val="9"/>
        <rFont val="Tekton"/>
        <family val="2"/>
      </rPr>
      <t xml:space="preserve">  =  </t>
    </r>
    <r>
      <rPr>
        <sz val="12"/>
        <rFont val="Tekton"/>
        <family val="2"/>
      </rPr>
      <t>M x L / ( 4 E I )</t>
    </r>
  </si>
  <si>
    <r>
      <rPr>
        <sz val="12"/>
        <rFont val="Calibri"/>
        <family val="2"/>
      </rPr>
      <t>θ</t>
    </r>
    <r>
      <rPr>
        <sz val="9"/>
        <rFont val="Tekton"/>
        <family val="2"/>
      </rPr>
      <t xml:space="preserve">  =  </t>
    </r>
    <r>
      <rPr>
        <sz val="12"/>
        <rFont val="Tekton"/>
        <family val="2"/>
      </rPr>
      <t>M x L / ( 3 E I )</t>
    </r>
  </si>
  <si>
    <r>
      <t xml:space="preserve">Flexibility is </t>
    </r>
    <r>
      <rPr>
        <sz val="12"/>
        <rFont val="Calibri"/>
        <family val="2"/>
      </rPr>
      <t>θ</t>
    </r>
    <r>
      <rPr>
        <sz val="12"/>
        <rFont val="Tekton"/>
        <family val="2"/>
      </rPr>
      <t xml:space="preserve"> / M</t>
    </r>
  </si>
  <si>
    <r>
      <rPr>
        <sz val="12"/>
        <rFont val="Calibri"/>
        <family val="2"/>
      </rPr>
      <t>θ</t>
    </r>
    <r>
      <rPr>
        <sz val="12"/>
        <rFont val="Tekton"/>
        <family val="2"/>
      </rPr>
      <t xml:space="preserve"> / M</t>
    </r>
  </si>
  <si>
    <t>H</t>
  </si>
  <si>
    <t>L</t>
  </si>
  <si>
    <t>Crack %</t>
  </si>
  <si>
    <t>I</t>
  </si>
  <si>
    <t>Width</t>
  </si>
  <si>
    <t>Depth</t>
  </si>
  <si>
    <t>Length</t>
  </si>
  <si>
    <t>Effective</t>
  </si>
  <si>
    <t>mm4</t>
  </si>
  <si>
    <t>End</t>
  </si>
  <si>
    <t>E</t>
  </si>
  <si>
    <t>N/mm2</t>
  </si>
  <si>
    <t>Stiffnes</t>
  </si>
  <si>
    <t>Stiffness</t>
  </si>
  <si>
    <t>Total</t>
  </si>
  <si>
    <t>Beams</t>
  </si>
  <si>
    <t>E - W</t>
  </si>
  <si>
    <t>West</t>
  </si>
  <si>
    <t>East</t>
  </si>
  <si>
    <t>m</t>
  </si>
  <si>
    <t>Beam</t>
  </si>
  <si>
    <t>Flexibilty</t>
  </si>
  <si>
    <t>Column</t>
  </si>
  <si>
    <t>EI</t>
  </si>
  <si>
    <t>Nmm2</t>
  </si>
  <si>
    <t>EI / L</t>
  </si>
  <si>
    <r>
      <rPr>
        <sz val="12"/>
        <rFont val="Calibri"/>
        <family val="2"/>
      </rPr>
      <t>θ / M</t>
    </r>
    <r>
      <rPr>
        <sz val="9"/>
        <rFont val="Tekton"/>
        <family val="2"/>
      </rPr>
      <t xml:space="preserve">  =  </t>
    </r>
    <r>
      <rPr>
        <sz val="12"/>
        <rFont val="Tekton"/>
        <family val="2"/>
      </rPr>
      <t>L / ( 4 E I )</t>
    </r>
  </si>
  <si>
    <r>
      <rPr>
        <sz val="12"/>
        <rFont val="Calibri"/>
        <family val="2"/>
      </rPr>
      <t>θ / M</t>
    </r>
    <r>
      <rPr>
        <sz val="9"/>
        <rFont val="Tekton"/>
        <family val="2"/>
      </rPr>
      <t xml:space="preserve">  =  </t>
    </r>
    <r>
      <rPr>
        <sz val="12"/>
        <rFont val="Tekton"/>
        <family val="2"/>
      </rPr>
      <t>L / ( 3 E I )</t>
    </r>
  </si>
  <si>
    <t>L / ( 3 or 4 x E I )</t>
  </si>
  <si>
    <t>Lo</t>
  </si>
  <si>
    <t>k1 &amp; K2</t>
  </si>
  <si>
    <t>Bott East</t>
  </si>
  <si>
    <t>Bott West</t>
  </si>
  <si>
    <r>
      <t xml:space="preserve">Stiffness is M / </t>
    </r>
    <r>
      <rPr>
        <sz val="12"/>
        <rFont val="Calibri"/>
        <family val="2"/>
      </rPr>
      <t>θ</t>
    </r>
  </si>
  <si>
    <r>
      <t xml:space="preserve">M / </t>
    </r>
    <r>
      <rPr>
        <sz val="12"/>
        <rFont val="Calibri"/>
        <family val="2"/>
      </rPr>
      <t xml:space="preserve">θ </t>
    </r>
    <r>
      <rPr>
        <sz val="9"/>
        <rFont val="Tekton"/>
        <family val="2"/>
      </rPr>
      <t xml:space="preserve">  = </t>
    </r>
    <r>
      <rPr>
        <sz val="12"/>
        <rFont val="Tekton"/>
        <family val="2"/>
      </rPr>
      <t xml:space="preserve"> ( 4 E I ) / L</t>
    </r>
  </si>
  <si>
    <r>
      <t xml:space="preserve">M / </t>
    </r>
    <r>
      <rPr>
        <sz val="12"/>
        <rFont val="Calibri"/>
        <family val="2"/>
      </rPr>
      <t xml:space="preserve">θ </t>
    </r>
    <r>
      <rPr>
        <sz val="9"/>
        <rFont val="Tekton"/>
        <family val="2"/>
      </rPr>
      <t xml:space="preserve">  = </t>
    </r>
    <r>
      <rPr>
        <sz val="12"/>
        <rFont val="Tekton"/>
        <family val="2"/>
      </rPr>
      <t xml:space="preserve"> ( 3 E I ) / L</t>
    </r>
  </si>
  <si>
    <t>So add the beam stiffneses together and get a Composite Stiffness</t>
  </si>
  <si>
    <t>(3 to 4) E Ib / Lb</t>
  </si>
  <si>
    <t>The composite flexibility is therefore</t>
  </si>
  <si>
    <t>Lb / ( (3 to 4) E Ib )</t>
  </si>
  <si>
    <t>The column stiffness assumes fixity at the far end</t>
  </si>
  <si>
    <t>The column flexibilty is therefore</t>
  </si>
  <si>
    <t>/</t>
  </si>
  <si>
    <t>Ratio is</t>
  </si>
  <si>
    <t>E Ic / Lc</t>
  </si>
  <si>
    <t>NOTE</t>
  </si>
  <si>
    <t>Fixed</t>
  </si>
  <si>
    <t>Pinned</t>
  </si>
  <si>
    <t>TCC53 v4.30 prelim V15</t>
  </si>
  <si>
    <t>Lo Calculation</t>
  </si>
  <si>
    <t>Slender  -  Beam relative stiffnesses adjusted to 1.0 for Fixed Ends and 0.75 for Pinned Ends.  Column lengths corrected.</t>
  </si>
  <si>
    <t>Exp (5.13N)</t>
  </si>
  <si>
    <t>Mz</t>
  </si>
  <si>
    <t>Lc /  E Ic)</t>
  </si>
  <si>
    <r>
      <t>IF λ &gt; λ</t>
    </r>
    <r>
      <rPr>
        <i/>
        <vertAlign val="subscript"/>
        <sz val="12"/>
        <rFont val="Tekton"/>
        <family val="2"/>
      </rPr>
      <t>lim</t>
    </r>
    <r>
      <rPr>
        <i/>
        <sz val="12"/>
        <rFont val="Tekton"/>
        <family val="2"/>
      </rPr>
      <t xml:space="preserve"> = Slender</t>
    </r>
  </si>
  <si>
    <t>TCC53 v4.30 prelim V16</t>
  </si>
  <si>
    <t>Slender  -  Beam relative stiffnesses adjusted to 4 for Fixed Ends and 3.0 for Pinned Ends.  Column lengths corrected.  Charts  -  Percentage utilisation bar chart sequence reveresed.  Calc  -  Moment chart layout improved.</t>
  </si>
  <si>
    <t>TCC53 v4.30 prelim V17</t>
  </si>
  <si>
    <t xml:space="preserve"> LOADCASE</t>
  </si>
  <si>
    <r>
      <t>Note.  M</t>
    </r>
    <r>
      <rPr>
        <i/>
        <vertAlign val="subscript"/>
        <sz val="12"/>
        <rFont val="Tekton"/>
        <family val="2"/>
      </rPr>
      <t>imp</t>
    </r>
    <r>
      <rPr>
        <i/>
        <sz val="12"/>
        <rFont val="Tekton"/>
        <family val="2"/>
      </rPr>
      <t xml:space="preserve"> will share the same sign as M</t>
    </r>
    <r>
      <rPr>
        <i/>
        <vertAlign val="subscript"/>
        <sz val="12"/>
        <rFont val="Tekton"/>
        <family val="2"/>
      </rPr>
      <t>i2</t>
    </r>
  </si>
  <si>
    <t>Main  -  Note added advising Loadcase refs to be numeric between 1 &amp; 6.  Calc  -  Initial End Moment terms Mi2 and Mi1 introduced to show logically how M02 ans M01 are Mi2 &amp; Imperfection and Mi1 &amp; Imperfection (on critical axis).  Initial Moments added to Charts. Mimp shares same sign as M02.  Default cracked stiffnes reduced from 70% to 50%.  Refs  -  Moment Diagram updated.</t>
  </si>
  <si>
    <t>TCC53 v4.30 prelim V18</t>
  </si>
  <si>
    <t>A higher value will increase the stiffnesses of the beams</t>
  </si>
  <si>
    <r>
      <t>and result in a smaller value for L</t>
    </r>
    <r>
      <rPr>
        <b/>
        <i/>
        <vertAlign val="subscript"/>
        <sz val="12"/>
        <color indexed="60"/>
        <rFont val="Trebuchet MS"/>
        <family val="2"/>
      </rPr>
      <t>0</t>
    </r>
  </si>
  <si>
    <t>Main  -  Note added adjacent to Beam Stiffnes input referencing PD 6687.  Calc - Note added to head of Moment Diagrams sheet explaining kink in 1st Order moment diagrams.  Initial Moments references added to Analysis Moments diagram header.</t>
  </si>
  <si>
    <t>TCC53 v4.30 prelim V19</t>
  </si>
  <si>
    <t>NUMERIC REF</t>
  </si>
  <si>
    <t>(50 is a TCC max)    20 A B C/ √n</t>
  </si>
  <si>
    <t>Note The 4 &amp; 3 stiffness factors when combined with a 50%</t>
  </si>
  <si>
    <t>cracked stiffness comply with PD 6687-1:2010 Cl 2.11.2</t>
  </si>
  <si>
    <t>Cases  -  Removed rm = 1 if Mimp &gt; Mi2 condition.  Slen  -  Note added regarding use of 4 &amp; 3 stifness factors and PD6637.  Refs  -  Improved and enlarged the moment diagram.</t>
  </si>
  <si>
    <t>5.8.9(2) states that imperfections need only be taken into account in the direction that they will have the most unfavourable effect. Imperfection moments are taken into account in whichever direction delivers the worse Bi-Axial check.</t>
  </si>
  <si>
    <r>
      <t xml:space="preserve">Axial Load, </t>
    </r>
    <r>
      <rPr>
        <b/>
        <i/>
        <sz val="12"/>
        <color rgb="FFC00000"/>
        <rFont val="Trebuchet MS"/>
        <family val="2"/>
      </rPr>
      <t>N</t>
    </r>
    <r>
      <rPr>
        <b/>
        <i/>
        <vertAlign val="subscript"/>
        <sz val="12"/>
        <color rgb="FFC00000"/>
        <rFont val="Trebuchet MS"/>
        <family val="2"/>
      </rPr>
      <t>Ed</t>
    </r>
  </si>
  <si>
    <r>
      <t xml:space="preserve">Moments at top, </t>
    </r>
    <r>
      <rPr>
        <b/>
        <i/>
        <sz val="12"/>
        <color rgb="FFC00000"/>
        <rFont val="Trebuchet MS"/>
        <family val="2"/>
      </rPr>
      <t>M</t>
    </r>
    <r>
      <rPr>
        <b/>
        <i/>
        <vertAlign val="subscript"/>
        <sz val="12"/>
        <color rgb="FFC00000"/>
        <rFont val="Trebuchet MS"/>
        <family val="2"/>
      </rPr>
      <t>top</t>
    </r>
  </si>
  <si>
    <r>
      <t xml:space="preserve">Moments at bottom, </t>
    </r>
    <r>
      <rPr>
        <b/>
        <i/>
        <sz val="12"/>
        <color rgb="FFC00000"/>
        <rFont val="Trebuchet MS"/>
        <family val="2"/>
      </rPr>
      <t>M</t>
    </r>
    <r>
      <rPr>
        <b/>
        <i/>
        <vertAlign val="subscript"/>
        <sz val="12"/>
        <color rgb="FFC00000"/>
        <rFont val="Trebuchet MS"/>
        <family val="2"/>
      </rPr>
      <t>Bot</t>
    </r>
  </si>
  <si>
    <r>
      <rPr>
        <i/>
        <sz val="12"/>
        <color rgb="FFC00000"/>
        <rFont val="Tekton"/>
        <family val="2"/>
      </rPr>
      <t>Critical Axis</t>
    </r>
    <r>
      <rPr>
        <i/>
        <sz val="12"/>
        <rFont val="Tekton"/>
        <family val="2"/>
      </rPr>
      <t>:   (Incl M</t>
    </r>
    <r>
      <rPr>
        <i/>
        <vertAlign val="subscript"/>
        <sz val="12"/>
        <rFont val="Tekton"/>
        <family val="2"/>
      </rPr>
      <t>imp</t>
    </r>
    <r>
      <rPr>
        <i/>
        <sz val="12"/>
        <rFont val="Tekton"/>
        <family val="2"/>
      </rPr>
      <t xml:space="preserve"> where worse effect)</t>
    </r>
  </si>
  <si>
    <t>TCC53 v4.30 prelim V20</t>
  </si>
  <si>
    <t>EC2</t>
  </si>
  <si>
    <t>Calcs  -  Charts improved. Critical Axis now displayed.  Refs  -  Moment Diagram improved and colour scheme now matches charts in Calcs.  Moments Sign Convention note expanded.  National Annex tables placed side by side.</t>
  </si>
  <si>
    <t>DESIGN MOMENTS</t>
  </si>
  <si>
    <r>
      <t xml:space="preserve">Where </t>
    </r>
    <r>
      <rPr>
        <sz val="12"/>
        <rFont val="Calibri"/>
        <family val="2"/>
      </rPr>
      <t>│</t>
    </r>
    <r>
      <rPr>
        <i/>
        <sz val="12"/>
        <rFont val="Tekton"/>
        <family val="2"/>
      </rPr>
      <t>M</t>
    </r>
    <r>
      <rPr>
        <i/>
        <vertAlign val="subscript"/>
        <sz val="12"/>
        <rFont val="Tekton"/>
        <family val="2"/>
      </rPr>
      <t>i1</t>
    </r>
    <r>
      <rPr>
        <sz val="12"/>
        <rFont val="Calibri"/>
        <family val="2"/>
      </rPr>
      <t>│</t>
    </r>
    <r>
      <rPr>
        <i/>
        <sz val="12"/>
        <rFont val="Tekton"/>
        <family val="2"/>
      </rPr>
      <t xml:space="preserve"> &lt; </t>
    </r>
    <r>
      <rPr>
        <sz val="12"/>
        <rFont val="Calibri"/>
        <family val="2"/>
      </rPr>
      <t>│</t>
    </r>
    <r>
      <rPr>
        <i/>
        <sz val="12"/>
        <rFont val="Tekton"/>
        <family val="2"/>
      </rPr>
      <t>M</t>
    </r>
    <r>
      <rPr>
        <i/>
        <vertAlign val="subscript"/>
        <sz val="12"/>
        <rFont val="Tekton"/>
        <family val="2"/>
      </rPr>
      <t>i2</t>
    </r>
    <r>
      <rPr>
        <sz val="12"/>
        <rFont val="Calibri"/>
        <family val="2"/>
      </rPr>
      <t>│</t>
    </r>
  </si>
  <si>
    <r>
      <t xml:space="preserve">Where </t>
    </r>
    <r>
      <rPr>
        <sz val="12"/>
        <rFont val="Calibri"/>
        <family val="2"/>
      </rPr>
      <t>│</t>
    </r>
    <r>
      <rPr>
        <i/>
        <sz val="12"/>
        <rFont val="Tekton"/>
        <family val="2"/>
      </rPr>
      <t>M</t>
    </r>
    <r>
      <rPr>
        <i/>
        <vertAlign val="subscript"/>
        <sz val="12"/>
        <rFont val="Tekton"/>
        <family val="2"/>
      </rPr>
      <t>i2</t>
    </r>
    <r>
      <rPr>
        <sz val="12"/>
        <rFont val="Calibri"/>
        <family val="2"/>
      </rPr>
      <t>│</t>
    </r>
    <r>
      <rPr>
        <i/>
        <sz val="12"/>
        <rFont val="Tekton"/>
        <family val="2"/>
      </rPr>
      <t xml:space="preserve"> &gt; </t>
    </r>
    <r>
      <rPr>
        <sz val="12"/>
        <rFont val="Calibri"/>
        <family val="2"/>
      </rPr>
      <t>│</t>
    </r>
    <r>
      <rPr>
        <i/>
        <sz val="12"/>
        <rFont val="Tekton"/>
        <family val="2"/>
      </rPr>
      <t>M</t>
    </r>
    <r>
      <rPr>
        <i/>
        <vertAlign val="subscript"/>
        <sz val="12"/>
        <rFont val="Tekton"/>
        <family val="2"/>
      </rPr>
      <t>i1</t>
    </r>
    <r>
      <rPr>
        <sz val="12"/>
        <rFont val="Calibri"/>
        <family val="2"/>
      </rPr>
      <t>│</t>
    </r>
  </si>
  <si>
    <r>
      <t xml:space="preserve">Where </t>
    </r>
    <r>
      <rPr>
        <sz val="12"/>
        <rFont val="Calibri"/>
        <family val="2"/>
      </rPr>
      <t>│</t>
    </r>
    <r>
      <rPr>
        <i/>
        <sz val="12"/>
        <rFont val="Tekton"/>
        <family val="2"/>
      </rPr>
      <t>M</t>
    </r>
    <r>
      <rPr>
        <i/>
        <vertAlign val="subscript"/>
        <sz val="12"/>
        <rFont val="Tekton"/>
        <family val="2"/>
      </rPr>
      <t>02</t>
    </r>
    <r>
      <rPr>
        <sz val="12"/>
        <rFont val="Calibri"/>
        <family val="2"/>
      </rPr>
      <t>│</t>
    </r>
    <r>
      <rPr>
        <i/>
        <sz val="12"/>
        <rFont val="Tekton"/>
        <family val="2"/>
      </rPr>
      <t xml:space="preserve"> &gt; </t>
    </r>
    <r>
      <rPr>
        <sz val="12"/>
        <rFont val="Calibri"/>
        <family val="2"/>
      </rPr>
      <t>│</t>
    </r>
    <r>
      <rPr>
        <i/>
        <sz val="12"/>
        <rFont val="Tekton"/>
        <family val="2"/>
      </rPr>
      <t>M</t>
    </r>
    <r>
      <rPr>
        <i/>
        <vertAlign val="subscript"/>
        <sz val="12"/>
        <rFont val="Tekton"/>
        <family val="2"/>
      </rPr>
      <t>01</t>
    </r>
    <r>
      <rPr>
        <sz val="12"/>
        <rFont val="Calibri"/>
        <family val="2"/>
      </rPr>
      <t>│</t>
    </r>
  </si>
  <si>
    <r>
      <t xml:space="preserve">Where </t>
    </r>
    <r>
      <rPr>
        <sz val="12"/>
        <rFont val="Calibri"/>
        <family val="2"/>
      </rPr>
      <t>│</t>
    </r>
    <r>
      <rPr>
        <i/>
        <sz val="12"/>
        <rFont val="Tekton"/>
        <family val="2"/>
      </rPr>
      <t>M</t>
    </r>
    <r>
      <rPr>
        <i/>
        <vertAlign val="subscript"/>
        <sz val="12"/>
        <rFont val="Tekton"/>
        <family val="2"/>
      </rPr>
      <t>01</t>
    </r>
    <r>
      <rPr>
        <sz val="12"/>
        <rFont val="Calibri"/>
        <family val="2"/>
      </rPr>
      <t>│</t>
    </r>
    <r>
      <rPr>
        <i/>
        <sz val="12"/>
        <rFont val="Tekton"/>
        <family val="2"/>
      </rPr>
      <t xml:space="preserve"> &lt; </t>
    </r>
    <r>
      <rPr>
        <sz val="12"/>
        <rFont val="Calibri"/>
        <family val="2"/>
      </rPr>
      <t>│</t>
    </r>
    <r>
      <rPr>
        <i/>
        <sz val="12"/>
        <rFont val="Tekton"/>
        <family val="2"/>
      </rPr>
      <t>M</t>
    </r>
    <r>
      <rPr>
        <i/>
        <vertAlign val="subscript"/>
        <sz val="12"/>
        <rFont val="Tekton"/>
        <family val="2"/>
      </rPr>
      <t>02</t>
    </r>
    <r>
      <rPr>
        <sz val="12"/>
        <rFont val="Calibri"/>
        <family val="2"/>
      </rPr>
      <t>│</t>
    </r>
  </si>
  <si>
    <r>
      <rPr>
        <sz val="12"/>
        <rFont val="Calibri"/>
        <family val="2"/>
      </rPr>
      <t>│</t>
    </r>
    <r>
      <rPr>
        <i/>
        <sz val="12"/>
        <rFont val="Tekton"/>
        <family val="2"/>
      </rPr>
      <t>0.6M</t>
    </r>
    <r>
      <rPr>
        <i/>
        <vertAlign val="subscript"/>
        <sz val="12"/>
        <rFont val="Tekton"/>
        <family val="2"/>
      </rPr>
      <t>02</t>
    </r>
    <r>
      <rPr>
        <i/>
        <sz val="12"/>
        <rFont val="Tekton"/>
        <family val="2"/>
      </rPr>
      <t>+0.4M</t>
    </r>
    <r>
      <rPr>
        <i/>
        <vertAlign val="subscript"/>
        <sz val="12"/>
        <rFont val="Tekton"/>
        <family val="2"/>
      </rPr>
      <t>01</t>
    </r>
    <r>
      <rPr>
        <sz val="12"/>
        <rFont val="Calibri"/>
        <family val="2"/>
      </rPr>
      <t>│   ≥</t>
    </r>
    <r>
      <rPr>
        <sz val="9"/>
        <rFont val="Calibri"/>
        <family val="2"/>
      </rPr>
      <t xml:space="preserve">  </t>
    </r>
    <r>
      <rPr>
        <sz val="12"/>
        <rFont val="Calibri"/>
        <family val="2"/>
      </rPr>
      <t>│</t>
    </r>
    <r>
      <rPr>
        <i/>
        <sz val="12"/>
        <rFont val="Tekton"/>
        <family val="2"/>
      </rPr>
      <t>0.4M</t>
    </r>
    <r>
      <rPr>
        <i/>
        <vertAlign val="subscript"/>
        <sz val="12"/>
        <rFont val="Tekton"/>
        <family val="2"/>
      </rPr>
      <t>02</t>
    </r>
    <r>
      <rPr>
        <sz val="12"/>
        <rFont val="Calibri"/>
        <family val="2"/>
      </rPr>
      <t>│</t>
    </r>
  </si>
  <si>
    <r>
      <t>M</t>
    </r>
    <r>
      <rPr>
        <i/>
        <vertAlign val="subscript"/>
        <sz val="12"/>
        <rFont val="Tekton"/>
        <family val="2"/>
      </rPr>
      <t>min</t>
    </r>
  </si>
  <si>
    <r>
      <rPr>
        <sz val="12"/>
        <rFont val="Tekton"/>
        <family val="2"/>
      </rPr>
      <t>Greater Initial End Moment</t>
    </r>
    <r>
      <rPr>
        <b/>
        <sz val="12"/>
        <rFont val="Tekton"/>
        <family val="2"/>
      </rPr>
      <t xml:space="preserve"> </t>
    </r>
    <r>
      <rPr>
        <b/>
        <sz val="12"/>
        <rFont val="Trebuchet MS"/>
        <family val="2"/>
      </rPr>
      <t xml:space="preserve">= </t>
    </r>
    <r>
      <rPr>
        <b/>
        <i/>
        <sz val="12"/>
        <color indexed="16"/>
        <rFont val="Trebuchet MS"/>
        <family val="2"/>
      </rPr>
      <t>M</t>
    </r>
    <r>
      <rPr>
        <b/>
        <i/>
        <vertAlign val="subscript"/>
        <sz val="12"/>
        <color indexed="16"/>
        <rFont val="Trebuchet MS"/>
        <family val="2"/>
      </rPr>
      <t>i2</t>
    </r>
  </si>
  <si>
    <r>
      <rPr>
        <sz val="12"/>
        <rFont val="Tekton"/>
        <family val="2"/>
      </rPr>
      <t>Lesser initial End Moment</t>
    </r>
    <r>
      <rPr>
        <b/>
        <sz val="12"/>
        <rFont val="Tekton"/>
        <family val="2"/>
      </rPr>
      <t xml:space="preserve"> </t>
    </r>
    <r>
      <rPr>
        <b/>
        <vertAlign val="subscript"/>
        <sz val="12"/>
        <rFont val="Tekton"/>
        <family val="2"/>
      </rPr>
      <t xml:space="preserve"> </t>
    </r>
    <r>
      <rPr>
        <b/>
        <sz val="12"/>
        <rFont val="Trebuchet MS"/>
        <family val="2"/>
      </rPr>
      <t>=</t>
    </r>
    <r>
      <rPr>
        <b/>
        <sz val="12"/>
        <rFont val="Tekton"/>
        <family val="2"/>
      </rPr>
      <t xml:space="preserve"> </t>
    </r>
    <r>
      <rPr>
        <b/>
        <i/>
        <sz val="12"/>
        <color indexed="16"/>
        <rFont val="Trebuchet MS"/>
        <family val="2"/>
      </rPr>
      <t>M</t>
    </r>
    <r>
      <rPr>
        <b/>
        <i/>
        <vertAlign val="subscript"/>
        <sz val="12"/>
        <color indexed="16"/>
        <rFont val="Trebuchet MS"/>
        <family val="2"/>
      </rPr>
      <t>i1</t>
    </r>
  </si>
  <si>
    <r>
      <rPr>
        <sz val="12"/>
        <rFont val="Tekton"/>
        <family val="2"/>
      </rPr>
      <t>1st Order M</t>
    </r>
    <r>
      <rPr>
        <vertAlign val="subscript"/>
        <sz val="12"/>
        <rFont val="Tekton"/>
        <family val="2"/>
      </rPr>
      <t>end</t>
    </r>
    <r>
      <rPr>
        <b/>
        <sz val="12"/>
        <rFont val="Trebuchet MS"/>
        <family val="2"/>
      </rPr>
      <t xml:space="preserve"> = </t>
    </r>
    <r>
      <rPr>
        <b/>
        <i/>
        <sz val="12"/>
        <color indexed="16"/>
        <rFont val="Trebuchet MS"/>
        <family val="2"/>
      </rPr>
      <t>M</t>
    </r>
    <r>
      <rPr>
        <b/>
        <i/>
        <vertAlign val="subscript"/>
        <sz val="12"/>
        <color indexed="16"/>
        <rFont val="Trebuchet MS"/>
        <family val="2"/>
      </rPr>
      <t xml:space="preserve">02 </t>
    </r>
    <r>
      <rPr>
        <b/>
        <i/>
        <sz val="12"/>
        <color indexed="16"/>
        <rFont val="Trebuchet MS"/>
        <family val="2"/>
      </rPr>
      <t>= M</t>
    </r>
    <r>
      <rPr>
        <b/>
        <i/>
        <vertAlign val="subscript"/>
        <sz val="12"/>
        <color indexed="16"/>
        <rFont val="Trebuchet MS"/>
        <family val="2"/>
      </rPr>
      <t xml:space="preserve">i2 </t>
    </r>
    <r>
      <rPr>
        <b/>
        <i/>
        <sz val="12"/>
        <color indexed="16"/>
        <rFont val="Trebuchet MS"/>
        <family val="2"/>
      </rPr>
      <t>&amp; M</t>
    </r>
    <r>
      <rPr>
        <b/>
        <i/>
        <vertAlign val="subscript"/>
        <sz val="12"/>
        <color indexed="16"/>
        <rFont val="Trebuchet MS"/>
        <family val="2"/>
      </rPr>
      <t>imp</t>
    </r>
  </si>
  <si>
    <r>
      <rPr>
        <sz val="12"/>
        <rFont val="Tekton"/>
        <family val="2"/>
      </rPr>
      <t>1st Order M</t>
    </r>
    <r>
      <rPr>
        <vertAlign val="subscript"/>
        <sz val="12"/>
        <rFont val="Tekton"/>
        <family val="2"/>
      </rPr>
      <t>end</t>
    </r>
    <r>
      <rPr>
        <b/>
        <vertAlign val="subscript"/>
        <sz val="12"/>
        <rFont val="Tekton"/>
        <family val="2"/>
      </rPr>
      <t xml:space="preserve">  </t>
    </r>
    <r>
      <rPr>
        <b/>
        <sz val="12"/>
        <rFont val="Trebuchet MS"/>
        <family val="2"/>
      </rPr>
      <t>=</t>
    </r>
    <r>
      <rPr>
        <b/>
        <sz val="12"/>
        <rFont val="Tekton"/>
        <family val="2"/>
      </rPr>
      <t xml:space="preserve"> </t>
    </r>
    <r>
      <rPr>
        <b/>
        <i/>
        <sz val="12"/>
        <color indexed="16"/>
        <rFont val="Trebuchet MS"/>
        <family val="2"/>
      </rPr>
      <t>M</t>
    </r>
    <r>
      <rPr>
        <b/>
        <i/>
        <vertAlign val="subscript"/>
        <sz val="12"/>
        <color indexed="16"/>
        <rFont val="Trebuchet MS"/>
        <family val="2"/>
      </rPr>
      <t xml:space="preserve">01 </t>
    </r>
    <r>
      <rPr>
        <b/>
        <i/>
        <sz val="12"/>
        <color indexed="16"/>
        <rFont val="Trebuchet MS"/>
        <family val="2"/>
      </rPr>
      <t>= M</t>
    </r>
    <r>
      <rPr>
        <b/>
        <i/>
        <vertAlign val="subscript"/>
        <sz val="12"/>
        <color indexed="16"/>
        <rFont val="Trebuchet MS"/>
        <family val="2"/>
      </rPr>
      <t xml:space="preserve">i1 </t>
    </r>
    <r>
      <rPr>
        <b/>
        <i/>
        <sz val="12"/>
        <color indexed="16"/>
        <rFont val="Trebuchet MS"/>
        <family val="2"/>
      </rPr>
      <t>&amp; M</t>
    </r>
    <r>
      <rPr>
        <b/>
        <i/>
        <vertAlign val="subscript"/>
        <sz val="12"/>
        <color indexed="16"/>
        <rFont val="Trebuchet MS"/>
        <family val="2"/>
      </rPr>
      <t>imp</t>
    </r>
  </si>
  <si>
    <r>
      <rPr>
        <sz val="12"/>
        <rFont val="Tekton"/>
        <family val="2"/>
      </rPr>
      <t>1st Order M</t>
    </r>
    <r>
      <rPr>
        <vertAlign val="subscript"/>
        <sz val="12"/>
        <rFont val="Tekton"/>
        <family val="2"/>
      </rPr>
      <t>end</t>
    </r>
    <r>
      <rPr>
        <b/>
        <vertAlign val="subscript"/>
        <sz val="12"/>
        <rFont val="Tekton"/>
        <family val="2"/>
      </rPr>
      <t xml:space="preserve">  </t>
    </r>
    <r>
      <rPr>
        <b/>
        <sz val="12"/>
        <rFont val="Trebuchet MS"/>
        <family val="2"/>
      </rPr>
      <t>=</t>
    </r>
    <r>
      <rPr>
        <b/>
        <sz val="12"/>
        <rFont val="Tekton"/>
        <family val="2"/>
      </rPr>
      <t xml:space="preserve"> </t>
    </r>
    <r>
      <rPr>
        <b/>
        <i/>
        <sz val="12"/>
        <color indexed="16"/>
        <rFont val="Trebuchet MS"/>
        <family val="2"/>
      </rPr>
      <t>M</t>
    </r>
    <r>
      <rPr>
        <b/>
        <i/>
        <vertAlign val="subscript"/>
        <sz val="12"/>
        <color indexed="16"/>
        <rFont val="Trebuchet MS"/>
        <family val="2"/>
      </rPr>
      <t>0Ed</t>
    </r>
    <r>
      <rPr>
        <b/>
        <i/>
        <sz val="12"/>
        <color indexed="16"/>
        <rFont val="Trebuchet MS"/>
        <family val="2"/>
      </rPr>
      <t xml:space="preserve"> =</t>
    </r>
  </si>
  <si>
    <t>Y OR Z</t>
  </si>
  <si>
    <t>COMB</t>
  </si>
  <si>
    <t>VALUE</t>
  </si>
  <si>
    <t>Calcs  -  Re-arranged to show full list of possible of Design Moments.  Manual selection of NO AXIS for Imperfection Moment added.</t>
  </si>
  <si>
    <t>TCC53 v4.30 prelim V21</t>
  </si>
  <si>
    <t>Exp (5.15)braced, (5.16) unbraced</t>
  </si>
  <si>
    <t>Z  AXIS</t>
  </si>
  <si>
    <t>NO IMP</t>
  </si>
  <si>
    <t>TCC53 v4.30 prelim V22</t>
  </si>
  <si>
    <t>Calcs  -  Evened out row heights.  Mi1 + M2/2 is greyed out and is ignored where Mimp exists.  Cases  -  Added additional bi-axial condition of My and Mz with no Imperfection Moments.  Refs  -  Adjusted page breaks to allow printing of National Annex Values and Moment Diagram neatly on separate sheets.</t>
  </si>
  <si>
    <t>ra</t>
  </si>
  <si>
    <r>
      <t>M</t>
    </r>
    <r>
      <rPr>
        <i/>
        <vertAlign val="subscript"/>
        <sz val="12"/>
        <rFont val="Tekton"/>
        <family val="2"/>
      </rPr>
      <t>02</t>
    </r>
  </si>
  <si>
    <t>See Detailed Diagrams in Calc Sheet</t>
  </si>
  <si>
    <r>
      <t>M</t>
    </r>
    <r>
      <rPr>
        <b/>
        <sz val="8"/>
        <color theme="3"/>
        <rFont val="Trebuchet MS"/>
        <family val="2"/>
      </rPr>
      <t>iy</t>
    </r>
  </si>
  <si>
    <r>
      <t>M</t>
    </r>
    <r>
      <rPr>
        <b/>
        <sz val="8"/>
        <color indexed="17"/>
        <rFont val="Trebuchet MS"/>
        <family val="2"/>
      </rPr>
      <t>iz</t>
    </r>
  </si>
  <si>
    <t>/mm</t>
  </si>
  <si>
    <t>/ mm</t>
  </si>
  <si>
    <t>TCC53 v4.30 prelim V23</t>
  </si>
  <si>
    <r>
      <t>Calcs  -  1/r</t>
    </r>
    <r>
      <rPr>
        <vertAlign val="subscript"/>
        <sz val="11"/>
        <rFont val="Arial Narrow"/>
        <family val="2"/>
      </rPr>
      <t>0</t>
    </r>
    <r>
      <rPr>
        <sz val="11"/>
        <rFont val="Arial Narrow"/>
        <family val="2"/>
      </rPr>
      <t xml:space="preserve"> &amp; 1/r now displayed / mm.   Cases  -  Slenderness limits about Z axis corrected.</t>
    </r>
  </si>
  <si>
    <t xml:space="preserve"> for Mimp and Mmin </t>
  </si>
  <si>
    <t xml:space="preserve">BIAXIAL </t>
  </si>
  <si>
    <t xml:space="preserve">TCC53 v4.31 </t>
  </si>
  <si>
    <t xml:space="preserve">Checks on v4.30. Minor editorial  changes to Calc! </t>
  </si>
  <si>
    <r>
      <t>N:M interaction chart for M</t>
    </r>
    <r>
      <rPr>
        <b/>
        <sz val="10"/>
        <color indexed="62"/>
        <rFont val="Trebuchet MS"/>
        <family val="2"/>
      </rPr>
      <t>Ed</t>
    </r>
    <r>
      <rPr>
        <b/>
        <sz val="14"/>
        <color indexed="62"/>
        <rFont val="Trebuchet MS"/>
        <family val="2"/>
      </rPr>
      <t xml:space="preserve"> Y only</t>
    </r>
  </si>
  <si>
    <r>
      <t>N:M interaction chart for M</t>
    </r>
    <r>
      <rPr>
        <b/>
        <sz val="10"/>
        <color indexed="62"/>
        <rFont val="Trebuchet MS"/>
        <family val="2"/>
      </rPr>
      <t>Ed</t>
    </r>
    <r>
      <rPr>
        <b/>
        <sz val="14"/>
        <color indexed="62"/>
        <rFont val="Trebuchet MS"/>
        <family val="2"/>
      </rPr>
      <t xml:space="preserve"> Z only</t>
    </r>
  </si>
  <si>
    <t xml:space="preserve">TCC53 v4.32 </t>
  </si>
  <si>
    <t>Bug at Cases!CO19 fixed.</t>
  </si>
  <si>
    <t>Bug at Main!E42 fixed.</t>
  </si>
  <si>
    <t>TCC53 v4.33</t>
  </si>
  <si>
    <t>kb</t>
  </si>
  <si>
    <t>kt</t>
  </si>
  <si>
    <t>1/k</t>
  </si>
  <si>
    <t>1/10k</t>
  </si>
  <si>
    <t>TCC53 v4.34 prelim V1</t>
  </si>
  <si>
    <r>
      <t xml:space="preserve">should be entered as </t>
    </r>
    <r>
      <rPr>
        <b/>
        <i/>
        <sz val="12"/>
        <color indexed="12"/>
        <rFont val="Trebuchet MS"/>
        <family val="2"/>
      </rPr>
      <t>F</t>
    </r>
    <r>
      <rPr>
        <b/>
        <i/>
        <sz val="12"/>
        <color indexed="60"/>
        <rFont val="Trebuchet MS"/>
        <family val="2"/>
      </rPr>
      <t xml:space="preserve">ixed or </t>
    </r>
    <r>
      <rPr>
        <b/>
        <i/>
        <sz val="12"/>
        <color indexed="12"/>
        <rFont val="Trebuchet MS"/>
        <family val="2"/>
      </rPr>
      <t>P</t>
    </r>
    <r>
      <rPr>
        <b/>
        <i/>
        <sz val="12"/>
        <color indexed="60"/>
        <rFont val="Trebuchet MS"/>
        <family val="2"/>
      </rPr>
      <t>inned</t>
    </r>
  </si>
  <si>
    <t>For a Pin leave blank</t>
  </si>
  <si>
    <t>Use the Connecting Beams/Slabs data to establsh End Fixity</t>
  </si>
  <si>
    <t>Top and bottom beam remote end conditions</t>
  </si>
  <si>
    <t>Main - Cell D23 advises enter F and use the Connecting Beams / Slabs table to calculate End Rotaional Stiffness.   Top and Bottom 2nd Order Moments adjusted according to end rotational stiffness and ranging between 0 for Pinned (k = ∞) and 0.5M2 for Effectively Fixed (k = 0.1)</t>
  </si>
  <si>
    <t>TCC53 v4.34 prelim V2</t>
  </si>
  <si>
    <t>Slen - Cells E10 &amp; E27 adjusted to allow top to be Pinned</t>
  </si>
  <si>
    <r>
      <t>or  M</t>
    </r>
    <r>
      <rPr>
        <i/>
        <vertAlign val="subscript"/>
        <sz val="12"/>
        <rFont val="Tekton"/>
        <family val="2"/>
      </rPr>
      <t>i1</t>
    </r>
    <r>
      <rPr>
        <i/>
        <sz val="12"/>
        <rFont val="Tekton"/>
        <family val="2"/>
      </rPr>
      <t>+rsM</t>
    </r>
    <r>
      <rPr>
        <i/>
        <vertAlign val="subscript"/>
        <sz val="12"/>
        <rFont val="Tekton"/>
        <family val="2"/>
      </rPr>
      <t>2</t>
    </r>
    <r>
      <rPr>
        <i/>
        <sz val="12"/>
        <rFont val="Tekton"/>
        <family val="2"/>
      </rPr>
      <t>/2</t>
    </r>
  </si>
  <si>
    <r>
      <t>If no M</t>
    </r>
    <r>
      <rPr>
        <vertAlign val="subscript"/>
        <sz val="12"/>
        <rFont val="Tekton"/>
        <family val="2"/>
      </rPr>
      <t>imp</t>
    </r>
  </si>
  <si>
    <t>Rotational</t>
  </si>
  <si>
    <t>TCC53 v4.34 prelim V3</t>
  </si>
  <si>
    <t>Calc - Cell B51 added to define rs.  Cells G50, G51, I50, I51 adjusted to include rsM2/2.  Cells B50 - B53 comment boxes updated  Cell B52 corrected to say or NO.</t>
  </si>
  <si>
    <t>Rotational Stiffness</t>
  </si>
  <si>
    <t>rs Top Y</t>
  </si>
  <si>
    <t>rs Bot Y</t>
  </si>
  <si>
    <t>Min / Total</t>
  </si>
  <si>
    <t>/ Y Total</t>
  </si>
  <si>
    <t>Top Y</t>
  </si>
  <si>
    <t>Bot Y</t>
  </si>
  <si>
    <t>rs Top Z</t>
  </si>
  <si>
    <t>rs Bot Z</t>
  </si>
  <si>
    <t>Max My Support Stiffness is at</t>
  </si>
  <si>
    <t>Max Mz Support Stiffness is at</t>
  </si>
  <si>
    <t>Min / Max</t>
  </si>
  <si>
    <t>/ Z Total</t>
  </si>
  <si>
    <t>Top Z</t>
  </si>
  <si>
    <t>Bot Z</t>
  </si>
  <si>
    <t>Un-Braced</t>
  </si>
  <si>
    <t>TCC53 v4.34 prelim V4</t>
  </si>
  <si>
    <t>Main - Column support fixity F &amp; P input options removed.  Calc - Unbraced M2 diagrams added.  Slen - Unbraced axis corrected.</t>
  </si>
  <si>
    <t>mm (N-S)</t>
  </si>
  <si>
    <t>mm (E-W)</t>
  </si>
  <si>
    <t>TCC53 v4.34 prelim V5</t>
  </si>
  <si>
    <r>
      <t>Main - Comment Box added to Connecting Beams/Slabs header giving guidance on input and fixity.  Calc - Design Moment for an Unbraced Column is now  M</t>
    </r>
    <r>
      <rPr>
        <vertAlign val="subscript"/>
        <sz val="11"/>
        <rFont val="Arial Narrow"/>
        <family val="2"/>
      </rPr>
      <t>02</t>
    </r>
    <r>
      <rPr>
        <sz val="11"/>
        <rFont val="Arial Narrow"/>
        <family val="2"/>
      </rPr>
      <t xml:space="preserve"> + M2 as the maximum M</t>
    </r>
    <r>
      <rPr>
        <vertAlign val="subscript"/>
        <sz val="11"/>
        <rFont val="Arial Narrow"/>
        <family val="2"/>
      </rPr>
      <t>2</t>
    </r>
    <r>
      <rPr>
        <sz val="11"/>
        <rFont val="Arial Narrow"/>
        <family val="2"/>
      </rPr>
      <t xml:space="preserve"> moment will always be at an end.  Refs - Moment diagram updated.</t>
    </r>
  </si>
  <si>
    <t>MIN BAR Ø</t>
  </si>
  <si>
    <t>TCC53 v4.34 prelim V6</t>
  </si>
  <si>
    <t>Try increasing Nr of Bars or Min Bar Dia</t>
  </si>
  <si>
    <r>
      <t>M</t>
    </r>
    <r>
      <rPr>
        <b/>
        <i/>
        <vertAlign val="subscript"/>
        <sz val="12"/>
        <color indexed="16"/>
        <rFont val="Trebuchet MS"/>
        <family val="2"/>
      </rPr>
      <t>02</t>
    </r>
  </si>
  <si>
    <t>TCC53 v4.34 prelim V7</t>
  </si>
  <si>
    <r>
      <t>Main - Cell E31, Min Bar Dia option added.  Calc - VLOOKUPS now include a FALSE check.  Cases - Updated cells to match new design values in respect of Unbraced M</t>
    </r>
    <r>
      <rPr>
        <vertAlign val="subscript"/>
        <sz val="11"/>
        <rFont val="Arial Narrow"/>
        <family val="2"/>
      </rPr>
      <t>02</t>
    </r>
    <r>
      <rPr>
        <sz val="11"/>
        <rFont val="Arial Narrow"/>
        <family val="2"/>
      </rPr>
      <t xml:space="preserve"> + M</t>
    </r>
    <r>
      <rPr>
        <vertAlign val="subscript"/>
        <sz val="11"/>
        <rFont val="Arial Narrow"/>
        <family val="2"/>
      </rPr>
      <t xml:space="preserve">2 </t>
    </r>
    <r>
      <rPr>
        <sz val="11"/>
        <rFont val="Arial Narrow"/>
        <family val="2"/>
      </rPr>
      <t>and Braced rsM</t>
    </r>
    <r>
      <rPr>
        <vertAlign val="subscript"/>
        <sz val="11"/>
        <rFont val="Arial Narrow"/>
        <family val="2"/>
      </rPr>
      <t>2</t>
    </r>
    <r>
      <rPr>
        <sz val="11"/>
        <rFont val="Arial Narrow"/>
        <family val="2"/>
      </rPr>
      <t>/2.</t>
    </r>
  </si>
  <si>
    <t>M02Y</t>
  </si>
  <si>
    <t>M02Z</t>
  </si>
  <si>
    <r>
      <t xml:space="preserve">Rotational flexibilty, </t>
    </r>
    <r>
      <rPr>
        <b/>
        <i/>
        <sz val="12"/>
        <color indexed="16"/>
        <rFont val="Trebuchet MS"/>
        <family val="2"/>
      </rPr>
      <t>k</t>
    </r>
    <r>
      <rPr>
        <b/>
        <i/>
        <vertAlign val="subscript"/>
        <sz val="12"/>
        <color indexed="16"/>
        <rFont val="Trebuchet MS"/>
        <family val="2"/>
      </rPr>
      <t>1</t>
    </r>
  </si>
  <si>
    <r>
      <t xml:space="preserve">Rotational flexibilty, </t>
    </r>
    <r>
      <rPr>
        <b/>
        <i/>
        <sz val="12"/>
        <color indexed="16"/>
        <rFont val="Trebuchet MS"/>
        <family val="2"/>
      </rPr>
      <t>k</t>
    </r>
    <r>
      <rPr>
        <b/>
        <i/>
        <vertAlign val="subscript"/>
        <sz val="12"/>
        <color indexed="16"/>
        <rFont val="Trebuchet MS"/>
        <family val="2"/>
      </rPr>
      <t>2</t>
    </r>
    <r>
      <rPr>
        <sz val="10"/>
        <rFont val="Arial"/>
        <family val="2"/>
      </rPr>
      <t/>
    </r>
  </si>
  <si>
    <t>rs = Rotational Stiffness</t>
  </si>
  <si>
    <r>
      <t>Main - Cells E40 &amp; G40, Comments added advising user to ensure moments are compatible with end  rotational stifness.  Cell H39 , Formulae updated  and comment box added in respect of unbraced columns.  Calc - Cells G13 &amp; I13 display location of M</t>
    </r>
    <r>
      <rPr>
        <vertAlign val="subscript"/>
        <sz val="11"/>
        <rFont val="Arial Narrow"/>
        <family val="2"/>
      </rPr>
      <t>02</t>
    </r>
    <r>
      <rPr>
        <sz val="11"/>
        <rFont val="Arial Narrow"/>
        <family val="2"/>
      </rPr>
      <t>.    rsM</t>
    </r>
    <r>
      <rPr>
        <vertAlign val="subscript"/>
        <sz val="11"/>
        <rFont val="Arial Narrow"/>
        <family val="2"/>
      </rPr>
      <t>2</t>
    </r>
    <r>
      <rPr>
        <sz val="11"/>
        <rFont val="Arial Narrow"/>
        <family val="2"/>
      </rPr>
      <t>/2 values now apply rst and rsb values according location of M</t>
    </r>
    <r>
      <rPr>
        <vertAlign val="subscript"/>
        <sz val="11"/>
        <rFont val="Arial Narrow"/>
        <family val="2"/>
      </rPr>
      <t>01</t>
    </r>
    <r>
      <rPr>
        <sz val="11"/>
        <rFont val="Arial Narrow"/>
        <family val="2"/>
      </rPr>
      <t>.  Cells B28 &amp; B29, k1 &amp; k2 are renamed as Rotational flexibilty factors.  Cases - rsM</t>
    </r>
    <r>
      <rPr>
        <vertAlign val="subscript"/>
        <sz val="11"/>
        <rFont val="Arial Narrow"/>
        <family val="2"/>
      </rPr>
      <t>2</t>
    </r>
    <r>
      <rPr>
        <sz val="11"/>
        <rFont val="Arial Narrow"/>
        <family val="2"/>
      </rPr>
      <t>/2 values now apply rst and rsb values according location of M</t>
    </r>
    <r>
      <rPr>
        <vertAlign val="subscript"/>
        <sz val="11"/>
        <rFont val="Arial Narrow"/>
        <family val="2"/>
      </rPr>
      <t>01</t>
    </r>
    <r>
      <rPr>
        <sz val="11"/>
        <rFont val="Arial Narrow"/>
        <family val="2"/>
      </rPr>
      <t>.</t>
    </r>
  </si>
  <si>
    <t>Calc</t>
  </si>
  <si>
    <t>Cy / √n</t>
  </si>
  <si>
    <t>Cz / √n</t>
  </si>
  <si>
    <t>20ABCz / √n</t>
  </si>
  <si>
    <t>20ABCy / √n</t>
  </si>
  <si>
    <t>TCC53 v4.34 prelim V8</t>
  </si>
  <si>
    <r>
      <t xml:space="preserve">mm      </t>
    </r>
    <r>
      <rPr>
        <b/>
        <sz val="12"/>
        <color rgb="FFC00000"/>
        <rFont val="Tekton"/>
        <family val="2"/>
      </rPr>
      <t xml:space="preserve"> </t>
    </r>
    <r>
      <rPr>
        <b/>
        <sz val="12"/>
        <color rgb="FFC00000"/>
        <rFont val="Trebuchet MS"/>
        <family val="2"/>
      </rPr>
      <t>FIRE PERIOD</t>
    </r>
  </si>
  <si>
    <t>(Axis Affected)</t>
  </si>
  <si>
    <t>Direction &amp;</t>
  </si>
  <si>
    <t>Des</t>
  </si>
  <si>
    <t>TCC53 v4.34 prelim V10</t>
  </si>
  <si>
    <r>
      <t>Main - Cell E30 added to allow M</t>
    </r>
    <r>
      <rPr>
        <vertAlign val="subscript"/>
        <sz val="11"/>
        <rFont val="Arial Narrow"/>
        <family val="2"/>
      </rPr>
      <t>imp</t>
    </r>
    <r>
      <rPr>
        <sz val="11"/>
        <rFont val="Arial Narrow"/>
        <family val="2"/>
      </rPr>
      <t xml:space="preserve"> to be applied to each side or only the M</t>
    </r>
    <r>
      <rPr>
        <vertAlign val="subscript"/>
        <sz val="11"/>
        <rFont val="Arial Narrow"/>
        <family val="2"/>
      </rPr>
      <t>i2</t>
    </r>
    <r>
      <rPr>
        <sz val="11"/>
        <rFont val="Arial Narrow"/>
        <family val="2"/>
      </rPr>
      <t xml:space="preserve"> side.  Allows comparison of effects and compatibilty with earlier versions.  Calc - Charts revised to show the Envelope and the Final Design Moments.</t>
    </r>
  </si>
  <si>
    <r>
      <t>M</t>
    </r>
    <r>
      <rPr>
        <i/>
        <vertAlign val="subscript"/>
        <sz val="12"/>
        <rFont val="Tekton"/>
        <family val="2"/>
      </rPr>
      <t>01</t>
    </r>
    <r>
      <rPr>
        <i/>
        <sz val="12"/>
        <rFont val="Tekton"/>
        <family val="2"/>
      </rPr>
      <t>+rsM</t>
    </r>
    <r>
      <rPr>
        <i/>
        <vertAlign val="subscript"/>
        <sz val="12"/>
        <rFont val="Tekton"/>
        <family val="2"/>
      </rPr>
      <t>2</t>
    </r>
    <r>
      <rPr>
        <i/>
        <sz val="12"/>
        <rFont val="Tekton"/>
        <family val="2"/>
      </rPr>
      <t>/2+2M</t>
    </r>
    <r>
      <rPr>
        <i/>
        <vertAlign val="subscript"/>
        <sz val="12"/>
        <rFont val="Tekton"/>
      </rPr>
      <t>imp</t>
    </r>
  </si>
  <si>
    <r>
      <t>M</t>
    </r>
    <r>
      <rPr>
        <i/>
        <vertAlign val="subscript"/>
        <sz val="12"/>
        <rFont val="Tekton"/>
        <family val="2"/>
      </rPr>
      <t>0Ed</t>
    </r>
    <r>
      <rPr>
        <i/>
        <sz val="12"/>
        <rFont val="Tekton"/>
        <family val="2"/>
      </rPr>
      <t>+M</t>
    </r>
    <r>
      <rPr>
        <i/>
        <vertAlign val="subscript"/>
        <sz val="12"/>
        <rFont val="Tekton"/>
        <family val="2"/>
      </rPr>
      <t xml:space="preserve">2  </t>
    </r>
    <r>
      <rPr>
        <i/>
        <sz val="12"/>
        <rFont val="Tekton"/>
      </rPr>
      <t>or  M</t>
    </r>
    <r>
      <rPr>
        <i/>
        <vertAlign val="subscript"/>
        <sz val="12"/>
        <rFont val="Tekton"/>
      </rPr>
      <t>02</t>
    </r>
    <r>
      <rPr>
        <i/>
        <sz val="12"/>
        <rFont val="Tekton"/>
      </rPr>
      <t>+M</t>
    </r>
    <r>
      <rPr>
        <i/>
        <vertAlign val="subscript"/>
        <sz val="12"/>
        <rFont val="Tekton"/>
      </rPr>
      <t>2(Unbr)</t>
    </r>
  </si>
  <si>
    <r>
      <t xml:space="preserve">User choice for critical axis(es) </t>
    </r>
    <r>
      <rPr>
        <vertAlign val="subscript"/>
        <sz val="12"/>
        <rFont val="Tekton"/>
        <family val="2"/>
      </rPr>
      <t xml:space="preserve"> </t>
    </r>
  </si>
  <si>
    <r>
      <rPr>
        <b/>
        <i/>
        <sz val="12"/>
        <color rgb="FFC00000"/>
        <rFont val="Tekton"/>
        <family val="2"/>
      </rPr>
      <t>M</t>
    </r>
    <r>
      <rPr>
        <b/>
        <i/>
        <vertAlign val="subscript"/>
        <sz val="12"/>
        <color rgb="FFC00000"/>
        <rFont val="Tekton"/>
        <family val="2"/>
      </rPr>
      <t xml:space="preserve">Ed </t>
    </r>
    <r>
      <rPr>
        <i/>
        <sz val="12"/>
        <color rgb="FFC00000"/>
        <rFont val="Tekton"/>
        <family val="2"/>
      </rPr>
      <t xml:space="preserve">= </t>
    </r>
    <r>
      <rPr>
        <i/>
        <sz val="12"/>
        <rFont val="Tekton"/>
        <family val="2"/>
      </rPr>
      <t>ABS(Max[(M</t>
    </r>
    <r>
      <rPr>
        <i/>
        <vertAlign val="subscript"/>
        <sz val="11"/>
        <rFont val="Tekton"/>
        <family val="2"/>
      </rPr>
      <t>02</t>
    </r>
    <r>
      <rPr>
        <i/>
        <sz val="11"/>
        <rFont val="Tekton"/>
        <family val="2"/>
      </rPr>
      <t>, M</t>
    </r>
    <r>
      <rPr>
        <i/>
        <vertAlign val="subscript"/>
        <sz val="11"/>
        <rFont val="Tekton"/>
        <family val="2"/>
      </rPr>
      <t>0Ed</t>
    </r>
    <r>
      <rPr>
        <i/>
        <sz val="11"/>
        <rFont val="Tekton"/>
        <family val="2"/>
      </rPr>
      <t>+M</t>
    </r>
    <r>
      <rPr>
        <i/>
        <vertAlign val="subscript"/>
        <sz val="11"/>
        <rFont val="Tekton"/>
        <family val="2"/>
      </rPr>
      <t>2,</t>
    </r>
    <r>
      <rPr>
        <i/>
        <sz val="11"/>
        <rFont val="Tekton"/>
        <family val="2"/>
      </rPr>
      <t xml:space="preserve"> M</t>
    </r>
    <r>
      <rPr>
        <i/>
        <vertAlign val="subscript"/>
        <sz val="11"/>
        <rFont val="Tekton"/>
        <family val="2"/>
      </rPr>
      <t>01</t>
    </r>
    <r>
      <rPr>
        <i/>
        <sz val="11"/>
        <rFont val="Tekton"/>
        <family val="2"/>
      </rPr>
      <t>+rsM</t>
    </r>
    <r>
      <rPr>
        <i/>
        <vertAlign val="subscript"/>
        <sz val="11"/>
        <rFont val="Tekton"/>
        <family val="2"/>
      </rPr>
      <t>2</t>
    </r>
    <r>
      <rPr>
        <i/>
        <sz val="11"/>
        <rFont val="Tekton"/>
        <family val="2"/>
      </rPr>
      <t>/2+2M</t>
    </r>
    <r>
      <rPr>
        <i/>
        <vertAlign val="subscript"/>
        <sz val="11"/>
        <rFont val="Tekton"/>
      </rPr>
      <t>imp</t>
    </r>
    <r>
      <rPr>
        <i/>
        <sz val="11"/>
        <rFont val="Tekton"/>
        <family val="2"/>
      </rPr>
      <t>, M</t>
    </r>
    <r>
      <rPr>
        <i/>
        <vertAlign val="subscript"/>
        <sz val="11"/>
        <rFont val="Tekton"/>
        <family val="2"/>
      </rPr>
      <t>min</t>
    </r>
    <r>
      <rPr>
        <i/>
        <sz val="11"/>
        <rFont val="Tekton"/>
        <family val="2"/>
      </rPr>
      <t>])</t>
    </r>
  </si>
  <si>
    <r>
      <t>Main - Cells E40 &amp; G40, Comments revised in respect of circumstances of a moment at a pinned end.  Cell K11, Fire Period button re-activated so Cell Q29 can read it..  Calc - Cells G35 &amp; I35, A B &amp; C/</t>
    </r>
    <r>
      <rPr>
        <sz val="11"/>
        <rFont val="Calibri"/>
        <family val="2"/>
      </rPr>
      <t>√n values now relate to the current Load Case.</t>
    </r>
    <r>
      <rPr>
        <sz val="11"/>
        <rFont val="Arial Narrow"/>
        <family val="2"/>
      </rPr>
      <t xml:space="preserve"> (Did not affect results as these were display info only).  Slen - K1 &amp; k2 values adjusted to be consistent.</t>
    </r>
  </si>
  <si>
    <r>
      <t>Calc &amp; Cases - Design Moments Updated to  deduct 2 x M</t>
    </r>
    <r>
      <rPr>
        <vertAlign val="subscript"/>
        <sz val="11"/>
        <rFont val="Arial Narrow"/>
        <family val="2"/>
      </rPr>
      <t>imp</t>
    </r>
    <r>
      <rPr>
        <sz val="11"/>
        <rFont val="Arial Narrow"/>
        <family val="2"/>
      </rPr>
      <t xml:space="preserve"> from M</t>
    </r>
    <r>
      <rPr>
        <vertAlign val="subscript"/>
        <sz val="11"/>
        <rFont val="Arial Narrow"/>
        <family val="2"/>
      </rPr>
      <t>01</t>
    </r>
    <r>
      <rPr>
        <sz val="11"/>
        <rFont val="Arial Narrow"/>
        <family val="2"/>
      </rPr>
      <t xml:space="preserve">. Calc - Charts now colour coded.  Refs - Moment Diagram updated.  </t>
    </r>
  </si>
  <si>
    <t>TCC53 v4.35</t>
  </si>
  <si>
    <t>Mimp on Both Faces</t>
  </si>
  <si>
    <t>Mo1</t>
  </si>
  <si>
    <t>OUTPUT DIAGRAMS FROM CALCS PAGE</t>
  </si>
  <si>
    <t>CRITICAL AXIS OR AXES</t>
  </si>
  <si>
    <t>UTILISATION RATIO</t>
  </si>
  <si>
    <t xml:space="preserve">  My                                              Mz</t>
  </si>
  <si>
    <t>Remote end</t>
  </si>
  <si>
    <t>Note This % is the assumed value in PD 6687-1:2010 Cl 2.11.2</t>
  </si>
  <si>
    <r>
      <t>M</t>
    </r>
    <r>
      <rPr>
        <vertAlign val="subscript"/>
        <sz val="12"/>
        <rFont val="Tekton"/>
        <family val="2"/>
      </rPr>
      <t>imp</t>
    </r>
    <r>
      <rPr>
        <sz val="12"/>
        <rFont val="Tekton"/>
        <family val="2"/>
      </rPr>
      <t xml:space="preserve"> or M</t>
    </r>
    <r>
      <rPr>
        <vertAlign val="subscript"/>
        <sz val="12"/>
        <rFont val="Tekton"/>
        <family val="2"/>
      </rPr>
      <t>min</t>
    </r>
    <r>
      <rPr>
        <sz val="12"/>
        <rFont val="Tekton"/>
        <family val="2"/>
      </rPr>
      <t xml:space="preserve"> critical axis</t>
    </r>
  </si>
  <si>
    <t>TCC53 v4.36</t>
  </si>
  <si>
    <t>See "Calc" for larger scale moment diagrams</t>
  </si>
  <si>
    <t>Mimp Applied Fact</t>
  </si>
  <si>
    <t>Mimp on Both faces</t>
  </si>
  <si>
    <t>If  Mimp On Both Sides Not Crit</t>
  </si>
  <si>
    <t>Not Crit</t>
  </si>
  <si>
    <t>If  Mimp is not on Both Faces, -1st Order will only display if Mo2 is negative</t>
  </si>
  <si>
    <t>+Imp</t>
  </si>
  <si>
    <t>+1st ord</t>
  </si>
  <si>
    <t>If  Mimp is not on Both Faces, +1st Order will only display if Mo2 is positive</t>
  </si>
  <si>
    <t>-Imp and +imp have identical values but different signs</t>
  </si>
  <si>
    <t>This avoids an unwanted graph and values</t>
  </si>
  <si>
    <t>+Imp Z will only have a value if the Z azis is critical or both faces are critical</t>
  </si>
  <si>
    <t>-Imp Z will only have a value if the Z azis is critical or both faces are critical</t>
  </si>
  <si>
    <t>+Imp Y will only have a value if the Y azis is critical or both faces are critical</t>
  </si>
  <si>
    <t>-Imp Y will only have a value if the Y azis is critical or both faces are critical</t>
  </si>
  <si>
    <t>+1st order = Analysis &amp; +Mimp - adjusting for cases where 0.4Mo1 &gt; 0.6M02 + 0.4M01</t>
  </si>
  <si>
    <t>-1st order = Analysis &amp; -Mimp - adjusting for cases where 0.4Mo1 &gt; 0.6M02 + 0.4M01</t>
  </si>
  <si>
    <t>RULES</t>
  </si>
  <si>
    <r>
      <t xml:space="preserve"> k</t>
    </r>
    <r>
      <rPr>
        <vertAlign val="subscript"/>
        <sz val="12"/>
        <color theme="9" tint="-0.499984740745262"/>
        <rFont val="Trebuchet MS"/>
        <family val="2"/>
      </rPr>
      <t>Top</t>
    </r>
    <r>
      <rPr>
        <sz val="12"/>
        <color theme="9" tint="-0.499984740745262"/>
        <rFont val="Trebuchet MS"/>
        <family val="2"/>
      </rPr>
      <t xml:space="preserve"> includes I/L for a column above (if any).</t>
    </r>
  </si>
  <si>
    <r>
      <t xml:space="preserve"> k</t>
    </r>
    <r>
      <rPr>
        <vertAlign val="subscript"/>
        <sz val="12"/>
        <color theme="9" tint="-0.499984740745262"/>
        <rFont val="Trebuchet MS"/>
        <family val="2"/>
      </rPr>
      <t>Bottom</t>
    </r>
    <r>
      <rPr>
        <sz val="12"/>
        <color theme="9" tint="-0.499984740745262"/>
        <rFont val="Trebuchet MS"/>
        <family val="2"/>
      </rPr>
      <t xml:space="preserve"> includes I/L for a column below (if any).</t>
    </r>
  </si>
  <si>
    <t>Main - Small scale moment diagrams added to allow user to see effects of any changes.  Added drop down Y or N and comments for columns above and below input options.  Default is now N.  Calc &amp; Cases - Design Moments and charts updated.  Slen - corrected formula in respect of columns above and below as it previously only operated with unbraced columns.</t>
  </si>
  <si>
    <r>
      <t>M</t>
    </r>
    <r>
      <rPr>
        <b/>
        <vertAlign val="subscript"/>
        <sz val="12"/>
        <color indexed="21"/>
        <rFont val="Trebuchet MS"/>
        <family val="2"/>
      </rPr>
      <t>02</t>
    </r>
    <r>
      <rPr>
        <b/>
        <sz val="12"/>
        <color indexed="21"/>
        <rFont val="Trebuchet MS"/>
        <family val="2"/>
      </rPr>
      <t xml:space="preserve"> = M</t>
    </r>
    <r>
      <rPr>
        <b/>
        <vertAlign val="subscript"/>
        <sz val="12"/>
        <color indexed="21"/>
        <rFont val="Trebuchet MS"/>
        <family val="2"/>
      </rPr>
      <t>i2</t>
    </r>
    <r>
      <rPr>
        <b/>
        <sz val="12"/>
        <color indexed="21"/>
        <rFont val="Trebuchet MS"/>
        <family val="2"/>
      </rPr>
      <t xml:space="preserve"> + M</t>
    </r>
    <r>
      <rPr>
        <b/>
        <vertAlign val="subscript"/>
        <sz val="12"/>
        <color indexed="21"/>
        <rFont val="Trebuchet MS"/>
        <family val="2"/>
      </rPr>
      <t>imp</t>
    </r>
    <r>
      <rPr>
        <b/>
        <sz val="12"/>
        <color indexed="21"/>
        <rFont val="Trebuchet MS"/>
        <family val="2"/>
      </rPr>
      <t>, M</t>
    </r>
    <r>
      <rPr>
        <b/>
        <vertAlign val="subscript"/>
        <sz val="12"/>
        <color indexed="21"/>
        <rFont val="Trebuchet MS"/>
        <family val="2"/>
      </rPr>
      <t>01</t>
    </r>
    <r>
      <rPr>
        <b/>
        <sz val="12"/>
        <color indexed="21"/>
        <rFont val="Trebuchet MS"/>
        <family val="2"/>
      </rPr>
      <t xml:space="preserve"> = M</t>
    </r>
    <r>
      <rPr>
        <b/>
        <vertAlign val="subscript"/>
        <sz val="12"/>
        <color indexed="21"/>
        <rFont val="Trebuchet MS"/>
        <family val="2"/>
      </rPr>
      <t>i1</t>
    </r>
    <r>
      <rPr>
        <b/>
        <sz val="12"/>
        <color indexed="21"/>
        <rFont val="Trebuchet MS"/>
        <family val="2"/>
      </rPr>
      <t xml:space="preserve"> + M</t>
    </r>
    <r>
      <rPr>
        <b/>
        <vertAlign val="subscript"/>
        <sz val="12"/>
        <color indexed="21"/>
        <rFont val="Trebuchet MS"/>
        <family val="2"/>
      </rPr>
      <t>imp</t>
    </r>
    <r>
      <rPr>
        <b/>
        <sz val="12"/>
        <color indexed="21"/>
        <rFont val="Trebuchet MS"/>
        <family val="2"/>
      </rPr>
      <t xml:space="preserve">    │M</t>
    </r>
    <r>
      <rPr>
        <b/>
        <vertAlign val="subscript"/>
        <sz val="12"/>
        <color indexed="21"/>
        <rFont val="Trebuchet MS"/>
        <family val="2"/>
      </rPr>
      <t>02</t>
    </r>
    <r>
      <rPr>
        <b/>
        <sz val="12"/>
        <color indexed="21"/>
        <rFont val="Trebuchet MS"/>
        <family val="2"/>
      </rPr>
      <t>│≥│M</t>
    </r>
    <r>
      <rPr>
        <b/>
        <vertAlign val="subscript"/>
        <sz val="12"/>
        <color indexed="21"/>
        <rFont val="Trebuchet MS"/>
        <family val="2"/>
      </rPr>
      <t>01</t>
    </r>
    <r>
      <rPr>
        <b/>
        <sz val="12"/>
        <color indexed="21"/>
        <rFont val="Trebuchet MS"/>
        <family val="2"/>
      </rPr>
      <t>│                                                          M</t>
    </r>
    <r>
      <rPr>
        <b/>
        <vertAlign val="subscript"/>
        <sz val="12"/>
        <color indexed="21"/>
        <rFont val="Trebuchet MS"/>
        <family val="2"/>
      </rPr>
      <t xml:space="preserve">0Ed </t>
    </r>
    <r>
      <rPr>
        <b/>
        <sz val="12"/>
        <color indexed="21"/>
        <rFont val="Trebuchet MS"/>
        <family val="2"/>
      </rPr>
      <t>= │0.6M</t>
    </r>
    <r>
      <rPr>
        <b/>
        <vertAlign val="subscript"/>
        <sz val="12"/>
        <color indexed="21"/>
        <rFont val="Trebuchet MS"/>
        <family val="2"/>
      </rPr>
      <t>02</t>
    </r>
    <r>
      <rPr>
        <b/>
        <sz val="12"/>
        <color indexed="21"/>
        <rFont val="Trebuchet MS"/>
        <family val="2"/>
      </rPr>
      <t xml:space="preserve"> + 0.4M</t>
    </r>
    <r>
      <rPr>
        <b/>
        <vertAlign val="subscript"/>
        <sz val="12"/>
        <color indexed="21"/>
        <rFont val="Trebuchet MS"/>
        <family val="2"/>
      </rPr>
      <t>01</t>
    </r>
    <r>
      <rPr>
        <b/>
        <sz val="12"/>
        <color indexed="21"/>
        <rFont val="Trebuchet MS"/>
        <family val="2"/>
      </rPr>
      <t>│ ≥ │ 0.4M</t>
    </r>
    <r>
      <rPr>
        <b/>
        <vertAlign val="subscript"/>
        <sz val="12"/>
        <color indexed="21"/>
        <rFont val="Trebuchet MS"/>
        <family val="2"/>
      </rPr>
      <t>02</t>
    </r>
    <r>
      <rPr>
        <b/>
        <sz val="12"/>
        <color indexed="21"/>
        <rFont val="Trebuchet MS"/>
        <family val="2"/>
      </rPr>
      <t>│                    M</t>
    </r>
    <r>
      <rPr>
        <b/>
        <vertAlign val="subscript"/>
        <sz val="12"/>
        <color indexed="21"/>
        <rFont val="Trebuchet MS"/>
        <family val="2"/>
      </rPr>
      <t>Ed</t>
    </r>
    <r>
      <rPr>
        <b/>
        <sz val="12"/>
        <color indexed="21"/>
        <rFont val="Trebuchet MS"/>
        <family val="2"/>
      </rPr>
      <t>=|Max(M</t>
    </r>
    <r>
      <rPr>
        <b/>
        <vertAlign val="subscript"/>
        <sz val="12"/>
        <color indexed="21"/>
        <rFont val="Trebuchet MS"/>
        <family val="2"/>
      </rPr>
      <t>02</t>
    </r>
    <r>
      <rPr>
        <b/>
        <sz val="12"/>
        <color indexed="21"/>
        <rFont val="Trebuchet MS"/>
        <family val="2"/>
      </rPr>
      <t>,M</t>
    </r>
    <r>
      <rPr>
        <b/>
        <vertAlign val="subscript"/>
        <sz val="12"/>
        <color indexed="21"/>
        <rFont val="Trebuchet MS"/>
        <family val="2"/>
      </rPr>
      <t>0Ed</t>
    </r>
    <r>
      <rPr>
        <b/>
        <sz val="12"/>
        <color indexed="21"/>
        <rFont val="Trebuchet MS"/>
        <family val="2"/>
      </rPr>
      <t>+M</t>
    </r>
    <r>
      <rPr>
        <b/>
        <vertAlign val="subscript"/>
        <sz val="12"/>
        <color indexed="21"/>
        <rFont val="Trebuchet MS"/>
        <family val="2"/>
      </rPr>
      <t>2</t>
    </r>
    <r>
      <rPr>
        <b/>
        <sz val="12"/>
        <color indexed="21"/>
        <rFont val="Trebuchet MS"/>
        <family val="2"/>
      </rPr>
      <t>,M</t>
    </r>
    <r>
      <rPr>
        <b/>
        <vertAlign val="subscript"/>
        <sz val="12"/>
        <color indexed="21"/>
        <rFont val="Trebuchet MS"/>
        <family val="2"/>
      </rPr>
      <t>01</t>
    </r>
    <r>
      <rPr>
        <b/>
        <sz val="12"/>
        <color indexed="21"/>
        <rFont val="Trebuchet MS"/>
        <family val="2"/>
      </rPr>
      <t>-rsM</t>
    </r>
    <r>
      <rPr>
        <b/>
        <vertAlign val="subscript"/>
        <sz val="12"/>
        <color indexed="21"/>
        <rFont val="Trebuchet MS"/>
        <family val="2"/>
      </rPr>
      <t>2</t>
    </r>
    <r>
      <rPr>
        <b/>
        <sz val="12"/>
        <color indexed="21"/>
        <rFont val="Trebuchet MS"/>
        <family val="2"/>
      </rPr>
      <t>/2+2M</t>
    </r>
    <r>
      <rPr>
        <b/>
        <vertAlign val="subscript"/>
        <sz val="12"/>
        <color indexed="21"/>
        <rFont val="Trebuchet MS"/>
        <family val="2"/>
      </rPr>
      <t>imp</t>
    </r>
    <r>
      <rPr>
        <b/>
        <sz val="12"/>
        <color indexed="21"/>
        <rFont val="Trebuchet MS"/>
        <family val="2"/>
      </rPr>
      <t>,M</t>
    </r>
    <r>
      <rPr>
        <b/>
        <vertAlign val="subscript"/>
        <sz val="12"/>
        <color indexed="21"/>
        <rFont val="Trebuchet MS"/>
        <family val="2"/>
      </rPr>
      <t>min</t>
    </r>
    <r>
      <rPr>
        <b/>
        <sz val="12"/>
        <color indexed="21"/>
        <rFont val="Trebuchet MS"/>
        <family val="2"/>
      </rPr>
      <t>)|</t>
    </r>
  </si>
  <si>
    <t>Stiffnesses = % x 4Izz or 3Izz / L</t>
  </si>
  <si>
    <t>BOTH</t>
  </si>
  <si>
    <t>AXES</t>
  </si>
  <si>
    <t>Mi2 &amp; Mi1 SIDES</t>
  </si>
  <si>
    <t>AXIS METHOD</t>
  </si>
  <si>
    <t>Stiffnesses = % x 4Iyy or 3Iyy / L</t>
  </si>
  <si>
    <t>Calc - Cell B58, restored Mimp Axis Method used display.  Limiting slenderness now works correctly when Mimp is applied to BOTH Axes.  Slen - B9 &amp; B26, added % of uncracked stiffness to description. Added comment boxes.</t>
  </si>
  <si>
    <t>MIN</t>
  </si>
  <si>
    <t>RANGE</t>
  </si>
  <si>
    <t>Ratio</t>
  </si>
  <si>
    <r>
      <t xml:space="preserve">East  </t>
    </r>
    <r>
      <rPr>
        <b/>
        <sz val="12"/>
        <color rgb="FFC00000"/>
        <rFont val="Tekton"/>
      </rPr>
      <t>(Z-Z)</t>
    </r>
  </si>
  <si>
    <r>
      <t xml:space="preserve">North </t>
    </r>
    <r>
      <rPr>
        <sz val="12"/>
        <color rgb="FFC00000"/>
        <rFont val="Tekton"/>
      </rPr>
      <t xml:space="preserve"> </t>
    </r>
    <r>
      <rPr>
        <b/>
        <sz val="12"/>
        <color rgb="FFC00000"/>
        <rFont val="Tekton"/>
      </rPr>
      <t>(Y-Y)</t>
    </r>
  </si>
  <si>
    <r>
      <t xml:space="preserve">South  </t>
    </r>
    <r>
      <rPr>
        <b/>
        <sz val="12"/>
        <color rgb="FFC00000"/>
        <rFont val="Tekton"/>
      </rPr>
      <t>(Y-Y)</t>
    </r>
  </si>
  <si>
    <r>
      <t xml:space="preserve">North  </t>
    </r>
    <r>
      <rPr>
        <b/>
        <sz val="12"/>
        <color rgb="FFC00000"/>
        <rFont val="Tekton"/>
      </rPr>
      <t>(Y-Y)</t>
    </r>
  </si>
  <si>
    <t xml:space="preserve"> Y</t>
  </si>
  <si>
    <t>TCC53 v4.37</t>
  </si>
  <si>
    <t>TCC53 v4.38</t>
  </si>
  <si>
    <t>Main - Connecting Beams / Slabs Diagrams added</t>
  </si>
  <si>
    <r>
      <t xml:space="preserve"> </t>
    </r>
    <r>
      <rPr>
        <b/>
        <i/>
        <sz val="12"/>
        <color rgb="FF0000FF"/>
        <rFont val="Trebuchet MS"/>
        <family val="2"/>
      </rPr>
      <t>L</t>
    </r>
    <r>
      <rPr>
        <sz val="11"/>
        <color rgb="FF0000FF"/>
        <rFont val="Tekton"/>
        <family val="2"/>
      </rPr>
      <t xml:space="preserve"> (m)</t>
    </r>
    <r>
      <rPr>
        <sz val="11"/>
        <color indexed="62"/>
        <rFont val="Tekton"/>
        <family val="2"/>
      </rPr>
      <t xml:space="preserve"> </t>
    </r>
    <r>
      <rPr>
        <i/>
        <sz val="12"/>
        <color theme="9" tint="-0.499984740745262"/>
        <rFont val="Trebuchet MS"/>
        <family val="2"/>
      </rPr>
      <t>should be clear span</t>
    </r>
  </si>
  <si>
    <t>ABS MAX</t>
  </si>
  <si>
    <t>SCALE FACT</t>
  </si>
  <si>
    <t>COMB ABS X MAX</t>
  </si>
  <si>
    <t>2ABS X MAX</t>
  </si>
  <si>
    <t>DATA FOR CONNECTING BEAMS / SLABS DIAGRAMS</t>
  </si>
  <si>
    <t>Offset</t>
  </si>
  <si>
    <t>Outline</t>
  </si>
  <si>
    <t>TCC53 v4.39</t>
  </si>
  <si>
    <t>Cases - Input Moments from Main adjusted so that a Zero Moment is given a value of 0.01 to avoid Divide by Zero errors.</t>
  </si>
  <si>
    <r>
      <rPr>
        <b/>
        <sz val="12"/>
        <color rgb="FFC00000"/>
        <rFont val="Tekton"/>
      </rPr>
      <t>BOTTOM</t>
    </r>
    <r>
      <rPr>
        <sz val="12"/>
        <rFont val="Tekton"/>
        <family val="2"/>
      </rPr>
      <t xml:space="preserve">   West </t>
    </r>
    <r>
      <rPr>
        <b/>
        <sz val="12"/>
        <color rgb="FFC00000"/>
        <rFont val="Tekton"/>
      </rPr>
      <t xml:space="preserve"> (Z-Z)</t>
    </r>
  </si>
  <si>
    <r>
      <rPr>
        <b/>
        <sz val="12"/>
        <color rgb="FFC00000"/>
        <rFont val="Tekton"/>
      </rPr>
      <t>TOP</t>
    </r>
    <r>
      <rPr>
        <sz val="12"/>
        <rFont val="Tekton"/>
        <family val="2"/>
      </rPr>
      <t xml:space="preserve">           West  </t>
    </r>
    <r>
      <rPr>
        <b/>
        <sz val="12"/>
        <color rgb="FFC00000"/>
        <rFont val="Tekton"/>
      </rPr>
      <t>(Z-Z)</t>
    </r>
  </si>
  <si>
    <t>TCC53 v4.40</t>
  </si>
  <si>
    <t>Cases - Input Moments values from Main sheet corrected.</t>
  </si>
  <si>
    <t>CRITICAL AXIS</t>
  </si>
  <si>
    <t>λLim Y</t>
  </si>
  <si>
    <t>λLim Z</t>
  </si>
  <si>
    <t>TCC53 v4.41</t>
  </si>
  <si>
    <t>Cases - Now include Mmin correctly so Main sheet values match Calc values.</t>
  </si>
  <si>
    <t>TCC53 v4.42</t>
  </si>
  <si>
    <t>Cases - Cy and Cz values in Cols I &amp; J no longer have the trap that sets rm = 1 if Mimp dominates.  The inclusion of Mimp within the Mo values will cause rm to tend towards 1.0 anyway but in a more gradual and realistic manner.  The Slenderness Limit Check is displayed in more detail in Calc V43 to W58 and shows the value if it is beyond 50.</t>
  </si>
  <si>
    <r>
      <t xml:space="preserve">Exp </t>
    </r>
    <r>
      <rPr>
        <b/>
        <sz val="12"/>
        <color rgb="FFC00000"/>
        <rFont val="Calibri"/>
        <family val="2"/>
      </rPr>
      <t>α</t>
    </r>
    <r>
      <rPr>
        <i/>
        <sz val="12"/>
        <rFont val="Tekton"/>
        <family val="2"/>
      </rPr>
      <t xml:space="preserve"> =</t>
    </r>
  </si>
  <si>
    <t>TCC53 v4.43</t>
  </si>
  <si>
    <t>Cases - Cy and Cz values in Cols I &amp; J now reference the values that match the reiforcement size used.</t>
  </si>
  <si>
    <t>TCC53 v4.44</t>
  </si>
  <si>
    <t>Main - Print buttons removed.  Design Values still display when there is NO FIT.</t>
  </si>
  <si>
    <t>4.45</t>
  </si>
  <si>
    <t>TCC53 v4.45</t>
  </si>
  <si>
    <t>Main - N&gt;Nuz error message now displays.  All Axis Values still display when there is NO FIT for Case 1.</t>
  </si>
  <si>
    <t>Cross Section</t>
  </si>
  <si>
    <t>Bar No.</t>
  </si>
  <si>
    <t>Concrete Strength</t>
  </si>
  <si>
    <t>Group</t>
  </si>
  <si>
    <t>Pos In Group</t>
  </si>
  <si>
    <t>Fx (Max)</t>
  </si>
  <si>
    <t>Mz (Max)</t>
  </si>
  <si>
    <t>My (Max)</t>
  </si>
  <si>
    <t>Fx (Max) [kN]</t>
  </si>
  <si>
    <t>My (Top) [kNm]</t>
  </si>
  <si>
    <t>Mz (Top) [kNm]</t>
  </si>
  <si>
    <t>My (Btm) [kNm]</t>
  </si>
  <si>
    <t>Mz (Btm) [kNm]</t>
  </si>
  <si>
    <t>Fx (Max) [kN])</t>
  </si>
  <si>
    <t>10 H16</t>
  </si>
  <si>
    <t>C1 1200 x 300</t>
  </si>
  <si>
    <t>C1 1400 x 300</t>
  </si>
  <si>
    <t>8 H25</t>
  </si>
  <si>
    <t>8 H16</t>
  </si>
  <si>
    <t>8 H32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</si>
</sst>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lt;36526]dd\-mmm\-yy;dd\-mmm\-yyyy"/>
    <numFmt numFmtId="165" formatCode="0.000"/>
    <numFmt numFmtId="166" formatCode="0.0"/>
    <numFmt numFmtId="167" formatCode="0.0%"/>
    <numFmt numFmtId="168" formatCode="0.0000"/>
    <numFmt numFmtId="169" formatCode="0.00000"/>
    <numFmt numFmtId="170" formatCode="0.E+00"/>
    <numFmt numFmtId="171" formatCode="0.0E+00"/>
    <numFmt numFmtId="172" formatCode="0.00000000000000"/>
    <numFmt numFmtId="173" formatCode="0.000000"/>
    <numFmt numFmtId="174" formatCode="0.0000000"/>
    <numFmt numFmtId="175" formatCode="0.00000000"/>
  </numFmts>
  <fonts count="229">
    <font>
      <sz val="10"/>
      <name val="Arial"/>
    </font>
    <font>
      <sz val="10"/>
      <name val="Arial"/>
      <family val="2"/>
    </font>
    <font>
      <sz val="12"/>
      <name val="Technical"/>
      <family val="4"/>
    </font>
    <font>
      <sz val="12"/>
      <name val="Challenge Extra Bold"/>
      <family val="5"/>
    </font>
    <font>
      <sz val="12"/>
      <name val="Symbol"/>
      <family val="1"/>
      <charset val="2"/>
    </font>
    <font>
      <b/>
      <sz val="10"/>
      <name val="Arial"/>
      <family val="2"/>
    </font>
    <font>
      <sz val="14"/>
      <name val="Challenge Extra Bold"/>
      <family val="5"/>
    </font>
    <font>
      <sz val="12"/>
      <name val="Tekton"/>
      <family val="2"/>
    </font>
    <font>
      <sz val="10"/>
      <name val="Tekton"/>
      <family val="2"/>
    </font>
    <font>
      <sz val="12"/>
      <color indexed="10"/>
      <name val="Tekton"/>
      <family val="2"/>
    </font>
    <font>
      <sz val="8"/>
      <name val="Tekton"/>
      <family val="2"/>
    </font>
    <font>
      <sz val="12"/>
      <color indexed="12"/>
      <name val="Tekton"/>
      <family val="2"/>
    </font>
    <font>
      <sz val="12"/>
      <color indexed="17"/>
      <name val="Tekton"/>
      <family val="2"/>
    </font>
    <font>
      <sz val="12"/>
      <color indexed="14"/>
      <name val="Tekton"/>
      <family val="2"/>
    </font>
    <font>
      <sz val="12"/>
      <color indexed="18"/>
      <name val="Tekton"/>
      <family val="2"/>
    </font>
    <font>
      <u/>
      <sz val="12"/>
      <color indexed="12"/>
      <name val="Tekton"/>
      <family val="2"/>
    </font>
    <font>
      <i/>
      <sz val="14"/>
      <color indexed="17"/>
      <name val="Tekton"/>
      <family val="2"/>
    </font>
    <font>
      <sz val="20"/>
      <name val="Tekton"/>
      <family val="2"/>
    </font>
    <font>
      <b/>
      <sz val="12"/>
      <name val="Tekton"/>
      <family val="2"/>
    </font>
    <font>
      <i/>
      <sz val="10"/>
      <name val="Tekton"/>
      <family val="2"/>
    </font>
    <font>
      <i/>
      <sz val="12"/>
      <color indexed="17"/>
      <name val="Tekton"/>
      <family val="2"/>
    </font>
    <font>
      <i/>
      <sz val="12"/>
      <name val="Tekton"/>
      <family val="2"/>
    </font>
    <font>
      <sz val="14"/>
      <name val="Tekton"/>
      <family val="2"/>
    </font>
    <font>
      <sz val="11"/>
      <name val="Tekton"/>
      <family val="2"/>
    </font>
    <font>
      <b/>
      <sz val="12"/>
      <color indexed="10"/>
      <name val="Tekton"/>
      <family val="2"/>
    </font>
    <font>
      <sz val="12"/>
      <color indexed="8"/>
      <name val="Tekton"/>
      <family val="2"/>
    </font>
    <font>
      <sz val="9"/>
      <name val="Tekton"/>
      <family val="2"/>
    </font>
    <font>
      <sz val="20"/>
      <name val="Arial"/>
      <family val="2"/>
    </font>
    <font>
      <b/>
      <sz val="11"/>
      <name val="Tekton"/>
      <family val="2"/>
    </font>
    <font>
      <sz val="12"/>
      <color indexed="60"/>
      <name val="Tekton"/>
      <family val="2"/>
    </font>
    <font>
      <b/>
      <sz val="12"/>
      <color indexed="17"/>
      <name val="Tekton"/>
      <family val="2"/>
    </font>
    <font>
      <sz val="8"/>
      <color indexed="81"/>
      <name val="Tahoma"/>
      <family val="2"/>
    </font>
    <font>
      <sz val="12"/>
      <color indexed="17"/>
      <name val="Symbol"/>
      <family val="1"/>
      <charset val="2"/>
    </font>
    <font>
      <sz val="14"/>
      <name val="Symbol"/>
      <family val="1"/>
      <charset val="2"/>
    </font>
    <font>
      <vertAlign val="subscript"/>
      <sz val="12"/>
      <name val="Tekton"/>
      <family val="2"/>
    </font>
    <font>
      <vertAlign val="subscript"/>
      <sz val="14"/>
      <name val="Tekton"/>
      <family val="2"/>
    </font>
    <font>
      <b/>
      <vertAlign val="subscript"/>
      <sz val="12"/>
      <color indexed="17"/>
      <name val="Tekton"/>
      <family val="2"/>
    </font>
    <font>
      <i/>
      <sz val="12"/>
      <color indexed="60"/>
      <name val="Symbol"/>
      <family val="1"/>
      <charset val="2"/>
    </font>
    <font>
      <i/>
      <sz val="12"/>
      <color indexed="23"/>
      <name val="Tekton"/>
      <family val="2"/>
    </font>
    <font>
      <sz val="12"/>
      <name val="Arial"/>
      <family val="2"/>
    </font>
    <font>
      <b/>
      <sz val="12"/>
      <color indexed="43"/>
      <name val="Tekton"/>
      <family val="2"/>
    </font>
    <font>
      <i/>
      <sz val="8"/>
      <name val="Tekton"/>
      <family val="2"/>
    </font>
    <font>
      <i/>
      <sz val="11"/>
      <color indexed="17"/>
      <name val="Tekton"/>
      <family val="2"/>
    </font>
    <font>
      <sz val="14"/>
      <color indexed="60"/>
      <name val="Trebuchet MS"/>
      <family val="2"/>
    </font>
    <font>
      <sz val="10"/>
      <name val="Trebuchet MS"/>
      <family val="2"/>
    </font>
    <font>
      <sz val="12"/>
      <color indexed="17"/>
      <name val="Trebuchet MS"/>
      <family val="2"/>
    </font>
    <font>
      <sz val="12"/>
      <color indexed="12"/>
      <name val="Trebuchet MS"/>
      <family val="2"/>
    </font>
    <font>
      <sz val="12"/>
      <color indexed="10"/>
      <name val="Trebuchet MS"/>
      <family val="2"/>
    </font>
    <font>
      <sz val="10"/>
      <color indexed="10"/>
      <name val="Trebuchet MS"/>
      <family val="2"/>
    </font>
    <font>
      <sz val="12"/>
      <name val="Trebuchet MS"/>
      <family val="2"/>
    </font>
    <font>
      <sz val="12"/>
      <color indexed="16"/>
      <name val="Trebuchet MS"/>
      <family val="2"/>
    </font>
    <font>
      <sz val="14"/>
      <name val="Trebuchet MS"/>
      <family val="2"/>
    </font>
    <font>
      <sz val="16"/>
      <name val="Trebuchet MS"/>
      <family val="2"/>
    </font>
    <font>
      <u/>
      <sz val="12"/>
      <name val="Trebuchet MS"/>
      <family val="2"/>
    </font>
    <font>
      <sz val="28"/>
      <color indexed="60"/>
      <name val="Trebuchet MS"/>
      <family val="2"/>
    </font>
    <font>
      <sz val="28"/>
      <color indexed="12"/>
      <name val="Trebuchet MS"/>
      <family val="2"/>
    </font>
    <font>
      <i/>
      <sz val="12"/>
      <name val="Trebuchet MS"/>
      <family val="2"/>
    </font>
    <font>
      <sz val="14"/>
      <color indexed="18"/>
      <name val="Trebuchet MS"/>
      <family val="2"/>
    </font>
    <font>
      <sz val="8"/>
      <name val="Trebuchet MS"/>
      <family val="2"/>
    </font>
    <font>
      <sz val="8"/>
      <color indexed="16"/>
      <name val="Trebuchet MS"/>
      <family val="2"/>
    </font>
    <font>
      <b/>
      <sz val="12"/>
      <color indexed="16"/>
      <name val="Trebuchet MS"/>
      <family val="2"/>
    </font>
    <font>
      <sz val="11"/>
      <color indexed="62"/>
      <name val="Trebuchet MS"/>
      <family val="2"/>
    </font>
    <font>
      <b/>
      <sz val="11"/>
      <color indexed="62"/>
      <name val="Tekton"/>
      <family val="2"/>
    </font>
    <font>
      <sz val="9"/>
      <color indexed="62"/>
      <name val="Tekton"/>
      <family val="2"/>
    </font>
    <font>
      <b/>
      <sz val="11"/>
      <color indexed="62"/>
      <name val="Trebuchet MS"/>
      <family val="2"/>
    </font>
    <font>
      <sz val="11"/>
      <color indexed="62"/>
      <name val="Tekton"/>
      <family val="2"/>
    </font>
    <font>
      <sz val="12"/>
      <color indexed="62"/>
      <name val="Tekton"/>
      <family val="2"/>
    </font>
    <font>
      <b/>
      <vertAlign val="subscript"/>
      <sz val="11"/>
      <color indexed="62"/>
      <name val="Trebuchet MS"/>
      <family val="2"/>
    </font>
    <font>
      <b/>
      <sz val="12"/>
      <color indexed="62"/>
      <name val="Trebuchet MS"/>
      <family val="2"/>
    </font>
    <font>
      <b/>
      <sz val="10"/>
      <color indexed="62"/>
      <name val="Trebuchet MS"/>
      <family val="2"/>
    </font>
    <font>
      <sz val="11"/>
      <color indexed="62"/>
      <name val="Marker"/>
      <family val="2"/>
    </font>
    <font>
      <b/>
      <vertAlign val="subscript"/>
      <sz val="12"/>
      <color indexed="62"/>
      <name val="Trebuchet MS"/>
      <family val="2"/>
    </font>
    <font>
      <i/>
      <sz val="11"/>
      <color indexed="62"/>
      <name val="Tekton"/>
      <family val="2"/>
    </font>
    <font>
      <b/>
      <sz val="12"/>
      <color indexed="21"/>
      <name val="Trebuchet MS"/>
      <family val="2"/>
    </font>
    <font>
      <b/>
      <sz val="12"/>
      <color indexed="10"/>
      <name val="Trebuchet MS"/>
      <family val="2"/>
    </font>
    <font>
      <b/>
      <i/>
      <sz val="12"/>
      <color indexed="60"/>
      <name val="Trebuchet MS"/>
      <family val="2"/>
    </font>
    <font>
      <b/>
      <i/>
      <sz val="12"/>
      <color indexed="12"/>
      <name val="Trebuchet MS"/>
      <family val="2"/>
    </font>
    <font>
      <sz val="12"/>
      <color indexed="62"/>
      <name val="Trebuchet MS"/>
      <family val="2"/>
    </font>
    <font>
      <vertAlign val="subscript"/>
      <sz val="12"/>
      <color indexed="62"/>
      <name val="Trebuchet MS"/>
      <family val="2"/>
    </font>
    <font>
      <b/>
      <sz val="12"/>
      <name val="Trebuchet MS"/>
      <family val="2"/>
    </font>
    <font>
      <i/>
      <sz val="12"/>
      <color indexed="21"/>
      <name val="Trebuchet MS"/>
      <family val="2"/>
    </font>
    <font>
      <b/>
      <sz val="8"/>
      <color indexed="62"/>
      <name val="Trebuchet MS"/>
      <family val="2"/>
    </font>
    <font>
      <b/>
      <sz val="16"/>
      <color indexed="62"/>
      <name val="Trebuchet MS"/>
      <family val="2"/>
    </font>
    <font>
      <sz val="16"/>
      <color indexed="62"/>
      <name val="Arial"/>
      <family val="2"/>
    </font>
    <font>
      <sz val="14"/>
      <color indexed="62"/>
      <name val="Trebuchet MS"/>
      <family val="2"/>
    </font>
    <font>
      <b/>
      <sz val="14"/>
      <color indexed="16"/>
      <name val="Trebuchet MS"/>
      <family val="2"/>
    </font>
    <font>
      <b/>
      <vertAlign val="subscript"/>
      <sz val="14"/>
      <color indexed="16"/>
      <name val="Trebuchet MS"/>
      <family val="2"/>
    </font>
    <font>
      <b/>
      <sz val="14"/>
      <color indexed="62"/>
      <name val="Trebuchet MS"/>
      <family val="2"/>
    </font>
    <font>
      <sz val="8"/>
      <name val="Arial"/>
      <family val="2"/>
    </font>
    <font>
      <i/>
      <sz val="11"/>
      <color indexed="21"/>
      <name val="Trebuchet MS"/>
      <family val="2"/>
    </font>
    <font>
      <sz val="10"/>
      <color indexed="14"/>
      <name val="Trebuchet MS"/>
      <family val="2"/>
    </font>
    <font>
      <sz val="10"/>
      <color indexed="17"/>
      <name val="Trebuchet MS"/>
      <family val="2"/>
    </font>
    <font>
      <b/>
      <sz val="16"/>
      <color indexed="16"/>
      <name val="Trebuchet MS"/>
      <family val="2"/>
    </font>
    <font>
      <b/>
      <vertAlign val="subscript"/>
      <sz val="14"/>
      <color indexed="62"/>
      <name val="Trebuchet MS"/>
      <family val="2"/>
    </font>
    <font>
      <i/>
      <sz val="10"/>
      <color indexed="23"/>
      <name val="Trebuchet MS"/>
      <family val="2"/>
    </font>
    <font>
      <vertAlign val="subscript"/>
      <sz val="12"/>
      <name val="Trebuchet MS"/>
      <family val="2"/>
    </font>
    <font>
      <sz val="11"/>
      <name val="Trebuchet MS"/>
      <family val="2"/>
    </font>
    <font>
      <sz val="8"/>
      <color indexed="8"/>
      <name val="Trebuchet MS"/>
      <family val="2"/>
    </font>
    <font>
      <b/>
      <i/>
      <sz val="12"/>
      <color indexed="16"/>
      <name val="Trebuchet MS"/>
      <family val="2"/>
    </font>
    <font>
      <sz val="13"/>
      <name val="Tekton"/>
      <family val="2"/>
    </font>
    <font>
      <vertAlign val="subscript"/>
      <sz val="13"/>
      <name val="Tekton"/>
      <family val="2"/>
    </font>
    <font>
      <sz val="16"/>
      <color indexed="12"/>
      <name val="Trebuchet MS"/>
      <family val="2"/>
    </font>
    <font>
      <i/>
      <sz val="9"/>
      <color indexed="17"/>
      <name val="Tekton"/>
      <family val="2"/>
    </font>
    <font>
      <sz val="14"/>
      <name val="Technical"/>
      <family val="4"/>
    </font>
    <font>
      <b/>
      <sz val="12"/>
      <color indexed="12"/>
      <name val="Tekton"/>
      <family val="2"/>
    </font>
    <font>
      <sz val="10"/>
      <color indexed="62"/>
      <name val="Tekton"/>
      <family val="2"/>
    </font>
    <font>
      <sz val="12"/>
      <name val="Arial"/>
      <family val="2"/>
    </font>
    <font>
      <sz val="10"/>
      <color indexed="62"/>
      <name val="Trebuchet MS"/>
      <family val="2"/>
    </font>
    <font>
      <i/>
      <vertAlign val="subscript"/>
      <sz val="12"/>
      <name val="Tekton"/>
      <family val="2"/>
    </font>
    <font>
      <b/>
      <i/>
      <vertAlign val="subscript"/>
      <sz val="12"/>
      <color indexed="16"/>
      <name val="Trebuchet MS"/>
      <family val="2"/>
    </font>
    <font>
      <b/>
      <i/>
      <sz val="12"/>
      <color indexed="16"/>
      <name val="Tekton"/>
      <family val="2"/>
    </font>
    <font>
      <b/>
      <i/>
      <vertAlign val="subscript"/>
      <sz val="12"/>
      <color indexed="16"/>
      <name val="Tekton"/>
      <family val="2"/>
    </font>
    <font>
      <i/>
      <vertAlign val="subscript"/>
      <sz val="12"/>
      <color indexed="21"/>
      <name val="Trebuchet MS"/>
      <family val="2"/>
    </font>
    <font>
      <i/>
      <vertAlign val="superscript"/>
      <sz val="12"/>
      <name val="Tekton"/>
      <family val="2"/>
    </font>
    <font>
      <sz val="12"/>
      <color indexed="9"/>
      <name val="Tekton"/>
      <family val="2"/>
    </font>
    <font>
      <sz val="10"/>
      <name val="Arial Narrow"/>
      <family val="2"/>
    </font>
    <font>
      <b/>
      <sz val="14"/>
      <color indexed="62"/>
      <name val="Arial Narrow"/>
      <family val="2"/>
    </font>
    <font>
      <sz val="11"/>
      <name val="Arial Narrow"/>
      <family val="2"/>
    </font>
    <font>
      <sz val="14"/>
      <name val="Arial Narrow"/>
      <family val="2"/>
    </font>
    <font>
      <sz val="14"/>
      <color indexed="17"/>
      <name val="Arial Narrow"/>
      <family val="2"/>
    </font>
    <font>
      <i/>
      <sz val="11"/>
      <name val="Arial Narrow"/>
      <family val="2"/>
    </font>
    <font>
      <b/>
      <sz val="12"/>
      <color indexed="62"/>
      <name val="Arial Narrow"/>
      <family val="2"/>
    </font>
    <font>
      <b/>
      <i/>
      <sz val="14"/>
      <color indexed="16"/>
      <name val="Arial Narrow"/>
      <family val="2"/>
    </font>
    <font>
      <b/>
      <i/>
      <sz val="12"/>
      <color indexed="62"/>
      <name val="Arial Narrow"/>
      <family val="2"/>
    </font>
    <font>
      <b/>
      <i/>
      <sz val="12"/>
      <color indexed="60"/>
      <name val="Arial Narrow"/>
      <family val="2"/>
    </font>
    <font>
      <sz val="14"/>
      <color indexed="62"/>
      <name val="Arial Narrow"/>
      <family val="2"/>
    </font>
    <font>
      <sz val="12"/>
      <color indexed="62"/>
      <name val="Arial Narrow"/>
      <family val="2"/>
    </font>
    <font>
      <vertAlign val="subscript"/>
      <sz val="11"/>
      <name val="Arial Narrow"/>
      <family val="2"/>
    </font>
    <font>
      <b/>
      <i/>
      <sz val="11"/>
      <color indexed="16"/>
      <name val="Arial Narrow"/>
      <family val="2"/>
    </font>
    <font>
      <sz val="10"/>
      <color indexed="16"/>
      <name val="Tahoma"/>
      <family val="2"/>
    </font>
    <font>
      <b/>
      <sz val="12"/>
      <color rgb="FF000000"/>
      <name val="Trebuchet MS"/>
      <family val="2"/>
    </font>
    <font>
      <b/>
      <sz val="12"/>
      <color theme="0" tint="-0.499984740745262"/>
      <name val="Trebuchet MS"/>
      <family val="2"/>
    </font>
    <font>
      <b/>
      <sz val="11"/>
      <name val="Arial Narrow"/>
      <family val="2"/>
    </font>
    <font>
      <b/>
      <vertAlign val="subscript"/>
      <sz val="11"/>
      <name val="Arial Narrow"/>
      <family val="2"/>
    </font>
    <font>
      <b/>
      <i/>
      <sz val="12"/>
      <name val="Tekton"/>
      <family val="2"/>
    </font>
    <font>
      <b/>
      <i/>
      <sz val="12"/>
      <color rgb="FFC00000"/>
      <name val="Trebuchet MS"/>
      <family val="2"/>
    </font>
    <font>
      <b/>
      <sz val="12"/>
      <color rgb="FFC00000"/>
      <name val="Trebuchet MS"/>
      <family val="2"/>
    </font>
    <font>
      <sz val="12"/>
      <color theme="9" tint="-0.499984740745262"/>
      <name val="Tekton"/>
      <family val="2"/>
    </font>
    <font>
      <sz val="12"/>
      <color rgb="FF002060"/>
      <name val="Trebuchet MS"/>
      <family val="2"/>
    </font>
    <font>
      <b/>
      <sz val="12"/>
      <color rgb="FF002060"/>
      <name val="Trebuchet MS"/>
      <family val="2"/>
    </font>
    <font>
      <b/>
      <vertAlign val="subscript"/>
      <sz val="12"/>
      <color rgb="FF002060"/>
      <name val="Trebuchet MS"/>
      <family val="2"/>
    </font>
    <font>
      <b/>
      <i/>
      <sz val="12"/>
      <color rgb="FF002060"/>
      <name val="Trebuchet MS"/>
      <family val="2"/>
    </font>
    <font>
      <b/>
      <sz val="12"/>
      <color rgb="FFFF0000"/>
      <name val="Trebuchet MS"/>
      <family val="2"/>
    </font>
    <font>
      <b/>
      <sz val="12"/>
      <color rgb="FF007E39"/>
      <name val="Trebuchet MS"/>
      <family val="2"/>
    </font>
    <font>
      <i/>
      <sz val="12"/>
      <color rgb="FF007E39"/>
      <name val="Trebuchet MS"/>
      <family val="2"/>
    </font>
    <font>
      <sz val="12"/>
      <color rgb="FFFF0000"/>
      <name val="Trebuchet MS"/>
      <family val="2"/>
    </font>
    <font>
      <b/>
      <sz val="12"/>
      <color rgb="FFFF0000"/>
      <name val="Tekton"/>
      <family val="2"/>
    </font>
    <font>
      <i/>
      <sz val="12"/>
      <color rgb="FFC00000"/>
      <name val="Trebuchet MS"/>
      <family val="2"/>
    </font>
    <font>
      <i/>
      <vertAlign val="subscript"/>
      <sz val="11"/>
      <name val="Arial Narrow"/>
      <family val="2"/>
    </font>
    <font>
      <sz val="12"/>
      <color theme="9" tint="-0.499984740745262"/>
      <name val="Trebuchet MS"/>
      <family val="2"/>
    </font>
    <font>
      <i/>
      <sz val="12"/>
      <color theme="9" tint="-0.499984740745262"/>
      <name val="Trebuchet MS"/>
      <family val="2"/>
    </font>
    <font>
      <vertAlign val="subscript"/>
      <sz val="12"/>
      <color theme="9" tint="-0.499984740745262"/>
      <name val="Trebuchet MS"/>
      <family val="2"/>
    </font>
    <font>
      <sz val="16"/>
      <color indexed="17"/>
      <name val="Trebuchet MS"/>
      <family val="2"/>
    </font>
    <font>
      <u/>
      <sz val="12"/>
      <color rgb="FF0000FF"/>
      <name val="Tekton"/>
      <family val="2"/>
    </font>
    <font>
      <u/>
      <sz val="12"/>
      <color rgb="FF0000FF"/>
      <name val="Trebuchet MS"/>
      <family val="2"/>
    </font>
    <font>
      <sz val="12"/>
      <name val="Arial Narrow"/>
      <family val="2"/>
    </font>
    <font>
      <sz val="11"/>
      <name val="Symbol"/>
      <family val="1"/>
      <charset val="2"/>
    </font>
    <font>
      <vertAlign val="superscript"/>
      <sz val="12"/>
      <name val="Tekton"/>
      <family val="2"/>
    </font>
    <font>
      <b/>
      <u/>
      <sz val="14"/>
      <name val="Trebuchet MS"/>
      <family val="2"/>
    </font>
    <font>
      <u/>
      <sz val="12"/>
      <color indexed="12"/>
      <name val="Trebuchet MS"/>
      <family val="2"/>
    </font>
    <font>
      <sz val="12"/>
      <color theme="5" tint="0.39997558519241921"/>
      <name val="Tekton"/>
      <family val="2"/>
    </font>
    <font>
      <sz val="14"/>
      <name val="Arial"/>
      <family val="2"/>
    </font>
    <font>
      <b/>
      <sz val="12"/>
      <color indexed="16"/>
      <name val="Tekton"/>
      <family val="2"/>
    </font>
    <font>
      <b/>
      <sz val="14"/>
      <name val="Trebuchet MS"/>
      <family val="2"/>
    </font>
    <font>
      <b/>
      <sz val="14"/>
      <color indexed="17"/>
      <name val="Trebuchet MS"/>
      <family val="2"/>
    </font>
    <font>
      <b/>
      <sz val="8"/>
      <color indexed="17"/>
      <name val="Trebuchet MS"/>
      <family val="2"/>
    </font>
    <font>
      <b/>
      <sz val="12"/>
      <name val="Arial"/>
      <family val="2"/>
    </font>
    <font>
      <b/>
      <sz val="14"/>
      <color theme="3"/>
      <name val="Trebuchet MS"/>
      <family val="2"/>
    </font>
    <font>
      <b/>
      <sz val="8"/>
      <color theme="3"/>
      <name val="Trebuchet MS"/>
      <family val="2"/>
    </font>
    <font>
      <sz val="12"/>
      <name val="Calibri"/>
      <family val="2"/>
    </font>
    <font>
      <b/>
      <i/>
      <sz val="14"/>
      <name val="Tekton"/>
      <family val="2"/>
    </font>
    <font>
      <sz val="8"/>
      <name val="Arial Narrow"/>
      <family val="2"/>
    </font>
    <font>
      <i/>
      <sz val="11"/>
      <name val="Tekton"/>
      <family val="2"/>
    </font>
    <font>
      <sz val="11"/>
      <name val="Arial"/>
      <family val="2"/>
    </font>
    <font>
      <i/>
      <vertAlign val="subscript"/>
      <sz val="11"/>
      <name val="Tekton"/>
      <family val="2"/>
    </font>
    <font>
      <b/>
      <sz val="12"/>
      <name val="Calibri"/>
      <family val="2"/>
    </font>
    <font>
      <b/>
      <i/>
      <sz val="12"/>
      <name val="Calibri"/>
      <family val="2"/>
    </font>
    <font>
      <sz val="9"/>
      <name val="Calibri"/>
      <family val="2"/>
    </font>
    <font>
      <b/>
      <sz val="11"/>
      <color indexed="21"/>
      <name val="Trebuchet MS"/>
      <family val="2"/>
    </font>
    <font>
      <b/>
      <vertAlign val="subscript"/>
      <sz val="12"/>
      <color indexed="21"/>
      <name val="Trebuchet MS"/>
      <family val="2"/>
    </font>
    <font>
      <b/>
      <i/>
      <sz val="12"/>
      <color indexed="21"/>
      <name val="Trebuchet MS"/>
      <family val="2"/>
    </font>
    <font>
      <b/>
      <vertAlign val="subscript"/>
      <sz val="14"/>
      <name val="Arial"/>
      <family val="2"/>
    </font>
    <font>
      <b/>
      <sz val="14"/>
      <color indexed="62"/>
      <name val="Calibri"/>
      <family val="2"/>
    </font>
    <font>
      <sz val="14"/>
      <name val="Calibri"/>
      <family val="2"/>
    </font>
    <font>
      <b/>
      <sz val="12"/>
      <color rgb="FFC00000"/>
      <name val="Calibri"/>
      <family val="2"/>
    </font>
    <font>
      <b/>
      <sz val="12"/>
      <name val="Tekton"/>
      <family val="2"/>
    </font>
    <font>
      <b/>
      <sz val="12"/>
      <color indexed="12"/>
      <name val="Tekton"/>
      <family val="2"/>
    </font>
    <font>
      <b/>
      <vertAlign val="subscript"/>
      <sz val="12"/>
      <name val="Tekton"/>
      <family val="2"/>
    </font>
    <font>
      <b/>
      <i/>
      <vertAlign val="subscript"/>
      <sz val="12"/>
      <color indexed="60"/>
      <name val="Trebuchet MS"/>
      <family val="2"/>
    </font>
    <font>
      <sz val="12"/>
      <color rgb="FF007E39"/>
      <name val="Tekton"/>
      <family val="2"/>
    </font>
    <font>
      <b/>
      <sz val="14"/>
      <color indexed="81"/>
      <name val="Trebuchet MS"/>
      <family val="2"/>
    </font>
    <font>
      <sz val="14"/>
      <color indexed="81"/>
      <name val="Trebuchet MS"/>
      <family val="2"/>
    </font>
    <font>
      <b/>
      <i/>
      <vertAlign val="subscript"/>
      <sz val="12"/>
      <color rgb="FFC00000"/>
      <name val="Trebuchet MS"/>
      <family val="2"/>
    </font>
    <font>
      <i/>
      <sz val="12"/>
      <color rgb="FFC00000"/>
      <name val="Tekton"/>
      <family val="2"/>
    </font>
    <font>
      <b/>
      <sz val="12"/>
      <color rgb="FFC00000"/>
      <name val="Tekton"/>
      <family val="2"/>
    </font>
    <font>
      <b/>
      <i/>
      <sz val="12"/>
      <color rgb="FFC00000"/>
      <name val="Tekton"/>
      <family val="2"/>
    </font>
    <font>
      <b/>
      <i/>
      <vertAlign val="subscript"/>
      <sz val="12"/>
      <color rgb="FFC00000"/>
      <name val="Tekton"/>
      <family val="2"/>
    </font>
    <font>
      <b/>
      <sz val="12"/>
      <color indexed="81"/>
      <name val="Tahoma"/>
      <family val="2"/>
    </font>
    <font>
      <sz val="14"/>
      <color theme="3"/>
      <name val="Trebuchet MS"/>
      <family val="2"/>
    </font>
    <font>
      <sz val="12"/>
      <color theme="3"/>
      <name val="Trebuchet MS"/>
      <family val="2"/>
    </font>
    <font>
      <b/>
      <sz val="16"/>
      <color theme="3"/>
      <name val="Trebuchet MS"/>
      <family val="2"/>
    </font>
    <font>
      <sz val="16"/>
      <color theme="3"/>
      <name val="Arial"/>
      <family val="2"/>
    </font>
    <font>
      <sz val="11"/>
      <color theme="3"/>
      <name val="Trebuchet MS"/>
      <family val="2"/>
    </font>
    <font>
      <sz val="12"/>
      <color indexed="81"/>
      <name val="Tahoma"/>
      <family val="2"/>
    </font>
    <font>
      <b/>
      <sz val="14"/>
      <color rgb="FFC00000"/>
      <name val="Trebuchet MS"/>
      <family val="2"/>
    </font>
    <font>
      <b/>
      <u/>
      <sz val="14"/>
      <color rgb="FFC00000"/>
      <name val="Trebuchet MS"/>
      <family val="2"/>
    </font>
    <font>
      <b/>
      <u/>
      <sz val="14"/>
      <color rgb="FF0000FF"/>
      <name val="Tekton"/>
      <family val="2"/>
    </font>
    <font>
      <b/>
      <u/>
      <sz val="14"/>
      <color rgb="FFFF66FF"/>
      <name val="Tekton"/>
      <family val="2"/>
    </font>
    <font>
      <b/>
      <sz val="12"/>
      <color rgb="FFC00000"/>
      <name val="Tekton"/>
    </font>
    <font>
      <b/>
      <sz val="12"/>
      <color rgb="FF0070C0"/>
      <name val="Tekton"/>
      <family val="2"/>
    </font>
    <font>
      <b/>
      <sz val="12"/>
      <color theme="1"/>
      <name val="Tekton"/>
      <family val="2"/>
    </font>
    <font>
      <sz val="10"/>
      <color theme="1"/>
      <name val="Arial"/>
      <family val="2"/>
    </font>
    <font>
      <b/>
      <sz val="12"/>
      <color indexed="81"/>
      <name val="Arial"/>
      <family val="2"/>
    </font>
    <font>
      <i/>
      <sz val="12"/>
      <name val="Tekton"/>
    </font>
    <font>
      <i/>
      <vertAlign val="subscript"/>
      <sz val="12"/>
      <name val="Tekton"/>
    </font>
    <font>
      <sz val="12"/>
      <color rgb="FF0000FF"/>
      <name val="Tekton"/>
      <family val="2"/>
    </font>
    <font>
      <sz val="11"/>
      <name val="Calibri"/>
      <family val="2"/>
    </font>
    <font>
      <sz val="12"/>
      <color rgb="FFC00000"/>
      <name val="Tekton"/>
    </font>
    <font>
      <i/>
      <vertAlign val="subscript"/>
      <sz val="11"/>
      <name val="Tekton"/>
    </font>
    <font>
      <b/>
      <sz val="14"/>
      <name val="Arial"/>
      <family val="2"/>
    </font>
    <font>
      <b/>
      <sz val="14"/>
      <color rgb="FF800000"/>
      <name val="Arial"/>
      <family val="2"/>
    </font>
    <font>
      <b/>
      <sz val="12"/>
      <color rgb="FF0000FF"/>
      <name val="Tekton"/>
      <family val="2"/>
    </font>
    <font>
      <b/>
      <sz val="14"/>
      <color rgb="FF0000FF"/>
      <name val="Arial"/>
      <family val="2"/>
    </font>
    <font>
      <b/>
      <sz val="12"/>
      <color indexed="17"/>
      <name val="Tahoma"/>
      <family val="2"/>
    </font>
    <font>
      <b/>
      <sz val="12"/>
      <color indexed="10"/>
      <name val="Tahoma"/>
      <family val="2"/>
    </font>
    <font>
      <b/>
      <i/>
      <sz val="12"/>
      <color rgb="FF0000FF"/>
      <name val="Trebuchet MS"/>
      <family val="2"/>
    </font>
    <font>
      <sz val="11"/>
      <color rgb="FF0000FF"/>
      <name val="Tekton"/>
      <family val="2"/>
    </font>
    <font>
      <sz val="12"/>
      <name val="Tekton"/>
    </font>
    <font>
      <sz val="16"/>
      <color rgb="FF000000"/>
      <name val="Arial"/>
      <family val="2"/>
    </font>
  </fonts>
  <fills count="27">
    <fill>
      <patternFill patternType="none"/>
    </fill>
    <fill>
      <patternFill patternType="gray125"/>
    </fill>
    <fill>
      <patternFill patternType="solid">
        <fgColor indexed="9"/>
        <bgColor indexed="9"/>
      </patternFill>
    </fill>
    <fill>
      <patternFill patternType="gray125">
        <fgColor indexed="13"/>
        <bgColor indexed="9"/>
      </patternFill>
    </fill>
    <fill>
      <patternFill patternType="solid">
        <fgColor indexed="41"/>
        <bgColor indexed="64"/>
      </patternFill>
    </fill>
    <fill>
      <patternFill patternType="solid">
        <fgColor indexed="41"/>
        <bgColor indexed="9"/>
      </patternFill>
    </fill>
    <fill>
      <patternFill patternType="solid">
        <fgColor indexed="9"/>
        <bgColor indexed="64"/>
      </patternFill>
    </fill>
    <fill>
      <patternFill patternType="solid">
        <fgColor indexed="26"/>
        <bgColor indexed="9"/>
      </patternFill>
    </fill>
    <fill>
      <patternFill patternType="solid">
        <fgColor indexed="26"/>
        <bgColor indexed="64"/>
      </patternFill>
    </fill>
    <fill>
      <patternFill patternType="gray125">
        <fgColor indexed="13"/>
        <bgColor indexed="26"/>
      </patternFill>
    </fill>
    <fill>
      <patternFill patternType="solid">
        <fgColor indexed="41"/>
        <bgColor indexed="11"/>
      </patternFill>
    </fill>
    <fill>
      <patternFill patternType="solid">
        <fgColor indexed="41"/>
        <bgColor indexed="13"/>
      </patternFill>
    </fill>
    <fill>
      <patternFill patternType="solid">
        <fgColor indexed="9"/>
        <bgColor indexed="13"/>
      </patternFill>
    </fill>
    <fill>
      <patternFill patternType="solid">
        <fgColor indexed="54"/>
        <bgColor indexed="64"/>
      </patternFill>
    </fill>
    <fill>
      <patternFill patternType="solid">
        <fgColor theme="0"/>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rgb="FFFFFF00"/>
        <bgColor indexed="64"/>
      </patternFill>
    </fill>
    <fill>
      <patternFill patternType="solid">
        <fgColor theme="9" tint="-0.249977111117893"/>
        <bgColor indexed="64"/>
      </patternFill>
    </fill>
    <fill>
      <patternFill patternType="solid">
        <fgColor rgb="FF00B050"/>
        <bgColor indexed="64"/>
      </patternFill>
    </fill>
    <fill>
      <patternFill patternType="solid">
        <fgColor rgb="FFFFC0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F7F3DD"/>
        <bgColor indexed="64"/>
      </patternFill>
    </fill>
    <fill>
      <patternFill patternType="solid">
        <fgColor rgb="FFE5E9F0"/>
        <bgColor indexed="64"/>
      </patternFill>
    </fill>
  </fills>
  <borders count="145">
    <border>
      <left/>
      <right/>
      <top/>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2"/>
      </left>
      <right/>
      <top style="medium">
        <color indexed="62"/>
      </top>
      <bottom/>
      <diagonal/>
    </border>
    <border>
      <left/>
      <right/>
      <top style="medium">
        <color indexed="62"/>
      </top>
      <bottom/>
      <diagonal/>
    </border>
    <border>
      <left style="medium">
        <color indexed="62"/>
      </left>
      <right/>
      <top/>
      <bottom/>
      <diagonal/>
    </border>
    <border>
      <left style="medium">
        <color indexed="62"/>
      </left>
      <right style="thin">
        <color indexed="62"/>
      </right>
      <top style="medium">
        <color indexed="62"/>
      </top>
      <bottom/>
      <diagonal/>
    </border>
    <border>
      <left style="thin">
        <color indexed="62"/>
      </left>
      <right style="thin">
        <color indexed="62"/>
      </right>
      <top style="medium">
        <color indexed="62"/>
      </top>
      <bottom/>
      <diagonal/>
    </border>
    <border>
      <left style="thin">
        <color indexed="62"/>
      </left>
      <right style="medium">
        <color indexed="62"/>
      </right>
      <top style="medium">
        <color indexed="62"/>
      </top>
      <bottom/>
      <diagonal/>
    </border>
    <border>
      <left style="medium">
        <color indexed="62"/>
      </left>
      <right style="thin">
        <color indexed="62"/>
      </right>
      <top/>
      <bottom style="thin">
        <color indexed="62"/>
      </bottom>
      <diagonal/>
    </border>
    <border>
      <left style="thin">
        <color indexed="62"/>
      </left>
      <right style="thin">
        <color indexed="62"/>
      </right>
      <top/>
      <bottom style="thin">
        <color indexed="62"/>
      </bottom>
      <diagonal/>
    </border>
    <border>
      <left style="thin">
        <color indexed="62"/>
      </left>
      <right style="medium">
        <color indexed="62"/>
      </right>
      <top/>
      <bottom style="thin">
        <color indexed="62"/>
      </bottom>
      <diagonal/>
    </border>
    <border>
      <left style="medium">
        <color indexed="62"/>
      </left>
      <right style="thin">
        <color indexed="62"/>
      </right>
      <top style="thin">
        <color indexed="62"/>
      </top>
      <bottom/>
      <diagonal/>
    </border>
    <border>
      <left style="thin">
        <color indexed="62"/>
      </left>
      <right style="thin">
        <color indexed="62"/>
      </right>
      <top style="thin">
        <color indexed="62"/>
      </top>
      <bottom/>
      <diagonal/>
    </border>
    <border>
      <left style="thin">
        <color indexed="62"/>
      </left>
      <right style="medium">
        <color indexed="62"/>
      </right>
      <top style="thin">
        <color indexed="62"/>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medium">
        <color indexed="62"/>
      </right>
      <top style="medium">
        <color indexed="62"/>
      </top>
      <bottom/>
      <diagonal/>
    </border>
    <border>
      <left/>
      <right style="medium">
        <color indexed="62"/>
      </right>
      <top/>
      <bottom/>
      <diagonal/>
    </border>
    <border>
      <left/>
      <right style="medium">
        <color indexed="62"/>
      </right>
      <top style="thin">
        <color indexed="64"/>
      </top>
      <bottom/>
      <diagonal/>
    </border>
    <border>
      <left/>
      <right style="medium">
        <color indexed="62"/>
      </right>
      <top/>
      <bottom style="thin">
        <color indexed="64"/>
      </bottom>
      <diagonal/>
    </border>
    <border>
      <left style="medium">
        <color indexed="62"/>
      </left>
      <right/>
      <top/>
      <bottom style="medium">
        <color indexed="62"/>
      </bottom>
      <diagonal/>
    </border>
    <border>
      <left/>
      <right/>
      <top/>
      <bottom style="medium">
        <color indexed="62"/>
      </bottom>
      <diagonal/>
    </border>
    <border>
      <left/>
      <right style="medium">
        <color indexed="62"/>
      </right>
      <top/>
      <bottom style="medium">
        <color indexed="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2"/>
      </right>
      <top style="thin">
        <color indexed="64"/>
      </top>
      <bottom style="thin">
        <color indexed="64"/>
      </bottom>
      <diagonal/>
    </border>
    <border>
      <left style="thin">
        <color indexed="62"/>
      </left>
      <right style="thin">
        <color indexed="62"/>
      </right>
      <top/>
      <bottom style="medium">
        <color indexed="62"/>
      </bottom>
      <diagonal/>
    </border>
    <border>
      <left style="thin">
        <color indexed="62"/>
      </left>
      <right style="medium">
        <color indexed="62"/>
      </right>
      <top/>
      <bottom style="medium">
        <color indexed="62"/>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2"/>
      </right>
      <top style="medium">
        <color indexed="62"/>
      </top>
      <bottom/>
      <diagonal/>
    </border>
    <border>
      <left/>
      <right style="thin">
        <color indexed="62"/>
      </right>
      <top/>
      <bottom style="thin">
        <color indexed="62"/>
      </bottom>
      <diagonal/>
    </border>
    <border>
      <left/>
      <right style="thin">
        <color indexed="62"/>
      </right>
      <top style="thin">
        <color indexed="62"/>
      </top>
      <bottom/>
      <diagonal/>
    </border>
    <border>
      <left/>
      <right style="thin">
        <color indexed="62"/>
      </right>
      <top/>
      <bottom style="medium">
        <color indexed="62"/>
      </bottom>
      <diagonal/>
    </border>
    <border>
      <left style="thin">
        <color indexed="64"/>
      </left>
      <right/>
      <top/>
      <bottom style="medium">
        <color indexed="62"/>
      </bottom>
      <diagonal/>
    </border>
    <border>
      <left style="medium">
        <color indexed="62"/>
      </left>
      <right/>
      <top style="thin">
        <color indexed="64"/>
      </top>
      <bottom/>
      <diagonal/>
    </border>
    <border>
      <left/>
      <right style="thin">
        <color indexed="62"/>
      </right>
      <top/>
      <bottom/>
      <diagonal/>
    </border>
    <border>
      <left style="thin">
        <color indexed="62"/>
      </left>
      <right style="thin">
        <color indexed="62"/>
      </right>
      <top style="thin">
        <color indexed="62"/>
      </top>
      <bottom style="thin">
        <color indexed="62"/>
      </bottom>
      <diagonal/>
    </border>
    <border>
      <left style="medium">
        <color indexed="62"/>
      </left>
      <right style="thin">
        <color indexed="8"/>
      </right>
      <top style="medium">
        <color indexed="62"/>
      </top>
      <bottom style="medium">
        <color indexed="62"/>
      </bottom>
      <diagonal/>
    </border>
    <border>
      <left style="thin">
        <color indexed="8"/>
      </left>
      <right style="thin">
        <color indexed="8"/>
      </right>
      <top style="medium">
        <color indexed="62"/>
      </top>
      <bottom style="medium">
        <color indexed="62"/>
      </bottom>
      <diagonal/>
    </border>
    <border>
      <left style="thin">
        <color indexed="8"/>
      </left>
      <right style="medium">
        <color indexed="62"/>
      </right>
      <top style="medium">
        <color indexed="62"/>
      </top>
      <bottom style="medium">
        <color indexed="62"/>
      </bottom>
      <diagonal/>
    </border>
    <border>
      <left style="medium">
        <color indexed="62"/>
      </left>
      <right style="thin">
        <color indexed="62"/>
      </right>
      <top style="thin">
        <color indexed="62"/>
      </top>
      <bottom style="thin">
        <color indexed="62"/>
      </bottom>
      <diagonal/>
    </border>
    <border>
      <left style="thin">
        <color indexed="62"/>
      </left>
      <right style="medium">
        <color indexed="62"/>
      </right>
      <top style="thin">
        <color indexed="62"/>
      </top>
      <bottom style="thin">
        <color indexed="62"/>
      </bottom>
      <diagonal/>
    </border>
    <border>
      <left style="medium">
        <color indexed="62"/>
      </left>
      <right style="thin">
        <color indexed="62"/>
      </right>
      <top style="thin">
        <color indexed="62"/>
      </top>
      <bottom style="medium">
        <color indexed="62"/>
      </bottom>
      <diagonal/>
    </border>
    <border>
      <left style="thin">
        <color indexed="62"/>
      </left>
      <right style="thin">
        <color indexed="62"/>
      </right>
      <top style="thin">
        <color indexed="62"/>
      </top>
      <bottom style="medium">
        <color indexed="62"/>
      </bottom>
      <diagonal/>
    </border>
    <border>
      <left style="thin">
        <color indexed="62"/>
      </left>
      <right style="medium">
        <color indexed="62"/>
      </right>
      <top style="thin">
        <color indexed="62"/>
      </top>
      <bottom style="medium">
        <color indexed="62"/>
      </bottom>
      <diagonal/>
    </border>
    <border>
      <left/>
      <right/>
      <top style="medium">
        <color indexed="62"/>
      </top>
      <bottom style="medium">
        <color indexed="62"/>
      </bottom>
      <diagonal/>
    </border>
    <border>
      <left/>
      <right style="medium">
        <color indexed="62"/>
      </right>
      <top style="medium">
        <color indexed="62"/>
      </top>
      <bottom style="medium">
        <color indexed="62"/>
      </bottom>
      <diagonal/>
    </border>
    <border>
      <left style="medium">
        <color indexed="62"/>
      </left>
      <right/>
      <top style="thin">
        <color indexed="64"/>
      </top>
      <bottom style="thin">
        <color indexed="64"/>
      </bottom>
      <diagonal/>
    </border>
    <border>
      <left style="thin">
        <color auto="1"/>
      </left>
      <right style="thin">
        <color auto="1"/>
      </right>
      <top/>
      <bottom style="thin">
        <color auto="1"/>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2"/>
      </left>
      <right style="thin">
        <color indexed="62"/>
      </right>
      <top style="medium">
        <color indexed="62"/>
      </top>
      <bottom style="thin">
        <color indexed="62"/>
      </bottom>
      <diagonal/>
    </border>
    <border>
      <left style="medium">
        <color indexed="62"/>
      </left>
      <right style="thin">
        <color indexed="62"/>
      </right>
      <top style="medium">
        <color indexed="62"/>
      </top>
      <bottom style="thin">
        <color indexed="62"/>
      </bottom>
      <diagonal/>
    </border>
    <border>
      <left style="thin">
        <color indexed="62"/>
      </left>
      <right style="medium">
        <color indexed="62"/>
      </right>
      <top style="medium">
        <color indexed="62"/>
      </top>
      <bottom style="thin">
        <color indexed="62"/>
      </bottom>
      <diagonal/>
    </border>
    <border>
      <left/>
      <right/>
      <top/>
      <bottom style="thin">
        <color theme="0"/>
      </bottom>
      <diagonal/>
    </border>
    <border>
      <left style="medium">
        <color indexed="64"/>
      </left>
      <right/>
      <top style="medium">
        <color indexed="64"/>
      </top>
      <bottom/>
      <diagonal/>
    </border>
    <border>
      <left/>
      <right/>
      <top style="medium">
        <color indexed="64"/>
      </top>
      <bottom/>
      <diagonal/>
    </border>
    <border>
      <left style="medium">
        <color indexed="62"/>
      </left>
      <right/>
      <top style="medium">
        <color indexed="64"/>
      </top>
      <bottom style="medium">
        <color indexed="62"/>
      </bottom>
      <diagonal/>
    </border>
    <border>
      <left/>
      <right/>
      <top style="medium">
        <color indexed="64"/>
      </top>
      <bottom style="medium">
        <color indexed="62"/>
      </bottom>
      <diagonal/>
    </border>
    <border>
      <left/>
      <right style="medium">
        <color indexed="64"/>
      </right>
      <top style="medium">
        <color indexed="64"/>
      </top>
      <bottom style="medium">
        <color indexed="62"/>
      </bottom>
      <diagonal/>
    </border>
    <border>
      <left style="medium">
        <color indexed="64"/>
      </left>
      <right/>
      <top/>
      <bottom/>
      <diagonal/>
    </border>
    <border>
      <left style="thin">
        <color indexed="62"/>
      </left>
      <right style="medium">
        <color indexed="64"/>
      </right>
      <top style="medium">
        <color indexed="62"/>
      </top>
      <bottom/>
      <diagonal/>
    </border>
    <border>
      <left style="medium">
        <color indexed="62"/>
      </left>
      <right style="thin">
        <color indexed="62"/>
      </right>
      <top/>
      <bottom style="thin">
        <color indexed="62"/>
      </bottom>
      <diagonal/>
    </border>
    <border>
      <left style="thin">
        <color indexed="62"/>
      </left>
      <right style="thin">
        <color indexed="62"/>
      </right>
      <top/>
      <bottom style="thin">
        <color indexed="62"/>
      </bottom>
      <diagonal/>
    </border>
    <border>
      <left style="thin">
        <color indexed="62"/>
      </left>
      <right style="medium">
        <color indexed="64"/>
      </right>
      <top/>
      <bottom style="thin">
        <color indexed="62"/>
      </bottom>
      <diagonal/>
    </border>
    <border>
      <left style="thin">
        <color indexed="62"/>
      </left>
      <right style="medium">
        <color indexed="64"/>
      </right>
      <top style="thin">
        <color indexed="62"/>
      </top>
      <bottom/>
      <diagonal/>
    </border>
    <border>
      <left/>
      <right style="medium">
        <color indexed="64"/>
      </right>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theme="3"/>
      </left>
      <right/>
      <top style="thick">
        <color theme="3"/>
      </top>
      <bottom/>
      <diagonal/>
    </border>
    <border>
      <left/>
      <right/>
      <top style="thick">
        <color theme="3"/>
      </top>
      <bottom/>
      <diagonal/>
    </border>
    <border>
      <left/>
      <right style="thick">
        <color theme="3"/>
      </right>
      <top style="thick">
        <color theme="3"/>
      </top>
      <bottom/>
      <diagonal/>
    </border>
    <border>
      <left style="thick">
        <color theme="3"/>
      </left>
      <right/>
      <top/>
      <bottom/>
      <diagonal/>
    </border>
    <border>
      <left/>
      <right style="thick">
        <color theme="3"/>
      </right>
      <top/>
      <bottom/>
      <diagonal/>
    </border>
    <border>
      <left style="thick">
        <color theme="3"/>
      </left>
      <right/>
      <top/>
      <bottom style="thick">
        <color theme="3"/>
      </bottom>
      <diagonal/>
    </border>
    <border>
      <left/>
      <right/>
      <top/>
      <bottom style="thick">
        <color theme="3"/>
      </bottom>
      <diagonal/>
    </border>
    <border>
      <left/>
      <right style="thick">
        <color theme="3"/>
      </right>
      <top/>
      <bottom style="thick">
        <color theme="3"/>
      </bottom>
      <diagonal/>
    </border>
    <border>
      <left style="thin">
        <color indexed="62"/>
      </left>
      <right style="thin">
        <color indexed="62"/>
      </right>
      <top/>
      <bottom/>
      <diagonal/>
    </border>
    <border>
      <left style="thin">
        <color indexed="62"/>
      </left>
      <right style="medium">
        <color indexed="62"/>
      </right>
      <top/>
      <bottom/>
      <diagonal/>
    </border>
    <border>
      <left/>
      <right style="medium">
        <color indexed="64"/>
      </right>
      <top style="medium">
        <color indexed="64"/>
      </top>
      <bottom/>
      <diagonal/>
    </border>
    <border>
      <left/>
      <right/>
      <top style="thin">
        <color theme="0"/>
      </top>
      <bottom style="medium">
        <color indexed="64"/>
      </bottom>
      <diagonal/>
    </border>
    <border>
      <left style="medium">
        <color indexed="64"/>
      </left>
      <right/>
      <top/>
      <bottom style="thin">
        <color theme="0"/>
      </bottom>
      <diagonal/>
    </border>
    <border>
      <left/>
      <right style="medium">
        <color indexed="64"/>
      </right>
      <top/>
      <bottom style="thin">
        <color theme="0"/>
      </bottom>
      <diagonal/>
    </border>
    <border>
      <left style="thin">
        <color indexed="62"/>
      </left>
      <right/>
      <top/>
      <bottom/>
      <diagonal/>
    </border>
    <border>
      <left style="medium">
        <color theme="3"/>
      </left>
      <right/>
      <top style="medium">
        <color theme="3"/>
      </top>
      <bottom/>
      <diagonal/>
    </border>
    <border>
      <left/>
      <right/>
      <top style="medium">
        <color theme="3"/>
      </top>
      <bottom/>
      <diagonal/>
    </border>
    <border>
      <left/>
      <right style="medium">
        <color theme="3"/>
      </right>
      <top style="medium">
        <color theme="3"/>
      </top>
      <bottom/>
      <diagonal/>
    </border>
    <border>
      <left style="medium">
        <color theme="3"/>
      </left>
      <right/>
      <top/>
      <bottom style="medium">
        <color theme="3"/>
      </bottom>
      <diagonal/>
    </border>
    <border>
      <left/>
      <right/>
      <top/>
      <bottom style="medium">
        <color theme="3"/>
      </bottom>
      <diagonal/>
    </border>
    <border>
      <left/>
      <right style="medium">
        <color theme="3"/>
      </right>
      <top/>
      <bottom style="medium">
        <color theme="3"/>
      </bottom>
      <diagonal/>
    </border>
    <border>
      <left style="medium">
        <color theme="3"/>
      </left>
      <right/>
      <top/>
      <bottom/>
      <diagonal/>
    </border>
    <border>
      <left style="thick">
        <color theme="3"/>
      </left>
      <right/>
      <top style="medium">
        <color theme="3"/>
      </top>
      <bottom/>
      <diagonal/>
    </border>
    <border>
      <left/>
      <right style="medium">
        <color theme="3"/>
      </right>
      <top/>
      <bottom style="thick">
        <color theme="3"/>
      </bottom>
      <diagonal/>
    </border>
    <border>
      <left style="medium">
        <color theme="3"/>
      </left>
      <right/>
      <top/>
      <bottom style="thick">
        <color theme="3"/>
      </bottom>
      <diagonal/>
    </border>
    <border>
      <left/>
      <right style="thick">
        <color theme="3"/>
      </right>
      <top style="medium">
        <color theme="3"/>
      </top>
      <bottom/>
      <diagonal/>
    </border>
    <border>
      <left/>
      <right/>
      <top/>
      <bottom style="thin">
        <color theme="3"/>
      </bottom>
      <diagonal/>
    </border>
    <border>
      <left style="medium">
        <color theme="3"/>
      </left>
      <right style="thin">
        <color theme="3"/>
      </right>
      <top style="medium">
        <color theme="3"/>
      </top>
      <bottom/>
      <diagonal/>
    </border>
    <border>
      <left style="medium">
        <color theme="3"/>
      </left>
      <right style="thin">
        <color theme="3"/>
      </right>
      <top/>
      <bottom style="thin">
        <color theme="3"/>
      </bottom>
      <diagonal/>
    </border>
    <border>
      <left style="medium">
        <color theme="3"/>
      </left>
      <right style="thin">
        <color indexed="62"/>
      </right>
      <top/>
      <bottom/>
      <diagonal/>
    </border>
    <border>
      <left style="medium">
        <color theme="3"/>
      </left>
      <right style="thin">
        <color indexed="62"/>
      </right>
      <top/>
      <bottom style="medium">
        <color theme="3"/>
      </bottom>
      <diagonal/>
    </border>
    <border>
      <left style="thin">
        <color indexed="62"/>
      </left>
      <right/>
      <top/>
      <bottom style="medium">
        <color theme="3"/>
      </bottom>
      <diagonal/>
    </border>
    <border>
      <left/>
      <right style="thin">
        <color indexed="62"/>
      </right>
      <top/>
      <bottom style="medium">
        <color theme="3"/>
      </bottom>
      <diagonal/>
    </border>
    <border>
      <left/>
      <right style="medium">
        <color theme="3"/>
      </right>
      <top/>
      <bottom/>
      <diagonal/>
    </border>
    <border>
      <left style="medium">
        <color theme="3"/>
      </left>
      <right/>
      <top style="thick">
        <color theme="3"/>
      </top>
      <bottom/>
      <diagonal/>
    </border>
    <border>
      <left style="thin">
        <color theme="3"/>
      </left>
      <right style="thick">
        <color theme="3"/>
      </right>
      <top style="medium">
        <color theme="3"/>
      </top>
      <bottom/>
      <diagonal/>
    </border>
    <border>
      <left style="thin">
        <color theme="3"/>
      </left>
      <right style="thick">
        <color theme="3"/>
      </right>
      <top/>
      <bottom style="thin">
        <color theme="3"/>
      </bottom>
      <diagonal/>
    </border>
    <border>
      <left style="thin">
        <color indexed="62"/>
      </left>
      <right style="thick">
        <color theme="3"/>
      </right>
      <top/>
      <bottom/>
      <diagonal/>
    </border>
    <border>
      <left style="thin">
        <color indexed="62"/>
      </left>
      <right style="thick">
        <color theme="3"/>
      </right>
      <top/>
      <bottom style="medium">
        <color theme="3"/>
      </bottom>
      <diagonal/>
    </border>
    <border>
      <left style="thick">
        <color theme="3"/>
      </left>
      <right/>
      <top/>
      <bottom style="medium">
        <color theme="3"/>
      </bottom>
      <diagonal/>
    </border>
    <border>
      <left/>
      <right style="thick">
        <color theme="3"/>
      </right>
      <top/>
      <bottom style="medium">
        <color theme="3"/>
      </bottom>
      <diagonal/>
    </border>
    <border>
      <left/>
      <right style="medium">
        <color theme="3"/>
      </right>
      <top/>
      <bottom style="medium">
        <color indexed="64"/>
      </bottom>
      <diagonal/>
    </border>
    <border>
      <left style="medium">
        <color theme="3"/>
      </left>
      <right/>
      <top style="medium">
        <color indexed="64"/>
      </top>
      <bottom/>
      <diagonal/>
    </border>
    <border>
      <left style="thin">
        <color theme="3"/>
      </left>
      <right style="medium">
        <color indexed="64"/>
      </right>
      <top style="medium">
        <color theme="3"/>
      </top>
      <bottom/>
      <diagonal/>
    </border>
    <border>
      <left style="thin">
        <color theme="3"/>
      </left>
      <right style="medium">
        <color indexed="64"/>
      </right>
      <top/>
      <bottom style="thin">
        <color theme="3"/>
      </bottom>
      <diagonal/>
    </border>
    <border>
      <left style="thin">
        <color indexed="62"/>
      </left>
      <right style="medium">
        <color indexed="64"/>
      </right>
      <top/>
      <bottom/>
      <diagonal/>
    </border>
    <border>
      <left style="thin">
        <color indexed="62"/>
      </left>
      <right style="medium">
        <color indexed="64"/>
      </right>
      <top/>
      <bottom style="medium">
        <color theme="3"/>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2"/>
      </left>
      <right style="thin">
        <color indexed="62"/>
      </right>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auto="1"/>
      </left>
      <right style="thin">
        <color auto="1"/>
      </right>
      <top/>
      <bottom style="thin">
        <color auto="1"/>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thin">
        <color indexed="21"/>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0" fontId="1" fillId="0" borderId="0"/>
  </cellStyleXfs>
  <cellXfs count="1354">
    <xf numFmtId="0" fontId="0" fillId="0" borderId="0" xfId="0"/>
    <xf numFmtId="0" fontId="2" fillId="2" borderId="0" xfId="0" applyFont="1" applyFill="1"/>
    <xf numFmtId="0" fontId="7" fillId="0" borderId="0" xfId="0" applyFont="1" applyAlignment="1">
      <alignment horizontal="center"/>
    </xf>
    <xf numFmtId="0" fontId="7" fillId="3" borderId="1" xfId="0" applyFont="1" applyFill="1" applyBorder="1" applyAlignment="1">
      <alignment horizontal="center"/>
    </xf>
    <xf numFmtId="0" fontId="13" fillId="2" borderId="2" xfId="0" applyFont="1" applyFill="1" applyBorder="1" applyAlignment="1">
      <alignment horizontal="center"/>
    </xf>
    <xf numFmtId="2" fontId="13" fillId="3" borderId="1" xfId="0" applyNumberFormat="1" applyFont="1" applyFill="1" applyBorder="1" applyAlignment="1">
      <alignment horizontal="center"/>
    </xf>
    <xf numFmtId="1" fontId="7" fillId="2" borderId="1" xfId="0" applyNumberFormat="1" applyFont="1" applyFill="1" applyBorder="1" applyAlignment="1">
      <alignment horizontal="center"/>
    </xf>
    <xf numFmtId="1" fontId="11" fillId="3" borderId="1" xfId="0" applyNumberFormat="1" applyFont="1" applyFill="1" applyBorder="1" applyAlignment="1">
      <alignment horizontal="center"/>
    </xf>
    <xf numFmtId="0" fontId="12" fillId="3" borderId="1" xfId="0" applyFont="1" applyFill="1" applyBorder="1" applyAlignment="1">
      <alignment horizontal="center"/>
    </xf>
    <xf numFmtId="0" fontId="12" fillId="2" borderId="2" xfId="0" applyFont="1" applyFill="1" applyBorder="1" applyAlignment="1">
      <alignment horizontal="center"/>
    </xf>
    <xf numFmtId="0" fontId="12" fillId="2" borderId="1" xfId="0" applyFont="1" applyFill="1" applyBorder="1" applyAlignment="1">
      <alignment horizontal="center"/>
    </xf>
    <xf numFmtId="0" fontId="9" fillId="2" borderId="2" xfId="0" applyFont="1" applyFill="1" applyBorder="1" applyAlignment="1">
      <alignment horizontal="center"/>
    </xf>
    <xf numFmtId="166" fontId="9" fillId="3" borderId="1" xfId="0" applyNumberFormat="1" applyFont="1" applyFill="1" applyBorder="1" applyAlignment="1">
      <alignment horizontal="center"/>
    </xf>
    <xf numFmtId="0" fontId="7" fillId="2" borderId="1" xfId="0" applyFont="1" applyFill="1" applyBorder="1" applyAlignment="1">
      <alignment horizontal="center"/>
    </xf>
    <xf numFmtId="0" fontId="7" fillId="2" borderId="2" xfId="0" applyFont="1" applyFill="1" applyBorder="1" applyAlignment="1">
      <alignment horizontal="center"/>
    </xf>
    <xf numFmtId="0" fontId="7" fillId="0" borderId="3" xfId="0" applyFont="1" applyBorder="1"/>
    <xf numFmtId="0" fontId="9" fillId="0" borderId="0" xfId="0" applyFont="1" applyAlignment="1">
      <alignment horizontal="center"/>
    </xf>
    <xf numFmtId="0" fontId="7" fillId="0" borderId="0" xfId="0" applyFont="1" applyAlignment="1" applyProtection="1">
      <alignment horizontal="right"/>
    </xf>
    <xf numFmtId="0" fontId="0" fillId="0" borderId="0" xfId="0" applyProtection="1"/>
    <xf numFmtId="0" fontId="7" fillId="0" borderId="0" xfId="0" applyFont="1" applyAlignment="1" applyProtection="1">
      <alignment horizontal="center"/>
    </xf>
    <xf numFmtId="0" fontId="7" fillId="0" borderId="0" xfId="0" applyFont="1" applyAlignment="1" applyProtection="1">
      <alignment horizontal="centerContinuous"/>
    </xf>
    <xf numFmtId="0" fontId="11" fillId="0" borderId="0" xfId="0" applyFont="1" applyAlignment="1" applyProtection="1">
      <alignment horizontal="center"/>
    </xf>
    <xf numFmtId="0" fontId="12" fillId="0" borderId="0" xfId="0" applyFont="1" applyAlignment="1" applyProtection="1">
      <alignment horizontal="center"/>
    </xf>
    <xf numFmtId="0" fontId="13" fillId="0" borderId="0" xfId="0" applyFont="1" applyAlignment="1" applyProtection="1">
      <alignment horizontal="center"/>
    </xf>
    <xf numFmtId="0" fontId="7" fillId="0" borderId="0" xfId="0" applyFont="1" applyAlignment="1" applyProtection="1">
      <alignment horizontal="left"/>
    </xf>
    <xf numFmtId="165" fontId="7" fillId="0" borderId="0" xfId="0" applyNumberFormat="1" applyFont="1" applyProtection="1"/>
    <xf numFmtId="0" fontId="2" fillId="0" borderId="0" xfId="0" applyFont="1" applyAlignment="1" applyProtection="1">
      <alignment horizontal="center"/>
    </xf>
    <xf numFmtId="0" fontId="2" fillId="2" borderId="0" xfId="0" applyFont="1" applyFill="1" applyProtection="1"/>
    <xf numFmtId="0" fontId="7" fillId="2" borderId="0" xfId="0" applyFont="1" applyFill="1" applyBorder="1" applyProtection="1"/>
    <xf numFmtId="0" fontId="3" fillId="2" borderId="0" xfId="0" applyFont="1" applyFill="1" applyBorder="1" applyProtection="1"/>
    <xf numFmtId="166" fontId="7" fillId="2" borderId="0" xfId="0" applyNumberFormat="1" applyFont="1" applyFill="1" applyBorder="1" applyProtection="1"/>
    <xf numFmtId="0" fontId="8" fillId="0" borderId="0" xfId="0" applyFont="1" applyProtection="1"/>
    <xf numFmtId="0" fontId="12" fillId="2" borderId="1" xfId="0" applyNumberFormat="1" applyFont="1" applyFill="1" applyBorder="1" applyAlignment="1">
      <alignment horizontal="center"/>
    </xf>
    <xf numFmtId="1" fontId="22" fillId="0" borderId="0" xfId="0" applyNumberFormat="1" applyFont="1" applyFill="1" applyBorder="1"/>
    <xf numFmtId="0" fontId="8" fillId="0" borderId="0" xfId="0" applyFont="1" applyFill="1" applyBorder="1"/>
    <xf numFmtId="0" fontId="0" fillId="0" borderId="0" xfId="0" applyFill="1" applyBorder="1"/>
    <xf numFmtId="1" fontId="26" fillId="0" borderId="0" xfId="0" applyNumberFormat="1" applyFont="1" applyFill="1" applyBorder="1"/>
    <xf numFmtId="0" fontId="0" fillId="0" borderId="0" xfId="0" applyFill="1" applyBorder="1" applyProtection="1"/>
    <xf numFmtId="1" fontId="8" fillId="0" borderId="0" xfId="0" applyNumberFormat="1" applyFont="1" applyFill="1" applyBorder="1" applyAlignment="1">
      <alignment horizontal="right"/>
    </xf>
    <xf numFmtId="1" fontId="8" fillId="0" borderId="0" xfId="0" applyNumberFormat="1" applyFont="1" applyFill="1" applyBorder="1"/>
    <xf numFmtId="0" fontId="27" fillId="0" borderId="0" xfId="0" applyFont="1"/>
    <xf numFmtId="0" fontId="0" fillId="0" borderId="0" xfId="0" applyFill="1"/>
    <xf numFmtId="0" fontId="2" fillId="0" borderId="0" xfId="0" applyFont="1" applyFill="1"/>
    <xf numFmtId="0" fontId="7" fillId="0" borderId="0" xfId="0" applyFont="1" applyFill="1"/>
    <xf numFmtId="2" fontId="13" fillId="0" borderId="0" xfId="0" applyNumberFormat="1" applyFont="1" applyFill="1" applyAlignment="1">
      <alignment horizontal="center"/>
    </xf>
    <xf numFmtId="0" fontId="7" fillId="0" borderId="0" xfId="0" applyFont="1" applyFill="1" applyAlignment="1">
      <alignment horizontal="right"/>
    </xf>
    <xf numFmtId="0" fontId="20" fillId="0" borderId="0" xfId="0" applyFont="1" applyFill="1" applyAlignment="1">
      <alignment horizontal="left"/>
    </xf>
    <xf numFmtId="0" fontId="7" fillId="0" borderId="0" xfId="0" applyFont="1" applyFill="1" applyAlignment="1">
      <alignment horizontal="center"/>
    </xf>
    <xf numFmtId="0" fontId="21" fillId="0" borderId="0" xfId="0" applyFont="1" applyFill="1"/>
    <xf numFmtId="2" fontId="7" fillId="0" borderId="0" xfId="0" applyNumberFormat="1" applyFont="1" applyFill="1" applyAlignment="1">
      <alignment horizontal="right"/>
    </xf>
    <xf numFmtId="165" fontId="7" fillId="0" borderId="0" xfId="0" applyNumberFormat="1" applyFont="1" applyFill="1" applyAlignment="1">
      <alignment horizontal="center"/>
    </xf>
    <xf numFmtId="0" fontId="9" fillId="0" borderId="0" xfId="0" applyFont="1" applyFill="1" applyAlignment="1">
      <alignment horizontal="right"/>
    </xf>
    <xf numFmtId="168" fontId="9" fillId="0" borderId="0" xfId="0" applyNumberFormat="1" applyFont="1" applyFill="1" applyAlignment="1">
      <alignment horizontal="center"/>
    </xf>
    <xf numFmtId="0" fontId="20" fillId="0" borderId="0" xfId="0" applyFont="1" applyFill="1" applyAlignment="1">
      <alignment horizontal="right"/>
    </xf>
    <xf numFmtId="0" fontId="7" fillId="0" borderId="0" xfId="0" applyFont="1"/>
    <xf numFmtId="166" fontId="0" fillId="0" borderId="0" xfId="0" applyNumberFormat="1"/>
    <xf numFmtId="0" fontId="7" fillId="4" borderId="1" xfId="0" applyFont="1" applyFill="1" applyBorder="1" applyAlignment="1">
      <alignment horizontal="center"/>
    </xf>
    <xf numFmtId="1" fontId="7" fillId="5" borderId="1" xfId="0" applyNumberFormat="1" applyFont="1" applyFill="1" applyBorder="1" applyAlignment="1">
      <alignment horizontal="center"/>
    </xf>
    <xf numFmtId="0" fontId="12" fillId="4" borderId="1" xfId="0" applyFont="1" applyFill="1" applyBorder="1" applyAlignment="1">
      <alignment horizontal="center"/>
    </xf>
    <xf numFmtId="0" fontId="7" fillId="5" borderId="1" xfId="0" applyFont="1" applyFill="1" applyBorder="1" applyAlignment="1">
      <alignment horizontal="center"/>
    </xf>
    <xf numFmtId="0" fontId="7" fillId="4" borderId="3" xfId="0" applyFont="1" applyFill="1" applyBorder="1"/>
    <xf numFmtId="0" fontId="9" fillId="4" borderId="1" xfId="0" applyFont="1" applyFill="1" applyBorder="1" applyAlignment="1">
      <alignment horizontal="center"/>
    </xf>
    <xf numFmtId="2" fontId="9" fillId="4" borderId="4" xfId="0" applyNumberFormat="1" applyFont="1" applyFill="1" applyBorder="1" applyAlignment="1">
      <alignment horizontal="center"/>
    </xf>
    <xf numFmtId="0" fontId="7" fillId="0" borderId="0" xfId="0" applyFont="1" applyFill="1" applyBorder="1"/>
    <xf numFmtId="0" fontId="7" fillId="0" borderId="0" xfId="0" applyFont="1" applyBorder="1" applyAlignment="1">
      <alignment horizontal="center"/>
    </xf>
    <xf numFmtId="0" fontId="38" fillId="0" borderId="0" xfId="0" applyFont="1" applyAlignment="1">
      <alignment horizontal="center"/>
    </xf>
    <xf numFmtId="2" fontId="38" fillId="0" borderId="0" xfId="0" applyNumberFormat="1" applyFont="1" applyAlignment="1">
      <alignment horizontal="center"/>
    </xf>
    <xf numFmtId="0" fontId="39" fillId="0" borderId="0" xfId="0" applyFont="1"/>
    <xf numFmtId="0" fontId="4" fillId="0" borderId="0" xfId="0" applyFont="1" applyAlignment="1" applyProtection="1">
      <alignment horizontal="right"/>
    </xf>
    <xf numFmtId="0" fontId="0" fillId="0" borderId="0" xfId="0" applyAlignment="1">
      <alignment horizontal="left"/>
    </xf>
    <xf numFmtId="0" fontId="0" fillId="0" borderId="0" xfId="0" applyAlignment="1">
      <alignment horizontal="center"/>
    </xf>
    <xf numFmtId="0" fontId="0" fillId="0" borderId="0" xfId="0" applyAlignment="1">
      <alignment vertical="center"/>
    </xf>
    <xf numFmtId="165" fontId="7" fillId="0" borderId="0" xfId="0" applyNumberFormat="1" applyFont="1" applyAlignment="1" applyProtection="1">
      <alignment horizontal="left"/>
    </xf>
    <xf numFmtId="0" fontId="8" fillId="0" borderId="0" xfId="0" applyFont="1" applyFill="1"/>
    <xf numFmtId="1" fontId="56" fillId="4" borderId="8" xfId="0" applyNumberFormat="1" applyFont="1" applyFill="1" applyBorder="1" applyAlignment="1" applyProtection="1">
      <alignment horizontal="center" vertical="center"/>
    </xf>
    <xf numFmtId="1" fontId="56" fillId="4" borderId="10" xfId="0" applyNumberFormat="1" applyFont="1" applyFill="1" applyBorder="1" applyAlignment="1" applyProtection="1">
      <alignment horizontal="center"/>
    </xf>
    <xf numFmtId="1" fontId="44" fillId="4" borderId="0" xfId="0" applyNumberFormat="1" applyFont="1" applyFill="1" applyBorder="1" applyProtection="1"/>
    <xf numFmtId="0" fontId="49" fillId="4" borderId="0" xfId="0" applyFont="1" applyFill="1" applyBorder="1" applyProtection="1"/>
    <xf numFmtId="1" fontId="49" fillId="4" borderId="0" xfId="0" applyNumberFormat="1" applyFont="1" applyFill="1" applyBorder="1" applyProtection="1"/>
    <xf numFmtId="1" fontId="51" fillId="4" borderId="0" xfId="0" applyNumberFormat="1" applyFont="1" applyFill="1" applyBorder="1" applyProtection="1"/>
    <xf numFmtId="1" fontId="44" fillId="4" borderId="11" xfId="0" applyNumberFormat="1" applyFont="1" applyFill="1" applyBorder="1" applyAlignment="1" applyProtection="1">
      <alignment horizontal="left"/>
    </xf>
    <xf numFmtId="1" fontId="44" fillId="4" borderId="12" xfId="0" applyNumberFormat="1" applyFont="1" applyFill="1" applyBorder="1" applyProtection="1"/>
    <xf numFmtId="1" fontId="44" fillId="4" borderId="13" xfId="0" applyNumberFormat="1" applyFont="1" applyFill="1" applyBorder="1" applyAlignment="1" applyProtection="1">
      <alignment horizontal="left"/>
    </xf>
    <xf numFmtId="1" fontId="44" fillId="4" borderId="17" xfId="0" applyNumberFormat="1" applyFont="1" applyFill="1" applyBorder="1" applyProtection="1"/>
    <xf numFmtId="1" fontId="44" fillId="4" borderId="18" xfId="0" applyNumberFormat="1" applyFont="1" applyFill="1" applyBorder="1" applyProtection="1"/>
    <xf numFmtId="1" fontId="44" fillId="4" borderId="19" xfId="0" applyNumberFormat="1" applyFont="1" applyFill="1" applyBorder="1" applyProtection="1"/>
    <xf numFmtId="0" fontId="44" fillId="4" borderId="0" xfId="0" applyFont="1" applyFill="1" applyBorder="1" applyAlignment="1"/>
    <xf numFmtId="0" fontId="7" fillId="0" borderId="0" xfId="0" applyFont="1" applyFill="1" applyProtection="1"/>
    <xf numFmtId="0" fontId="7" fillId="0" borderId="0" xfId="0" applyFont="1" applyFill="1" applyAlignment="1" applyProtection="1">
      <alignment horizontal="center"/>
    </xf>
    <xf numFmtId="0" fontId="43" fillId="0" borderId="0" xfId="0" applyFont="1" applyFill="1" applyAlignment="1" applyProtection="1">
      <alignment horizontal="left"/>
    </xf>
    <xf numFmtId="0" fontId="45" fillId="0" borderId="0" xfId="0" applyFont="1" applyFill="1" applyAlignment="1" applyProtection="1">
      <alignment horizontal="left"/>
    </xf>
    <xf numFmtId="0" fontId="44" fillId="0" borderId="0" xfId="0" applyFont="1" applyFill="1" applyProtection="1"/>
    <xf numFmtId="0" fontId="48" fillId="0" borderId="0" xfId="0" applyFont="1" applyFill="1" applyBorder="1" applyAlignment="1" applyProtection="1">
      <alignment horizontal="left"/>
    </xf>
    <xf numFmtId="0" fontId="24" fillId="0" borderId="0" xfId="0" applyFont="1" applyFill="1" applyBorder="1" applyAlignment="1" applyProtection="1">
      <alignment horizontal="left"/>
    </xf>
    <xf numFmtId="0" fontId="12" fillId="0" borderId="0" xfId="0" applyFont="1" applyFill="1" applyBorder="1" applyAlignment="1" applyProtection="1">
      <alignment horizontal="left"/>
    </xf>
    <xf numFmtId="0" fontId="50" fillId="0" borderId="0" xfId="0" applyFont="1" applyFill="1" applyBorder="1" applyProtection="1"/>
    <xf numFmtId="0" fontId="44" fillId="0" borderId="0" xfId="0" applyFont="1" applyFill="1" applyBorder="1" applyProtection="1"/>
    <xf numFmtId="0" fontId="7" fillId="6" borderId="0" xfId="0" applyFont="1" applyFill="1" applyBorder="1" applyAlignment="1" applyProtection="1">
      <alignment horizontal="right"/>
    </xf>
    <xf numFmtId="0" fontId="0" fillId="6" borderId="0" xfId="0" applyFill="1" applyBorder="1" applyProtection="1"/>
    <xf numFmtId="0" fontId="15" fillId="6" borderId="0" xfId="0" applyFont="1" applyFill="1" applyBorder="1" applyAlignment="1" applyProtection="1">
      <alignment horizontal="center"/>
      <protection locked="0"/>
    </xf>
    <xf numFmtId="0" fontId="8" fillId="6" borderId="0" xfId="0" applyFont="1" applyFill="1" applyBorder="1" applyAlignment="1" applyProtection="1">
      <alignment horizontal="left"/>
    </xf>
    <xf numFmtId="0" fontId="7" fillId="6" borderId="0" xfId="0" applyFont="1" applyFill="1" applyBorder="1" applyAlignment="1" applyProtection="1">
      <alignment horizontal="center"/>
    </xf>
    <xf numFmtId="0" fontId="7" fillId="6" borderId="0" xfId="0" applyFont="1" applyFill="1" applyBorder="1" applyAlignment="1" applyProtection="1">
      <alignment horizontal="left"/>
    </xf>
    <xf numFmtId="0" fontId="44" fillId="6" borderId="0" xfId="0" applyFont="1" applyFill="1" applyBorder="1" applyAlignment="1" applyProtection="1">
      <alignment horizontal="left"/>
    </xf>
    <xf numFmtId="0" fontId="47" fillId="6" borderId="0" xfId="0" applyFont="1" applyFill="1" applyBorder="1" applyProtection="1"/>
    <xf numFmtId="0" fontId="9" fillId="6" borderId="0" xfId="0" applyFont="1" applyFill="1" applyBorder="1" applyAlignment="1" applyProtection="1">
      <alignment horizontal="right"/>
    </xf>
    <xf numFmtId="0" fontId="7" fillId="6" borderId="0" xfId="0" applyFont="1" applyFill="1" applyBorder="1" applyProtection="1"/>
    <xf numFmtId="1" fontId="7" fillId="6" borderId="4" xfId="0" applyNumberFormat="1" applyFont="1" applyFill="1" applyBorder="1" applyAlignment="1" applyProtection="1">
      <alignment horizontal="center"/>
    </xf>
    <xf numFmtId="2" fontId="7" fillId="6" borderId="4" xfId="0" applyNumberFormat="1" applyFont="1" applyFill="1" applyBorder="1" applyAlignment="1" applyProtection="1">
      <alignment horizontal="center"/>
    </xf>
    <xf numFmtId="0" fontId="7" fillId="6" borderId="4" xfId="0" applyFont="1" applyFill="1" applyBorder="1" applyAlignment="1" applyProtection="1">
      <alignment horizontal="center"/>
    </xf>
    <xf numFmtId="2" fontId="7" fillId="6" borderId="1" xfId="0" applyNumberFormat="1" applyFont="1" applyFill="1" applyBorder="1" applyAlignment="1" applyProtection="1">
      <alignment horizontal="center"/>
    </xf>
    <xf numFmtId="0" fontId="7" fillId="6" borderId="1" xfId="0" applyFont="1" applyFill="1" applyBorder="1" applyAlignment="1" applyProtection="1">
      <alignment horizontal="center"/>
    </xf>
    <xf numFmtId="1" fontId="7" fillId="6" borderId="1" xfId="0" applyNumberFormat="1" applyFont="1" applyFill="1" applyBorder="1" applyAlignment="1" applyProtection="1">
      <alignment horizontal="center"/>
    </xf>
    <xf numFmtId="1" fontId="11" fillId="6" borderId="0" xfId="0" applyNumberFormat="1" applyFont="1" applyFill="1" applyBorder="1" applyAlignment="1" applyProtection="1">
      <alignment horizontal="center"/>
    </xf>
    <xf numFmtId="166" fontId="11" fillId="6" borderId="0" xfId="0" applyNumberFormat="1" applyFont="1" applyFill="1" applyBorder="1" applyAlignment="1" applyProtection="1">
      <alignment horizontal="center"/>
    </xf>
    <xf numFmtId="166" fontId="7" fillId="6" borderId="4" xfId="0" applyNumberFormat="1" applyFont="1" applyFill="1" applyBorder="1" applyAlignment="1" applyProtection="1">
      <alignment horizontal="center"/>
    </xf>
    <xf numFmtId="166" fontId="7" fillId="6" borderId="1" xfId="0" applyNumberFormat="1" applyFont="1" applyFill="1" applyBorder="1" applyAlignment="1" applyProtection="1">
      <alignment horizontal="center"/>
    </xf>
    <xf numFmtId="0" fontId="44" fillId="4" borderId="10" xfId="0" applyFont="1" applyFill="1" applyBorder="1" applyProtection="1"/>
    <xf numFmtId="0" fontId="7" fillId="6" borderId="9" xfId="0" applyFont="1" applyFill="1" applyBorder="1" applyProtection="1"/>
    <xf numFmtId="0" fontId="7" fillId="6" borderId="23" xfId="0" applyFont="1" applyFill="1" applyBorder="1" applyProtection="1"/>
    <xf numFmtId="0" fontId="7" fillId="6" borderId="24" xfId="0" applyFont="1" applyFill="1" applyBorder="1" applyProtection="1"/>
    <xf numFmtId="0" fontId="7" fillId="6" borderId="10" xfId="0" applyFont="1" applyFill="1" applyBorder="1" applyProtection="1"/>
    <xf numFmtId="1" fontId="25" fillId="6" borderId="0" xfId="0" applyNumberFormat="1" applyFont="1" applyFill="1" applyBorder="1" applyAlignment="1" applyProtection="1">
      <alignment horizontal="right"/>
    </xf>
    <xf numFmtId="0" fontId="49" fillId="6" borderId="28" xfId="0" applyFont="1" applyFill="1" applyBorder="1" applyAlignment="1" applyProtection="1">
      <alignment horizontal="centerContinuous"/>
    </xf>
    <xf numFmtId="0" fontId="61" fillId="4" borderId="4" xfId="0" applyFont="1" applyFill="1" applyBorder="1" applyAlignment="1" applyProtection="1">
      <alignment horizontal="center"/>
    </xf>
    <xf numFmtId="0" fontId="61" fillId="4" borderId="3" xfId="0" applyFont="1" applyFill="1" applyBorder="1" applyAlignment="1" applyProtection="1">
      <alignment horizontal="center"/>
    </xf>
    <xf numFmtId="0" fontId="64" fillId="4" borderId="30" xfId="0" applyFont="1" applyFill="1" applyBorder="1" applyAlignment="1" applyProtection="1">
      <alignment horizontal="center"/>
    </xf>
    <xf numFmtId="0" fontId="68" fillId="6" borderId="0" xfId="0" applyFont="1" applyFill="1" applyBorder="1" applyAlignment="1" applyProtection="1">
      <alignment horizontal="left"/>
    </xf>
    <xf numFmtId="0" fontId="64" fillId="5" borderId="21" xfId="0" applyFont="1" applyFill="1" applyBorder="1" applyAlignment="1" applyProtection="1">
      <alignment horizontal="centerContinuous"/>
    </xf>
    <xf numFmtId="0" fontId="61" fillId="5" borderId="22" xfId="0" applyFont="1" applyFill="1" applyBorder="1" applyAlignment="1" applyProtection="1">
      <alignment horizontal="centerContinuous"/>
    </xf>
    <xf numFmtId="0" fontId="64" fillId="4" borderId="31" xfId="0" applyFont="1" applyFill="1" applyBorder="1" applyAlignment="1" applyProtection="1">
      <alignment horizontal="centerContinuous"/>
    </xf>
    <xf numFmtId="0" fontId="64" fillId="4" borderId="32" xfId="0" applyFont="1" applyFill="1" applyBorder="1" applyAlignment="1" applyProtection="1">
      <alignment horizontal="centerContinuous"/>
    </xf>
    <xf numFmtId="0" fontId="64" fillId="4" borderId="4" xfId="0" applyFont="1" applyFill="1" applyBorder="1" applyAlignment="1" applyProtection="1">
      <alignment horizontal="center"/>
    </xf>
    <xf numFmtId="0" fontId="64" fillId="4" borderId="22" xfId="0" applyFont="1" applyFill="1" applyBorder="1" applyAlignment="1" applyProtection="1">
      <alignment horizontal="centerContinuous"/>
    </xf>
    <xf numFmtId="0" fontId="64" fillId="4" borderId="21" xfId="0" applyFont="1" applyFill="1" applyBorder="1" applyAlignment="1" applyProtection="1">
      <alignment horizontal="centerContinuous"/>
    </xf>
    <xf numFmtId="0" fontId="64" fillId="5" borderId="22" xfId="0" applyFont="1" applyFill="1" applyBorder="1" applyAlignment="1" applyProtection="1">
      <alignment horizontal="centerContinuous"/>
    </xf>
    <xf numFmtId="0" fontId="64" fillId="5" borderId="21" xfId="0" applyFont="1" applyFill="1" applyBorder="1" applyAlignment="1" applyProtection="1">
      <alignment horizontal="centerContinuous" vertical="center"/>
    </xf>
    <xf numFmtId="0" fontId="64" fillId="5" borderId="22" xfId="0" applyFont="1" applyFill="1" applyBorder="1" applyAlignment="1" applyProtection="1">
      <alignment horizontal="centerContinuous" vertical="center"/>
    </xf>
    <xf numFmtId="0" fontId="68" fillId="4" borderId="30" xfId="0" applyFont="1" applyFill="1" applyBorder="1" applyAlignment="1" applyProtection="1">
      <alignment horizontal="center"/>
    </xf>
    <xf numFmtId="0" fontId="60" fillId="6" borderId="4" xfId="0" applyFont="1" applyFill="1" applyBorder="1" applyAlignment="1" applyProtection="1">
      <alignment horizontal="center"/>
    </xf>
    <xf numFmtId="0" fontId="60" fillId="6" borderId="1" xfId="0" applyFont="1" applyFill="1" applyBorder="1" applyAlignment="1" applyProtection="1">
      <alignment horizontal="center"/>
    </xf>
    <xf numFmtId="0" fontId="74" fillId="0" borderId="0" xfId="0" applyFont="1" applyFill="1" applyAlignment="1" applyProtection="1">
      <alignment horizontal="left" indent="1"/>
    </xf>
    <xf numFmtId="0" fontId="75" fillId="0" borderId="0" xfId="0" applyFont="1" applyFill="1" applyBorder="1" applyAlignment="1" applyProtection="1">
      <alignment horizontal="left"/>
    </xf>
    <xf numFmtId="0" fontId="44" fillId="4" borderId="27" xfId="0" applyFont="1" applyFill="1" applyBorder="1" applyProtection="1"/>
    <xf numFmtId="0" fontId="44" fillId="4" borderId="28" xfId="0" applyFont="1" applyFill="1" applyBorder="1" applyProtection="1"/>
    <xf numFmtId="0" fontId="0" fillId="0" borderId="0" xfId="0" applyFill="1" applyProtection="1"/>
    <xf numFmtId="0" fontId="68" fillId="4" borderId="31" xfId="0" applyNumberFormat="1" applyFont="1" applyFill="1" applyBorder="1" applyAlignment="1" applyProtection="1">
      <alignment horizontal="center"/>
    </xf>
    <xf numFmtId="0" fontId="68" fillId="4" borderId="36" xfId="0" applyNumberFormat="1" applyFont="1" applyFill="1" applyBorder="1" applyAlignment="1" applyProtection="1">
      <alignment horizontal="center"/>
    </xf>
    <xf numFmtId="0" fontId="7" fillId="7" borderId="21" xfId="0" applyFont="1" applyFill="1" applyBorder="1" applyAlignment="1" applyProtection="1">
      <alignment horizontal="center"/>
    </xf>
    <xf numFmtId="0" fontId="7" fillId="7" borderId="22" xfId="0" applyFont="1" applyFill="1" applyBorder="1" applyAlignment="1" applyProtection="1">
      <alignment horizontal="center"/>
    </xf>
    <xf numFmtId="0" fontId="7" fillId="7" borderId="2" xfId="0" applyFont="1" applyFill="1" applyBorder="1" applyAlignment="1" applyProtection="1">
      <alignment horizontal="center"/>
    </xf>
    <xf numFmtId="0" fontId="7" fillId="7" borderId="5" xfId="0" applyFont="1" applyFill="1" applyBorder="1" applyAlignment="1" applyProtection="1">
      <alignment horizontal="center"/>
    </xf>
    <xf numFmtId="0" fontId="7" fillId="7" borderId="6" xfId="0" applyFont="1" applyFill="1" applyBorder="1" applyAlignment="1" applyProtection="1">
      <alignment horizontal="center"/>
    </xf>
    <xf numFmtId="0" fontId="7" fillId="7" borderId="7" xfId="0" applyFont="1" applyFill="1" applyBorder="1" applyAlignment="1" applyProtection="1">
      <alignment horizontal="center"/>
    </xf>
    <xf numFmtId="0" fontId="9" fillId="9" borderId="0" xfId="0" applyFont="1" applyFill="1" applyAlignment="1" applyProtection="1">
      <alignment horizontal="left"/>
    </xf>
    <xf numFmtId="0" fontId="0" fillId="8" borderId="0" xfId="0" applyFill="1" applyProtection="1"/>
    <xf numFmtId="0" fontId="9" fillId="9" borderId="0" xfId="0" applyFont="1" applyFill="1" applyAlignment="1" applyProtection="1">
      <alignment horizontal="centerContinuous"/>
    </xf>
    <xf numFmtId="0" fontId="7" fillId="10" borderId="37" xfId="0" applyFont="1" applyFill="1" applyBorder="1" applyAlignment="1" applyProtection="1">
      <alignment horizontal="center"/>
    </xf>
    <xf numFmtId="0" fontId="7" fillId="10" borderId="22" xfId="0" applyFont="1" applyFill="1" applyBorder="1" applyAlignment="1" applyProtection="1">
      <alignment horizontal="center"/>
    </xf>
    <xf numFmtId="0" fontId="7" fillId="10" borderId="2" xfId="0" applyFont="1" applyFill="1" applyBorder="1" applyAlignment="1" applyProtection="1">
      <alignment horizontal="center"/>
    </xf>
    <xf numFmtId="0" fontId="7" fillId="10" borderId="0" xfId="0" applyFont="1" applyFill="1" applyBorder="1" applyAlignment="1" applyProtection="1">
      <alignment horizontal="center"/>
    </xf>
    <xf numFmtId="0" fontId="7" fillId="10" borderId="5" xfId="0" applyFont="1" applyFill="1" applyBorder="1" applyAlignment="1" applyProtection="1">
      <alignment horizontal="center"/>
    </xf>
    <xf numFmtId="0" fontId="7" fillId="10" borderId="6" xfId="0" applyFont="1" applyFill="1" applyBorder="1" applyAlignment="1" applyProtection="1">
      <alignment horizontal="center"/>
    </xf>
    <xf numFmtId="0" fontId="7" fillId="10" borderId="20" xfId="0" applyFont="1" applyFill="1" applyBorder="1" applyAlignment="1" applyProtection="1">
      <alignment horizontal="center"/>
    </xf>
    <xf numFmtId="0" fontId="7" fillId="10" borderId="7" xfId="0" applyFont="1" applyFill="1" applyBorder="1" applyAlignment="1" applyProtection="1">
      <alignment horizontal="center"/>
    </xf>
    <xf numFmtId="0" fontId="44" fillId="0" borderId="0" xfId="0" applyFont="1" applyAlignment="1" applyProtection="1">
      <alignment horizontal="center"/>
    </xf>
    <xf numFmtId="0" fontId="13" fillId="0" borderId="0" xfId="0" applyFont="1" applyFill="1" applyAlignment="1" applyProtection="1">
      <alignment horizontal="center"/>
    </xf>
    <xf numFmtId="0" fontId="12" fillId="0" borderId="0" xfId="0" applyFont="1" applyFill="1" applyAlignment="1" applyProtection="1">
      <alignment horizontal="center"/>
    </xf>
    <xf numFmtId="0" fontId="11" fillId="0" borderId="0" xfId="0" applyFont="1" applyFill="1" applyAlignment="1" applyProtection="1">
      <alignment horizontal="center"/>
    </xf>
    <xf numFmtId="15" fontId="61" fillId="4" borderId="15" xfId="0" applyNumberFormat="1" applyFont="1" applyFill="1" applyBorder="1" applyAlignment="1" applyProtection="1">
      <alignment horizontal="center" shrinkToFit="1"/>
    </xf>
    <xf numFmtId="1" fontId="77" fillId="4" borderId="16" xfId="0" applyNumberFormat="1" applyFont="1" applyFill="1" applyBorder="1" applyAlignment="1" applyProtection="1">
      <alignment horizontal="center"/>
    </xf>
    <xf numFmtId="1" fontId="77" fillId="4" borderId="34" xfId="0" applyNumberFormat="1" applyFont="1" applyFill="1" applyBorder="1" applyAlignment="1" applyProtection="1">
      <alignment horizontal="centerContinuous"/>
    </xf>
    <xf numFmtId="1" fontId="77" fillId="4" borderId="35" xfId="0" applyNumberFormat="1" applyFont="1" applyFill="1" applyBorder="1" applyAlignment="1" applyProtection="1">
      <alignment horizontal="center"/>
    </xf>
    <xf numFmtId="0" fontId="17" fillId="0" borderId="0" xfId="0" applyFont="1" applyFill="1" applyProtection="1"/>
    <xf numFmtId="1" fontId="84" fillId="4" borderId="9" xfId="0" applyNumberFormat="1" applyFont="1" applyFill="1" applyBorder="1" applyAlignment="1" applyProtection="1">
      <alignment horizontal="left" vertical="center"/>
    </xf>
    <xf numFmtId="1" fontId="77" fillId="4" borderId="0" xfId="0" applyNumberFormat="1" applyFont="1" applyFill="1" applyBorder="1" applyAlignment="1" applyProtection="1">
      <alignment horizontal="left"/>
    </xf>
    <xf numFmtId="1" fontId="58" fillId="4" borderId="0" xfId="0" applyNumberFormat="1" applyFont="1" applyFill="1" applyBorder="1" applyProtection="1"/>
    <xf numFmtId="0" fontId="7" fillId="0" borderId="0" xfId="0" applyFont="1" applyFill="1" applyBorder="1" applyProtection="1"/>
    <xf numFmtId="0" fontId="23" fillId="0" borderId="0" xfId="0" applyFont="1" applyProtection="1"/>
    <xf numFmtId="1" fontId="23" fillId="0" borderId="0" xfId="0" applyNumberFormat="1" applyFont="1" applyAlignment="1">
      <alignment horizontal="center"/>
    </xf>
    <xf numFmtId="0" fontId="28" fillId="0" borderId="0" xfId="0" applyFont="1" applyProtection="1"/>
    <xf numFmtId="1" fontId="28" fillId="0" borderId="0" xfId="0" applyNumberFormat="1" applyFont="1" applyAlignment="1" applyProtection="1">
      <alignment horizontal="center"/>
    </xf>
    <xf numFmtId="1" fontId="44" fillId="4" borderId="38" xfId="0" applyNumberFormat="1" applyFont="1" applyFill="1" applyBorder="1" applyAlignment="1" applyProtection="1">
      <alignment horizontal="left"/>
    </xf>
    <xf numFmtId="1" fontId="77" fillId="4" borderId="39" xfId="0" applyNumberFormat="1" applyFont="1" applyFill="1" applyBorder="1" applyAlignment="1" applyProtection="1">
      <alignment horizontal="centerContinuous"/>
    </xf>
    <xf numFmtId="1" fontId="44" fillId="4" borderId="40" xfId="0" applyNumberFormat="1" applyFont="1" applyFill="1" applyBorder="1" applyProtection="1"/>
    <xf numFmtId="1" fontId="77" fillId="4" borderId="41" xfId="0" applyNumberFormat="1" applyFont="1" applyFill="1" applyBorder="1" applyAlignment="1" applyProtection="1">
      <alignment horizontal="center"/>
    </xf>
    <xf numFmtId="1" fontId="52" fillId="5" borderId="23" xfId="0" applyNumberFormat="1" applyFont="1" applyFill="1" applyBorder="1" applyAlignment="1" applyProtection="1">
      <alignment horizontal="left" vertical="center"/>
    </xf>
    <xf numFmtId="1" fontId="49" fillId="5" borderId="24" xfId="0" applyNumberFormat="1" applyFont="1" applyFill="1" applyBorder="1" applyProtection="1"/>
    <xf numFmtId="1" fontId="58" fillId="5" borderId="29" xfId="0" applyNumberFormat="1" applyFont="1" applyFill="1" applyBorder="1" applyAlignment="1" applyProtection="1">
      <alignment horizontal="left"/>
    </xf>
    <xf numFmtId="0" fontId="2" fillId="0" borderId="0" xfId="0" applyFont="1" applyFill="1" applyProtection="1"/>
    <xf numFmtId="0" fontId="7" fillId="6" borderId="8" xfId="0" applyFont="1" applyFill="1" applyBorder="1" applyProtection="1"/>
    <xf numFmtId="0" fontId="0" fillId="6" borderId="9" xfId="0" applyFill="1" applyBorder="1" applyProtection="1"/>
    <xf numFmtId="0" fontId="7" fillId="6" borderId="24" xfId="0" applyFont="1" applyFill="1" applyBorder="1" applyAlignment="1" applyProtection="1">
      <alignment horizontal="center"/>
    </xf>
    <xf numFmtId="0" fontId="49" fillId="6" borderId="0" xfId="0" applyFont="1" applyFill="1" applyBorder="1" applyAlignment="1" applyProtection="1">
      <alignment horizontal="centerContinuous"/>
    </xf>
    <xf numFmtId="0" fontId="53" fillId="6" borderId="0" xfId="0" applyFont="1" applyFill="1" applyBorder="1" applyAlignment="1" applyProtection="1">
      <alignment horizontal="right"/>
    </xf>
    <xf numFmtId="0" fontId="18" fillId="6" borderId="24" xfId="0" applyFont="1" applyFill="1" applyBorder="1" applyAlignment="1" applyProtection="1">
      <alignment horizontal="center"/>
    </xf>
    <xf numFmtId="0" fontId="7" fillId="6" borderId="27" xfId="0" applyFont="1" applyFill="1" applyBorder="1" applyProtection="1"/>
    <xf numFmtId="0" fontId="53" fillId="6" borderId="28" xfId="0" applyFont="1" applyFill="1" applyBorder="1" applyAlignment="1" applyProtection="1">
      <alignment horizontal="right"/>
    </xf>
    <xf numFmtId="0" fontId="49" fillId="6" borderId="29" xfId="0" applyFont="1" applyFill="1" applyBorder="1" applyAlignment="1" applyProtection="1">
      <alignment horizontal="centerContinuous"/>
    </xf>
    <xf numFmtId="0" fontId="85" fillId="6" borderId="0" xfId="0" applyFont="1" applyFill="1" applyBorder="1" applyAlignment="1" applyProtection="1">
      <alignment horizontal="center"/>
    </xf>
    <xf numFmtId="0" fontId="7" fillId="2" borderId="0" xfId="0" applyFont="1" applyFill="1" applyBorder="1" applyAlignment="1" applyProtection="1"/>
    <xf numFmtId="0" fontId="0" fillId="6" borderId="0" xfId="0" applyFill="1" applyBorder="1" applyAlignment="1" applyProtection="1"/>
    <xf numFmtId="0" fontId="0" fillId="6" borderId="0" xfId="0" applyFill="1" applyAlignment="1" applyProtection="1"/>
    <xf numFmtId="0" fontId="2" fillId="2" borderId="24" xfId="0" applyFont="1" applyFill="1" applyBorder="1" applyProtection="1"/>
    <xf numFmtId="0" fontId="53" fillId="0" borderId="4" xfId="0" applyFont="1" applyFill="1" applyBorder="1" applyAlignment="1" applyProtection="1">
      <alignment horizontal="center"/>
    </xf>
    <xf numFmtId="0" fontId="7" fillId="0" borderId="1" xfId="0" applyFont="1" applyFill="1" applyBorder="1" applyProtection="1"/>
    <xf numFmtId="0" fontId="49" fillId="0" borderId="1" xfId="0" applyFont="1" applyFill="1" applyBorder="1" applyAlignment="1" applyProtection="1">
      <alignment horizontal="center"/>
    </xf>
    <xf numFmtId="0" fontId="7" fillId="0" borderId="1" xfId="0" applyFont="1" applyFill="1" applyBorder="1" applyAlignment="1" applyProtection="1">
      <alignment horizontal="center"/>
    </xf>
    <xf numFmtId="0" fontId="49" fillId="0" borderId="3" xfId="0" applyFont="1" applyFill="1" applyBorder="1" applyAlignment="1" applyProtection="1">
      <alignment horizontal="center"/>
    </xf>
    <xf numFmtId="0" fontId="0" fillId="0" borderId="1" xfId="0" applyFill="1" applyBorder="1" applyProtection="1"/>
    <xf numFmtId="1" fontId="23" fillId="0" borderId="0" xfId="0" applyNumberFormat="1" applyFont="1" applyProtection="1"/>
    <xf numFmtId="1" fontId="23" fillId="0" borderId="0" xfId="0" applyNumberFormat="1" applyFont="1" applyAlignment="1" applyProtection="1">
      <alignment horizontal="center"/>
    </xf>
    <xf numFmtId="1" fontId="28" fillId="0" borderId="0" xfId="0" applyNumberFormat="1" applyFont="1" applyProtection="1"/>
    <xf numFmtId="0" fontId="56" fillId="6" borderId="24" xfId="0" applyFont="1" applyFill="1" applyBorder="1" applyAlignment="1" applyProtection="1">
      <alignment horizontal="right"/>
    </xf>
    <xf numFmtId="0" fontId="87" fillId="6" borderId="10" xfId="0" applyFont="1" applyFill="1" applyBorder="1" applyAlignment="1" applyProtection="1">
      <alignment horizontal="left" indent="1"/>
    </xf>
    <xf numFmtId="0" fontId="10" fillId="0" borderId="0" xfId="0" applyFont="1" applyFill="1" applyProtection="1"/>
    <xf numFmtId="0" fontId="10" fillId="6" borderId="10" xfId="0" applyFont="1" applyFill="1" applyBorder="1" applyProtection="1"/>
    <xf numFmtId="0" fontId="88" fillId="6" borderId="0" xfId="0" applyFont="1" applyFill="1" applyBorder="1" applyProtection="1"/>
    <xf numFmtId="0" fontId="58" fillId="2" borderId="0" xfId="0" applyFont="1" applyFill="1" applyBorder="1" applyAlignment="1" applyProtection="1">
      <alignment horizontal="right"/>
    </xf>
    <xf numFmtId="0" fontId="58" fillId="6" borderId="0" xfId="0" applyFont="1" applyFill="1" applyBorder="1" applyAlignment="1" applyProtection="1">
      <alignment horizontal="centerContinuous"/>
    </xf>
    <xf numFmtId="0" fontId="58" fillId="6" borderId="24" xfId="0" applyFont="1" applyFill="1" applyBorder="1" applyAlignment="1" applyProtection="1">
      <alignment horizontal="centerContinuous"/>
    </xf>
    <xf numFmtId="0" fontId="88" fillId="0" borderId="0" xfId="0" applyFont="1" applyProtection="1"/>
    <xf numFmtId="0" fontId="74" fillId="6" borderId="21" xfId="0" applyFont="1" applyFill="1" applyBorder="1" applyAlignment="1" applyProtection="1">
      <alignment horizontal="centerContinuous"/>
    </xf>
    <xf numFmtId="0" fontId="49" fillId="6" borderId="37" xfId="0" applyFont="1" applyFill="1" applyBorder="1" applyAlignment="1" applyProtection="1">
      <alignment horizontal="centerContinuous"/>
    </xf>
    <xf numFmtId="0" fontId="74" fillId="6" borderId="2" xfId="0" applyFont="1" applyFill="1" applyBorder="1" applyAlignment="1" applyProtection="1">
      <alignment horizontal="centerContinuous"/>
    </xf>
    <xf numFmtId="0" fontId="85" fillId="6" borderId="28" xfId="0" applyFont="1" applyFill="1" applyBorder="1" applyAlignment="1" applyProtection="1">
      <alignment horizontal="center"/>
    </xf>
    <xf numFmtId="166" fontId="0" fillId="0" borderId="0" xfId="0" applyNumberFormat="1" applyFill="1"/>
    <xf numFmtId="0" fontId="44" fillId="0" borderId="0" xfId="0" applyFont="1" applyFill="1" applyAlignment="1">
      <alignment horizontal="center"/>
    </xf>
    <xf numFmtId="2" fontId="0" fillId="0" borderId="0" xfId="0" applyNumberFormat="1" applyFill="1"/>
    <xf numFmtId="0" fontId="0" fillId="0" borderId="0" xfId="0" applyNumberFormat="1" applyFill="1"/>
    <xf numFmtId="0" fontId="82" fillId="2" borderId="0" xfId="0" applyFont="1" applyFill="1" applyAlignment="1">
      <alignment horizontal="left"/>
    </xf>
    <xf numFmtId="0" fontId="0" fillId="4" borderId="0" xfId="0" applyFill="1" applyBorder="1"/>
    <xf numFmtId="0" fontId="8" fillId="4" borderId="0" xfId="0" applyFont="1" applyFill="1" applyBorder="1"/>
    <xf numFmtId="0" fontId="7" fillId="5" borderId="0" xfId="0" applyFont="1" applyFill="1" applyBorder="1"/>
    <xf numFmtId="0" fontId="0" fillId="4" borderId="0" xfId="0" applyFill="1" applyBorder="1" applyProtection="1"/>
    <xf numFmtId="0" fontId="0" fillId="4" borderId="9" xfId="0" applyFill="1" applyBorder="1"/>
    <xf numFmtId="0" fontId="8" fillId="4" borderId="9" xfId="0" applyFont="1" applyFill="1" applyBorder="1"/>
    <xf numFmtId="0" fontId="7" fillId="5" borderId="9" xfId="0" applyFont="1" applyFill="1" applyBorder="1"/>
    <xf numFmtId="0" fontId="7" fillId="5" borderId="23" xfId="0" applyFont="1" applyFill="1" applyBorder="1"/>
    <xf numFmtId="0" fontId="7" fillId="5" borderId="24" xfId="0" applyFont="1" applyFill="1" applyBorder="1"/>
    <xf numFmtId="0" fontId="0" fillId="4" borderId="28" xfId="0" applyFill="1" applyBorder="1"/>
    <xf numFmtId="0" fontId="8" fillId="4" borderId="28" xfId="0" applyFont="1" applyFill="1" applyBorder="1"/>
    <xf numFmtId="0" fontId="7" fillId="5" borderId="28" xfId="0" applyFont="1" applyFill="1" applyBorder="1"/>
    <xf numFmtId="0" fontId="7" fillId="5" borderId="29" xfId="0" applyFont="1" applyFill="1" applyBorder="1"/>
    <xf numFmtId="1" fontId="10" fillId="0" borderId="0" xfId="0" applyNumberFormat="1" applyFont="1" applyFill="1" applyBorder="1"/>
    <xf numFmtId="0" fontId="11" fillId="0" borderId="0" xfId="0" applyFont="1" applyFill="1" applyAlignment="1">
      <alignment horizontal="center"/>
    </xf>
    <xf numFmtId="0" fontId="0" fillId="6" borderId="0" xfId="0" applyFill="1"/>
    <xf numFmtId="0" fontId="33" fillId="6" borderId="0" xfId="0" applyFont="1" applyFill="1" applyAlignment="1">
      <alignment horizontal="right"/>
    </xf>
    <xf numFmtId="2" fontId="7" fillId="6" borderId="0" xfId="0" applyNumberFormat="1" applyFont="1" applyFill="1" applyAlignment="1" applyProtection="1">
      <alignment horizontal="left"/>
    </xf>
    <xf numFmtId="2" fontId="7" fillId="6" borderId="0" xfId="0" applyNumberFormat="1" applyFont="1" applyFill="1" applyAlignment="1">
      <alignment horizontal="center"/>
    </xf>
    <xf numFmtId="169" fontId="7" fillId="6" borderId="0" xfId="0" applyNumberFormat="1" applyFont="1" applyFill="1" applyBorder="1" applyAlignment="1" applyProtection="1">
      <alignment horizontal="left"/>
    </xf>
    <xf numFmtId="0" fontId="4" fillId="6" borderId="0" xfId="0" applyFont="1" applyFill="1" applyAlignment="1">
      <alignment horizontal="right"/>
    </xf>
    <xf numFmtId="0" fontId="19" fillId="6" borderId="0" xfId="0" applyFont="1" applyFill="1"/>
    <xf numFmtId="169" fontId="7" fillId="6" borderId="0" xfId="0" applyNumberFormat="1" applyFont="1" applyFill="1" applyAlignment="1">
      <alignment horizontal="left"/>
    </xf>
    <xf numFmtId="0" fontId="7" fillId="6" borderId="0" xfId="0" applyFont="1" applyFill="1" applyAlignment="1">
      <alignment horizontal="right"/>
    </xf>
    <xf numFmtId="0" fontId="7" fillId="6" borderId="0" xfId="0" applyNumberFormat="1" applyFont="1" applyFill="1" applyAlignment="1">
      <alignment horizontal="left"/>
    </xf>
    <xf numFmtId="0" fontId="89" fillId="6" borderId="0" xfId="0" applyFont="1" applyFill="1" applyAlignment="1">
      <alignment horizontal="left"/>
    </xf>
    <xf numFmtId="0" fontId="7" fillId="6" borderId="0" xfId="0" applyFont="1" applyFill="1" applyAlignment="1">
      <alignment horizontal="center"/>
    </xf>
    <xf numFmtId="0" fontId="0" fillId="6" borderId="37" xfId="0" applyFill="1" applyBorder="1"/>
    <xf numFmtId="0" fontId="8" fillId="6" borderId="37" xfId="0" applyFont="1" applyFill="1" applyBorder="1"/>
    <xf numFmtId="0" fontId="7" fillId="6" borderId="2" xfId="0" applyFont="1" applyFill="1" applyBorder="1" applyAlignment="1">
      <alignment horizontal="right"/>
    </xf>
    <xf numFmtId="0" fontId="7" fillId="6" borderId="0" xfId="0" applyFont="1" applyFill="1" applyBorder="1" applyAlignment="1">
      <alignment horizontal="center"/>
    </xf>
    <xf numFmtId="0" fontId="19" fillId="6" borderId="0" xfId="0" applyFont="1" applyFill="1" applyBorder="1"/>
    <xf numFmtId="0" fontId="7" fillId="6" borderId="0" xfId="0" applyFont="1" applyFill="1" applyBorder="1" applyAlignment="1">
      <alignment horizontal="right"/>
    </xf>
    <xf numFmtId="1" fontId="7" fillId="6" borderId="0" xfId="0" applyNumberFormat="1" applyFont="1" applyFill="1" applyBorder="1" applyAlignment="1">
      <alignment horizontal="center"/>
    </xf>
    <xf numFmtId="0" fontId="7" fillId="6" borderId="6" xfId="0" applyFont="1" applyFill="1" applyBorder="1" applyAlignment="1">
      <alignment horizontal="right"/>
    </xf>
    <xf numFmtId="166" fontId="7" fillId="6" borderId="20" xfId="0" applyNumberFormat="1" applyFont="1" applyFill="1" applyBorder="1" applyAlignment="1">
      <alignment horizontal="center"/>
    </xf>
    <xf numFmtId="2" fontId="7" fillId="6" borderId="20" xfId="0" applyNumberFormat="1" applyFont="1" applyFill="1" applyBorder="1" applyAlignment="1">
      <alignment horizontal="centerContinuous"/>
    </xf>
    <xf numFmtId="2" fontId="7" fillId="6" borderId="20" xfId="0" applyNumberFormat="1" applyFont="1" applyFill="1" applyBorder="1" applyAlignment="1">
      <alignment horizontal="right"/>
    </xf>
    <xf numFmtId="165" fontId="7" fillId="6" borderId="20" xfId="0" applyNumberFormat="1" applyFont="1" applyFill="1" applyBorder="1" applyAlignment="1">
      <alignment horizontal="center"/>
    </xf>
    <xf numFmtId="0" fontId="20" fillId="6" borderId="20" xfId="0" applyFont="1" applyFill="1" applyBorder="1" applyAlignment="1">
      <alignment horizontal="left"/>
    </xf>
    <xf numFmtId="0" fontId="29" fillId="0" borderId="0" xfId="0" applyFont="1" applyFill="1" applyAlignment="1">
      <alignment horizontal="center"/>
    </xf>
    <xf numFmtId="0" fontId="13" fillId="0" borderId="0" xfId="0" applyFont="1" applyFill="1" applyAlignment="1">
      <alignment horizontal="center"/>
    </xf>
    <xf numFmtId="0" fontId="7" fillId="6" borderId="0" xfId="0" applyFont="1" applyFill="1"/>
    <xf numFmtId="0" fontId="21" fillId="6" borderId="0" xfId="0" applyFont="1" applyFill="1"/>
    <xf numFmtId="0" fontId="85" fillId="6" borderId="21" xfId="0" applyFont="1" applyFill="1" applyBorder="1" applyAlignment="1">
      <alignment horizontal="center"/>
    </xf>
    <xf numFmtId="0" fontId="85" fillId="6" borderId="37" xfId="0" applyFont="1" applyFill="1" applyBorder="1" applyAlignment="1">
      <alignment horizontal="left"/>
    </xf>
    <xf numFmtId="0" fontId="7" fillId="6" borderId="37" xfId="0" applyFont="1" applyFill="1" applyBorder="1"/>
    <xf numFmtId="0" fontId="7" fillId="6" borderId="37" xfId="0" applyFont="1" applyFill="1" applyBorder="1" applyAlignment="1">
      <alignment horizontal="right"/>
    </xf>
    <xf numFmtId="0" fontId="7" fillId="6" borderId="22" xfId="0" applyFont="1" applyFill="1" applyBorder="1" applyAlignment="1">
      <alignment horizontal="center"/>
    </xf>
    <xf numFmtId="0" fontId="7" fillId="6" borderId="5" xfId="0" applyFont="1" applyFill="1" applyBorder="1" applyAlignment="1">
      <alignment horizontal="center"/>
    </xf>
    <xf numFmtId="0" fontId="7" fillId="6" borderId="20" xfId="0" applyFont="1" applyFill="1" applyBorder="1"/>
    <xf numFmtId="0" fontId="7" fillId="6" borderId="20" xfId="0" applyFont="1" applyFill="1" applyBorder="1" applyAlignment="1">
      <alignment horizontal="right"/>
    </xf>
    <xf numFmtId="0" fontId="7" fillId="6" borderId="7" xfId="0" applyNumberFormat="1" applyFont="1" applyFill="1" applyBorder="1" applyAlignment="1">
      <alignment horizontal="center"/>
    </xf>
    <xf numFmtId="0" fontId="7" fillId="4" borderId="21" xfId="0" applyFont="1" applyFill="1" applyBorder="1" applyAlignment="1">
      <alignment horizontal="center"/>
    </xf>
    <xf numFmtId="2" fontId="7" fillId="11" borderId="4" xfId="0" applyNumberFormat="1" applyFont="1" applyFill="1" applyBorder="1" applyAlignment="1">
      <alignment horizontal="center"/>
    </xf>
    <xf numFmtId="2" fontId="7" fillId="5" borderId="4" xfId="0" applyNumberFormat="1" applyFont="1" applyFill="1" applyBorder="1" applyAlignment="1">
      <alignment horizontal="center"/>
    </xf>
    <xf numFmtId="0" fontId="7" fillId="11" borderId="4" xfId="0" applyNumberFormat="1" applyFont="1" applyFill="1" applyBorder="1" applyAlignment="1">
      <alignment horizontal="center"/>
    </xf>
    <xf numFmtId="0" fontId="24" fillId="0" borderId="0" xfId="0" applyFont="1" applyFill="1" applyAlignment="1">
      <alignment horizontal="center"/>
    </xf>
    <xf numFmtId="0" fontId="87" fillId="0" borderId="0" xfId="0" applyFont="1" applyFill="1" applyAlignment="1">
      <alignment horizontal="left"/>
    </xf>
    <xf numFmtId="0" fontId="7" fillId="6" borderId="2" xfId="0" applyFont="1" applyFill="1" applyBorder="1" applyAlignment="1">
      <alignment horizontal="center"/>
    </xf>
    <xf numFmtId="0" fontId="4" fillId="6" borderId="2" xfId="0" applyFont="1" applyFill="1" applyBorder="1" applyAlignment="1">
      <alignment horizontal="center"/>
    </xf>
    <xf numFmtId="0" fontId="32" fillId="6" borderId="2" xfId="0" applyFont="1" applyFill="1" applyBorder="1" applyAlignment="1">
      <alignment horizontal="center"/>
    </xf>
    <xf numFmtId="166" fontId="9" fillId="6" borderId="2" xfId="0" applyNumberFormat="1" applyFont="1" applyFill="1" applyBorder="1" applyAlignment="1">
      <alignment horizontal="center"/>
    </xf>
    <xf numFmtId="0" fontId="9" fillId="6" borderId="2" xfId="0" applyFont="1" applyFill="1" applyBorder="1" applyAlignment="1">
      <alignment horizontal="center"/>
    </xf>
    <xf numFmtId="0" fontId="5" fillId="6" borderId="2" xfId="0" applyFont="1" applyFill="1" applyBorder="1" applyAlignment="1">
      <alignment horizontal="center"/>
    </xf>
    <xf numFmtId="0" fontId="7" fillId="6" borderId="6" xfId="0" applyFont="1" applyFill="1" applyBorder="1" applyAlignment="1">
      <alignment horizontal="center"/>
    </xf>
    <xf numFmtId="0" fontId="44" fillId="5" borderId="22" xfId="0" applyFont="1" applyFill="1" applyBorder="1" applyAlignment="1">
      <alignment horizontal="center"/>
    </xf>
    <xf numFmtId="0" fontId="44" fillId="2" borderId="5" xfId="0" applyFont="1" applyFill="1" applyBorder="1" applyAlignment="1">
      <alignment horizontal="center"/>
    </xf>
    <xf numFmtId="0" fontId="90" fillId="2" borderId="5" xfId="0" applyFont="1" applyFill="1" applyBorder="1" applyAlignment="1">
      <alignment horizontal="center"/>
    </xf>
    <xf numFmtId="0" fontId="91" fillId="2" borderId="5" xfId="0" applyFont="1" applyFill="1" applyBorder="1" applyAlignment="1">
      <alignment horizontal="center"/>
    </xf>
    <xf numFmtId="166" fontId="48" fillId="2" borderId="5" xfId="0" applyNumberFormat="1" applyFont="1" applyFill="1" applyBorder="1" applyAlignment="1">
      <alignment horizontal="center"/>
    </xf>
    <xf numFmtId="0" fontId="48" fillId="2" borderId="5" xfId="0" applyFont="1" applyFill="1" applyBorder="1" applyAlignment="1">
      <alignment horizontal="center"/>
    </xf>
    <xf numFmtId="0" fontId="44" fillId="2" borderId="7" xfId="0" applyFont="1" applyFill="1" applyBorder="1" applyAlignment="1">
      <alignment horizontal="center"/>
    </xf>
    <xf numFmtId="0" fontId="7" fillId="6" borderId="1" xfId="0" applyFont="1" applyFill="1" applyBorder="1" applyAlignment="1">
      <alignment horizontal="center"/>
    </xf>
    <xf numFmtId="0" fontId="12" fillId="6" borderId="1" xfId="0" applyFont="1" applyFill="1" applyBorder="1" applyAlignment="1">
      <alignment horizontal="center"/>
    </xf>
    <xf numFmtId="0" fontId="12" fillId="6" borderId="1" xfId="0" applyNumberFormat="1" applyFont="1" applyFill="1" applyBorder="1" applyAlignment="1">
      <alignment horizontal="center"/>
    </xf>
    <xf numFmtId="166" fontId="9" fillId="12" borderId="1" xfId="0" applyNumberFormat="1" applyFont="1" applyFill="1" applyBorder="1" applyAlignment="1">
      <alignment horizontal="center"/>
    </xf>
    <xf numFmtId="0" fontId="7" fillId="6" borderId="3" xfId="0" applyFont="1" applyFill="1" applyBorder="1"/>
    <xf numFmtId="0" fontId="5" fillId="6" borderId="3" xfId="0" applyFont="1" applyFill="1" applyBorder="1" applyAlignment="1">
      <alignment horizontal="center"/>
    </xf>
    <xf numFmtId="0" fontId="87" fillId="0" borderId="0" xfId="0" applyFont="1" applyFill="1" applyAlignment="1">
      <alignment horizontal="right"/>
    </xf>
    <xf numFmtId="1" fontId="7" fillId="0" borderId="0" xfId="0" applyNumberFormat="1" applyFont="1" applyFill="1" applyAlignment="1">
      <alignment horizontal="center"/>
    </xf>
    <xf numFmtId="0" fontId="7" fillId="0" borderId="0" xfId="0" applyFont="1" applyFill="1" applyAlignment="1">
      <alignment horizontal="left"/>
    </xf>
    <xf numFmtId="0" fontId="68" fillId="4" borderId="30" xfId="0" applyFont="1" applyFill="1" applyBorder="1" applyAlignment="1">
      <alignment horizontal="center"/>
    </xf>
    <xf numFmtId="0" fontId="68" fillId="4" borderId="31" xfId="0" applyFont="1" applyFill="1" applyBorder="1" applyAlignment="1">
      <alignment horizontal="center"/>
    </xf>
    <xf numFmtId="0" fontId="68" fillId="4" borderId="32" xfId="0" applyFont="1" applyFill="1" applyBorder="1" applyAlignment="1">
      <alignment horizontal="center"/>
    </xf>
    <xf numFmtId="0" fontId="87" fillId="4" borderId="32" xfId="0" applyFont="1" applyFill="1" applyBorder="1" applyAlignment="1">
      <alignment horizontal="center"/>
    </xf>
    <xf numFmtId="0" fontId="7" fillId="6" borderId="21" xfId="0" applyFont="1" applyFill="1" applyBorder="1" applyAlignment="1">
      <alignment horizontal="center"/>
    </xf>
    <xf numFmtId="0" fontId="7" fillId="6" borderId="37" xfId="0" applyFont="1" applyFill="1" applyBorder="1" applyAlignment="1">
      <alignment horizontal="center"/>
    </xf>
    <xf numFmtId="166" fontId="7" fillId="6" borderId="37" xfId="0" applyNumberFormat="1" applyFont="1" applyFill="1" applyBorder="1" applyAlignment="1">
      <alignment horizontal="center"/>
    </xf>
    <xf numFmtId="0" fontId="29" fillId="6" borderId="37" xfId="0" applyFont="1" applyFill="1" applyBorder="1" applyAlignment="1">
      <alignment horizontal="center"/>
    </xf>
    <xf numFmtId="165" fontId="7" fillId="6" borderId="37" xfId="0" applyNumberFormat="1" applyFont="1" applyFill="1" applyBorder="1" applyAlignment="1">
      <alignment horizontal="center"/>
    </xf>
    <xf numFmtId="166" fontId="7" fillId="6" borderId="0" xfId="0" applyNumberFormat="1" applyFont="1" applyFill="1" applyBorder="1" applyAlignment="1">
      <alignment horizontal="center"/>
    </xf>
    <xf numFmtId="0" fontId="29" fillId="6" borderId="0" xfId="0" applyFont="1" applyFill="1" applyBorder="1" applyAlignment="1">
      <alignment horizontal="center"/>
    </xf>
    <xf numFmtId="165" fontId="7" fillId="6" borderId="0" xfId="0" applyNumberFormat="1" applyFont="1" applyFill="1" applyBorder="1" applyAlignment="1">
      <alignment horizontal="center"/>
    </xf>
    <xf numFmtId="0" fontId="7" fillId="6" borderId="20" xfId="0" applyFont="1" applyFill="1" applyBorder="1" applyAlignment="1">
      <alignment horizontal="center"/>
    </xf>
    <xf numFmtId="0" fontId="29" fillId="6" borderId="20" xfId="0" applyFont="1" applyFill="1" applyBorder="1" applyAlignment="1">
      <alignment horizontal="center"/>
    </xf>
    <xf numFmtId="0" fontId="92" fillId="6" borderId="8" xfId="0" applyFont="1" applyFill="1" applyBorder="1" applyAlignment="1">
      <alignment horizontal="left"/>
    </xf>
    <xf numFmtId="0" fontId="7" fillId="6" borderId="9" xfId="0" applyFont="1" applyFill="1" applyBorder="1" applyAlignment="1">
      <alignment horizontal="center"/>
    </xf>
    <xf numFmtId="0" fontId="37" fillId="6" borderId="9" xfId="0" applyFont="1" applyFill="1" applyBorder="1" applyAlignment="1">
      <alignment horizontal="right"/>
    </xf>
    <xf numFmtId="0" fontId="37" fillId="6" borderId="9" xfId="0" applyFont="1" applyFill="1" applyBorder="1" applyAlignment="1">
      <alignment horizontal="left"/>
    </xf>
    <xf numFmtId="0" fontId="21" fillId="6" borderId="9" xfId="0" applyFont="1" applyFill="1" applyBorder="1" applyAlignment="1">
      <alignment horizontal="right"/>
    </xf>
    <xf numFmtId="0" fontId="21" fillId="6" borderId="9" xfId="0" applyFont="1" applyFill="1" applyBorder="1" applyAlignment="1">
      <alignment horizontal="left"/>
    </xf>
    <xf numFmtId="0" fontId="7" fillId="6" borderId="23" xfId="0" applyFont="1" applyFill="1" applyBorder="1"/>
    <xf numFmtId="0" fontId="87" fillId="6" borderId="10" xfId="0" applyFont="1" applyFill="1" applyBorder="1" applyAlignment="1">
      <alignment horizontal="left"/>
    </xf>
    <xf numFmtId="0" fontId="68" fillId="6" borderId="0" xfId="0" applyFont="1" applyFill="1" applyBorder="1" applyAlignment="1">
      <alignment horizontal="center"/>
    </xf>
    <xf numFmtId="0" fontId="7" fillId="6" borderId="24" xfId="0" applyFont="1" applyFill="1" applyBorder="1"/>
    <xf numFmtId="49" fontId="94" fillId="6" borderId="24" xfId="0" applyNumberFormat="1" applyFont="1" applyFill="1" applyBorder="1" applyAlignment="1">
      <alignment horizontal="right"/>
    </xf>
    <xf numFmtId="0" fontId="7" fillId="6" borderId="10" xfId="0" applyFont="1" applyFill="1" applyBorder="1" applyAlignment="1">
      <alignment horizontal="right"/>
    </xf>
    <xf numFmtId="0" fontId="7" fillId="6" borderId="0" xfId="0" applyFont="1" applyFill="1" applyBorder="1" applyAlignment="1">
      <alignment horizontal="left"/>
    </xf>
    <xf numFmtId="0" fontId="87" fillId="4" borderId="33" xfId="0" applyFont="1" applyFill="1" applyBorder="1" applyAlignment="1">
      <alignment horizontal="center"/>
    </xf>
    <xf numFmtId="0" fontId="49" fillId="6" borderId="10" xfId="0" applyFont="1" applyFill="1" applyBorder="1" applyAlignment="1">
      <alignment horizontal="right"/>
    </xf>
    <xf numFmtId="0" fontId="49" fillId="6" borderId="0" xfId="0" applyNumberFormat="1" applyFont="1" applyFill="1" applyBorder="1" applyAlignment="1">
      <alignment horizontal="left"/>
    </xf>
    <xf numFmtId="2" fontId="29" fillId="6" borderId="25" xfId="0" applyNumberFormat="1" applyFont="1" applyFill="1" applyBorder="1" applyAlignment="1">
      <alignment horizontal="center"/>
    </xf>
    <xf numFmtId="2" fontId="29" fillId="6" borderId="24" xfId="0" applyNumberFormat="1" applyFont="1" applyFill="1" applyBorder="1" applyAlignment="1">
      <alignment horizontal="center"/>
    </xf>
    <xf numFmtId="2" fontId="29" fillId="6" borderId="26" xfId="0" applyNumberFormat="1" applyFont="1" applyFill="1" applyBorder="1" applyAlignment="1">
      <alignment horizontal="center"/>
    </xf>
    <xf numFmtId="0" fontId="12" fillId="6" borderId="10" xfId="0" applyFont="1" applyFill="1" applyBorder="1" applyAlignment="1">
      <alignment horizontal="right"/>
    </xf>
    <xf numFmtId="0" fontId="12" fillId="6" borderId="0" xfId="0" applyNumberFormat="1" applyFont="1" applyFill="1" applyBorder="1" applyAlignment="1">
      <alignment horizontal="left"/>
    </xf>
    <xf numFmtId="0" fontId="92" fillId="6" borderId="10" xfId="0" applyFont="1" applyFill="1" applyBorder="1" applyAlignment="1">
      <alignment horizontal="left"/>
    </xf>
    <xf numFmtId="0" fontId="21" fillId="6" borderId="0" xfId="0" applyFont="1" applyFill="1" applyBorder="1" applyAlignment="1">
      <alignment horizontal="right"/>
    </xf>
    <xf numFmtId="0" fontId="21" fillId="6" borderId="0" xfId="0" applyFont="1" applyFill="1" applyBorder="1" applyAlignment="1">
      <alignment horizontal="left"/>
    </xf>
    <xf numFmtId="0" fontId="49" fillId="6" borderId="27" xfId="0" applyFont="1" applyFill="1" applyBorder="1" applyAlignment="1">
      <alignment horizontal="right"/>
    </xf>
    <xf numFmtId="0" fontId="49" fillId="6" borderId="28" xfId="0" applyNumberFormat="1" applyFont="1" applyFill="1" applyBorder="1" applyAlignment="1">
      <alignment horizontal="left"/>
    </xf>
    <xf numFmtId="0" fontId="7" fillId="6" borderId="42" xfId="0" applyFont="1" applyFill="1" applyBorder="1" applyAlignment="1">
      <alignment horizontal="center"/>
    </xf>
    <xf numFmtId="0" fontId="7" fillId="6" borderId="28" xfId="0" applyFont="1" applyFill="1" applyBorder="1" applyAlignment="1">
      <alignment horizontal="center"/>
    </xf>
    <xf numFmtId="166" fontId="7" fillId="6" borderId="28" xfId="0" applyNumberFormat="1" applyFont="1" applyFill="1" applyBorder="1" applyAlignment="1">
      <alignment horizontal="center"/>
    </xf>
    <xf numFmtId="0" fontId="29" fillId="6" borderId="28" xfId="0" applyFont="1" applyFill="1" applyBorder="1" applyAlignment="1">
      <alignment horizontal="center"/>
    </xf>
    <xf numFmtId="165" fontId="7" fillId="6" borderId="28" xfId="0" applyNumberFormat="1" applyFont="1" applyFill="1" applyBorder="1" applyAlignment="1">
      <alignment horizontal="center"/>
    </xf>
    <xf numFmtId="2" fontId="29" fillId="6" borderId="29" xfId="0" applyNumberFormat="1" applyFont="1" applyFill="1" applyBorder="1" applyAlignment="1">
      <alignment horizontal="center"/>
    </xf>
    <xf numFmtId="0" fontId="68" fillId="4" borderId="36" xfId="0" applyFont="1" applyFill="1" applyBorder="1" applyAlignment="1">
      <alignment horizontal="center"/>
    </xf>
    <xf numFmtId="0" fontId="7" fillId="6" borderId="0" xfId="0" applyFont="1" applyFill="1" applyBorder="1"/>
    <xf numFmtId="0" fontId="7" fillId="6" borderId="21" xfId="0" applyFont="1" applyFill="1" applyBorder="1" applyAlignment="1">
      <alignment horizontal="right"/>
    </xf>
    <xf numFmtId="166" fontId="7" fillId="6" borderId="21" xfId="0" applyNumberFormat="1" applyFont="1" applyFill="1" applyBorder="1" applyAlignment="1">
      <alignment horizontal="right"/>
    </xf>
    <xf numFmtId="166" fontId="7" fillId="6" borderId="2" xfId="0" applyNumberFormat="1" applyFont="1" applyFill="1" applyBorder="1" applyAlignment="1">
      <alignment horizontal="right"/>
    </xf>
    <xf numFmtId="0" fontId="55" fillId="0" borderId="0" xfId="0" applyFont="1" applyFill="1" applyBorder="1" applyAlignment="1">
      <alignment horizontal="left"/>
    </xf>
    <xf numFmtId="170" fontId="7" fillId="0" borderId="0" xfId="0" applyNumberFormat="1" applyFont="1" applyFill="1" applyAlignment="1">
      <alignment horizontal="left"/>
    </xf>
    <xf numFmtId="0" fontId="7" fillId="0" borderId="0" xfId="0" applyNumberFormat="1" applyFont="1" applyFill="1" applyAlignment="1">
      <alignment horizontal="left"/>
    </xf>
    <xf numFmtId="0" fontId="49" fillId="0" borderId="0" xfId="0" applyFont="1" applyFill="1" applyAlignment="1">
      <alignment horizontal="center"/>
    </xf>
    <xf numFmtId="0" fontId="4" fillId="0" borderId="0" xfId="0" applyFont="1" applyFill="1" applyAlignment="1">
      <alignment horizontal="right"/>
    </xf>
    <xf numFmtId="0" fontId="22" fillId="0" borderId="0" xfId="0" applyFont="1" applyFill="1" applyAlignment="1">
      <alignment horizontal="center"/>
    </xf>
    <xf numFmtId="165" fontId="7" fillId="0" borderId="0" xfId="0" applyNumberFormat="1" applyFont="1" applyFill="1" applyAlignment="1">
      <alignment horizontal="left"/>
    </xf>
    <xf numFmtId="0" fontId="46" fillId="0" borderId="0" xfId="0" applyFont="1" applyFill="1" applyAlignment="1">
      <alignment horizontal="left"/>
    </xf>
    <xf numFmtId="1" fontId="7" fillId="0" borderId="0" xfId="0" applyNumberFormat="1" applyFont="1" applyFill="1" applyAlignment="1">
      <alignment horizontal="right"/>
    </xf>
    <xf numFmtId="1" fontId="7" fillId="0" borderId="0" xfId="0" applyNumberFormat="1" applyFont="1" applyFill="1" applyAlignment="1">
      <alignment horizontal="left"/>
    </xf>
    <xf numFmtId="1" fontId="22" fillId="0" borderId="0" xfId="0" applyNumberFormat="1" applyFont="1" applyFill="1" applyAlignment="1">
      <alignment horizontal="right"/>
    </xf>
    <xf numFmtId="0" fontId="7" fillId="0" borderId="0" xfId="0" applyFont="1" applyFill="1" applyBorder="1" applyAlignment="1">
      <alignment horizontal="center"/>
    </xf>
    <xf numFmtId="2" fontId="7" fillId="0" borderId="0" xfId="0" applyNumberFormat="1" applyFont="1" applyFill="1" applyAlignment="1">
      <alignment horizontal="left"/>
    </xf>
    <xf numFmtId="166" fontId="13" fillId="0" borderId="0" xfId="0" applyNumberFormat="1" applyFont="1" applyFill="1" applyAlignment="1">
      <alignment horizontal="center"/>
    </xf>
    <xf numFmtId="165" fontId="13" fillId="0" borderId="0" xfId="0" applyNumberFormat="1" applyFont="1" applyFill="1" applyAlignment="1">
      <alignment horizontal="center"/>
    </xf>
    <xf numFmtId="166" fontId="11" fillId="0" borderId="0" xfId="0" applyNumberFormat="1" applyFont="1" applyFill="1" applyAlignment="1">
      <alignment horizontal="center"/>
    </xf>
    <xf numFmtId="0" fontId="49" fillId="0" borderId="0" xfId="0" applyFont="1" applyFill="1"/>
    <xf numFmtId="0" fontId="6" fillId="0" borderId="0" xfId="0" applyFont="1" applyFill="1"/>
    <xf numFmtId="0" fontId="7" fillId="4" borderId="9" xfId="0" applyFont="1" applyFill="1" applyBorder="1"/>
    <xf numFmtId="0" fontId="8" fillId="4" borderId="23" xfId="0" applyFont="1" applyFill="1" applyBorder="1"/>
    <xf numFmtId="0" fontId="7" fillId="4" borderId="0" xfId="0" applyFont="1" applyFill="1" applyBorder="1"/>
    <xf numFmtId="0" fontId="92" fillId="4" borderId="0" xfId="0" applyFont="1" applyFill="1" applyBorder="1" applyAlignment="1">
      <alignment horizontal="left"/>
    </xf>
    <xf numFmtId="0" fontId="0" fillId="4" borderId="24" xfId="0" applyFill="1" applyBorder="1"/>
    <xf numFmtId="0" fontId="8" fillId="4" borderId="24" xfId="0" applyFont="1" applyFill="1" applyBorder="1"/>
    <xf numFmtId="0" fontId="7" fillId="4" borderId="28" xfId="0" applyFont="1" applyFill="1" applyBorder="1"/>
    <xf numFmtId="0" fontId="7" fillId="4" borderId="29" xfId="0" applyFont="1" applyFill="1" applyBorder="1"/>
    <xf numFmtId="0" fontId="60" fillId="0" borderId="0" xfId="0" applyFont="1" applyFill="1" applyBorder="1" applyAlignment="1">
      <alignment horizontal="left"/>
    </xf>
    <xf numFmtId="0" fontId="60" fillId="0" borderId="0" xfId="0" applyFont="1" applyFill="1" applyAlignment="1">
      <alignment horizontal="center"/>
    </xf>
    <xf numFmtId="49" fontId="68" fillId="4" borderId="30" xfId="0" applyNumberFormat="1" applyFont="1" applyFill="1" applyBorder="1" applyAlignment="1">
      <alignment horizontal="center"/>
    </xf>
    <xf numFmtId="0" fontId="68" fillId="4" borderId="20" xfId="0" applyFont="1" applyFill="1" applyBorder="1" applyAlignment="1">
      <alignment horizontal="center"/>
    </xf>
    <xf numFmtId="0" fontId="68" fillId="4" borderId="4" xfId="0" applyFont="1" applyFill="1" applyBorder="1" applyAlignment="1">
      <alignment horizontal="center"/>
    </xf>
    <xf numFmtId="0" fontId="64" fillId="4" borderId="6" xfId="0" applyFont="1" applyFill="1" applyBorder="1" applyAlignment="1">
      <alignment horizontal="center"/>
    </xf>
    <xf numFmtId="0" fontId="64" fillId="4" borderId="20" xfId="0" applyFont="1" applyFill="1" applyBorder="1" applyAlignment="1">
      <alignment horizontal="center"/>
    </xf>
    <xf numFmtId="0" fontId="64" fillId="4" borderId="7" xfId="0" applyFont="1" applyFill="1" applyBorder="1" applyAlignment="1">
      <alignment horizontal="center"/>
    </xf>
    <xf numFmtId="0" fontId="79" fillId="0" borderId="0" xfId="0" applyFont="1" applyFill="1" applyAlignment="1">
      <alignment horizontal="center"/>
    </xf>
    <xf numFmtId="0" fontId="7" fillId="6" borderId="4" xfId="0" applyNumberFormat="1" applyFont="1" applyFill="1" applyBorder="1" applyAlignment="1">
      <alignment horizontal="center"/>
    </xf>
    <xf numFmtId="0" fontId="7" fillId="6" borderId="37" xfId="0" applyNumberFormat="1" applyFont="1" applyFill="1" applyBorder="1" applyAlignment="1">
      <alignment horizontal="center"/>
    </xf>
    <xf numFmtId="170" fontId="7" fillId="6" borderId="22" xfId="0" applyNumberFormat="1" applyFont="1" applyFill="1" applyBorder="1" applyAlignment="1">
      <alignment horizontal="center"/>
    </xf>
    <xf numFmtId="1" fontId="7" fillId="6" borderId="1" xfId="0" applyNumberFormat="1" applyFont="1" applyFill="1" applyBorder="1" applyAlignment="1">
      <alignment horizontal="center"/>
    </xf>
    <xf numFmtId="0" fontId="7" fillId="6" borderId="0" xfId="0" applyNumberFormat="1" applyFont="1" applyFill="1" applyBorder="1" applyAlignment="1">
      <alignment horizontal="center"/>
    </xf>
    <xf numFmtId="170" fontId="7" fillId="6" borderId="5" xfId="0" applyNumberFormat="1" applyFont="1" applyFill="1" applyBorder="1" applyAlignment="1">
      <alignment horizontal="center"/>
    </xf>
    <xf numFmtId="1" fontId="7" fillId="6" borderId="3" xfId="0" applyNumberFormat="1" applyFont="1" applyFill="1" applyBorder="1" applyAlignment="1">
      <alignment horizontal="center"/>
    </xf>
    <xf numFmtId="0" fontId="7" fillId="6" borderId="20" xfId="0" applyNumberFormat="1" applyFont="1" applyFill="1" applyBorder="1" applyAlignment="1">
      <alignment horizontal="center"/>
    </xf>
    <xf numFmtId="170" fontId="7" fillId="6" borderId="7" xfId="0" applyNumberFormat="1" applyFont="1" applyFill="1" applyBorder="1" applyAlignment="1">
      <alignment horizontal="center"/>
    </xf>
    <xf numFmtId="166" fontId="7" fillId="6" borderId="4" xfId="0" applyNumberFormat="1" applyFont="1" applyFill="1" applyBorder="1" applyAlignment="1">
      <alignment horizontal="center"/>
    </xf>
    <xf numFmtId="0" fontId="7" fillId="6" borderId="4" xfId="0" applyFont="1" applyFill="1" applyBorder="1" applyAlignment="1">
      <alignment horizontal="center"/>
    </xf>
    <xf numFmtId="166" fontId="7" fillId="6" borderId="21" xfId="0" applyNumberFormat="1" applyFont="1" applyFill="1" applyBorder="1" applyAlignment="1">
      <alignment horizontal="center"/>
    </xf>
    <xf numFmtId="166" fontId="7" fillId="6" borderId="22" xfId="0" applyNumberFormat="1" applyFont="1" applyFill="1" applyBorder="1" applyAlignment="1">
      <alignment horizontal="center"/>
    </xf>
    <xf numFmtId="166" fontId="7" fillId="6" borderId="1" xfId="0" applyNumberFormat="1" applyFont="1" applyFill="1" applyBorder="1" applyAlignment="1">
      <alignment horizontal="center"/>
    </xf>
    <xf numFmtId="166" fontId="7" fillId="6" borderId="2" xfId="0" applyNumberFormat="1" applyFont="1" applyFill="1" applyBorder="1" applyAlignment="1">
      <alignment horizontal="center"/>
    </xf>
    <xf numFmtId="166" fontId="7" fillId="6" borderId="5" xfId="0" applyNumberFormat="1" applyFont="1" applyFill="1" applyBorder="1" applyAlignment="1">
      <alignment horizontal="center"/>
    </xf>
    <xf numFmtId="166" fontId="7" fillId="6" borderId="3" xfId="0" applyNumberFormat="1" applyFont="1" applyFill="1" applyBorder="1" applyAlignment="1">
      <alignment horizontal="center"/>
    </xf>
    <xf numFmtId="0" fontId="7" fillId="6" borderId="3" xfId="0" applyFont="1" applyFill="1" applyBorder="1" applyAlignment="1">
      <alignment horizontal="center"/>
    </xf>
    <xf numFmtId="166" fontId="7" fillId="6" borderId="6" xfId="0" applyNumberFormat="1" applyFont="1" applyFill="1" applyBorder="1" applyAlignment="1">
      <alignment horizontal="center"/>
    </xf>
    <xf numFmtId="166" fontId="7" fillId="6" borderId="7" xfId="0" applyNumberFormat="1" applyFont="1" applyFill="1" applyBorder="1" applyAlignment="1">
      <alignment horizontal="center"/>
    </xf>
    <xf numFmtId="0" fontId="8" fillId="0" borderId="0" xfId="0" applyFont="1" applyFill="1" applyProtection="1"/>
    <xf numFmtId="0" fontId="7" fillId="0" borderId="0" xfId="0" applyFont="1" applyFill="1" applyAlignment="1" applyProtection="1">
      <alignment vertical="center"/>
    </xf>
    <xf numFmtId="0" fontId="0" fillId="0" borderId="0" xfId="0" applyFill="1" applyAlignment="1">
      <alignment horizontal="left"/>
    </xf>
    <xf numFmtId="0" fontId="49" fillId="8" borderId="0" xfId="0" applyFont="1" applyFill="1" applyBorder="1" applyAlignment="1">
      <alignment horizontal="center"/>
    </xf>
    <xf numFmtId="0" fontId="11" fillId="8" borderId="0" xfId="0" applyFont="1" applyFill="1" applyBorder="1" applyAlignment="1" applyProtection="1">
      <alignment horizontal="center" vertical="center"/>
      <protection locked="0"/>
    </xf>
    <xf numFmtId="0" fontId="21" fillId="8" borderId="0" xfId="0" applyFont="1" applyFill="1" applyBorder="1" applyAlignment="1">
      <alignment horizontal="center" vertical="center"/>
    </xf>
    <xf numFmtId="0" fontId="0" fillId="8" borderId="0" xfId="0" applyFill="1" applyBorder="1" applyAlignment="1">
      <alignment horizontal="center" vertical="center"/>
    </xf>
    <xf numFmtId="2" fontId="11" fillId="8" borderId="0" xfId="0" applyNumberFormat="1" applyFont="1" applyFill="1" applyBorder="1" applyAlignment="1" applyProtection="1">
      <alignment horizontal="center" vertical="center"/>
      <protection locked="0"/>
    </xf>
    <xf numFmtId="49" fontId="21" fillId="8" borderId="0" xfId="0" applyNumberFormat="1" applyFont="1" applyFill="1" applyBorder="1" applyAlignment="1">
      <alignment horizontal="center" vertical="center"/>
    </xf>
    <xf numFmtId="167" fontId="11" fillId="8" borderId="0" xfId="0" applyNumberFormat="1" applyFont="1" applyFill="1" applyBorder="1" applyAlignment="1" applyProtection="1">
      <alignment horizontal="center" vertical="center"/>
      <protection locked="0"/>
    </xf>
    <xf numFmtId="0" fontId="60" fillId="0" borderId="0" xfId="0" applyFont="1" applyFill="1" applyAlignment="1" applyProtection="1">
      <alignment horizontal="left" indent="1"/>
    </xf>
    <xf numFmtId="49" fontId="40" fillId="0" borderId="0" xfId="0" applyNumberFormat="1" applyFont="1" applyFill="1" applyAlignment="1">
      <alignment horizontal="center" vertical="center"/>
    </xf>
    <xf numFmtId="0" fontId="101" fillId="0" borderId="0" xfId="0" applyFont="1" applyFill="1" applyAlignment="1">
      <alignment horizontal="left"/>
    </xf>
    <xf numFmtId="1" fontId="7" fillId="0" borderId="0" xfId="0" applyNumberFormat="1" applyFont="1" applyAlignment="1">
      <alignment horizontal="center"/>
    </xf>
    <xf numFmtId="0" fontId="7" fillId="0" borderId="0" xfId="0" applyFont="1" applyAlignment="1">
      <alignment horizontal="left"/>
    </xf>
    <xf numFmtId="0" fontId="30" fillId="0" borderId="0" xfId="0" applyFont="1" applyFill="1" applyAlignment="1">
      <alignment horizontal="left" indent="1"/>
    </xf>
    <xf numFmtId="0" fontId="7" fillId="0" borderId="0" xfId="0" applyFont="1" applyAlignment="1">
      <alignment horizontal="right"/>
    </xf>
    <xf numFmtId="0" fontId="73" fillId="0" borderId="0" xfId="0" applyFont="1" applyFill="1" applyAlignment="1" applyProtection="1">
      <alignment horizontal="left" indent="1"/>
    </xf>
    <xf numFmtId="0" fontId="49" fillId="0" borderId="0" xfId="0" applyFont="1" applyFill="1" applyAlignment="1">
      <alignment horizontal="left"/>
    </xf>
    <xf numFmtId="0" fontId="102" fillId="0" borderId="0" xfId="0" applyFont="1" applyAlignment="1">
      <alignment horizontal="left"/>
    </xf>
    <xf numFmtId="2" fontId="7" fillId="0" borderId="0" xfId="0" applyNumberFormat="1" applyFont="1" applyAlignment="1">
      <alignment horizontal="center"/>
    </xf>
    <xf numFmtId="165" fontId="7" fillId="0" borderId="0" xfId="0" applyNumberFormat="1" applyFont="1" applyAlignment="1">
      <alignment horizontal="center"/>
    </xf>
    <xf numFmtId="2" fontId="7" fillId="6" borderId="0" xfId="0" applyNumberFormat="1" applyFont="1" applyFill="1" applyBorder="1" applyAlignment="1" applyProtection="1">
      <alignment horizontal="right"/>
    </xf>
    <xf numFmtId="0" fontId="103" fillId="0" borderId="0" xfId="0" applyFont="1" applyAlignment="1">
      <alignment horizontal="center"/>
    </xf>
    <xf numFmtId="0" fontId="7" fillId="0" borderId="0" xfId="0" applyFont="1" applyFill="1" applyAlignment="1">
      <alignment horizontal="left" vertical="center"/>
    </xf>
    <xf numFmtId="1" fontId="44" fillId="4" borderId="12" xfId="0" applyNumberFormat="1" applyFont="1" applyFill="1" applyBorder="1" applyAlignment="1" applyProtection="1"/>
    <xf numFmtId="1" fontId="44" fillId="4" borderId="40" xfId="0" applyNumberFormat="1" applyFont="1" applyFill="1" applyBorder="1" applyAlignment="1" applyProtection="1"/>
    <xf numFmtId="1" fontId="44" fillId="4" borderId="18" xfId="0" applyNumberFormat="1" applyFont="1" applyFill="1" applyBorder="1" applyAlignment="1" applyProtection="1"/>
    <xf numFmtId="1" fontId="44" fillId="4" borderId="19" xfId="0" applyNumberFormat="1" applyFont="1" applyFill="1" applyBorder="1" applyAlignment="1" applyProtection="1"/>
    <xf numFmtId="1" fontId="52" fillId="5" borderId="9" xfId="0" applyNumberFormat="1" applyFont="1" applyFill="1" applyBorder="1" applyAlignment="1" applyProtection="1">
      <alignment horizontal="left" vertical="center"/>
    </xf>
    <xf numFmtId="1" fontId="49" fillId="5" borderId="0" xfId="0" applyNumberFormat="1" applyFont="1" applyFill="1" applyBorder="1" applyProtection="1"/>
    <xf numFmtId="0" fontId="0" fillId="4" borderId="23" xfId="0" applyFill="1" applyBorder="1"/>
    <xf numFmtId="2" fontId="7" fillId="6" borderId="0" xfId="0" applyNumberFormat="1" applyFont="1" applyFill="1" applyBorder="1" applyAlignment="1" applyProtection="1">
      <alignment horizontal="center"/>
    </xf>
    <xf numFmtId="0" fontId="106" fillId="6" borderId="0" xfId="0" applyFont="1" applyFill="1" applyBorder="1" applyProtection="1"/>
    <xf numFmtId="2" fontId="49" fillId="6" borderId="0" xfId="0" applyNumberFormat="1" applyFont="1" applyFill="1" applyBorder="1" applyAlignment="1" applyProtection="1">
      <alignment horizontal="right"/>
    </xf>
    <xf numFmtId="15" fontId="77" fillId="4" borderId="15" xfId="0" applyNumberFormat="1" applyFont="1" applyFill="1" applyBorder="1" applyAlignment="1" applyProtection="1">
      <alignment horizontal="center" shrinkToFit="1"/>
    </xf>
    <xf numFmtId="0" fontId="58" fillId="4" borderId="10" xfId="0" applyFont="1" applyFill="1" applyBorder="1" applyProtection="1"/>
    <xf numFmtId="2" fontId="7" fillId="6" borderId="0" xfId="0" applyNumberFormat="1" applyFont="1" applyFill="1" applyBorder="1" applyProtection="1"/>
    <xf numFmtId="2" fontId="18" fillId="6" borderId="0" xfId="0" applyNumberFormat="1" applyFont="1" applyFill="1" applyBorder="1" applyAlignment="1" applyProtection="1">
      <alignment horizontal="right" vertical="center"/>
    </xf>
    <xf numFmtId="2" fontId="7" fillId="6" borderId="0" xfId="0" applyNumberFormat="1" applyFont="1" applyFill="1" applyBorder="1" applyAlignment="1" applyProtection="1">
      <alignment vertical="center"/>
    </xf>
    <xf numFmtId="1" fontId="21" fillId="6" borderId="0" xfId="0" applyNumberFormat="1" applyFont="1" applyFill="1" applyBorder="1" applyAlignment="1" applyProtection="1">
      <alignment horizontal="center"/>
    </xf>
    <xf numFmtId="166" fontId="7" fillId="0" borderId="0" xfId="0" applyNumberFormat="1" applyFont="1"/>
    <xf numFmtId="165" fontId="7" fillId="0" borderId="0" xfId="0" applyNumberFormat="1" applyFont="1"/>
    <xf numFmtId="2" fontId="15" fillId="6" borderId="0" xfId="0" applyNumberFormat="1" applyFont="1" applyFill="1" applyBorder="1" applyAlignment="1" applyProtection="1">
      <alignment horizontal="center"/>
      <protection locked="0"/>
    </xf>
    <xf numFmtId="0" fontId="7" fillId="0" borderId="0" xfId="0" applyNumberFormat="1" applyFont="1" applyFill="1" applyAlignment="1">
      <alignment horizontal="center"/>
    </xf>
    <xf numFmtId="0" fontId="7" fillId="4" borderId="0" xfId="0" applyFont="1" applyFill="1" applyBorder="1" applyAlignment="1" applyProtection="1">
      <alignment horizontal="center"/>
    </xf>
    <xf numFmtId="2" fontId="7" fillId="4" borderId="0" xfId="0" applyNumberFormat="1" applyFont="1" applyFill="1" applyBorder="1" applyAlignment="1" applyProtection="1">
      <alignment horizontal="center"/>
    </xf>
    <xf numFmtId="2" fontId="68" fillId="8" borderId="45" xfId="0" applyNumberFormat="1" applyFont="1" applyFill="1" applyBorder="1" applyAlignment="1" applyProtection="1">
      <alignment horizontal="center"/>
    </xf>
    <xf numFmtId="2" fontId="7" fillId="6" borderId="0" xfId="0" applyNumberFormat="1" applyFont="1" applyFill="1" applyBorder="1" applyAlignment="1" applyProtection="1">
      <alignment horizontal="right" vertical="center"/>
    </xf>
    <xf numFmtId="1" fontId="21" fillId="6" borderId="0" xfId="0" applyNumberFormat="1" applyFont="1" applyFill="1" applyBorder="1" applyAlignment="1" applyProtection="1">
      <alignment horizontal="center" vertical="center"/>
    </xf>
    <xf numFmtId="2" fontId="56" fillId="6" borderId="0" xfId="0" applyNumberFormat="1" applyFont="1" applyFill="1" applyBorder="1" applyAlignment="1" applyProtection="1">
      <alignment horizontal="right"/>
    </xf>
    <xf numFmtId="166" fontId="7" fillId="4" borderId="0" xfId="0" applyNumberFormat="1" applyFont="1" applyFill="1" applyBorder="1" applyAlignment="1" applyProtection="1">
      <alignment horizontal="center"/>
    </xf>
    <xf numFmtId="168" fontId="7" fillId="0" borderId="0" xfId="0" applyNumberFormat="1" applyFont="1" applyFill="1" applyAlignment="1">
      <alignment horizontal="left"/>
    </xf>
    <xf numFmtId="0" fontId="114" fillId="13" borderId="21" xfId="0" applyNumberFormat="1" applyFont="1" applyFill="1" applyBorder="1" applyAlignment="1">
      <alignment horizontal="center"/>
    </xf>
    <xf numFmtId="0" fontId="114" fillId="13" borderId="37" xfId="0" applyNumberFormat="1" applyFont="1" applyFill="1" applyBorder="1" applyAlignment="1">
      <alignment horizontal="center"/>
    </xf>
    <xf numFmtId="165" fontId="114" fillId="13" borderId="37" xfId="0" applyNumberFormat="1" applyFont="1" applyFill="1" applyBorder="1" applyAlignment="1">
      <alignment horizontal="center"/>
    </xf>
    <xf numFmtId="165" fontId="114" fillId="13" borderId="22" xfId="0" applyNumberFormat="1" applyFont="1" applyFill="1" applyBorder="1" applyAlignment="1">
      <alignment horizontal="center"/>
    </xf>
    <xf numFmtId="0" fontId="114" fillId="13" borderId="2" xfId="0" applyNumberFormat="1" applyFont="1" applyFill="1" applyBorder="1" applyAlignment="1">
      <alignment horizontal="center"/>
    </xf>
    <xf numFmtId="0" fontId="114" fillId="13" borderId="0" xfId="0" applyNumberFormat="1" applyFont="1" applyFill="1" applyBorder="1" applyAlignment="1">
      <alignment horizontal="center"/>
    </xf>
    <xf numFmtId="165" fontId="114" fillId="13" borderId="0" xfId="0" applyNumberFormat="1" applyFont="1" applyFill="1" applyBorder="1" applyAlignment="1">
      <alignment horizontal="center"/>
    </xf>
    <xf numFmtId="165" fontId="114" fillId="13" borderId="5" xfId="0" applyNumberFormat="1" applyFont="1" applyFill="1" applyBorder="1" applyAlignment="1">
      <alignment horizontal="center"/>
    </xf>
    <xf numFmtId="0" fontId="114" fillId="13" borderId="6" xfId="0" applyNumberFormat="1" applyFont="1" applyFill="1" applyBorder="1" applyAlignment="1">
      <alignment horizontal="center"/>
    </xf>
    <xf numFmtId="0" fontId="114" fillId="13" borderId="20" xfId="0" applyNumberFormat="1" applyFont="1" applyFill="1" applyBorder="1" applyAlignment="1">
      <alignment horizontal="center"/>
    </xf>
    <xf numFmtId="165" fontId="114" fillId="13" borderId="20" xfId="0" applyNumberFormat="1" applyFont="1" applyFill="1" applyBorder="1" applyAlignment="1">
      <alignment horizontal="center"/>
    </xf>
    <xf numFmtId="165" fontId="114" fillId="13" borderId="7" xfId="0" applyNumberFormat="1" applyFont="1" applyFill="1" applyBorder="1" applyAlignment="1">
      <alignment horizontal="center"/>
    </xf>
    <xf numFmtId="1" fontId="58" fillId="4" borderId="0" xfId="0" applyNumberFormat="1" applyFont="1" applyFill="1" applyBorder="1" applyAlignment="1" applyProtection="1">
      <alignment horizontal="left" vertical="center"/>
    </xf>
    <xf numFmtId="0" fontId="54" fillId="0" borderId="0" xfId="0" applyFont="1" applyFill="1" applyBorder="1" applyAlignment="1">
      <alignment horizontal="left"/>
    </xf>
    <xf numFmtId="0" fontId="115" fillId="0" borderId="0" xfId="0" applyFont="1" applyFill="1"/>
    <xf numFmtId="0" fontId="115" fillId="0" borderId="0" xfId="0" applyFont="1" applyFill="1" applyAlignment="1">
      <alignment horizontal="center"/>
    </xf>
    <xf numFmtId="0" fontId="115" fillId="0" borderId="0" xfId="0" applyFont="1" applyAlignment="1">
      <alignment horizontal="center"/>
    </xf>
    <xf numFmtId="0" fontId="115" fillId="0" borderId="0" xfId="0" applyFont="1"/>
    <xf numFmtId="0" fontId="116" fillId="0" borderId="0" xfId="0" applyFont="1" applyFill="1"/>
    <xf numFmtId="0" fontId="117" fillId="0" borderId="0" xfId="0" applyFont="1" applyFill="1"/>
    <xf numFmtId="0" fontId="118" fillId="0" borderId="0" xfId="0" applyFont="1" applyFill="1" applyAlignment="1">
      <alignment horizontal="center"/>
    </xf>
    <xf numFmtId="0" fontId="119" fillId="0" borderId="0" xfId="0" applyNumberFormat="1" applyFont="1" applyFill="1" applyAlignment="1">
      <alignment horizontal="center"/>
    </xf>
    <xf numFmtId="2" fontId="119" fillId="0" borderId="0" xfId="0" applyNumberFormat="1" applyFont="1" applyFill="1" applyAlignment="1">
      <alignment horizontal="center"/>
    </xf>
    <xf numFmtId="165" fontId="119" fillId="0" borderId="0" xfId="0" applyNumberFormat="1" applyFont="1" applyAlignment="1">
      <alignment horizontal="center"/>
    </xf>
    <xf numFmtId="2" fontId="119" fillId="0" borderId="0" xfId="0" applyNumberFormat="1" applyFont="1" applyAlignment="1">
      <alignment horizontal="center"/>
    </xf>
    <xf numFmtId="0" fontId="119" fillId="0" borderId="0" xfId="0" applyNumberFormat="1" applyFont="1" applyAlignment="1">
      <alignment horizontal="center"/>
    </xf>
    <xf numFmtId="0" fontId="118" fillId="0" borderId="0" xfId="0" applyNumberFormat="1" applyFont="1" applyFill="1" applyAlignment="1">
      <alignment horizontal="center"/>
    </xf>
    <xf numFmtId="0" fontId="118" fillId="0" borderId="0" xfId="0" applyNumberFormat="1" applyFont="1" applyAlignment="1">
      <alignment horizontal="center"/>
    </xf>
    <xf numFmtId="2" fontId="118" fillId="0" borderId="0" xfId="0" applyNumberFormat="1" applyFont="1" applyAlignment="1">
      <alignment horizontal="center"/>
    </xf>
    <xf numFmtId="166" fontId="118" fillId="0" borderId="0" xfId="0" applyNumberFormat="1" applyFont="1" applyAlignment="1">
      <alignment horizontal="center"/>
    </xf>
    <xf numFmtId="0" fontId="121" fillId="0" borderId="0" xfId="0" applyFont="1" applyFill="1"/>
    <xf numFmtId="0" fontId="120" fillId="0" borderId="0" xfId="0" applyFont="1" applyFill="1"/>
    <xf numFmtId="0" fontId="122" fillId="0" borderId="0" xfId="0" applyFont="1" applyFill="1" applyAlignment="1">
      <alignment horizontal="center" vertical="top" wrapText="1"/>
    </xf>
    <xf numFmtId="0" fontId="116" fillId="4" borderId="46" xfId="0" applyFont="1" applyFill="1" applyBorder="1" applyAlignment="1">
      <alignment horizontal="center" vertical="center"/>
    </xf>
    <xf numFmtId="0" fontId="116" fillId="5" borderId="47" xfId="0" applyFont="1" applyFill="1" applyBorder="1" applyAlignment="1">
      <alignment horizontal="center" vertical="center"/>
    </xf>
    <xf numFmtId="0" fontId="116" fillId="4" borderId="47" xfId="0" applyFont="1" applyFill="1" applyBorder="1" applyAlignment="1">
      <alignment horizontal="center" vertical="center"/>
    </xf>
    <xf numFmtId="0" fontId="116" fillId="4" borderId="48" xfId="0" applyFont="1" applyFill="1" applyBorder="1" applyAlignment="1">
      <alignment horizontal="center" vertical="center"/>
    </xf>
    <xf numFmtId="15" fontId="117" fillId="8" borderId="49" xfId="0" applyNumberFormat="1" applyFont="1" applyFill="1" applyBorder="1" applyAlignment="1">
      <alignment horizontal="center" vertical="center"/>
    </xf>
    <xf numFmtId="166" fontId="117" fillId="7" borderId="45" xfId="0" applyNumberFormat="1" applyFont="1" applyFill="1" applyBorder="1" applyAlignment="1">
      <alignment horizontal="center" vertical="center"/>
    </xf>
    <xf numFmtId="0" fontId="117" fillId="8" borderId="45" xfId="0" applyFont="1" applyFill="1" applyBorder="1" applyAlignment="1">
      <alignment horizontal="center" vertical="center" wrapText="1"/>
    </xf>
    <xf numFmtId="0" fontId="117" fillId="8" borderId="50" xfId="0" applyFont="1" applyFill="1" applyBorder="1" applyAlignment="1">
      <alignment horizontal="center" vertical="center"/>
    </xf>
    <xf numFmtId="15" fontId="117" fillId="8" borderId="14" xfId="0" applyNumberFormat="1" applyFont="1" applyFill="1" applyBorder="1" applyAlignment="1">
      <alignment horizontal="center" vertical="center"/>
    </xf>
    <xf numFmtId="166" fontId="117" fillId="7" borderId="15" xfId="0" applyNumberFormat="1" applyFont="1" applyFill="1" applyBorder="1" applyAlignment="1">
      <alignment horizontal="center" vertical="center"/>
    </xf>
    <xf numFmtId="0" fontId="117" fillId="8" borderId="15" xfId="0" applyFont="1" applyFill="1" applyBorder="1" applyAlignment="1">
      <alignment horizontal="center" vertical="center" wrapText="1"/>
    </xf>
    <xf numFmtId="0" fontId="117" fillId="8" borderId="16" xfId="0" applyFont="1" applyFill="1" applyBorder="1" applyAlignment="1">
      <alignment horizontal="center" vertical="center"/>
    </xf>
    <xf numFmtId="0" fontId="117" fillId="0" borderId="0" xfId="0" applyFont="1" applyFill="1" applyBorder="1" applyAlignment="1">
      <alignment horizontal="center" vertical="center"/>
    </xf>
    <xf numFmtId="164" fontId="118" fillId="0" borderId="0" xfId="0" applyNumberFormat="1" applyFont="1" applyFill="1" applyBorder="1" applyAlignment="1">
      <alignment horizontal="center"/>
    </xf>
    <xf numFmtId="0" fontId="118" fillId="0" borderId="0" xfId="0" applyFont="1" applyFill="1"/>
    <xf numFmtId="15" fontId="117" fillId="8" borderId="51" xfId="0" applyNumberFormat="1" applyFont="1" applyFill="1" applyBorder="1" applyAlignment="1">
      <alignment horizontal="center" vertical="center"/>
    </xf>
    <xf numFmtId="166" fontId="117" fillId="7" borderId="52" xfId="0" applyNumberFormat="1" applyFont="1" applyFill="1" applyBorder="1" applyAlignment="1">
      <alignment horizontal="center" vertical="center"/>
    </xf>
    <xf numFmtId="0" fontId="117" fillId="8" borderId="52" xfId="0" applyFont="1" applyFill="1" applyBorder="1" applyAlignment="1">
      <alignment horizontal="center" vertical="center" wrapText="1"/>
    </xf>
    <xf numFmtId="0" fontId="117" fillId="8" borderId="53" xfId="0" applyFont="1" applyFill="1" applyBorder="1" applyAlignment="1">
      <alignment horizontal="center" vertical="center"/>
    </xf>
    <xf numFmtId="166" fontId="80" fillId="0" borderId="0" xfId="0" applyNumberFormat="1" applyFont="1" applyAlignment="1">
      <alignment horizontal="left" vertical="center" indent="1"/>
    </xf>
    <xf numFmtId="2" fontId="18" fillId="6" borderId="0" xfId="0" applyNumberFormat="1" applyFont="1" applyFill="1" applyBorder="1" applyAlignment="1" applyProtection="1">
      <alignment horizontal="right"/>
    </xf>
    <xf numFmtId="0" fontId="21" fillId="6" borderId="0" xfId="0" applyFont="1" applyFill="1" applyBorder="1" applyAlignment="1" applyProtection="1">
      <alignment horizontal="right"/>
    </xf>
    <xf numFmtId="0" fontId="21" fillId="6" borderId="0" xfId="0" quotePrefix="1" applyFont="1" applyFill="1" applyBorder="1" applyAlignment="1" applyProtection="1">
      <alignment horizontal="right"/>
    </xf>
    <xf numFmtId="0" fontId="0" fillId="0" borderId="0" xfId="0" applyFill="1" applyAlignment="1">
      <alignment horizontal="center"/>
    </xf>
    <xf numFmtId="0" fontId="49" fillId="0" borderId="0" xfId="0" applyFont="1" applyFill="1" applyProtection="1"/>
    <xf numFmtId="165" fontId="79" fillId="0" borderId="0" xfId="0" applyNumberFormat="1" applyFont="1" applyFill="1" applyAlignment="1">
      <alignment horizontal="center"/>
    </xf>
    <xf numFmtId="0" fontId="49" fillId="0" borderId="21" xfId="0" applyFont="1" applyFill="1" applyBorder="1" applyAlignment="1">
      <alignment horizontal="center"/>
    </xf>
    <xf numFmtId="0" fontId="49" fillId="0" borderId="2" xfId="0" applyFont="1" applyFill="1" applyBorder="1" applyAlignment="1">
      <alignment horizontal="center"/>
    </xf>
    <xf numFmtId="0" fontId="49" fillId="0" borderId="6" xfId="0" applyFont="1" applyFill="1" applyBorder="1" applyAlignment="1">
      <alignment horizontal="center"/>
    </xf>
    <xf numFmtId="0" fontId="46" fillId="0" borderId="0" xfId="0" applyFont="1" applyFill="1" applyBorder="1" applyAlignment="1">
      <alignment horizontal="left"/>
    </xf>
    <xf numFmtId="0" fontId="49" fillId="0" borderId="0" xfId="0" applyFont="1" applyFill="1" applyBorder="1"/>
    <xf numFmtId="0" fontId="49" fillId="0" borderId="0" xfId="0" applyFont="1" applyFill="1" applyBorder="1" applyProtection="1"/>
    <xf numFmtId="0" fontId="79" fillId="0" borderId="0" xfId="0" applyFont="1" applyFill="1" applyBorder="1" applyAlignment="1">
      <alignment horizontal="right"/>
    </xf>
    <xf numFmtId="2" fontId="7" fillId="14" borderId="0" xfId="0" applyNumberFormat="1" applyFont="1" applyFill="1" applyBorder="1" applyAlignment="1" applyProtection="1">
      <alignment horizontal="right"/>
    </xf>
    <xf numFmtId="0" fontId="134" fillId="0" borderId="0" xfId="0" applyFont="1" applyAlignment="1">
      <alignment horizontal="center"/>
    </xf>
    <xf numFmtId="165" fontId="49" fillId="0" borderId="37" xfId="0" applyNumberFormat="1" applyFont="1" applyFill="1" applyBorder="1" applyAlignment="1">
      <alignment horizontal="center"/>
    </xf>
    <xf numFmtId="165" fontId="49" fillId="0" borderId="0" xfId="0" applyNumberFormat="1" applyFont="1" applyFill="1" applyBorder="1" applyAlignment="1">
      <alignment horizontal="center"/>
    </xf>
    <xf numFmtId="165" fontId="49" fillId="0" borderId="20" xfId="0" applyNumberFormat="1" applyFont="1" applyFill="1" applyBorder="1" applyAlignment="1">
      <alignment horizontal="center"/>
    </xf>
    <xf numFmtId="0" fontId="68" fillId="4" borderId="36" xfId="0" applyFont="1" applyFill="1" applyBorder="1" applyAlignment="1">
      <alignment horizontal="center"/>
    </xf>
    <xf numFmtId="0" fontId="7" fillId="15" borderId="4" xfId="0" applyFont="1" applyFill="1" applyBorder="1" applyAlignment="1" applyProtection="1">
      <alignment horizontal="center"/>
    </xf>
    <xf numFmtId="0" fontId="7" fillId="15" borderId="1" xfId="0" applyFont="1" applyFill="1" applyBorder="1" applyAlignment="1" applyProtection="1">
      <alignment horizontal="center"/>
    </xf>
    <xf numFmtId="0" fontId="7" fillId="15" borderId="3" xfId="0" applyFont="1" applyFill="1" applyBorder="1" applyAlignment="1" applyProtection="1">
      <alignment horizontal="center"/>
    </xf>
    <xf numFmtId="0" fontId="104" fillId="6" borderId="30" xfId="0" applyFont="1" applyFill="1" applyBorder="1" applyAlignment="1" applyProtection="1">
      <alignment horizontal="center"/>
      <protection locked="0"/>
    </xf>
    <xf numFmtId="0" fontId="7" fillId="0" borderId="0" xfId="0" applyFont="1" applyAlignment="1">
      <alignment horizontal="center" vertical="center"/>
    </xf>
    <xf numFmtId="0" fontId="58" fillId="0" borderId="0" xfId="0" applyFont="1" applyFill="1" applyProtection="1"/>
    <xf numFmtId="0" fontId="44" fillId="0" borderId="0" xfId="0" applyFont="1"/>
    <xf numFmtId="0" fontId="49" fillId="0" borderId="0" xfId="0" applyFont="1" applyAlignment="1">
      <alignment horizontal="right"/>
    </xf>
    <xf numFmtId="0" fontId="7" fillId="0" borderId="21" xfId="0" applyFont="1" applyBorder="1" applyAlignment="1">
      <alignment horizontal="center"/>
    </xf>
    <xf numFmtId="0" fontId="7" fillId="0" borderId="37" xfId="0" applyFont="1" applyBorder="1" applyAlignment="1">
      <alignment horizontal="center"/>
    </xf>
    <xf numFmtId="0" fontId="7" fillId="0" borderId="22" xfId="0" applyFont="1" applyBorder="1" applyAlignment="1">
      <alignment horizontal="center"/>
    </xf>
    <xf numFmtId="0" fontId="7" fillId="0" borderId="2" xfId="0" applyFont="1" applyBorder="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20" xfId="0" applyFont="1" applyBorder="1" applyAlignment="1">
      <alignment horizontal="center"/>
    </xf>
    <xf numFmtId="0" fontId="7" fillId="0" borderId="7" xfId="0" applyFont="1" applyBorder="1" applyAlignment="1">
      <alignment horizontal="center"/>
    </xf>
    <xf numFmtId="0" fontId="49" fillId="0" borderId="0" xfId="0" applyFont="1" applyAlignment="1">
      <alignment horizontal="center"/>
    </xf>
    <xf numFmtId="0" fontId="39" fillId="0" borderId="0" xfId="0" applyFont="1" applyAlignment="1">
      <alignment horizontal="left"/>
    </xf>
    <xf numFmtId="0" fontId="136" fillId="0" borderId="0" xfId="0" applyFont="1"/>
    <xf numFmtId="165" fontId="49" fillId="0" borderId="0" xfId="0" applyNumberFormat="1" applyFont="1" applyAlignment="1">
      <alignment horizontal="right"/>
    </xf>
    <xf numFmtId="2" fontId="7" fillId="0" borderId="0" xfId="0" applyNumberFormat="1" applyFont="1" applyAlignment="1">
      <alignment horizontal="right"/>
    </xf>
    <xf numFmtId="0" fontId="7" fillId="14" borderId="8" xfId="0" applyFont="1" applyFill="1" applyBorder="1" applyAlignment="1" applyProtection="1">
      <alignment horizontal="left"/>
    </xf>
    <xf numFmtId="0" fontId="60" fillId="14" borderId="10" xfId="0" applyFont="1" applyFill="1" applyBorder="1" applyAlignment="1" applyProtection="1">
      <alignment horizontal="left"/>
    </xf>
    <xf numFmtId="0" fontId="7" fillId="14" borderId="10" xfId="0" applyFont="1" applyFill="1" applyBorder="1"/>
    <xf numFmtId="0" fontId="7" fillId="14" borderId="10" xfId="0" applyFont="1" applyFill="1" applyBorder="1" applyAlignment="1">
      <alignment horizontal="right"/>
    </xf>
    <xf numFmtId="0" fontId="7" fillId="14" borderId="4" xfId="0" applyFont="1" applyFill="1" applyBorder="1" applyAlignment="1">
      <alignment horizontal="center"/>
    </xf>
    <xf numFmtId="166" fontId="7" fillId="14" borderId="4" xfId="0" applyNumberFormat="1" applyFont="1" applyFill="1" applyBorder="1" applyAlignment="1">
      <alignment horizontal="center" shrinkToFit="1"/>
    </xf>
    <xf numFmtId="0" fontId="7" fillId="14" borderId="1" xfId="0" applyFont="1" applyFill="1" applyBorder="1" applyAlignment="1">
      <alignment horizontal="center"/>
    </xf>
    <xf numFmtId="166" fontId="7" fillId="14" borderId="1" xfId="0" applyNumberFormat="1" applyFont="1" applyFill="1" applyBorder="1" applyAlignment="1">
      <alignment horizontal="center" shrinkToFit="1"/>
    </xf>
    <xf numFmtId="0" fontId="7" fillId="14" borderId="57" xfId="0" applyFont="1" applyFill="1" applyBorder="1" applyAlignment="1">
      <alignment horizontal="center"/>
    </xf>
    <xf numFmtId="166" fontId="7" fillId="14" borderId="57" xfId="0" applyNumberFormat="1" applyFont="1" applyFill="1" applyBorder="1" applyAlignment="1">
      <alignment horizontal="center" shrinkToFit="1"/>
    </xf>
    <xf numFmtId="0" fontId="7" fillId="0" borderId="0" xfId="0" applyNumberFormat="1" applyFont="1" applyAlignment="1"/>
    <xf numFmtId="2" fontId="7" fillId="0" borderId="0" xfId="0" applyNumberFormat="1" applyFont="1" applyAlignment="1"/>
    <xf numFmtId="0" fontId="79" fillId="0" borderId="0" xfId="0" applyFont="1" applyAlignment="1">
      <alignment horizontal="center"/>
    </xf>
    <xf numFmtId="0" fontId="49" fillId="0" borderId="0" xfId="0" applyFont="1"/>
    <xf numFmtId="0" fontId="7" fillId="17" borderId="22" xfId="0" applyNumberFormat="1" applyFont="1" applyFill="1" applyBorder="1" applyAlignment="1">
      <alignment horizontal="center"/>
    </xf>
    <xf numFmtId="0" fontId="7" fillId="17" borderId="5" xfId="0" applyNumberFormat="1" applyFont="1" applyFill="1" applyBorder="1" applyAlignment="1">
      <alignment horizontal="center"/>
    </xf>
    <xf numFmtId="0" fontId="7" fillId="17" borderId="7" xfId="0" applyNumberFormat="1" applyFont="1" applyFill="1" applyBorder="1" applyAlignment="1">
      <alignment horizontal="center"/>
    </xf>
    <xf numFmtId="0" fontId="7" fillId="0" borderId="58" xfId="0" applyFont="1" applyBorder="1" applyAlignment="1">
      <alignment horizontal="center"/>
    </xf>
    <xf numFmtId="0" fontId="7" fillId="0" borderId="59" xfId="0" applyFont="1" applyBorder="1" applyAlignment="1">
      <alignment horizontal="center"/>
    </xf>
    <xf numFmtId="0" fontId="7" fillId="0" borderId="60" xfId="0" applyFont="1" applyBorder="1" applyAlignment="1">
      <alignment horizontal="center"/>
    </xf>
    <xf numFmtId="0" fontId="137" fillId="0" borderId="4" xfId="0" applyFont="1" applyBorder="1" applyAlignment="1">
      <alignment horizontal="center"/>
    </xf>
    <xf numFmtId="0" fontId="137" fillId="0" borderId="1" xfId="0" applyFont="1" applyBorder="1" applyAlignment="1">
      <alignment horizontal="center"/>
    </xf>
    <xf numFmtId="0" fontId="137" fillId="0" borderId="57" xfId="0" applyFont="1" applyBorder="1" applyAlignment="1">
      <alignment horizontal="center"/>
    </xf>
    <xf numFmtId="0" fontId="139" fillId="16" borderId="4" xfId="0" applyFont="1" applyFill="1" applyBorder="1" applyAlignment="1">
      <alignment horizontal="center"/>
    </xf>
    <xf numFmtId="0" fontId="139" fillId="16" borderId="31" xfId="0" applyFont="1" applyFill="1" applyBorder="1" applyAlignment="1">
      <alignment horizontal="center"/>
    </xf>
    <xf numFmtId="0" fontId="139" fillId="16" borderId="57" xfId="0" applyFont="1" applyFill="1" applyBorder="1" applyAlignment="1">
      <alignment horizontal="center"/>
    </xf>
    <xf numFmtId="0" fontId="141" fillId="16" borderId="36" xfId="0" applyFont="1" applyFill="1" applyBorder="1" applyAlignment="1">
      <alignment horizontal="center"/>
    </xf>
    <xf numFmtId="0" fontId="49" fillId="0" borderId="0" xfId="0" applyFont="1" applyAlignment="1">
      <alignment horizontal="left"/>
    </xf>
    <xf numFmtId="0" fontId="1" fillId="0" borderId="0" xfId="0" applyFont="1" applyAlignment="1">
      <alignment horizontal="center" vertical="center"/>
    </xf>
    <xf numFmtId="0" fontId="7" fillId="14" borderId="9" xfId="0" applyFont="1" applyFill="1" applyBorder="1"/>
    <xf numFmtId="0" fontId="7" fillId="14" borderId="23" xfId="0" applyFont="1" applyFill="1" applyBorder="1"/>
    <xf numFmtId="0" fontId="7" fillId="14" borderId="0" xfId="0" applyFont="1" applyFill="1" applyBorder="1"/>
    <xf numFmtId="0" fontId="21" fillId="14" borderId="0" xfId="0" applyFont="1" applyFill="1" applyBorder="1"/>
    <xf numFmtId="0" fontId="56" fillId="14" borderId="0" xfId="0" applyFont="1" applyFill="1" applyBorder="1" applyAlignment="1">
      <alignment horizontal="right"/>
    </xf>
    <xf numFmtId="0" fontId="56" fillId="14" borderId="24" xfId="0" applyFont="1" applyFill="1" applyBorder="1" applyAlignment="1">
      <alignment horizontal="left"/>
    </xf>
    <xf numFmtId="0" fontId="7" fillId="14" borderId="0" xfId="0" applyFont="1" applyFill="1" applyBorder="1" applyAlignment="1">
      <alignment horizontal="center"/>
    </xf>
    <xf numFmtId="0" fontId="7" fillId="14" borderId="24" xfId="0" applyFont="1" applyFill="1" applyBorder="1" applyAlignment="1">
      <alignment horizontal="center"/>
    </xf>
    <xf numFmtId="0" fontId="138" fillId="14" borderId="0" xfId="0" applyFont="1" applyFill="1" applyBorder="1" applyAlignment="1">
      <alignment horizontal="center"/>
    </xf>
    <xf numFmtId="0" fontId="49" fillId="14" borderId="0" xfId="0" applyFont="1" applyFill="1" applyBorder="1" applyAlignment="1">
      <alignment horizontal="center"/>
    </xf>
    <xf numFmtId="0" fontId="18" fillId="14" borderId="0" xfId="0" applyFont="1" applyFill="1" applyBorder="1" applyAlignment="1">
      <alignment horizontal="center"/>
    </xf>
    <xf numFmtId="0" fontId="18" fillId="14" borderId="24" xfId="0" applyFont="1" applyFill="1" applyBorder="1" applyAlignment="1">
      <alignment horizontal="center"/>
    </xf>
    <xf numFmtId="0" fontId="7" fillId="14" borderId="27" xfId="0" applyFont="1" applyFill="1" applyBorder="1"/>
    <xf numFmtId="0" fontId="7" fillId="14" borderId="28" xfId="0" applyFont="1" applyFill="1" applyBorder="1" applyAlignment="1">
      <alignment horizontal="center"/>
    </xf>
    <xf numFmtId="0" fontId="7" fillId="14" borderId="29" xfId="0" applyFont="1" applyFill="1" applyBorder="1" applyAlignment="1">
      <alignment horizontal="center"/>
    </xf>
    <xf numFmtId="166" fontId="146" fillId="14" borderId="4" xfId="0" applyNumberFormat="1" applyFont="1" applyFill="1" applyBorder="1" applyAlignment="1">
      <alignment horizontal="center" shrinkToFit="1"/>
    </xf>
    <xf numFmtId="166" fontId="146" fillId="14" borderId="1" xfId="0" applyNumberFormat="1" applyFont="1" applyFill="1" applyBorder="1" applyAlignment="1">
      <alignment horizontal="center" shrinkToFit="1"/>
    </xf>
    <xf numFmtId="166" fontId="146" fillId="14" borderId="57" xfId="0" applyNumberFormat="1" applyFont="1" applyFill="1" applyBorder="1" applyAlignment="1">
      <alignment horizontal="center" shrinkToFit="1"/>
    </xf>
    <xf numFmtId="165" fontId="139" fillId="16" borderId="30" xfId="0" applyNumberFormat="1" applyFont="1" applyFill="1" applyBorder="1" applyAlignment="1">
      <alignment horizontal="center"/>
    </xf>
    <xf numFmtId="165" fontId="7" fillId="14" borderId="4" xfId="0" applyNumberFormat="1" applyFont="1" applyFill="1" applyBorder="1" applyAlignment="1">
      <alignment horizontal="center"/>
    </xf>
    <xf numFmtId="165" fontId="7" fillId="14" borderId="1" xfId="0" applyNumberFormat="1" applyFont="1" applyFill="1" applyBorder="1" applyAlignment="1">
      <alignment horizontal="center"/>
    </xf>
    <xf numFmtId="165" fontId="7" fillId="14" borderId="57" xfId="0" applyNumberFormat="1" applyFont="1" applyFill="1" applyBorder="1" applyAlignment="1">
      <alignment horizontal="center"/>
    </xf>
    <xf numFmtId="2" fontId="98" fillId="6" borderId="0" xfId="0" applyNumberFormat="1" applyFont="1" applyFill="1" applyBorder="1" applyAlignment="1" applyProtection="1">
      <alignment horizontal="right" vertical="center"/>
    </xf>
    <xf numFmtId="2" fontId="68" fillId="6" borderId="0" xfId="0" applyNumberFormat="1" applyFont="1" applyFill="1" applyBorder="1" applyAlignment="1" applyProtection="1">
      <alignment horizontal="right"/>
    </xf>
    <xf numFmtId="0" fontId="21" fillId="6" borderId="0" xfId="0" quotePrefix="1" applyFont="1" applyFill="1" applyBorder="1" applyAlignment="1" applyProtection="1">
      <alignment horizontal="right" vertical="center"/>
    </xf>
    <xf numFmtId="1" fontId="22" fillId="0" borderId="0" xfId="0" applyNumberFormat="1" applyFont="1" applyFill="1" applyBorder="1" applyAlignment="1">
      <alignment horizontal="right"/>
    </xf>
    <xf numFmtId="15" fontId="26" fillId="0" borderId="0" xfId="0" applyNumberFormat="1" applyFont="1" applyFill="1" applyBorder="1" applyAlignment="1">
      <alignment horizontal="center"/>
    </xf>
    <xf numFmtId="0" fontId="7" fillId="6" borderId="57" xfId="0" applyFont="1" applyFill="1" applyBorder="1"/>
    <xf numFmtId="168" fontId="7" fillId="18" borderId="37" xfId="0" applyNumberFormat="1" applyFont="1" applyFill="1" applyBorder="1" applyAlignment="1">
      <alignment horizontal="center"/>
    </xf>
    <xf numFmtId="168" fontId="7" fillId="18" borderId="0" xfId="0" applyNumberFormat="1" applyFont="1" applyFill="1" applyBorder="1" applyAlignment="1">
      <alignment horizontal="center"/>
    </xf>
    <xf numFmtId="168" fontId="7" fillId="18" borderId="20" xfId="0" applyNumberFormat="1" applyFont="1" applyFill="1" applyBorder="1" applyAlignment="1">
      <alignment horizontal="center"/>
    </xf>
    <xf numFmtId="166" fontId="7" fillId="14" borderId="37" xfId="0" applyNumberFormat="1" applyFont="1" applyFill="1" applyBorder="1" applyAlignment="1">
      <alignment horizontal="center"/>
    </xf>
    <xf numFmtId="166" fontId="7" fillId="14" borderId="0" xfId="0" applyNumberFormat="1" applyFont="1" applyFill="1" applyBorder="1" applyAlignment="1">
      <alignment horizontal="center"/>
    </xf>
    <xf numFmtId="166" fontId="7" fillId="14" borderId="20" xfId="0" applyNumberFormat="1" applyFont="1" applyFill="1" applyBorder="1" applyAlignment="1">
      <alignment horizontal="center"/>
    </xf>
    <xf numFmtId="0" fontId="7" fillId="18" borderId="37" xfId="0" applyNumberFormat="1" applyFont="1" applyFill="1" applyBorder="1" applyAlignment="1">
      <alignment horizontal="center"/>
    </xf>
    <xf numFmtId="0" fontId="7" fillId="18" borderId="0" xfId="0" applyNumberFormat="1" applyFont="1" applyFill="1" applyBorder="1" applyAlignment="1">
      <alignment horizontal="center"/>
    </xf>
    <xf numFmtId="165" fontId="7" fillId="18" borderId="0" xfId="0" applyNumberFormat="1" applyFont="1" applyFill="1" applyBorder="1" applyAlignment="1">
      <alignment horizontal="center"/>
    </xf>
    <xf numFmtId="0" fontId="7" fillId="18" borderId="20" xfId="0" applyNumberFormat="1" applyFont="1" applyFill="1" applyBorder="1" applyAlignment="1">
      <alignment horizontal="center"/>
    </xf>
    <xf numFmtId="165" fontId="7" fillId="18" borderId="20" xfId="0" applyNumberFormat="1" applyFont="1" applyFill="1" applyBorder="1" applyAlignment="1">
      <alignment horizontal="center"/>
    </xf>
    <xf numFmtId="0" fontId="0" fillId="0" borderId="0" xfId="0" applyFill="1" applyAlignment="1">
      <alignment horizontal="center" vertical="center"/>
    </xf>
    <xf numFmtId="166" fontId="117" fillId="7" borderId="61" xfId="0" applyNumberFormat="1" applyFont="1" applyFill="1" applyBorder="1" applyAlignment="1">
      <alignment horizontal="center" vertical="center"/>
    </xf>
    <xf numFmtId="0" fontId="117" fillId="8" borderId="61" xfId="0" applyFont="1" applyFill="1" applyBorder="1" applyAlignment="1">
      <alignment horizontal="center" vertical="center" wrapText="1"/>
    </xf>
    <xf numFmtId="0" fontId="136" fillId="0" borderId="0" xfId="0" applyFont="1" applyAlignment="1" applyProtection="1">
      <alignment horizontal="left" indent="1"/>
    </xf>
    <xf numFmtId="2" fontId="7" fillId="8" borderId="21" xfId="0" applyNumberFormat="1" applyFont="1" applyFill="1" applyBorder="1" applyAlignment="1" applyProtection="1">
      <alignment horizontal="center"/>
    </xf>
    <xf numFmtId="2" fontId="7" fillId="8" borderId="22" xfId="0" applyNumberFormat="1" applyFont="1" applyFill="1" applyBorder="1" applyAlignment="1" applyProtection="1">
      <alignment horizontal="center"/>
    </xf>
    <xf numFmtId="2" fontId="7" fillId="8" borderId="2" xfId="0" applyNumberFormat="1" applyFont="1" applyFill="1" applyBorder="1" applyAlignment="1" applyProtection="1">
      <alignment horizontal="center"/>
    </xf>
    <xf numFmtId="2" fontId="7" fillId="8" borderId="5" xfId="0" applyNumberFormat="1" applyFont="1" applyFill="1" applyBorder="1" applyAlignment="1" applyProtection="1">
      <alignment horizontal="center"/>
    </xf>
    <xf numFmtId="2" fontId="7" fillId="8" borderId="58" xfId="0" applyNumberFormat="1" applyFont="1" applyFill="1" applyBorder="1" applyAlignment="1" applyProtection="1">
      <alignment horizontal="center"/>
    </xf>
    <xf numFmtId="2" fontId="7" fillId="8" borderId="60" xfId="0" applyNumberFormat="1" applyFont="1" applyFill="1" applyBorder="1" applyAlignment="1" applyProtection="1">
      <alignment horizontal="center"/>
    </xf>
    <xf numFmtId="2" fontId="7" fillId="0" borderId="0" xfId="0" applyNumberFormat="1" applyFont="1" applyFill="1" applyAlignment="1">
      <alignment horizontal="center"/>
    </xf>
    <xf numFmtId="0" fontId="152" fillId="0" borderId="0" xfId="0" applyFont="1" applyFill="1" applyBorder="1" applyAlignment="1" applyProtection="1">
      <alignment horizontal="left" vertical="center"/>
    </xf>
    <xf numFmtId="0" fontId="44" fillId="0" borderId="0" xfId="0" applyFont="1" applyAlignment="1" applyProtection="1">
      <alignment horizontal="left"/>
    </xf>
    <xf numFmtId="166" fontId="153" fillId="6" borderId="5" xfId="0" applyNumberFormat="1" applyFont="1" applyFill="1" applyBorder="1" applyAlignment="1" applyProtection="1">
      <alignment horizontal="center"/>
      <protection locked="0"/>
    </xf>
    <xf numFmtId="0" fontId="153" fillId="6" borderId="4" xfId="0" applyFont="1" applyFill="1" applyBorder="1" applyAlignment="1" applyProtection="1">
      <alignment horizontal="center"/>
      <protection locked="0"/>
    </xf>
    <xf numFmtId="0" fontId="153" fillId="6" borderId="1" xfId="0" applyFont="1" applyFill="1" applyBorder="1" applyAlignment="1" applyProtection="1">
      <alignment horizontal="center"/>
      <protection locked="0"/>
    </xf>
    <xf numFmtId="0" fontId="153" fillId="6" borderId="0" xfId="0" applyFont="1" applyFill="1" applyBorder="1" applyAlignment="1" applyProtection="1">
      <alignment horizontal="center"/>
      <protection locked="0"/>
    </xf>
    <xf numFmtId="166" fontId="153" fillId="6" borderId="0" xfId="0" applyNumberFormat="1" applyFont="1" applyFill="1" applyBorder="1" applyAlignment="1" applyProtection="1">
      <alignment horizontal="center"/>
      <protection locked="0"/>
    </xf>
    <xf numFmtId="0" fontId="153" fillId="6" borderId="0" xfId="0" applyFont="1" applyFill="1" applyBorder="1" applyAlignment="1" applyProtection="1">
      <alignment horizontal="left"/>
      <protection locked="0"/>
    </xf>
    <xf numFmtId="0" fontId="7" fillId="0" borderId="0" xfId="0" applyFont="1" applyFill="1" applyAlignment="1">
      <alignment horizontal="left" indent="1"/>
    </xf>
    <xf numFmtId="0" fontId="39" fillId="0" borderId="0" xfId="0" applyFont="1" applyFill="1"/>
    <xf numFmtId="15" fontId="117" fillId="8" borderId="62" xfId="0" applyNumberFormat="1" applyFont="1" applyFill="1" applyBorder="1" applyAlignment="1">
      <alignment horizontal="center" vertical="center"/>
    </xf>
    <xf numFmtId="0" fontId="117" fillId="8" borderId="63" xfId="0" applyFont="1" applyFill="1" applyBorder="1" applyAlignment="1">
      <alignment horizontal="center" vertical="center"/>
    </xf>
    <xf numFmtId="0" fontId="0" fillId="0" borderId="0" xfId="0" applyAlignment="1" applyProtection="1">
      <alignment horizontal="right"/>
    </xf>
    <xf numFmtId="165" fontId="0" fillId="0" borderId="0" xfId="0" applyNumberFormat="1" applyProtection="1"/>
    <xf numFmtId="165" fontId="1" fillId="0" borderId="0" xfId="0" quotePrefix="1" applyNumberFormat="1" applyFont="1" applyProtection="1"/>
    <xf numFmtId="166" fontId="117" fillId="7" borderId="61" xfId="0" applyNumberFormat="1" applyFont="1" applyFill="1" applyBorder="1" applyAlignment="1">
      <alignment horizontal="center" vertical="center" wrapText="1"/>
    </xf>
    <xf numFmtId="0" fontId="68" fillId="4" borderId="36" xfId="0" applyFont="1" applyFill="1" applyBorder="1" applyAlignment="1">
      <alignment horizontal="center"/>
    </xf>
    <xf numFmtId="171" fontId="7" fillId="6" borderId="37" xfId="0" applyNumberFormat="1" applyFont="1" applyFill="1" applyBorder="1" applyAlignment="1">
      <alignment horizontal="center"/>
    </xf>
    <xf numFmtId="171" fontId="7" fillId="6" borderId="0" xfId="0" applyNumberFormat="1" applyFont="1" applyFill="1" applyBorder="1" applyAlignment="1">
      <alignment horizontal="center"/>
    </xf>
    <xf numFmtId="171" fontId="7" fillId="6" borderId="20" xfId="0" applyNumberFormat="1" applyFont="1" applyFill="1" applyBorder="1" applyAlignment="1">
      <alignment horizontal="center"/>
    </xf>
    <xf numFmtId="171" fontId="7" fillId="6" borderId="28" xfId="0" applyNumberFormat="1" applyFont="1" applyFill="1" applyBorder="1" applyAlignment="1">
      <alignment horizontal="center"/>
    </xf>
    <xf numFmtId="2" fontId="13" fillId="20" borderId="0" xfId="0" applyNumberFormat="1" applyFont="1" applyFill="1" applyAlignment="1">
      <alignment horizontal="center"/>
    </xf>
    <xf numFmtId="0" fontId="1" fillId="19" borderId="0" xfId="0" applyFont="1" applyFill="1"/>
    <xf numFmtId="0" fontId="7" fillId="0" borderId="0" xfId="0" quotePrefix="1" applyNumberFormat="1" applyFont="1" applyFill="1" applyAlignment="1">
      <alignment horizontal="left"/>
    </xf>
    <xf numFmtId="166" fontId="7" fillId="19" borderId="0" xfId="0" quotePrefix="1" applyNumberFormat="1" applyFont="1" applyFill="1" applyAlignment="1">
      <alignment horizontal="left"/>
    </xf>
    <xf numFmtId="2" fontId="7" fillId="6" borderId="64" xfId="0" applyNumberFormat="1" applyFont="1" applyFill="1" applyBorder="1" applyAlignment="1" applyProtection="1">
      <alignment horizontal="right"/>
    </xf>
    <xf numFmtId="166" fontId="18" fillId="4" borderId="0" xfId="0" applyNumberFormat="1" applyFont="1" applyFill="1" applyBorder="1" applyAlignment="1" applyProtection="1">
      <alignment horizontal="center"/>
    </xf>
    <xf numFmtId="166" fontId="7" fillId="6" borderId="59" xfId="0" applyNumberFormat="1" applyFont="1" applyFill="1" applyBorder="1" applyAlignment="1">
      <alignment horizontal="center"/>
    </xf>
    <xf numFmtId="0" fontId="7" fillId="19" borderId="0" xfId="0" applyFont="1" applyFill="1" applyAlignment="1">
      <alignment horizontal="center"/>
    </xf>
    <xf numFmtId="0" fontId="1" fillId="21" borderId="0" xfId="0" applyFont="1" applyFill="1"/>
    <xf numFmtId="0" fontId="39" fillId="22" borderId="0" xfId="0" applyFont="1" applyFill="1"/>
    <xf numFmtId="0" fontId="68" fillId="4" borderId="21" xfId="0" applyNumberFormat="1" applyFont="1" applyFill="1" applyBorder="1" applyAlignment="1" applyProtection="1">
      <alignment horizontal="center"/>
    </xf>
    <xf numFmtId="0" fontId="68" fillId="4" borderId="22" xfId="0" applyNumberFormat="1" applyFont="1" applyFill="1" applyBorder="1" applyAlignment="1" applyProtection="1">
      <alignment horizontal="center"/>
    </xf>
    <xf numFmtId="0" fontId="7" fillId="22" borderId="22" xfId="0" applyNumberFormat="1" applyFont="1" applyFill="1" applyBorder="1" applyAlignment="1">
      <alignment horizontal="center"/>
    </xf>
    <xf numFmtId="0" fontId="68" fillId="4" borderId="21" xfId="0" applyFont="1" applyFill="1" applyBorder="1" applyAlignment="1">
      <alignment horizontal="center"/>
    </xf>
    <xf numFmtId="0" fontId="68" fillId="4" borderId="22" xfId="0" applyFont="1" applyFill="1" applyBorder="1" applyAlignment="1">
      <alignment horizontal="center"/>
    </xf>
    <xf numFmtId="0" fontId="134" fillId="0" borderId="0" xfId="0" applyFont="1" applyAlignment="1">
      <alignment horizontal="right"/>
    </xf>
    <xf numFmtId="0" fontId="134" fillId="0" borderId="21" xfId="0" applyFont="1" applyBorder="1" applyAlignment="1">
      <alignment horizontal="center"/>
    </xf>
    <xf numFmtId="0" fontId="134" fillId="0" borderId="37" xfId="0" applyFont="1" applyBorder="1" applyAlignment="1">
      <alignment horizontal="center"/>
    </xf>
    <xf numFmtId="0" fontId="0" fillId="0" borderId="37" xfId="0" applyBorder="1" applyAlignment="1">
      <alignment horizontal="right"/>
    </xf>
    <xf numFmtId="2" fontId="7" fillId="0" borderId="37" xfId="0" applyNumberFormat="1" applyFont="1" applyBorder="1" applyAlignment="1">
      <alignment horizontal="center"/>
    </xf>
    <xf numFmtId="0" fontId="0" fillId="0" borderId="37" xfId="0" applyBorder="1"/>
    <xf numFmtId="0" fontId="0" fillId="0" borderId="22" xfId="0" applyBorder="1"/>
    <xf numFmtId="0" fontId="134" fillId="0" borderId="2" xfId="0" applyFont="1" applyBorder="1" applyAlignment="1">
      <alignment horizontal="center"/>
    </xf>
    <xf numFmtId="0" fontId="18" fillId="0" borderId="0" xfId="0" applyFont="1" applyBorder="1" applyAlignment="1">
      <alignment horizontal="center"/>
    </xf>
    <xf numFmtId="0" fontId="0" fillId="0" borderId="0" xfId="0" applyBorder="1"/>
    <xf numFmtId="166" fontId="18" fillId="0" borderId="0" xfId="0" applyNumberFormat="1" applyFont="1" applyBorder="1" applyAlignment="1"/>
    <xf numFmtId="166" fontId="18" fillId="0" borderId="5" xfId="0" applyNumberFormat="1" applyFont="1" applyBorder="1" applyAlignment="1"/>
    <xf numFmtId="0" fontId="134" fillId="0" borderId="58" xfId="0" applyFont="1" applyBorder="1" applyAlignment="1">
      <alignment horizontal="center"/>
    </xf>
    <xf numFmtId="0" fontId="134" fillId="0" borderId="59" xfId="0" applyFont="1" applyBorder="1" applyAlignment="1">
      <alignment horizontal="center"/>
    </xf>
    <xf numFmtId="166" fontId="7" fillId="0" borderId="59" xfId="0" applyNumberFormat="1" applyFont="1" applyBorder="1" applyAlignment="1">
      <alignment horizontal="center"/>
    </xf>
    <xf numFmtId="166" fontId="7" fillId="0" borderId="60" xfId="0" applyNumberFormat="1" applyFont="1" applyBorder="1" applyAlignment="1">
      <alignment horizontal="center"/>
    </xf>
    <xf numFmtId="0" fontId="0" fillId="0" borderId="21" xfId="0" applyBorder="1"/>
    <xf numFmtId="0" fontId="0" fillId="0" borderId="58" xfId="0" applyBorder="1"/>
    <xf numFmtId="166" fontId="18" fillId="0" borderId="0" xfId="0" applyNumberFormat="1" applyFont="1" applyBorder="1" applyAlignment="1">
      <alignment horizontal="center"/>
    </xf>
    <xf numFmtId="0" fontId="161" fillId="0" borderId="0" xfId="0" applyFont="1" applyFill="1"/>
    <xf numFmtId="0" fontId="161" fillId="0" borderId="0" xfId="0" applyFont="1" applyFill="1" applyAlignment="1">
      <alignment horizontal="center"/>
    </xf>
    <xf numFmtId="166" fontId="18" fillId="0" borderId="0" xfId="0" applyNumberFormat="1" applyFont="1" applyBorder="1" applyAlignment="1">
      <alignment horizontal="center"/>
    </xf>
    <xf numFmtId="166" fontId="7" fillId="0" borderId="30" xfId="0" applyNumberFormat="1" applyFont="1" applyBorder="1" applyAlignment="1">
      <alignment horizontal="center"/>
    </xf>
    <xf numFmtId="0" fontId="162" fillId="2" borderId="0" xfId="0" applyFont="1" applyFill="1" applyBorder="1" applyAlignment="1" applyProtection="1">
      <alignment horizontal="center"/>
    </xf>
    <xf numFmtId="1" fontId="56" fillId="4" borderId="65" xfId="0" applyNumberFormat="1" applyFont="1" applyFill="1" applyBorder="1" applyAlignment="1" applyProtection="1">
      <alignment horizontal="center" vertical="center"/>
    </xf>
    <xf numFmtId="1" fontId="57" fillId="4" borderId="66" xfId="0" applyNumberFormat="1" applyFont="1" applyFill="1" applyBorder="1" applyAlignment="1" applyProtection="1">
      <alignment vertical="center"/>
    </xf>
    <xf numFmtId="1" fontId="51" fillId="4" borderId="66" xfId="0" applyNumberFormat="1" applyFont="1" applyFill="1" applyBorder="1" applyAlignment="1" applyProtection="1">
      <alignment vertical="center"/>
    </xf>
    <xf numFmtId="0" fontId="49" fillId="4" borderId="66" xfId="0" applyFont="1" applyFill="1" applyBorder="1" applyAlignment="1" applyProtection="1">
      <alignment vertical="center"/>
    </xf>
    <xf numFmtId="1" fontId="56" fillId="4" borderId="70" xfId="0" applyNumberFormat="1" applyFont="1" applyFill="1" applyBorder="1" applyAlignment="1" applyProtection="1">
      <alignment horizontal="center"/>
    </xf>
    <xf numFmtId="1" fontId="44" fillId="4" borderId="71" xfId="0" applyNumberFormat="1" applyFont="1" applyFill="1" applyBorder="1" applyAlignment="1" applyProtection="1">
      <alignment horizontal="left"/>
    </xf>
    <xf numFmtId="1" fontId="44" fillId="4" borderId="70" xfId="0" applyNumberFormat="1" applyFont="1" applyFill="1" applyBorder="1" applyProtection="1"/>
    <xf numFmtId="1" fontId="44" fillId="4" borderId="75" xfId="0" applyNumberFormat="1" applyFont="1" applyFill="1" applyBorder="1" applyProtection="1"/>
    <xf numFmtId="0" fontId="60" fillId="6" borderId="70" xfId="0" applyFont="1" applyFill="1" applyBorder="1" applyAlignment="1" applyProtection="1">
      <alignment horizontal="left"/>
    </xf>
    <xf numFmtId="0" fontId="7" fillId="6" borderId="70" xfId="0" applyFont="1" applyFill="1" applyBorder="1" applyAlignment="1" applyProtection="1">
      <alignment horizontal="right"/>
    </xf>
    <xf numFmtId="0" fontId="60" fillId="2" borderId="70" xfId="0" applyFont="1" applyFill="1" applyBorder="1" applyAlignment="1" applyProtection="1">
      <alignment horizontal="left"/>
    </xf>
    <xf numFmtId="0" fontId="7" fillId="6" borderId="70" xfId="0" applyFont="1" applyFill="1" applyBorder="1" applyProtection="1"/>
    <xf numFmtId="0" fontId="68" fillId="6" borderId="70" xfId="0" applyFont="1" applyFill="1" applyBorder="1" applyAlignment="1" applyProtection="1">
      <alignment horizontal="right"/>
    </xf>
    <xf numFmtId="0" fontId="60" fillId="2" borderId="70" xfId="0" applyFont="1" applyFill="1" applyBorder="1" applyAlignment="1" applyProtection="1">
      <alignment horizontal="center"/>
    </xf>
    <xf numFmtId="0" fontId="159" fillId="6" borderId="70" xfId="0" applyFont="1" applyFill="1" applyBorder="1" applyAlignment="1" applyProtection="1">
      <alignment horizontal="center"/>
      <protection locked="0"/>
    </xf>
    <xf numFmtId="0" fontId="154" fillId="6" borderId="70" xfId="0" applyFont="1" applyFill="1" applyBorder="1" applyAlignment="1" applyProtection="1">
      <alignment horizontal="center"/>
      <protection locked="0"/>
    </xf>
    <xf numFmtId="0" fontId="44" fillId="6" borderId="70" xfId="0" applyFont="1" applyFill="1" applyBorder="1" applyAlignment="1" applyProtection="1">
      <alignment horizontal="right"/>
    </xf>
    <xf numFmtId="0" fontId="49" fillId="6" borderId="70" xfId="0" applyFont="1" applyFill="1" applyBorder="1" applyAlignment="1" applyProtection="1">
      <alignment horizontal="center"/>
    </xf>
    <xf numFmtId="0" fontId="142" fillId="6" borderId="77" xfId="0" applyFont="1" applyFill="1" applyBorder="1" applyAlignment="1" applyProtection="1">
      <alignment horizontal="center"/>
    </xf>
    <xf numFmtId="0" fontId="142" fillId="6" borderId="78" xfId="0" applyFont="1" applyFill="1" applyBorder="1" applyAlignment="1" applyProtection="1">
      <alignment horizontal="center"/>
    </xf>
    <xf numFmtId="0" fontId="39" fillId="0" borderId="0" xfId="0" applyFont="1" applyFill="1" applyAlignment="1">
      <alignment horizontal="center"/>
    </xf>
    <xf numFmtId="165" fontId="39" fillId="0" borderId="0" xfId="0" applyNumberFormat="1" applyFont="1" applyFill="1" applyAlignment="1">
      <alignment horizontal="center"/>
    </xf>
    <xf numFmtId="2" fontId="39" fillId="0" borderId="0" xfId="0" applyNumberFormat="1" applyFont="1" applyFill="1" applyAlignment="1">
      <alignment horizontal="center"/>
    </xf>
    <xf numFmtId="166" fontId="39" fillId="0" borderId="0" xfId="0" applyNumberFormat="1" applyFont="1" applyFill="1" applyAlignment="1">
      <alignment horizontal="center"/>
    </xf>
    <xf numFmtId="0" fontId="170" fillId="0" borderId="0" xfId="0" applyFont="1" applyAlignment="1">
      <alignment horizontal="left"/>
    </xf>
    <xf numFmtId="0" fontId="134" fillId="0" borderId="0" xfId="0" applyFont="1" applyBorder="1" applyAlignment="1">
      <alignment horizontal="right"/>
    </xf>
    <xf numFmtId="0" fontId="134" fillId="0" borderId="0" xfId="0" applyFont="1" applyBorder="1" applyAlignment="1">
      <alignment horizontal="center"/>
    </xf>
    <xf numFmtId="0" fontId="0" fillId="0" borderId="0" xfId="0" applyBorder="1" applyAlignment="1">
      <alignment horizontal="right"/>
    </xf>
    <xf numFmtId="2" fontId="7" fillId="0" borderId="0" xfId="0" applyNumberFormat="1" applyFont="1" applyBorder="1" applyAlignment="1">
      <alignment horizontal="center"/>
    </xf>
    <xf numFmtId="166" fontId="7" fillId="0" borderId="0" xfId="0" applyNumberFormat="1" applyFont="1" applyBorder="1" applyAlignment="1">
      <alignment horizontal="center"/>
    </xf>
    <xf numFmtId="166" fontId="80" fillId="0" borderId="0" xfId="0" applyNumberFormat="1" applyFont="1" applyBorder="1" applyAlignment="1">
      <alignment horizontal="left" vertical="center" indent="1"/>
    </xf>
    <xf numFmtId="0" fontId="49" fillId="0" borderId="0" xfId="0" applyFont="1" applyFill="1" applyBorder="1" applyAlignment="1">
      <alignment horizontal="left"/>
    </xf>
    <xf numFmtId="0" fontId="103" fillId="0" borderId="0" xfId="0" applyFont="1" applyBorder="1" applyAlignment="1">
      <alignment horizontal="center"/>
    </xf>
    <xf numFmtId="0" fontId="0" fillId="0" borderId="0" xfId="0" applyBorder="1" applyProtection="1"/>
    <xf numFmtId="2" fontId="7" fillId="8" borderId="37" xfId="0" applyNumberFormat="1" applyFont="1" applyFill="1" applyBorder="1" applyAlignment="1" applyProtection="1">
      <alignment horizontal="center"/>
    </xf>
    <xf numFmtId="2" fontId="7" fillId="8" borderId="0" xfId="0" applyNumberFormat="1" applyFont="1" applyFill="1" applyBorder="1" applyAlignment="1" applyProtection="1">
      <alignment horizontal="center"/>
    </xf>
    <xf numFmtId="2" fontId="7" fillId="8" borderId="59" xfId="0" applyNumberFormat="1" applyFont="1" applyFill="1" applyBorder="1" applyAlignment="1" applyProtection="1">
      <alignment horizontal="center"/>
    </xf>
    <xf numFmtId="0" fontId="39" fillId="23" borderId="21" xfId="0" applyFont="1" applyFill="1" applyBorder="1" applyAlignment="1">
      <alignment horizontal="center"/>
    </xf>
    <xf numFmtId="0" fontId="39" fillId="23" borderId="22" xfId="0" applyFont="1" applyFill="1" applyBorder="1" applyAlignment="1">
      <alignment horizontal="center"/>
    </xf>
    <xf numFmtId="0" fontId="39" fillId="23" borderId="2" xfId="0" applyFont="1" applyFill="1" applyBorder="1" applyAlignment="1">
      <alignment horizontal="center"/>
    </xf>
    <xf numFmtId="0" fontId="39" fillId="23" borderId="5" xfId="0" applyFont="1" applyFill="1" applyBorder="1" applyAlignment="1">
      <alignment horizontal="center"/>
    </xf>
    <xf numFmtId="0" fontId="39" fillId="23" borderId="58" xfId="0" applyFont="1" applyFill="1" applyBorder="1" applyAlignment="1">
      <alignment horizontal="center"/>
    </xf>
    <xf numFmtId="0" fontId="39" fillId="23" borderId="60" xfId="0" applyFont="1" applyFill="1" applyBorder="1" applyAlignment="1">
      <alignment horizontal="center"/>
    </xf>
    <xf numFmtId="0" fontId="68" fillId="4" borderId="37" xfId="0" applyFont="1" applyFill="1" applyBorder="1" applyAlignment="1">
      <alignment horizontal="center"/>
    </xf>
    <xf numFmtId="0" fontId="7" fillId="14" borderId="0" xfId="0" applyNumberFormat="1" applyFont="1" applyFill="1" applyBorder="1" applyAlignment="1">
      <alignment horizontal="center"/>
    </xf>
    <xf numFmtId="2" fontId="98" fillId="6" borderId="0" xfId="0" applyNumberFormat="1" applyFont="1" applyFill="1" applyBorder="1" applyAlignment="1" applyProtection="1">
      <alignment horizontal="right"/>
    </xf>
    <xf numFmtId="0" fontId="173" fillId="0" borderId="0" xfId="0" applyFont="1" applyFill="1" applyAlignment="1">
      <alignment horizontal="center" vertical="center"/>
    </xf>
    <xf numFmtId="0" fontId="68" fillId="4" borderId="0" xfId="0" applyFont="1" applyFill="1" applyBorder="1" applyAlignment="1">
      <alignment horizontal="center"/>
    </xf>
    <xf numFmtId="0" fontId="68" fillId="4" borderId="0" xfId="0" applyNumberFormat="1" applyFont="1" applyFill="1" applyBorder="1" applyAlignment="1" applyProtection="1">
      <alignment horizontal="center"/>
    </xf>
    <xf numFmtId="0" fontId="68" fillId="4" borderId="0" xfId="0" applyNumberFormat="1" applyFont="1" applyFill="1" applyBorder="1" applyAlignment="1" applyProtection="1">
      <alignment horizontal="center" vertical="center"/>
    </xf>
    <xf numFmtId="0" fontId="39" fillId="0" borderId="0" xfId="0" applyFont="1" applyFill="1" applyBorder="1" applyAlignment="1">
      <alignment horizontal="center" vertical="center"/>
    </xf>
    <xf numFmtId="0" fontId="68" fillId="4" borderId="0" xfId="0" applyFont="1" applyFill="1" applyBorder="1" applyAlignment="1">
      <alignment horizontal="center" vertical="center"/>
    </xf>
    <xf numFmtId="0" fontId="39" fillId="0" borderId="0" xfId="0" applyFont="1" applyFill="1" applyAlignment="1">
      <alignment horizontal="center" vertical="center"/>
    </xf>
    <xf numFmtId="0" fontId="134" fillId="0" borderId="0" xfId="0" applyFont="1" applyAlignment="1">
      <alignment horizontal="left"/>
    </xf>
    <xf numFmtId="166" fontId="39" fillId="24" borderId="21" xfId="0" applyNumberFormat="1" applyFont="1" applyFill="1" applyBorder="1" applyAlignment="1">
      <alignment horizontal="center"/>
    </xf>
    <xf numFmtId="166" fontId="39" fillId="24" borderId="22" xfId="0" applyNumberFormat="1" applyFont="1" applyFill="1" applyBorder="1" applyAlignment="1">
      <alignment horizontal="center"/>
    </xf>
    <xf numFmtId="166" fontId="39" fillId="24" borderId="2" xfId="0" applyNumberFormat="1" applyFont="1" applyFill="1" applyBorder="1" applyAlignment="1">
      <alignment horizontal="center"/>
    </xf>
    <xf numFmtId="166" fontId="39" fillId="24" borderId="5" xfId="0" applyNumberFormat="1" applyFont="1" applyFill="1" applyBorder="1" applyAlignment="1">
      <alignment horizontal="center"/>
    </xf>
    <xf numFmtId="166" fontId="39" fillId="24" borderId="58" xfId="0" applyNumberFormat="1" applyFont="1" applyFill="1" applyBorder="1" applyAlignment="1">
      <alignment horizontal="center"/>
    </xf>
    <xf numFmtId="166" fontId="39" fillId="24" borderId="60" xfId="0" applyNumberFormat="1" applyFont="1" applyFill="1" applyBorder="1" applyAlignment="1">
      <alignment horizontal="center"/>
    </xf>
    <xf numFmtId="0" fontId="68" fillId="4" borderId="36" xfId="0" applyNumberFormat="1" applyFont="1" applyFill="1" applyBorder="1" applyAlignment="1" applyProtection="1">
      <alignment horizontal="center"/>
    </xf>
    <xf numFmtId="166" fontId="39" fillId="0" borderId="21" xfId="0" applyNumberFormat="1" applyFont="1" applyFill="1" applyBorder="1" applyAlignment="1">
      <alignment horizontal="center"/>
    </xf>
    <xf numFmtId="166" fontId="39" fillId="0" borderId="22" xfId="0" applyNumberFormat="1" applyFont="1" applyFill="1" applyBorder="1" applyAlignment="1">
      <alignment horizontal="center"/>
    </xf>
    <xf numFmtId="166" fontId="39" fillId="0" borderId="2" xfId="0" applyNumberFormat="1" applyFont="1" applyFill="1" applyBorder="1" applyAlignment="1">
      <alignment horizontal="center"/>
    </xf>
    <xf numFmtId="166" fontId="39" fillId="0" borderId="5" xfId="0" applyNumberFormat="1" applyFont="1" applyFill="1" applyBorder="1" applyAlignment="1">
      <alignment horizontal="center"/>
    </xf>
    <xf numFmtId="166" fontId="39" fillId="0" borderId="58" xfId="0" applyNumberFormat="1" applyFont="1" applyFill="1" applyBorder="1" applyAlignment="1">
      <alignment horizontal="center"/>
    </xf>
    <xf numFmtId="166" fontId="39" fillId="0" borderId="60" xfId="0" applyNumberFormat="1" applyFont="1" applyFill="1" applyBorder="1" applyAlignment="1">
      <alignment horizontal="center"/>
    </xf>
    <xf numFmtId="0" fontId="87" fillId="4" borderId="21" xfId="0" applyNumberFormat="1" applyFont="1" applyFill="1" applyBorder="1" applyAlignment="1" applyProtection="1">
      <alignment horizontal="center"/>
    </xf>
    <xf numFmtId="0" fontId="87" fillId="4" borderId="22" xfId="0" applyNumberFormat="1" applyFont="1" applyFill="1" applyBorder="1" applyAlignment="1" applyProtection="1">
      <alignment horizontal="center"/>
    </xf>
    <xf numFmtId="0" fontId="87" fillId="4" borderId="31" xfId="0" applyNumberFormat="1" applyFont="1" applyFill="1" applyBorder="1" applyAlignment="1" applyProtection="1">
      <alignment horizontal="center"/>
    </xf>
    <xf numFmtId="0" fontId="87" fillId="4" borderId="36" xfId="0" applyNumberFormat="1" applyFont="1" applyFill="1" applyBorder="1" applyAlignment="1" applyProtection="1">
      <alignment horizontal="center"/>
    </xf>
    <xf numFmtId="0" fontId="169" fillId="0" borderId="0" xfId="0" applyFont="1" applyAlignment="1">
      <alignment horizontal="center"/>
    </xf>
    <xf numFmtId="166" fontId="18" fillId="0" borderId="0" xfId="0" applyNumberFormat="1" applyFont="1" applyBorder="1" applyAlignment="1">
      <alignment horizontal="center"/>
    </xf>
    <xf numFmtId="0" fontId="161" fillId="0" borderId="0" xfId="0" applyFont="1" applyAlignment="1">
      <alignment horizontal="left"/>
    </xf>
    <xf numFmtId="166" fontId="18" fillId="0" borderId="0" xfId="0" applyNumberFormat="1" applyFont="1" applyBorder="1" applyAlignment="1">
      <alignment horizontal="center"/>
    </xf>
    <xf numFmtId="166" fontId="18" fillId="0" borderId="0" xfId="0" applyNumberFormat="1" applyFont="1" applyBorder="1" applyAlignment="1">
      <alignment horizontal="center"/>
    </xf>
    <xf numFmtId="166" fontId="18" fillId="0" borderId="0" xfId="0" applyNumberFormat="1" applyFont="1" applyBorder="1" applyAlignment="1">
      <alignment horizontal="center"/>
    </xf>
    <xf numFmtId="166" fontId="18" fillId="0" borderId="0" xfId="0" quotePrefix="1" applyNumberFormat="1" applyFont="1" applyBorder="1" applyAlignment="1">
      <alignment horizontal="center"/>
    </xf>
    <xf numFmtId="166" fontId="18" fillId="0" borderId="0" xfId="0" applyNumberFormat="1" applyFont="1" applyBorder="1" applyAlignment="1">
      <alignment horizontal="center"/>
    </xf>
    <xf numFmtId="166" fontId="18" fillId="0" borderId="0" xfId="0" applyNumberFormat="1" applyFont="1" applyBorder="1" applyAlignment="1">
      <alignment horizontal="center"/>
    </xf>
    <xf numFmtId="166" fontId="18" fillId="0" borderId="0" xfId="0" applyNumberFormat="1" applyFont="1" applyBorder="1" applyAlignment="1">
      <alignment horizontal="center"/>
    </xf>
    <xf numFmtId="166" fontId="18" fillId="0" borderId="0" xfId="0" applyNumberFormat="1" applyFont="1" applyBorder="1" applyAlignment="1">
      <alignment horizontal="center"/>
    </xf>
    <xf numFmtId="166" fontId="18" fillId="0" borderId="0" xfId="0" applyNumberFormat="1" applyFont="1" applyBorder="1" applyAlignment="1">
      <alignment horizontal="center"/>
    </xf>
    <xf numFmtId="0" fontId="163" fillId="0" borderId="0" xfId="0" applyFont="1" applyFill="1" applyAlignment="1">
      <alignment horizontal="center"/>
    </xf>
    <xf numFmtId="166" fontId="18" fillId="0" borderId="0" xfId="0" applyNumberFormat="1" applyFont="1" applyBorder="1" applyAlignment="1">
      <alignment horizontal="center"/>
    </xf>
    <xf numFmtId="166" fontId="18" fillId="0" borderId="0" xfId="0" applyNumberFormat="1" applyFont="1" applyBorder="1" applyAlignment="1">
      <alignment horizontal="center"/>
    </xf>
    <xf numFmtId="166" fontId="18" fillId="0" borderId="0" xfId="0" applyNumberFormat="1" applyFont="1" applyFill="1" applyBorder="1" applyAlignment="1">
      <alignment horizontal="center"/>
    </xf>
    <xf numFmtId="166" fontId="18" fillId="0" borderId="0" xfId="0" applyNumberFormat="1" applyFont="1" applyBorder="1" applyAlignment="1">
      <alignment horizontal="center"/>
    </xf>
    <xf numFmtId="0" fontId="117" fillId="8" borderId="61" xfId="0" applyFont="1" applyFill="1" applyBorder="1" applyAlignment="1">
      <alignment horizontal="justify" vertical="center" wrapText="1"/>
    </xf>
    <xf numFmtId="1" fontId="39" fillId="0" borderId="0" xfId="0" applyNumberFormat="1" applyFont="1" applyFill="1" applyAlignment="1">
      <alignment horizontal="center"/>
    </xf>
    <xf numFmtId="166" fontId="7" fillId="22" borderId="21" xfId="0" applyNumberFormat="1" applyFont="1" applyFill="1" applyBorder="1" applyAlignment="1">
      <alignment horizontal="center"/>
    </xf>
    <xf numFmtId="166" fontId="7" fillId="18" borderId="37" xfId="0" applyNumberFormat="1" applyFont="1" applyFill="1" applyBorder="1" applyAlignment="1">
      <alignment horizontal="center"/>
    </xf>
    <xf numFmtId="166" fontId="7" fillId="18" borderId="0" xfId="0" applyNumberFormat="1" applyFont="1" applyFill="1" applyBorder="1" applyAlignment="1">
      <alignment horizontal="center"/>
    </xf>
    <xf numFmtId="166" fontId="7" fillId="18" borderId="59" xfId="0" applyNumberFormat="1" applyFont="1" applyFill="1" applyBorder="1" applyAlignment="1">
      <alignment horizontal="center"/>
    </xf>
    <xf numFmtId="0" fontId="7" fillId="18" borderId="59" xfId="0" applyNumberFormat="1" applyFont="1" applyFill="1" applyBorder="1" applyAlignment="1">
      <alignment horizontal="center"/>
    </xf>
    <xf numFmtId="166" fontId="39" fillId="0" borderId="0" xfId="0" applyNumberFormat="1" applyFont="1" applyFill="1" applyBorder="1" applyAlignment="1">
      <alignment horizontal="center"/>
    </xf>
    <xf numFmtId="166" fontId="39" fillId="0" borderId="59" xfId="0" applyNumberFormat="1" applyFont="1" applyFill="1" applyBorder="1" applyAlignment="1">
      <alignment horizontal="center"/>
    </xf>
    <xf numFmtId="166" fontId="39" fillId="0" borderId="37" xfId="0" applyNumberFormat="1" applyFont="1" applyFill="1" applyBorder="1" applyAlignment="1">
      <alignment horizontal="center"/>
    </xf>
    <xf numFmtId="2" fontId="7" fillId="0" borderId="31" xfId="0" applyNumberFormat="1" applyFont="1" applyFill="1" applyBorder="1" applyAlignment="1">
      <alignment horizontal="center"/>
    </xf>
    <xf numFmtId="2" fontId="7" fillId="0" borderId="32" xfId="0" applyNumberFormat="1" applyFont="1" applyFill="1" applyBorder="1" applyAlignment="1">
      <alignment horizontal="center"/>
    </xf>
    <xf numFmtId="2" fontId="7" fillId="0" borderId="36" xfId="0" applyNumberFormat="1" applyFont="1" applyFill="1" applyBorder="1" applyAlignment="1">
      <alignment horizontal="center"/>
    </xf>
    <xf numFmtId="166" fontId="7" fillId="8" borderId="21" xfId="0" applyNumberFormat="1" applyFont="1" applyFill="1" applyBorder="1" applyAlignment="1" applyProtection="1">
      <alignment horizontal="center"/>
    </xf>
    <xf numFmtId="166" fontId="7" fillId="8" borderId="22" xfId="0" applyNumberFormat="1" applyFont="1" applyFill="1" applyBorder="1" applyAlignment="1" applyProtection="1">
      <alignment horizontal="center"/>
    </xf>
    <xf numFmtId="166" fontId="7" fillId="8" borderId="2" xfId="0" applyNumberFormat="1" applyFont="1" applyFill="1" applyBorder="1" applyAlignment="1" applyProtection="1">
      <alignment horizontal="center"/>
    </xf>
    <xf numFmtId="166" fontId="7" fillId="8" borderId="5" xfId="0" applyNumberFormat="1" applyFont="1" applyFill="1" applyBorder="1" applyAlignment="1" applyProtection="1">
      <alignment horizontal="center"/>
    </xf>
    <xf numFmtId="166" fontId="7" fillId="8" borderId="58" xfId="0" applyNumberFormat="1" applyFont="1" applyFill="1" applyBorder="1" applyAlignment="1" applyProtection="1">
      <alignment horizontal="center"/>
    </xf>
    <xf numFmtId="166" fontId="7" fillId="8" borderId="60" xfId="0" applyNumberFormat="1" applyFont="1" applyFill="1" applyBorder="1" applyAlignment="1" applyProtection="1">
      <alignment horizontal="center"/>
    </xf>
    <xf numFmtId="166" fontId="7" fillId="8" borderId="0" xfId="0" applyNumberFormat="1" applyFont="1" applyFill="1" applyBorder="1" applyAlignment="1" applyProtection="1">
      <alignment horizontal="center"/>
    </xf>
    <xf numFmtId="166" fontId="7" fillId="8" borderId="37" xfId="0" applyNumberFormat="1" applyFont="1" applyFill="1" applyBorder="1" applyAlignment="1" applyProtection="1">
      <alignment horizontal="center"/>
    </xf>
    <xf numFmtId="166" fontId="7" fillId="8" borderId="59" xfId="0" applyNumberFormat="1" applyFont="1" applyFill="1" applyBorder="1" applyAlignment="1" applyProtection="1">
      <alignment horizontal="center"/>
    </xf>
    <xf numFmtId="0" fontId="60" fillId="2" borderId="70" xfId="0" applyFont="1" applyFill="1" applyBorder="1" applyAlignment="1" applyProtection="1">
      <alignment horizontal="left" vertical="center"/>
    </xf>
    <xf numFmtId="0" fontId="185" fillId="0" borderId="0" xfId="0" applyFont="1"/>
    <xf numFmtId="0" fontId="7" fillId="0" borderId="0" xfId="0" quotePrefix="1" applyFont="1"/>
    <xf numFmtId="9" fontId="7" fillId="0" borderId="0" xfId="0" applyNumberFormat="1" applyFont="1"/>
    <xf numFmtId="0" fontId="7" fillId="0" borderId="0" xfId="0" quotePrefix="1" applyFont="1" applyAlignment="1">
      <alignment horizontal="center"/>
    </xf>
    <xf numFmtId="1" fontId="7" fillId="0" borderId="0" xfId="0" applyNumberFormat="1" applyFont="1"/>
    <xf numFmtId="172" fontId="7" fillId="0" borderId="0" xfId="0" applyNumberFormat="1" applyFont="1" applyFill="1"/>
    <xf numFmtId="173" fontId="7" fillId="0" borderId="0" xfId="0" applyNumberFormat="1" applyFont="1" applyFill="1"/>
    <xf numFmtId="16" fontId="60" fillId="2" borderId="70" xfId="0" quotePrefix="1" applyNumberFormat="1" applyFont="1" applyFill="1" applyBorder="1" applyAlignment="1" applyProtection="1">
      <alignment horizontal="center"/>
    </xf>
    <xf numFmtId="0" fontId="7" fillId="14" borderId="21" xfId="0" applyNumberFormat="1" applyFont="1" applyFill="1" applyBorder="1" applyAlignment="1">
      <alignment horizontal="center"/>
    </xf>
    <xf numFmtId="0" fontId="7" fillId="14" borderId="22" xfId="0" applyNumberFormat="1" applyFont="1" applyFill="1" applyBorder="1" applyAlignment="1">
      <alignment horizontal="center"/>
    </xf>
    <xf numFmtId="0" fontId="7" fillId="14" borderId="2" xfId="0" applyNumberFormat="1" applyFont="1" applyFill="1" applyBorder="1" applyAlignment="1">
      <alignment horizontal="center"/>
    </xf>
    <xf numFmtId="0" fontId="7" fillId="14" borderId="5" xfId="0" applyNumberFormat="1" applyFont="1" applyFill="1" applyBorder="1" applyAlignment="1">
      <alignment horizontal="center"/>
    </xf>
    <xf numFmtId="0" fontId="7" fillId="14" borderId="58" xfId="0" applyNumberFormat="1" applyFont="1" applyFill="1" applyBorder="1" applyAlignment="1">
      <alignment horizontal="center"/>
    </xf>
    <xf numFmtId="0" fontId="7" fillId="14" borderId="60" xfId="0" applyNumberFormat="1" applyFont="1" applyFill="1" applyBorder="1" applyAlignment="1">
      <alignment horizontal="center"/>
    </xf>
    <xf numFmtId="2" fontId="143" fillId="6" borderId="0" xfId="0" quotePrefix="1" applyNumberFormat="1" applyFont="1" applyFill="1" applyBorder="1" applyAlignment="1" applyProtection="1">
      <alignment horizontal="left" vertical="center"/>
    </xf>
    <xf numFmtId="0" fontId="149" fillId="0" borderId="0" xfId="0" applyFont="1" applyFill="1" applyAlignment="1">
      <alignment horizontal="left"/>
    </xf>
    <xf numFmtId="166" fontId="80" fillId="0" borderId="0" xfId="0" applyNumberFormat="1" applyFont="1" applyAlignment="1">
      <alignment horizontal="left" vertical="center"/>
    </xf>
    <xf numFmtId="166" fontId="73" fillId="0" borderId="0" xfId="0" applyNumberFormat="1" applyFont="1" applyAlignment="1">
      <alignment horizontal="center" vertical="center"/>
    </xf>
    <xf numFmtId="0" fontId="51" fillId="0" borderId="0" xfId="0" applyFont="1" applyAlignment="1">
      <alignment horizontal="center"/>
    </xf>
    <xf numFmtId="2" fontId="194" fillId="4" borderId="0" xfId="0" quotePrefix="1" applyNumberFormat="1" applyFont="1" applyFill="1" applyBorder="1" applyAlignment="1" applyProtection="1">
      <alignment horizontal="center" vertical="center"/>
    </xf>
    <xf numFmtId="0" fontId="7" fillId="8" borderId="85" xfId="0" applyFont="1" applyFill="1" applyBorder="1" applyAlignment="1">
      <alignment horizontal="center"/>
    </xf>
    <xf numFmtId="0" fontId="7" fillId="8" borderId="87" xfId="0" applyFont="1" applyFill="1" applyBorder="1" applyAlignment="1">
      <alignment horizontal="center"/>
    </xf>
    <xf numFmtId="0" fontId="49" fillId="8" borderId="88" xfId="0" applyFont="1" applyFill="1" applyBorder="1" applyAlignment="1">
      <alignment horizontal="center"/>
    </xf>
    <xf numFmtId="165" fontId="11" fillId="8" borderId="88" xfId="0" applyNumberFormat="1" applyFont="1" applyFill="1" applyBorder="1" applyAlignment="1" applyProtection="1">
      <alignment horizontal="center" vertical="center"/>
      <protection locked="0"/>
    </xf>
    <xf numFmtId="0" fontId="21" fillId="8" borderId="88" xfId="0" applyFont="1" applyFill="1" applyBorder="1" applyAlignment="1">
      <alignment horizontal="center" vertical="center"/>
    </xf>
    <xf numFmtId="0" fontId="11" fillId="8" borderId="88" xfId="0" applyFont="1" applyFill="1" applyBorder="1" applyAlignment="1" applyProtection="1">
      <alignment horizontal="center" vertical="center"/>
      <protection locked="0"/>
    </xf>
    <xf numFmtId="0" fontId="0" fillId="25" borderId="86" xfId="0" applyFill="1" applyBorder="1" applyAlignment="1">
      <alignment horizontal="center" vertical="center"/>
    </xf>
    <xf numFmtId="0" fontId="7" fillId="25" borderId="86" xfId="0" applyFont="1" applyFill="1" applyBorder="1" applyAlignment="1" applyProtection="1">
      <alignment horizontal="center" vertical="center"/>
      <protection locked="0"/>
    </xf>
    <xf numFmtId="0" fontId="7" fillId="25" borderId="89" xfId="0" applyFont="1" applyFill="1" applyBorder="1" applyAlignment="1" applyProtection="1">
      <alignment horizontal="center" vertical="center"/>
      <protection locked="0"/>
    </xf>
    <xf numFmtId="2" fontId="79" fillId="6" borderId="0" xfId="0" applyNumberFormat="1" applyFont="1" applyFill="1" applyBorder="1" applyAlignment="1" applyProtection="1">
      <alignment horizontal="right"/>
    </xf>
    <xf numFmtId="0" fontId="44" fillId="4" borderId="0" xfId="0" applyFont="1" applyFill="1" applyBorder="1" applyProtection="1"/>
    <xf numFmtId="1" fontId="58" fillId="5" borderId="0" xfId="0" applyNumberFormat="1" applyFont="1" applyFill="1" applyBorder="1" applyAlignment="1" applyProtection="1">
      <alignment horizontal="left"/>
    </xf>
    <xf numFmtId="1" fontId="77" fillId="4" borderId="44" xfId="0" applyNumberFormat="1" applyFont="1" applyFill="1" applyBorder="1" applyAlignment="1" applyProtection="1">
      <alignment horizontal="center"/>
    </xf>
    <xf numFmtId="1" fontId="77" fillId="4" borderId="90" xfId="0" applyNumberFormat="1" applyFont="1" applyFill="1" applyBorder="1" applyAlignment="1" applyProtection="1">
      <alignment horizontal="centerContinuous"/>
    </xf>
    <xf numFmtId="1" fontId="77" fillId="4" borderId="91" xfId="0" applyNumberFormat="1" applyFont="1" applyFill="1" applyBorder="1" applyAlignment="1" applyProtection="1">
      <alignment horizontal="center"/>
    </xf>
    <xf numFmtId="0" fontId="60" fillId="6" borderId="65" xfId="0" applyFont="1" applyFill="1" applyBorder="1" applyAlignment="1" applyProtection="1">
      <alignment horizontal="left"/>
    </xf>
    <xf numFmtId="2" fontId="8" fillId="6" borderId="66" xfId="0" applyNumberFormat="1" applyFont="1" applyFill="1" applyBorder="1" applyAlignment="1" applyProtection="1">
      <alignment horizontal="center"/>
    </xf>
    <xf numFmtId="0" fontId="163" fillId="6" borderId="66" xfId="0" applyFont="1" applyFill="1" applyBorder="1" applyAlignment="1" applyProtection="1">
      <alignment horizontal="left"/>
    </xf>
    <xf numFmtId="2" fontId="96" fillId="6" borderId="66" xfId="0" applyNumberFormat="1" applyFont="1" applyFill="1" applyBorder="1" applyAlignment="1" applyProtection="1">
      <alignment horizontal="right"/>
    </xf>
    <xf numFmtId="2" fontId="158" fillId="6" borderId="66" xfId="0" applyNumberFormat="1" applyFont="1" applyFill="1" applyBorder="1" applyAlignment="1" applyProtection="1">
      <alignment horizontal="left"/>
    </xf>
    <xf numFmtId="0" fontId="7" fillId="6" borderId="66" xfId="0" applyFont="1" applyFill="1" applyBorder="1" applyAlignment="1" applyProtection="1">
      <alignment horizontal="left"/>
    </xf>
    <xf numFmtId="2" fontId="105" fillId="6" borderId="92" xfId="0" applyNumberFormat="1" applyFont="1" applyFill="1" applyBorder="1" applyAlignment="1" applyProtection="1">
      <alignment horizontal="left"/>
    </xf>
    <xf numFmtId="0" fontId="49" fillId="6" borderId="70" xfId="0" applyFont="1" applyFill="1" applyBorder="1" applyAlignment="1" applyProtection="1">
      <alignment horizontal="right"/>
    </xf>
    <xf numFmtId="2" fontId="105" fillId="6" borderId="76" xfId="0" applyNumberFormat="1" applyFont="1" applyFill="1" applyBorder="1" applyAlignment="1" applyProtection="1">
      <alignment horizontal="left"/>
    </xf>
    <xf numFmtId="2" fontId="68" fillId="6" borderId="70" xfId="0" applyNumberFormat="1" applyFont="1" applyFill="1" applyBorder="1" applyAlignment="1" applyProtection="1">
      <alignment horizontal="left" indent="1"/>
    </xf>
    <xf numFmtId="2" fontId="79" fillId="6" borderId="70" xfId="0" applyNumberFormat="1" applyFont="1" applyFill="1" applyBorder="1" applyAlignment="1" applyProtection="1">
      <alignment horizontal="left" indent="1"/>
    </xf>
    <xf numFmtId="2" fontId="49" fillId="6" borderId="70" xfId="0" applyNumberFormat="1" applyFont="1" applyFill="1" applyBorder="1" applyAlignment="1" applyProtection="1">
      <alignment horizontal="right"/>
    </xf>
    <xf numFmtId="2" fontId="107" fillId="6" borderId="76" xfId="0" applyNumberFormat="1" applyFont="1" applyFill="1" applyBorder="1" applyAlignment="1" applyProtection="1">
      <alignment horizontal="center"/>
    </xf>
    <xf numFmtId="49" fontId="38" fillId="6" borderId="70" xfId="0" applyNumberFormat="1" applyFont="1" applyFill="1" applyBorder="1" applyAlignment="1" applyProtection="1">
      <alignment horizontal="left"/>
    </xf>
    <xf numFmtId="2" fontId="107" fillId="6" borderId="76" xfId="0" applyNumberFormat="1" applyFont="1" applyFill="1" applyBorder="1" applyAlignment="1" applyProtection="1">
      <alignment horizontal="center" vertical="center"/>
    </xf>
    <xf numFmtId="2" fontId="18" fillId="6" borderId="70" xfId="0" applyNumberFormat="1" applyFont="1" applyFill="1" applyBorder="1" applyAlignment="1" applyProtection="1">
      <alignment horizontal="left" indent="1"/>
    </xf>
    <xf numFmtId="0" fontId="106" fillId="6" borderId="70" xfId="0" applyFont="1" applyFill="1" applyBorder="1" applyProtection="1"/>
    <xf numFmtId="2" fontId="60" fillId="6" borderId="70" xfId="0" applyNumberFormat="1" applyFont="1" applyFill="1" applyBorder="1" applyAlignment="1" applyProtection="1">
      <alignment horizontal="left"/>
    </xf>
    <xf numFmtId="49" fontId="38" fillId="6" borderId="70" xfId="0" applyNumberFormat="1" applyFont="1" applyFill="1" applyBorder="1" applyAlignment="1" applyProtection="1">
      <alignment horizontal="center"/>
    </xf>
    <xf numFmtId="2" fontId="107" fillId="14" borderId="76" xfId="0" applyNumberFormat="1" applyFont="1" applyFill="1" applyBorder="1" applyAlignment="1" applyProtection="1">
      <alignment horizontal="center"/>
    </xf>
    <xf numFmtId="49" fontId="38" fillId="6" borderId="70" xfId="0" applyNumberFormat="1" applyFont="1" applyFill="1" applyBorder="1" applyAlignment="1" applyProtection="1">
      <alignment horizontal="left" vertical="center"/>
    </xf>
    <xf numFmtId="2" fontId="185" fillId="6" borderId="70" xfId="0" applyNumberFormat="1" applyFont="1" applyFill="1" applyBorder="1" applyAlignment="1" applyProtection="1">
      <alignment horizontal="left" indent="1"/>
    </xf>
    <xf numFmtId="2" fontId="136" fillId="6" borderId="70" xfId="0" applyNumberFormat="1" applyFont="1" applyFill="1" applyBorder="1" applyAlignment="1" applyProtection="1">
      <alignment horizontal="left" indent="1"/>
    </xf>
    <xf numFmtId="0" fontId="21" fillId="6" borderId="0" xfId="0" applyFont="1" applyFill="1" applyBorder="1" applyAlignment="1" applyProtection="1">
      <alignment horizontal="right" vertical="center"/>
    </xf>
    <xf numFmtId="166" fontId="18" fillId="4" borderId="4" xfId="0" applyNumberFormat="1" applyFont="1" applyFill="1" applyBorder="1" applyAlignment="1" applyProtection="1">
      <alignment horizontal="center"/>
    </xf>
    <xf numFmtId="166" fontId="18" fillId="4" borderId="1" xfId="0" applyNumberFormat="1" applyFont="1" applyFill="1" applyBorder="1" applyAlignment="1" applyProtection="1">
      <alignment horizontal="center"/>
    </xf>
    <xf numFmtId="0" fontId="21" fillId="6" borderId="5" xfId="0" applyFont="1" applyFill="1" applyBorder="1" applyAlignment="1" applyProtection="1">
      <alignment horizontal="right"/>
    </xf>
    <xf numFmtId="0" fontId="21" fillId="6" borderId="60" xfId="0" applyFont="1" applyFill="1" applyBorder="1" applyAlignment="1" applyProtection="1">
      <alignment horizontal="right"/>
    </xf>
    <xf numFmtId="166" fontId="18" fillId="4" borderId="3" xfId="0" applyNumberFormat="1" applyFont="1" applyFill="1" applyBorder="1" applyAlignment="1" applyProtection="1">
      <alignment horizontal="center"/>
    </xf>
    <xf numFmtId="1" fontId="21" fillId="6" borderId="4" xfId="0" applyNumberFormat="1" applyFont="1" applyFill="1" applyBorder="1" applyAlignment="1" applyProtection="1">
      <alignment horizontal="center"/>
    </xf>
    <xf numFmtId="1" fontId="21" fillId="6" borderId="1" xfId="0" applyNumberFormat="1" applyFont="1" applyFill="1" applyBorder="1" applyAlignment="1" applyProtection="1">
      <alignment horizontal="center"/>
    </xf>
    <xf numFmtId="1" fontId="21" fillId="6" borderId="3" xfId="0" applyNumberFormat="1" applyFont="1" applyFill="1" applyBorder="1" applyAlignment="1" applyProtection="1">
      <alignment horizontal="center"/>
    </xf>
    <xf numFmtId="165" fontId="18" fillId="4" borderId="0" xfId="0" applyNumberFormat="1" applyFont="1" applyFill="1" applyBorder="1" applyAlignment="1" applyProtection="1">
      <alignment horizontal="center"/>
    </xf>
    <xf numFmtId="166" fontId="185" fillId="4" borderId="3" xfId="0" applyNumberFormat="1" applyFont="1" applyFill="1" applyBorder="1" applyAlignment="1" applyProtection="1">
      <alignment horizontal="center"/>
    </xf>
    <xf numFmtId="49" fontId="38" fillId="6" borderId="79" xfId="0" applyNumberFormat="1" applyFont="1" applyFill="1" applyBorder="1" applyAlignment="1" applyProtection="1">
      <alignment horizontal="left" vertical="center"/>
    </xf>
    <xf numFmtId="2" fontId="7" fillId="6" borderId="80" xfId="0" applyNumberFormat="1" applyFont="1" applyFill="1" applyBorder="1" applyAlignment="1" applyProtection="1">
      <alignment vertical="center"/>
    </xf>
    <xf numFmtId="0" fontId="21" fillId="6" borderId="93" xfId="0" applyFont="1" applyFill="1" applyBorder="1" applyAlignment="1" applyProtection="1">
      <alignment horizontal="right" vertical="center" wrapText="1"/>
    </xf>
    <xf numFmtId="1" fontId="21" fillId="6" borderId="80" xfId="0" applyNumberFormat="1" applyFont="1" applyFill="1" applyBorder="1" applyAlignment="1" applyProtection="1">
      <alignment horizontal="center" vertical="center"/>
    </xf>
    <xf numFmtId="2" fontId="107" fillId="6" borderId="81" xfId="0" applyNumberFormat="1" applyFont="1" applyFill="1" applyBorder="1" applyAlignment="1" applyProtection="1">
      <alignment horizontal="center" vertical="center"/>
    </xf>
    <xf numFmtId="2" fontId="163" fillId="6" borderId="0" xfId="0" applyNumberFormat="1" applyFont="1" applyFill="1" applyBorder="1" applyAlignment="1" applyProtection="1">
      <alignment horizontal="center"/>
    </xf>
    <xf numFmtId="2" fontId="7" fillId="14" borderId="0" xfId="0" applyNumberFormat="1" applyFont="1" applyFill="1" applyBorder="1" applyAlignment="1" applyProtection="1">
      <alignment horizontal="right" vertical="center"/>
    </xf>
    <xf numFmtId="2" fontId="143" fillId="6" borderId="66" xfId="0" quotePrefix="1" applyNumberFormat="1" applyFont="1" applyFill="1" applyBorder="1" applyAlignment="1" applyProtection="1">
      <alignment horizontal="left" vertical="center"/>
    </xf>
    <xf numFmtId="2" fontId="163" fillId="6" borderId="66" xfId="0" applyNumberFormat="1" applyFont="1" applyFill="1" applyBorder="1" applyAlignment="1" applyProtection="1">
      <alignment horizontal="left" vertical="center"/>
    </xf>
    <xf numFmtId="2" fontId="163" fillId="6" borderId="70" xfId="0" applyNumberFormat="1" applyFont="1" applyFill="1" applyBorder="1" applyAlignment="1" applyProtection="1">
      <alignment horizontal="left" indent="1"/>
    </xf>
    <xf numFmtId="49" fontId="38" fillId="6" borderId="94" xfId="0" applyNumberFormat="1" applyFont="1" applyFill="1" applyBorder="1" applyAlignment="1" applyProtection="1">
      <alignment horizontal="left"/>
    </xf>
    <xf numFmtId="2" fontId="68" fillId="6" borderId="70" xfId="0" quotePrefix="1" applyNumberFormat="1" applyFont="1" applyFill="1" applyBorder="1" applyAlignment="1" applyProtection="1">
      <alignment horizontal="left" indent="1"/>
    </xf>
    <xf numFmtId="2" fontId="107" fillId="6" borderId="95" xfId="0" applyNumberFormat="1" applyFont="1" applyFill="1" applyBorder="1" applyAlignment="1" applyProtection="1">
      <alignment horizontal="center"/>
    </xf>
    <xf numFmtId="2" fontId="7" fillId="6" borderId="80" xfId="0" applyNumberFormat="1" applyFont="1" applyFill="1" applyBorder="1" applyProtection="1"/>
    <xf numFmtId="1" fontId="178" fillId="6" borderId="80" xfId="0" applyNumberFormat="1" applyFont="1" applyFill="1" applyBorder="1" applyAlignment="1" applyProtection="1">
      <alignment horizontal="right"/>
    </xf>
    <xf numFmtId="1" fontId="21" fillId="6" borderId="93" xfId="0" applyNumberFormat="1" applyFont="1" applyFill="1" applyBorder="1" applyAlignment="1" applyProtection="1">
      <alignment horizontal="center" vertical="center"/>
    </xf>
    <xf numFmtId="2" fontId="158" fillId="6" borderId="80" xfId="0" applyNumberFormat="1" applyFont="1" applyFill="1" applyBorder="1" applyAlignment="1" applyProtection="1">
      <alignment horizontal="right"/>
    </xf>
    <xf numFmtId="168" fontId="7" fillId="4" borderId="0" xfId="0" applyNumberFormat="1" applyFont="1" applyFill="1" applyBorder="1" applyAlignment="1" applyProtection="1">
      <alignment horizontal="center" vertical="center"/>
    </xf>
    <xf numFmtId="166" fontId="18" fillId="0" borderId="0" xfId="0" applyNumberFormat="1" applyFont="1" applyBorder="1" applyAlignment="1">
      <alignment horizontal="center" vertical="center"/>
    </xf>
    <xf numFmtId="2" fontId="7" fillId="6" borderId="0" xfId="0" applyNumberFormat="1" applyFont="1" applyFill="1" applyBorder="1" applyAlignment="1" applyProtection="1">
      <alignment horizontal="center" vertical="center"/>
    </xf>
    <xf numFmtId="0" fontId="7" fillId="6" borderId="0" xfId="0" applyFont="1" applyFill="1" applyBorder="1" applyAlignment="1" applyProtection="1">
      <alignment horizontal="center" vertical="center"/>
    </xf>
    <xf numFmtId="0" fontId="7" fillId="6" borderId="0" xfId="0" applyFont="1" applyFill="1" applyBorder="1" applyAlignment="1" applyProtection="1">
      <alignment vertical="center"/>
    </xf>
    <xf numFmtId="0" fontId="7" fillId="4" borderId="0" xfId="0" applyFont="1" applyFill="1" applyBorder="1" applyAlignment="1" applyProtection="1">
      <alignment horizontal="center" vertical="center"/>
    </xf>
    <xf numFmtId="0" fontId="7" fillId="6" borderId="0" xfId="0" applyFont="1" applyFill="1" applyBorder="1" applyAlignment="1" applyProtection="1">
      <alignment horizontal="left" vertical="center"/>
    </xf>
    <xf numFmtId="2" fontId="105" fillId="6" borderId="76" xfId="0" applyNumberFormat="1" applyFont="1" applyFill="1" applyBorder="1" applyAlignment="1" applyProtection="1">
      <alignment horizontal="left" vertical="center"/>
    </xf>
    <xf numFmtId="2" fontId="79" fillId="6" borderId="70" xfId="0" applyNumberFormat="1" applyFont="1" applyFill="1" applyBorder="1" applyAlignment="1" applyProtection="1">
      <alignment horizontal="left" vertical="center"/>
    </xf>
    <xf numFmtId="0" fontId="134" fillId="0" borderId="0" xfId="0" applyFont="1" applyAlignment="1">
      <alignment horizontal="right" vertical="center"/>
    </xf>
    <xf numFmtId="0" fontId="134" fillId="0" borderId="2" xfId="0" applyFont="1" applyBorder="1" applyAlignment="1">
      <alignment horizontal="center" vertical="center"/>
    </xf>
    <xf numFmtId="0" fontId="0" fillId="0" borderId="0" xfId="0" applyBorder="1" applyAlignment="1">
      <alignment vertical="center"/>
    </xf>
    <xf numFmtId="166" fontId="18" fillId="0" borderId="0" xfId="0" applyNumberFormat="1" applyFont="1" applyBorder="1" applyAlignment="1">
      <alignment vertical="center"/>
    </xf>
    <xf numFmtId="166" fontId="18" fillId="0" borderId="5" xfId="0" applyNumberFormat="1" applyFont="1" applyBorder="1" applyAlignment="1">
      <alignment vertical="center"/>
    </xf>
    <xf numFmtId="2" fontId="68" fillId="6" borderId="70" xfId="0" applyNumberFormat="1" applyFont="1" applyFill="1" applyBorder="1" applyAlignment="1" applyProtection="1">
      <alignment horizontal="left" vertical="center" indent="1"/>
    </xf>
    <xf numFmtId="165" fontId="7" fillId="4" borderId="0" xfId="0" applyNumberFormat="1" applyFont="1" applyFill="1" applyBorder="1" applyAlignment="1" applyProtection="1">
      <alignment horizontal="center" vertical="center"/>
    </xf>
    <xf numFmtId="165" fontId="21" fillId="6" borderId="0" xfId="0" applyNumberFormat="1" applyFont="1" applyFill="1" applyBorder="1" applyAlignment="1" applyProtection="1">
      <alignment horizontal="center" vertical="center"/>
    </xf>
    <xf numFmtId="49" fontId="38" fillId="6" borderId="94" xfId="0" applyNumberFormat="1" applyFont="1" applyFill="1" applyBorder="1" applyAlignment="1" applyProtection="1">
      <alignment horizontal="left" vertical="center"/>
    </xf>
    <xf numFmtId="166" fontId="38" fillId="6" borderId="70" xfId="0" applyNumberFormat="1" applyFont="1" applyFill="1" applyBorder="1" applyAlignment="1" applyProtection="1">
      <alignment horizontal="left" vertical="center"/>
    </xf>
    <xf numFmtId="2" fontId="21" fillId="6" borderId="0" xfId="0" applyNumberFormat="1" applyFont="1" applyFill="1" applyBorder="1" applyAlignment="1" applyProtection="1">
      <alignment horizontal="center" vertical="center"/>
    </xf>
    <xf numFmtId="2" fontId="7" fillId="4" borderId="0" xfId="0" applyNumberFormat="1" applyFont="1" applyFill="1" applyBorder="1" applyAlignment="1" applyProtection="1">
      <alignment horizontal="center" vertical="center"/>
    </xf>
    <xf numFmtId="166" fontId="7" fillId="4" borderId="0" xfId="0" applyNumberFormat="1" applyFont="1" applyFill="1" applyBorder="1" applyAlignment="1" applyProtection="1">
      <alignment horizontal="center" vertical="center"/>
    </xf>
    <xf numFmtId="49" fontId="38" fillId="14" borderId="70" xfId="0" applyNumberFormat="1" applyFont="1" applyFill="1" applyBorder="1" applyAlignment="1" applyProtection="1">
      <alignment horizontal="left" vertical="center"/>
    </xf>
    <xf numFmtId="2" fontId="7" fillId="14" borderId="0" xfId="0" applyNumberFormat="1" applyFont="1" applyFill="1" applyBorder="1" applyAlignment="1" applyProtection="1">
      <alignment vertical="center"/>
    </xf>
    <xf numFmtId="0" fontId="21" fillId="14" borderId="0" xfId="0" applyFont="1" applyFill="1" applyBorder="1" applyAlignment="1" applyProtection="1">
      <alignment horizontal="right" vertical="center"/>
    </xf>
    <xf numFmtId="165" fontId="7" fillId="4" borderId="0" xfId="0" applyNumberFormat="1" applyFont="1" applyFill="1" applyBorder="1" applyAlignment="1" applyProtection="1">
      <alignment horizontal="center" vertical="center" shrinkToFit="1"/>
    </xf>
    <xf numFmtId="2" fontId="107" fillId="14" borderId="76" xfId="0" applyNumberFormat="1" applyFont="1" applyFill="1" applyBorder="1" applyAlignment="1" applyProtection="1">
      <alignment horizontal="center" vertical="center"/>
    </xf>
    <xf numFmtId="1" fontId="18" fillId="4" borderId="0" xfId="0" applyNumberFormat="1" applyFont="1" applyFill="1" applyBorder="1" applyAlignment="1" applyProtection="1">
      <alignment horizontal="center" vertical="center"/>
    </xf>
    <xf numFmtId="2" fontId="49" fillId="6" borderId="70" xfId="0" applyNumberFormat="1" applyFont="1" applyFill="1" applyBorder="1" applyAlignment="1" applyProtection="1">
      <alignment horizontal="right" vertical="center"/>
    </xf>
    <xf numFmtId="2" fontId="7" fillId="6" borderId="0" xfId="0" applyNumberFormat="1" applyFont="1" applyFill="1" applyBorder="1" applyAlignment="1" applyProtection="1">
      <alignment horizontal="left" vertical="center"/>
    </xf>
    <xf numFmtId="0" fontId="7" fillId="6" borderId="70" xfId="0" applyFont="1" applyFill="1" applyBorder="1" applyAlignment="1" applyProtection="1">
      <alignment horizontal="right" vertical="center"/>
    </xf>
    <xf numFmtId="0" fontId="106" fillId="6" borderId="70" xfId="0" applyFont="1" applyFill="1" applyBorder="1" applyAlignment="1" applyProtection="1">
      <alignment vertical="center"/>
    </xf>
    <xf numFmtId="166" fontId="21" fillId="6" borderId="0" xfId="0" applyNumberFormat="1" applyFont="1" applyFill="1" applyBorder="1" applyAlignment="1" applyProtection="1">
      <alignment horizontal="center" vertical="center"/>
    </xf>
    <xf numFmtId="2" fontId="60" fillId="6" borderId="70" xfId="0" applyNumberFormat="1" applyFont="1" applyFill="1" applyBorder="1" applyAlignment="1" applyProtection="1">
      <alignment horizontal="left" vertical="center"/>
    </xf>
    <xf numFmtId="166" fontId="18" fillId="4" borderId="0" xfId="0" applyNumberFormat="1" applyFont="1" applyFill="1" applyBorder="1" applyAlignment="1" applyProtection="1">
      <alignment horizontal="center" vertical="center"/>
    </xf>
    <xf numFmtId="49" fontId="38" fillId="6" borderId="70" xfId="0" applyNumberFormat="1" applyFont="1" applyFill="1" applyBorder="1" applyAlignment="1" applyProtection="1">
      <alignment horizontal="center" vertical="center"/>
    </xf>
    <xf numFmtId="166" fontId="18" fillId="4" borderId="22" xfId="0" applyNumberFormat="1" applyFont="1" applyFill="1" applyBorder="1" applyAlignment="1" applyProtection="1">
      <alignment horizontal="center"/>
    </xf>
    <xf numFmtId="166" fontId="18" fillId="4" borderId="5" xfId="0" applyNumberFormat="1" applyFont="1" applyFill="1" applyBorder="1" applyAlignment="1" applyProtection="1">
      <alignment horizontal="center"/>
    </xf>
    <xf numFmtId="166" fontId="18" fillId="4" borderId="5" xfId="0" applyNumberFormat="1" applyFont="1" applyFill="1" applyBorder="1" applyAlignment="1" applyProtection="1">
      <alignment horizontal="center" vertical="center"/>
    </xf>
    <xf numFmtId="166" fontId="18" fillId="4" borderId="60" xfId="0" applyNumberFormat="1" applyFont="1" applyFill="1" applyBorder="1" applyAlignment="1" applyProtection="1">
      <alignment horizontal="center" vertical="center"/>
    </xf>
    <xf numFmtId="0" fontId="0" fillId="8" borderId="0" xfId="0" applyFill="1" applyBorder="1" applyAlignment="1">
      <alignment horizontal="left" vertical="center"/>
    </xf>
    <xf numFmtId="1" fontId="44" fillId="4" borderId="109" xfId="0" applyNumberFormat="1" applyFont="1" applyFill="1" applyBorder="1" applyAlignment="1" applyProtection="1">
      <alignment horizontal="left" vertical="center"/>
    </xf>
    <xf numFmtId="1" fontId="77" fillId="4" borderId="110" xfId="0" applyNumberFormat="1" applyFont="1" applyFill="1" applyBorder="1" applyAlignment="1" applyProtection="1">
      <alignment horizontal="centerContinuous"/>
    </xf>
    <xf numFmtId="1" fontId="44" fillId="4" borderId="111" xfId="0" applyNumberFormat="1" applyFont="1" applyFill="1" applyBorder="1" applyAlignment="1" applyProtection="1">
      <alignment vertical="center"/>
    </xf>
    <xf numFmtId="1" fontId="77" fillId="4" borderId="112" xfId="0" applyNumberFormat="1" applyFont="1" applyFill="1" applyBorder="1" applyAlignment="1" applyProtection="1">
      <alignment horizontal="center"/>
    </xf>
    <xf numFmtId="0" fontId="7" fillId="25" borderId="103" xfId="0" applyFont="1" applyFill="1" applyBorder="1" applyAlignment="1" applyProtection="1">
      <alignment horizontal="center" vertical="center"/>
      <protection locked="0"/>
    </xf>
    <xf numFmtId="0" fontId="9" fillId="25" borderId="103" xfId="0" applyFont="1" applyFill="1" applyBorder="1" applyAlignment="1" applyProtection="1">
      <alignment horizontal="center" vertical="center"/>
      <protection locked="0"/>
    </xf>
    <xf numFmtId="10" fontId="7" fillId="25" borderId="103" xfId="0" applyNumberFormat="1" applyFont="1" applyFill="1" applyBorder="1" applyAlignment="1" applyProtection="1">
      <alignment horizontal="center" vertical="center"/>
      <protection locked="0"/>
    </xf>
    <xf numFmtId="0" fontId="7" fillId="25" borderId="115" xfId="0" applyFont="1" applyFill="1" applyBorder="1" applyAlignment="1" applyProtection="1">
      <alignment horizontal="center" vertical="center"/>
      <protection locked="0"/>
    </xf>
    <xf numFmtId="0" fontId="0" fillId="8" borderId="0" xfId="0" applyFill="1" applyBorder="1" applyAlignment="1">
      <alignment vertical="center"/>
    </xf>
    <xf numFmtId="0" fontId="21" fillId="8" borderId="0" xfId="0" applyFont="1" applyFill="1" applyBorder="1" applyAlignment="1">
      <alignment horizontal="left" vertical="center"/>
    </xf>
    <xf numFmtId="0" fontId="20" fillId="8" borderId="88" xfId="0" applyFont="1" applyFill="1" applyBorder="1" applyAlignment="1">
      <alignment horizontal="left" vertical="center"/>
    </xf>
    <xf numFmtId="1" fontId="56" fillId="4" borderId="82" xfId="0" applyNumberFormat="1" applyFont="1" applyFill="1" applyBorder="1" applyAlignment="1" applyProtection="1">
      <alignment horizontal="center" vertical="center"/>
    </xf>
    <xf numFmtId="1" fontId="84" fillId="4" borderId="83" xfId="0" applyNumberFormat="1" applyFont="1" applyFill="1" applyBorder="1" applyAlignment="1" applyProtection="1">
      <alignment horizontal="left" vertical="center"/>
    </xf>
    <xf numFmtId="1" fontId="52" fillId="5" borderId="83" xfId="0" applyNumberFormat="1" applyFont="1" applyFill="1" applyBorder="1" applyAlignment="1" applyProtection="1">
      <alignment horizontal="left" vertical="center"/>
    </xf>
    <xf numFmtId="0" fontId="0" fillId="4" borderId="83" xfId="0" applyFill="1" applyBorder="1"/>
    <xf numFmtId="1" fontId="56" fillId="4" borderId="85" xfId="0" applyNumberFormat="1" applyFont="1" applyFill="1" applyBorder="1" applyAlignment="1" applyProtection="1">
      <alignment horizontal="center"/>
    </xf>
    <xf numFmtId="1" fontId="44" fillId="4" borderId="117" xfId="0" applyNumberFormat="1" applyFont="1" applyFill="1" applyBorder="1" applyAlignment="1" applyProtection="1">
      <alignment horizontal="left" vertical="center"/>
    </xf>
    <xf numFmtId="1" fontId="77" fillId="4" borderId="118" xfId="0" applyNumberFormat="1" applyFont="1" applyFill="1" applyBorder="1" applyAlignment="1" applyProtection="1">
      <alignment horizontal="center"/>
    </xf>
    <xf numFmtId="0" fontId="58" fillId="4" borderId="85" xfId="0" applyFont="1" applyFill="1" applyBorder="1" applyProtection="1"/>
    <xf numFmtId="1" fontId="44" fillId="4" borderId="119" xfId="0" applyNumberFormat="1" applyFont="1" applyFill="1" applyBorder="1" applyAlignment="1" applyProtection="1">
      <alignment vertical="center"/>
    </xf>
    <xf numFmtId="0" fontId="44" fillId="4" borderId="85" xfId="0" applyFont="1" applyFill="1" applyBorder="1" applyProtection="1"/>
    <xf numFmtId="1" fontId="77" fillId="4" borderId="120" xfId="0" applyNumberFormat="1" applyFont="1" applyFill="1" applyBorder="1" applyAlignment="1" applyProtection="1">
      <alignment horizontal="center"/>
    </xf>
    <xf numFmtId="10" fontId="7" fillId="25" borderId="106" xfId="0" applyNumberFormat="1" applyFont="1" applyFill="1" applyBorder="1" applyAlignment="1" applyProtection="1">
      <alignment horizontal="center" vertical="center"/>
      <protection locked="0"/>
    </xf>
    <xf numFmtId="0" fontId="7" fillId="25" borderId="105" xfId="0" applyFont="1" applyFill="1" applyBorder="1" applyAlignment="1" applyProtection="1">
      <alignment horizontal="center" vertical="center"/>
      <protection locked="0"/>
    </xf>
    <xf numFmtId="0" fontId="44" fillId="4" borderId="80" xfId="0" applyFont="1" applyFill="1" applyBorder="1" applyProtection="1"/>
    <xf numFmtId="1" fontId="58" fillId="5" borderId="80" xfId="0" applyNumberFormat="1" applyFont="1" applyFill="1" applyBorder="1" applyAlignment="1" applyProtection="1">
      <alignment horizontal="left"/>
    </xf>
    <xf numFmtId="0" fontId="0" fillId="4" borderId="80" xfId="0" applyFill="1" applyBorder="1"/>
    <xf numFmtId="0" fontId="0" fillId="4" borderId="123" xfId="0" applyFill="1" applyBorder="1"/>
    <xf numFmtId="1" fontId="84" fillId="4" borderId="66" xfId="0" applyNumberFormat="1" applyFont="1" applyFill="1" applyBorder="1" applyAlignment="1" applyProtection="1">
      <alignment horizontal="left" vertical="center"/>
    </xf>
    <xf numFmtId="1" fontId="52" fillId="5" borderId="66" xfId="0" applyNumberFormat="1" applyFont="1" applyFill="1" applyBorder="1" applyAlignment="1" applyProtection="1">
      <alignment horizontal="left" vertical="center"/>
    </xf>
    <xf numFmtId="0" fontId="0" fillId="4" borderId="66" xfId="0" applyFill="1" applyBorder="1"/>
    <xf numFmtId="1" fontId="44" fillId="4" borderId="125" xfId="0" applyNumberFormat="1" applyFont="1" applyFill="1" applyBorder="1" applyAlignment="1" applyProtection="1">
      <alignment horizontal="left" vertical="center"/>
    </xf>
    <xf numFmtId="1" fontId="77" fillId="4" borderId="126" xfId="0" applyNumberFormat="1" applyFont="1" applyFill="1" applyBorder="1" applyAlignment="1" applyProtection="1">
      <alignment horizontal="center"/>
    </xf>
    <xf numFmtId="0" fontId="58" fillId="4" borderId="70" xfId="0" applyFont="1" applyFill="1" applyBorder="1" applyProtection="1"/>
    <xf numFmtId="1" fontId="44" fillId="4" borderId="127" xfId="0" applyNumberFormat="1" applyFont="1" applyFill="1" applyBorder="1" applyAlignment="1" applyProtection="1">
      <alignment vertical="center"/>
    </xf>
    <xf numFmtId="0" fontId="44" fillId="4" borderId="79" xfId="0" applyFont="1" applyFill="1" applyBorder="1" applyProtection="1"/>
    <xf numFmtId="1" fontId="77" fillId="4" borderId="128" xfId="0" applyNumberFormat="1" applyFont="1" applyFill="1" applyBorder="1" applyAlignment="1" applyProtection="1">
      <alignment horizontal="center"/>
    </xf>
    <xf numFmtId="0" fontId="44" fillId="0" borderId="70" xfId="0" applyFont="1" applyFill="1" applyBorder="1" applyAlignment="1">
      <alignment vertical="center"/>
    </xf>
    <xf numFmtId="0" fontId="44" fillId="0" borderId="0" xfId="0" applyFont="1" applyFill="1" applyBorder="1" applyAlignment="1">
      <alignment vertical="center"/>
    </xf>
    <xf numFmtId="0" fontId="44" fillId="0" borderId="0" xfId="0" applyFont="1" applyBorder="1" applyAlignment="1">
      <alignment horizontal="left"/>
    </xf>
    <xf numFmtId="0" fontId="0" fillId="0" borderId="76" xfId="0" applyBorder="1"/>
    <xf numFmtId="0" fontId="0" fillId="0" borderId="0" xfId="0" applyBorder="1" applyAlignment="1">
      <alignment horizontal="left"/>
    </xf>
    <xf numFmtId="0" fontId="0" fillId="0" borderId="76" xfId="0" applyBorder="1" applyAlignment="1">
      <alignment vertical="center"/>
    </xf>
    <xf numFmtId="0" fontId="39" fillId="0" borderId="0" xfId="0" applyFont="1" applyBorder="1" applyAlignment="1">
      <alignment horizontal="left"/>
    </xf>
    <xf numFmtId="0" fontId="39" fillId="0" borderId="0" xfId="0" applyFont="1" applyBorder="1"/>
    <xf numFmtId="0" fontId="39" fillId="0" borderId="76" xfId="0" applyFont="1" applyBorder="1"/>
    <xf numFmtId="0" fontId="0" fillId="0" borderId="70" xfId="0" applyBorder="1"/>
    <xf numFmtId="0" fontId="0" fillId="0" borderId="79" xfId="0" applyBorder="1"/>
    <xf numFmtId="0" fontId="0" fillId="0" borderId="80" xfId="0" applyBorder="1"/>
    <xf numFmtId="0" fontId="0" fillId="0" borderId="80" xfId="0" applyBorder="1" applyAlignment="1">
      <alignment horizontal="left"/>
    </xf>
    <xf numFmtId="0" fontId="0" fillId="0" borderId="81" xfId="0" applyBorder="1"/>
    <xf numFmtId="0" fontId="7" fillId="26" borderId="43" xfId="0" applyFont="1" applyFill="1" applyBorder="1" applyAlignment="1" applyProtection="1">
      <alignment horizontal="right"/>
    </xf>
    <xf numFmtId="1" fontId="7" fillId="26" borderId="10" xfId="0" applyNumberFormat="1" applyFont="1" applyFill="1" applyBorder="1" applyAlignment="1" applyProtection="1">
      <alignment horizontal="right"/>
    </xf>
    <xf numFmtId="0" fontId="7" fillId="26" borderId="10" xfId="0" applyFont="1" applyFill="1" applyBorder="1" applyAlignment="1" applyProtection="1">
      <alignment horizontal="right"/>
    </xf>
    <xf numFmtId="0" fontId="7" fillId="26" borderId="129" xfId="0" applyFont="1" applyFill="1" applyBorder="1" applyAlignment="1">
      <alignment horizontal="right"/>
    </xf>
    <xf numFmtId="0" fontId="7" fillId="14" borderId="20" xfId="0" applyFont="1" applyFill="1" applyBorder="1" applyAlignment="1">
      <alignment horizontal="center"/>
    </xf>
    <xf numFmtId="0" fontId="7" fillId="19" borderId="7" xfId="0" applyFont="1" applyFill="1" applyBorder="1" applyAlignment="1">
      <alignment horizontal="center"/>
    </xf>
    <xf numFmtId="1" fontId="7" fillId="14" borderId="37" xfId="0" applyNumberFormat="1" applyFont="1" applyFill="1" applyBorder="1" applyAlignment="1">
      <alignment horizontal="center"/>
    </xf>
    <xf numFmtId="1" fontId="7" fillId="14" borderId="0" xfId="0" applyNumberFormat="1" applyFont="1" applyFill="1" applyBorder="1" applyAlignment="1">
      <alignment horizontal="center"/>
    </xf>
    <xf numFmtId="1" fontId="7" fillId="14" borderId="44" xfId="0" applyNumberFormat="1" applyFont="1" applyFill="1" applyBorder="1" applyAlignment="1">
      <alignment horizontal="center"/>
    </xf>
    <xf numFmtId="1" fontId="7" fillId="14" borderId="130" xfId="0" applyNumberFormat="1" applyFont="1" applyFill="1" applyBorder="1" applyAlignment="1">
      <alignment horizontal="center"/>
    </xf>
    <xf numFmtId="0" fontId="21" fillId="14" borderId="22" xfId="0" applyFont="1" applyFill="1" applyBorder="1" applyAlignment="1" applyProtection="1">
      <alignment horizontal="right" vertical="center" wrapText="1"/>
    </xf>
    <xf numFmtId="1" fontId="73" fillId="6" borderId="80" xfId="0" applyNumberFormat="1" applyFont="1" applyFill="1" applyBorder="1" applyAlignment="1" applyProtection="1">
      <alignment horizontal="right" vertical="center"/>
    </xf>
    <xf numFmtId="1" fontId="198" fillId="4" borderId="66" xfId="0" applyNumberFormat="1" applyFont="1" applyFill="1" applyBorder="1" applyAlignment="1" applyProtection="1">
      <alignment horizontal="left" vertical="center"/>
      <protection locked="0"/>
    </xf>
    <xf numFmtId="1" fontId="199" fillId="4" borderId="0" xfId="0" applyNumberFormat="1" applyFont="1" applyFill="1" applyBorder="1" applyAlignment="1" applyProtection="1">
      <alignment horizontal="left"/>
      <protection locked="0"/>
    </xf>
    <xf numFmtId="1" fontId="199" fillId="4" borderId="72" xfId="0" applyNumberFormat="1" applyFont="1" applyFill="1" applyBorder="1" applyAlignment="1" applyProtection="1">
      <alignment horizontal="centerContinuous"/>
      <protection locked="0"/>
    </xf>
    <xf numFmtId="15" fontId="202" fillId="4" borderId="73" xfId="0" applyNumberFormat="1" applyFont="1" applyFill="1" applyBorder="1" applyAlignment="1" applyProtection="1">
      <alignment horizontal="center" shrinkToFit="1"/>
      <protection locked="0"/>
    </xf>
    <xf numFmtId="1" fontId="199" fillId="4" borderId="74" xfId="0" applyNumberFormat="1" applyFont="1" applyFill="1" applyBorder="1" applyAlignment="1" applyProtection="1">
      <alignment horizontal="center"/>
      <protection locked="0"/>
    </xf>
    <xf numFmtId="174" fontId="7" fillId="4" borderId="0" xfId="0" applyNumberFormat="1" applyFont="1" applyFill="1" applyBorder="1" applyAlignment="1" applyProtection="1">
      <alignment horizontal="center" vertical="center"/>
    </xf>
    <xf numFmtId="175" fontId="7" fillId="6" borderId="37" xfId="0" applyNumberFormat="1" applyFont="1" applyFill="1" applyBorder="1" applyAlignment="1">
      <alignment horizontal="center"/>
    </xf>
    <xf numFmtId="175" fontId="7" fillId="6" borderId="0" xfId="0" applyNumberFormat="1" applyFont="1" applyFill="1" applyBorder="1" applyAlignment="1">
      <alignment horizontal="center"/>
    </xf>
    <xf numFmtId="175" fontId="7" fillId="6" borderId="20" xfId="0" applyNumberFormat="1" applyFont="1" applyFill="1" applyBorder="1" applyAlignment="1">
      <alignment horizontal="center"/>
    </xf>
    <xf numFmtId="175" fontId="114" fillId="13" borderId="37" xfId="0" applyNumberFormat="1" applyFont="1" applyFill="1" applyBorder="1" applyAlignment="1">
      <alignment horizontal="center"/>
    </xf>
    <xf numFmtId="175" fontId="114" fillId="13" borderId="0" xfId="0" applyNumberFormat="1" applyFont="1" applyFill="1" applyBorder="1" applyAlignment="1">
      <alignment horizontal="center"/>
    </xf>
    <xf numFmtId="175" fontId="114" fillId="13" borderId="20" xfId="0" applyNumberFormat="1" applyFont="1" applyFill="1" applyBorder="1" applyAlignment="1">
      <alignment horizontal="center"/>
    </xf>
    <xf numFmtId="0" fontId="39" fillId="0" borderId="0" xfId="0" quotePrefix="1" applyFont="1" applyFill="1" applyAlignment="1">
      <alignment horizontal="center"/>
    </xf>
    <xf numFmtId="0" fontId="163" fillId="6" borderId="66" xfId="0" applyFont="1" applyFill="1" applyBorder="1" applyAlignment="1" applyProtection="1">
      <alignment horizontal="left"/>
    </xf>
    <xf numFmtId="1" fontId="21" fillId="6" borderId="21" xfId="0" applyNumberFormat="1" applyFont="1" applyFill="1" applyBorder="1" applyAlignment="1" applyProtection="1">
      <alignment horizontal="center"/>
    </xf>
    <xf numFmtId="1" fontId="21" fillId="6" borderId="2" xfId="0" applyNumberFormat="1" applyFont="1" applyFill="1" applyBorder="1" applyAlignment="1" applyProtection="1">
      <alignment horizontal="center"/>
    </xf>
    <xf numFmtId="1" fontId="21" fillId="6" borderId="58" xfId="0" applyNumberFormat="1" applyFont="1" applyFill="1" applyBorder="1" applyAlignment="1" applyProtection="1">
      <alignment horizontal="center"/>
    </xf>
    <xf numFmtId="2" fontId="7" fillId="6" borderId="0" xfId="0" applyNumberFormat="1" applyFont="1" applyFill="1" applyBorder="1" applyAlignment="1" applyProtection="1"/>
    <xf numFmtId="166" fontId="38" fillId="6" borderId="70" xfId="0" applyNumberFormat="1" applyFont="1" applyFill="1" applyBorder="1" applyAlignment="1" applyProtection="1">
      <alignment vertical="center" wrapText="1"/>
    </xf>
    <xf numFmtId="166" fontId="38" fillId="6" borderId="0" xfId="0" applyNumberFormat="1" applyFont="1" applyFill="1" applyBorder="1" applyAlignment="1" applyProtection="1">
      <alignment horizontal="right" vertical="center"/>
    </xf>
    <xf numFmtId="1" fontId="185" fillId="6" borderId="76" xfId="0" applyNumberFormat="1" applyFont="1" applyFill="1" applyBorder="1" applyAlignment="1" applyProtection="1"/>
    <xf numFmtId="165" fontId="7" fillId="6" borderId="0" xfId="0" applyNumberFormat="1" applyFont="1" applyFill="1" applyBorder="1" applyAlignment="1" applyProtection="1">
      <alignment horizontal="left"/>
    </xf>
    <xf numFmtId="165" fontId="7" fillId="14" borderId="0" xfId="0" applyNumberFormat="1" applyFont="1" applyFill="1" applyBorder="1" applyAlignment="1" applyProtection="1">
      <alignment horizontal="left" vertical="center"/>
    </xf>
    <xf numFmtId="1" fontId="136" fillId="6" borderId="76" xfId="0" applyNumberFormat="1" applyFont="1" applyFill="1" applyBorder="1" applyAlignment="1" applyProtection="1">
      <alignment horizontal="right"/>
    </xf>
    <xf numFmtId="2" fontId="205" fillId="6" borderId="80" xfId="0" applyNumberFormat="1" applyFont="1" applyFill="1" applyBorder="1" applyAlignment="1" applyProtection="1">
      <alignment horizontal="right" vertical="center"/>
    </xf>
    <xf numFmtId="166" fontId="204" fillId="4" borderId="4" xfId="0" applyNumberFormat="1" applyFont="1" applyFill="1" applyBorder="1" applyAlignment="1" applyProtection="1">
      <alignment horizontal="center"/>
    </xf>
    <xf numFmtId="1" fontId="204" fillId="4" borderId="0" xfId="0" applyNumberFormat="1" applyFont="1" applyFill="1" applyBorder="1" applyAlignment="1" applyProtection="1">
      <alignment horizontal="center"/>
    </xf>
    <xf numFmtId="1" fontId="195" fillId="6" borderId="4" xfId="0" applyNumberFormat="1" applyFont="1" applyFill="1" applyBorder="1" applyAlignment="1" applyProtection="1">
      <alignment horizontal="center"/>
    </xf>
    <xf numFmtId="165" fontId="204" fillId="4" borderId="0" xfId="0" applyNumberFormat="1" applyFont="1" applyFill="1" applyBorder="1" applyAlignment="1" applyProtection="1">
      <alignment horizontal="center"/>
    </xf>
    <xf numFmtId="0" fontId="163" fillId="6" borderId="66" xfId="0" applyFont="1" applyFill="1" applyBorder="1" applyAlignment="1" applyProtection="1">
      <alignment horizontal="right"/>
    </xf>
    <xf numFmtId="1" fontId="206" fillId="6" borderId="0" xfId="0" applyNumberFormat="1" applyFont="1" applyFill="1" applyBorder="1" applyAlignment="1" applyProtection="1">
      <alignment horizontal="center"/>
      <protection locked="0"/>
    </xf>
    <xf numFmtId="0" fontId="0" fillId="4" borderId="101" xfId="0" applyFill="1" applyBorder="1"/>
    <xf numFmtId="1" fontId="207" fillId="6" borderId="98" xfId="0" applyNumberFormat="1" applyFont="1" applyFill="1" applyBorder="1" applyAlignment="1" applyProtection="1">
      <alignment horizontal="center"/>
      <protection locked="0"/>
    </xf>
    <xf numFmtId="49" fontId="131" fillId="0" borderId="0" xfId="0" quotePrefix="1" applyNumberFormat="1" applyFont="1" applyFill="1" applyAlignment="1" applyProtection="1">
      <alignment horizontal="left"/>
    </xf>
    <xf numFmtId="1" fontId="195" fillId="6" borderId="0" xfId="0" applyNumberFormat="1" applyFont="1" applyFill="1" applyBorder="1" applyAlignment="1" applyProtection="1">
      <alignment horizontal="center"/>
    </xf>
    <xf numFmtId="166" fontId="18" fillId="0" borderId="0" xfId="0" applyNumberFormat="1" applyFont="1" applyBorder="1" applyAlignment="1">
      <alignment horizontal="center"/>
    </xf>
    <xf numFmtId="0" fontId="153" fillId="6" borderId="4" xfId="0" applyFont="1" applyFill="1" applyBorder="1" applyAlignment="1" applyProtection="1">
      <alignment horizontal="center"/>
    </xf>
    <xf numFmtId="0" fontId="153" fillId="6" borderId="57" xfId="0" applyFont="1" applyFill="1" applyBorder="1" applyAlignment="1" applyProtection="1">
      <alignment horizontal="center"/>
    </xf>
    <xf numFmtId="0" fontId="7" fillId="14" borderId="37" xfId="0" applyNumberFormat="1" applyFont="1" applyFill="1" applyBorder="1" applyAlignment="1">
      <alignment horizontal="center"/>
    </xf>
    <xf numFmtId="2" fontId="7" fillId="6" borderId="2" xfId="0" applyNumberFormat="1" applyFont="1" applyFill="1" applyBorder="1" applyAlignment="1" applyProtection="1">
      <alignment horizontal="center" vertical="center"/>
    </xf>
    <xf numFmtId="0" fontId="208" fillId="0" borderId="0" xfId="0" applyFont="1" applyAlignment="1">
      <alignment horizontal="center"/>
    </xf>
    <xf numFmtId="166" fontId="18" fillId="0" borderId="0" xfId="0" applyNumberFormat="1" applyFont="1" applyBorder="1" applyAlignment="1">
      <alignment horizontal="center"/>
    </xf>
    <xf numFmtId="0" fontId="11" fillId="6" borderId="0" xfId="0" applyFont="1" applyFill="1" applyBorder="1" applyAlignment="1" applyProtection="1">
      <protection locked="0"/>
    </xf>
    <xf numFmtId="0" fontId="61" fillId="4" borderId="36" xfId="0" applyFont="1" applyFill="1" applyBorder="1" applyAlignment="1" applyProtection="1">
      <alignment horizontal="center"/>
    </xf>
    <xf numFmtId="0" fontId="7" fillId="6" borderId="58" xfId="0" applyFont="1" applyFill="1" applyBorder="1" applyAlignment="1">
      <alignment horizontal="right"/>
    </xf>
    <xf numFmtId="0" fontId="166" fillId="0" borderId="0" xfId="0" applyFont="1" applyAlignment="1">
      <alignment horizontal="center"/>
    </xf>
    <xf numFmtId="165" fontId="18" fillId="0" borderId="0" xfId="0" applyNumberFormat="1" applyFont="1" applyBorder="1" applyAlignment="1">
      <alignment horizontal="center"/>
    </xf>
    <xf numFmtId="165" fontId="146" fillId="0" borderId="0" xfId="0" applyNumberFormat="1" applyFont="1" applyBorder="1" applyAlignment="1">
      <alignment horizontal="center"/>
    </xf>
    <xf numFmtId="165" fontId="209" fillId="0" borderId="0" xfId="0" applyNumberFormat="1" applyFont="1" applyBorder="1" applyAlignment="1">
      <alignment horizontal="center"/>
    </xf>
    <xf numFmtId="166" fontId="18" fillId="0" borderId="0" xfId="0" applyNumberFormat="1" applyFont="1" applyBorder="1" applyAlignment="1">
      <alignment horizontal="center"/>
    </xf>
    <xf numFmtId="166" fontId="18" fillId="0" borderId="0" xfId="0" applyNumberFormat="1" applyFont="1" applyBorder="1" applyAlignment="1">
      <alignment horizontal="center"/>
    </xf>
    <xf numFmtId="166" fontId="18" fillId="0" borderId="0" xfId="0" applyNumberFormat="1" applyFont="1" applyBorder="1" applyAlignment="1">
      <alignment horizontal="right"/>
    </xf>
    <xf numFmtId="165" fontId="30" fillId="0" borderId="0" xfId="0" applyNumberFormat="1" applyFont="1" applyFill="1" applyAlignment="1">
      <alignment horizontal="right" indent="1"/>
    </xf>
    <xf numFmtId="165" fontId="210" fillId="0" borderId="0" xfId="0" applyNumberFormat="1" applyFont="1" applyBorder="1" applyAlignment="1">
      <alignment horizontal="center"/>
    </xf>
    <xf numFmtId="0" fontId="7" fillId="6" borderId="37" xfId="0" applyFont="1" applyFill="1" applyBorder="1" applyAlignment="1" applyProtection="1">
      <alignment horizontal="right"/>
    </xf>
    <xf numFmtId="9" fontId="153" fillId="6" borderId="37" xfId="0" applyNumberFormat="1" applyFont="1" applyFill="1" applyBorder="1" applyAlignment="1" applyProtection="1">
      <alignment horizontal="center"/>
      <protection locked="0"/>
    </xf>
    <xf numFmtId="0" fontId="7" fillId="6" borderId="37" xfId="0" applyFont="1" applyFill="1" applyBorder="1" applyProtection="1"/>
    <xf numFmtId="1" fontId="0" fillId="0" borderId="0" xfId="0" applyNumberFormat="1"/>
    <xf numFmtId="165" fontId="210" fillId="0" borderId="0" xfId="0" applyNumberFormat="1" applyFont="1" applyFill="1" applyAlignment="1">
      <alignment horizontal="right" indent="1"/>
    </xf>
    <xf numFmtId="165" fontId="210" fillId="0" borderId="0" xfId="0" applyNumberFormat="1" applyFont="1" applyFill="1" applyAlignment="1">
      <alignment horizontal="left" indent="1"/>
    </xf>
    <xf numFmtId="0" fontId="210" fillId="0" borderId="0" xfId="0" quotePrefix="1" applyFont="1" applyFill="1" applyAlignment="1">
      <alignment horizontal="center"/>
    </xf>
    <xf numFmtId="0" fontId="211" fillId="0" borderId="0" xfId="0" applyFont="1"/>
    <xf numFmtId="0" fontId="60" fillId="2" borderId="0" xfId="0" applyFont="1" applyFill="1" applyBorder="1" applyAlignment="1" applyProtection="1">
      <alignment horizontal="left"/>
    </xf>
    <xf numFmtId="0" fontId="215" fillId="6" borderId="0" xfId="0" applyFont="1" applyFill="1" applyBorder="1" applyAlignment="1" applyProtection="1">
      <alignment horizontal="center"/>
      <protection locked="0"/>
    </xf>
    <xf numFmtId="2" fontId="98" fillId="6" borderId="0" xfId="0" applyNumberFormat="1" applyFont="1" applyFill="1" applyBorder="1" applyAlignment="1" applyProtection="1">
      <alignment horizontal="center"/>
    </xf>
    <xf numFmtId="0" fontId="44" fillId="4" borderId="70" xfId="0" applyFont="1" applyFill="1" applyBorder="1" applyProtection="1"/>
    <xf numFmtId="1" fontId="58" fillId="4" borderId="0" xfId="0" applyNumberFormat="1" applyFont="1" applyFill="1" applyBorder="1" applyAlignment="1" applyProtection="1">
      <alignment horizontal="right" vertical="center"/>
    </xf>
    <xf numFmtId="1" fontId="46" fillId="4" borderId="131" xfId="0" applyNumberFormat="1" applyFont="1" applyFill="1" applyBorder="1" applyAlignment="1" applyProtection="1">
      <alignment horizontal="center"/>
      <protection locked="0"/>
    </xf>
    <xf numFmtId="1" fontId="46" fillId="4" borderId="90" xfId="0" applyNumberFormat="1" applyFont="1" applyFill="1" applyBorder="1" applyAlignment="1" applyProtection="1">
      <alignment horizontal="centerContinuous"/>
      <protection locked="0"/>
    </xf>
    <xf numFmtId="1" fontId="199" fillId="4" borderId="127" xfId="0" applyNumberFormat="1" applyFont="1" applyFill="1" applyBorder="1" applyAlignment="1" applyProtection="1">
      <alignment horizontal="center"/>
      <protection locked="0"/>
    </xf>
    <xf numFmtId="0" fontId="10" fillId="6" borderId="65" xfId="0" applyFont="1" applyFill="1" applyBorder="1" applyAlignment="1" applyProtection="1">
      <alignment horizontal="left"/>
    </xf>
    <xf numFmtId="0" fontId="7" fillId="6" borderId="66" xfId="0" applyFont="1" applyFill="1" applyBorder="1" applyProtection="1"/>
    <xf numFmtId="0" fontId="14" fillId="6" borderId="66" xfId="0" applyFont="1" applyFill="1" applyBorder="1" applyProtection="1"/>
    <xf numFmtId="0" fontId="61" fillId="6" borderId="2" xfId="0" applyFont="1" applyFill="1" applyBorder="1" applyProtection="1"/>
    <xf numFmtId="0" fontId="7" fillId="2" borderId="5" xfId="0" applyFont="1" applyFill="1" applyBorder="1" applyAlignment="1" applyProtection="1">
      <alignment horizontal="right"/>
    </xf>
    <xf numFmtId="0" fontId="11" fillId="6" borderId="2" xfId="0" applyFont="1" applyFill="1" applyBorder="1" applyAlignment="1" applyProtection="1">
      <protection locked="0"/>
    </xf>
    <xf numFmtId="0" fontId="64" fillId="4" borderId="31" xfId="0" applyFont="1" applyFill="1" applyBorder="1" applyAlignment="1" applyProtection="1">
      <alignment horizontal="center"/>
    </xf>
    <xf numFmtId="0" fontId="0" fillId="6" borderId="2" xfId="0" applyFill="1" applyBorder="1" applyProtection="1"/>
    <xf numFmtId="0" fontId="64" fillId="6" borderId="21" xfId="0" applyFont="1" applyFill="1" applyBorder="1" applyProtection="1"/>
    <xf numFmtId="0" fontId="64" fillId="4" borderId="36" xfId="0" applyFont="1" applyFill="1" applyBorder="1" applyAlignment="1" applyProtection="1">
      <alignment horizontal="center"/>
    </xf>
    <xf numFmtId="0" fontId="64" fillId="6" borderId="2" xfId="0" applyFont="1" applyFill="1" applyBorder="1" applyProtection="1"/>
    <xf numFmtId="166" fontId="18" fillId="0" borderId="0" xfId="0" applyNumberFormat="1" applyFont="1" applyBorder="1" applyAlignment="1">
      <alignment horizontal="center"/>
    </xf>
    <xf numFmtId="166" fontId="18" fillId="0" borderId="0" xfId="0" applyNumberFormat="1" applyFont="1" applyBorder="1" applyAlignment="1">
      <alignment horizontal="center"/>
    </xf>
    <xf numFmtId="0" fontId="172" fillId="14" borderId="0" xfId="0" applyFont="1" applyFill="1" applyBorder="1" applyAlignment="1" applyProtection="1">
      <alignment horizontal="right" vertical="center"/>
    </xf>
    <xf numFmtId="166" fontId="18" fillId="0" borderId="0" xfId="0" applyNumberFormat="1" applyFont="1" applyBorder="1" applyAlignment="1">
      <alignment horizontal="center"/>
    </xf>
    <xf numFmtId="166" fontId="18" fillId="0" borderId="0" xfId="0" applyNumberFormat="1" applyFont="1" applyBorder="1" applyAlignment="1">
      <alignment horizontal="center"/>
    </xf>
    <xf numFmtId="166" fontId="18" fillId="0" borderId="0" xfId="0" applyNumberFormat="1" applyFont="1" applyBorder="1" applyAlignment="1">
      <alignment horizontal="center"/>
    </xf>
    <xf numFmtId="166" fontId="18" fillId="0" borderId="0" xfId="0" applyNumberFormat="1" applyFont="1" applyBorder="1" applyAlignment="1">
      <alignment horizontal="center"/>
    </xf>
    <xf numFmtId="0" fontId="44" fillId="0" borderId="0" xfId="0" applyFont="1" applyBorder="1" applyAlignment="1">
      <alignment wrapText="1"/>
    </xf>
    <xf numFmtId="0" fontId="219" fillId="0" borderId="0" xfId="0" applyFont="1" applyAlignment="1" applyProtection="1">
      <alignment horizontal="center"/>
    </xf>
    <xf numFmtId="0" fontId="219" fillId="0" borderId="0" xfId="0" applyFont="1" applyBorder="1" applyAlignment="1" applyProtection="1">
      <alignment vertical="center"/>
    </xf>
    <xf numFmtId="0" fontId="219" fillId="0" borderId="0" xfId="0" applyFont="1" applyBorder="1" applyAlignment="1" applyProtection="1">
      <alignment horizontal="center" vertical="center"/>
    </xf>
    <xf numFmtId="0" fontId="75" fillId="0" borderId="0" xfId="0" applyFont="1" applyFill="1" applyBorder="1" applyAlignment="1" applyProtection="1">
      <alignment vertical="center"/>
    </xf>
    <xf numFmtId="165" fontId="219" fillId="0" borderId="0" xfId="0" applyNumberFormat="1" applyFont="1" applyAlignment="1" applyProtection="1">
      <alignment horizontal="center"/>
    </xf>
    <xf numFmtId="166" fontId="7" fillId="6" borderId="21" xfId="0" applyNumberFormat="1" applyFont="1" applyFill="1" applyBorder="1" applyAlignment="1" applyProtection="1">
      <alignment horizontal="center"/>
    </xf>
    <xf numFmtId="166" fontId="7" fillId="6" borderId="2" xfId="0" applyNumberFormat="1" applyFont="1" applyFill="1" applyBorder="1" applyAlignment="1" applyProtection="1">
      <alignment horizontal="center"/>
    </xf>
    <xf numFmtId="0" fontId="64" fillId="4" borderId="1" xfId="0" applyFont="1" applyFill="1" applyBorder="1" applyAlignment="1" applyProtection="1">
      <alignment horizontal="center"/>
    </xf>
    <xf numFmtId="0" fontId="135" fillId="6" borderId="0" xfId="0" applyFont="1" applyFill="1" applyBorder="1" applyAlignment="1" applyProtection="1">
      <alignment horizontal="center" vertical="center"/>
    </xf>
    <xf numFmtId="0" fontId="0" fillId="0" borderId="70" xfId="0" applyBorder="1" applyProtection="1"/>
    <xf numFmtId="0" fontId="0" fillId="0" borderId="76" xfId="0" applyBorder="1" applyProtection="1"/>
    <xf numFmtId="0" fontId="75" fillId="0" borderId="76" xfId="0" applyFont="1" applyFill="1" applyBorder="1" applyAlignment="1" applyProtection="1">
      <alignment vertical="center"/>
    </xf>
    <xf numFmtId="0" fontId="219" fillId="0" borderId="76" xfId="0" applyFont="1" applyBorder="1" applyAlignment="1" applyProtection="1">
      <alignment vertical="center"/>
    </xf>
    <xf numFmtId="0" fontId="219" fillId="0" borderId="76" xfId="0" applyFont="1" applyBorder="1" applyAlignment="1" applyProtection="1">
      <alignment horizontal="center" vertical="center"/>
    </xf>
    <xf numFmtId="0" fontId="44" fillId="0" borderId="76" xfId="0" applyFont="1" applyBorder="1" applyAlignment="1">
      <alignment wrapText="1"/>
    </xf>
    <xf numFmtId="0" fontId="50" fillId="0" borderId="76" xfId="0" applyFont="1" applyFill="1" applyBorder="1" applyProtection="1"/>
    <xf numFmtId="0" fontId="0" fillId="0" borderId="79" xfId="0" applyBorder="1" applyProtection="1"/>
    <xf numFmtId="0" fontId="0" fillId="0" borderId="81" xfId="0" applyBorder="1" applyProtection="1"/>
    <xf numFmtId="166" fontId="18" fillId="0" borderId="0" xfId="0" applyNumberFormat="1" applyFont="1" applyBorder="1" applyAlignment="1">
      <alignment horizontal="center"/>
    </xf>
    <xf numFmtId="1" fontId="18" fillId="0" borderId="0" xfId="0" applyNumberFormat="1" applyFont="1" applyBorder="1" applyAlignment="1">
      <alignment horizontal="center"/>
    </xf>
    <xf numFmtId="166" fontId="18" fillId="0" borderId="0" xfId="0" applyNumberFormat="1" applyFont="1" applyBorder="1" applyAlignment="1">
      <alignment horizontal="left"/>
    </xf>
    <xf numFmtId="166" fontId="18" fillId="0" borderId="0" xfId="0" quotePrefix="1" applyNumberFormat="1" applyFont="1" applyBorder="1" applyAlignment="1">
      <alignment horizontal="left"/>
    </xf>
    <xf numFmtId="0" fontId="48" fillId="0" borderId="92" xfId="0" applyFont="1" applyFill="1" applyBorder="1" applyAlignment="1" applyProtection="1">
      <alignment horizontal="left"/>
    </xf>
    <xf numFmtId="0" fontId="48" fillId="0" borderId="76" xfId="0" applyFont="1" applyFill="1" applyBorder="1" applyAlignment="1" applyProtection="1">
      <alignment horizontal="left"/>
    </xf>
    <xf numFmtId="0" fontId="73" fillId="6" borderId="0" xfId="0" applyFont="1" applyFill="1" applyBorder="1" applyAlignment="1" applyProtection="1">
      <alignment horizontal="center"/>
    </xf>
    <xf numFmtId="166" fontId="18" fillId="0" borderId="0" xfId="0" applyNumberFormat="1" applyFont="1" applyBorder="1" applyAlignment="1">
      <alignment horizontal="center"/>
    </xf>
    <xf numFmtId="0" fontId="0" fillId="0" borderId="2" xfId="0" applyBorder="1" applyAlignment="1">
      <alignment vertical="center"/>
    </xf>
    <xf numFmtId="0" fontId="0" fillId="0" borderId="5" xfId="0" applyBorder="1" applyAlignment="1">
      <alignment vertical="center"/>
    </xf>
    <xf numFmtId="0" fontId="0" fillId="0" borderId="2" xfId="0" applyBorder="1"/>
    <xf numFmtId="0" fontId="0" fillId="0" borderId="5" xfId="0" applyBorder="1"/>
    <xf numFmtId="0" fontId="0" fillId="0" borderId="59" xfId="0" applyBorder="1"/>
    <xf numFmtId="0" fontId="0" fillId="0" borderId="60" xfId="0" applyBorder="1"/>
    <xf numFmtId="0" fontId="73" fillId="6" borderId="0" xfId="0" applyFont="1" applyFill="1" applyBorder="1" applyAlignment="1" applyProtection="1">
      <alignment horizontal="center" vertical="center"/>
    </xf>
    <xf numFmtId="0" fontId="87" fillId="4" borderId="2" xfId="0" applyNumberFormat="1" applyFont="1" applyFill="1" applyBorder="1" applyAlignment="1" applyProtection="1">
      <alignment horizontal="center"/>
    </xf>
    <xf numFmtId="0" fontId="87" fillId="4" borderId="5" xfId="0" applyNumberFormat="1" applyFont="1" applyFill="1" applyBorder="1" applyAlignment="1" applyProtection="1">
      <alignment horizontal="center"/>
    </xf>
    <xf numFmtId="0" fontId="227" fillId="2" borderId="5" xfId="0" applyFont="1" applyFill="1" applyBorder="1" applyAlignment="1" applyProtection="1">
      <alignment horizontal="right"/>
    </xf>
    <xf numFmtId="0" fontId="227" fillId="2" borderId="22" xfId="0" applyFont="1" applyFill="1" applyBorder="1" applyAlignment="1" applyProtection="1">
      <alignment horizontal="right" vertical="center"/>
    </xf>
    <xf numFmtId="0" fontId="7" fillId="6" borderId="92" xfId="0" applyFont="1" applyFill="1" applyBorder="1" applyProtection="1"/>
    <xf numFmtId="0" fontId="7" fillId="6" borderId="76" xfId="0" applyFont="1" applyFill="1" applyBorder="1" applyProtection="1"/>
    <xf numFmtId="0" fontId="153" fillId="6" borderId="76" xfId="0" applyFont="1" applyFill="1" applyBorder="1" applyAlignment="1" applyProtection="1">
      <alignment horizontal="left"/>
      <protection locked="0"/>
    </xf>
    <xf numFmtId="0" fontId="7" fillId="6" borderId="76" xfId="0" applyFont="1" applyFill="1" applyBorder="1" applyAlignment="1" applyProtection="1">
      <alignment vertical="center"/>
    </xf>
    <xf numFmtId="0" fontId="7" fillId="2" borderId="76" xfId="0" applyFont="1" applyFill="1" applyBorder="1" applyProtection="1"/>
    <xf numFmtId="0" fontId="64" fillId="4" borderId="132" xfId="0" applyFont="1" applyFill="1" applyBorder="1" applyAlignment="1" applyProtection="1"/>
    <xf numFmtId="0" fontId="65" fillId="4" borderId="78" xfId="0" applyFont="1" applyFill="1" applyBorder="1" applyAlignment="1" applyProtection="1">
      <alignment horizontal="center"/>
    </xf>
    <xf numFmtId="0" fontId="153" fillId="6" borderId="132" xfId="0" applyFont="1" applyFill="1" applyBorder="1" applyAlignment="1" applyProtection="1">
      <alignment horizontal="center"/>
      <protection locked="0"/>
    </xf>
    <xf numFmtId="0" fontId="153" fillId="2" borderId="77" xfId="0" applyFont="1" applyFill="1" applyBorder="1" applyAlignment="1" applyProtection="1">
      <alignment horizontal="center"/>
      <protection locked="0"/>
    </xf>
    <xf numFmtId="0" fontId="153" fillId="2" borderId="78" xfId="0" applyFont="1" applyFill="1" applyBorder="1" applyAlignment="1" applyProtection="1">
      <alignment horizontal="center"/>
      <protection locked="0"/>
    </xf>
    <xf numFmtId="0" fontId="42" fillId="6" borderId="133" xfId="0" applyFont="1" applyFill="1" applyBorder="1" applyAlignment="1" applyProtection="1">
      <alignment horizontal="right" vertical="center"/>
    </xf>
    <xf numFmtId="0" fontId="69" fillId="4" borderId="134" xfId="0" applyFont="1" applyFill="1" applyBorder="1" applyAlignment="1" applyProtection="1">
      <alignment horizontal="centerContinuous"/>
    </xf>
    <xf numFmtId="0" fontId="44" fillId="6" borderId="133" xfId="0" applyFont="1" applyFill="1" applyBorder="1" applyAlignment="1" applyProtection="1">
      <alignment horizontal="centerContinuous"/>
    </xf>
    <xf numFmtId="0" fontId="44" fillId="6" borderId="76" xfId="0" applyFont="1" applyFill="1" applyBorder="1" applyAlignment="1" applyProtection="1">
      <alignment horizontal="centerContinuous"/>
    </xf>
    <xf numFmtId="0" fontId="164" fillId="6" borderId="76" xfId="0" applyFont="1" applyFill="1" applyBorder="1" applyAlignment="1" applyProtection="1">
      <alignment horizontal="center"/>
    </xf>
    <xf numFmtId="166" fontId="7" fillId="6" borderId="76" xfId="0" applyNumberFormat="1" applyFont="1" applyFill="1" applyBorder="1" applyAlignment="1" applyProtection="1">
      <alignment horizontal="center"/>
    </xf>
    <xf numFmtId="0" fontId="68" fillId="4" borderId="135" xfId="0" applyFont="1" applyFill="1" applyBorder="1" applyAlignment="1" applyProtection="1">
      <alignment horizontal="center"/>
    </xf>
    <xf numFmtId="0" fontId="142" fillId="6" borderId="132" xfId="0" applyFont="1" applyFill="1" applyBorder="1" applyAlignment="1" applyProtection="1">
      <alignment horizontal="center"/>
    </xf>
    <xf numFmtId="166" fontId="18" fillId="0" borderId="0" xfId="0" applyNumberFormat="1" applyFont="1" applyBorder="1" applyAlignment="1">
      <alignment horizontal="center"/>
    </xf>
    <xf numFmtId="0" fontId="147" fillId="14" borderId="0" xfId="0" applyFont="1" applyFill="1" applyBorder="1" applyAlignment="1" applyProtection="1">
      <alignment horizontal="left" indent="1"/>
    </xf>
    <xf numFmtId="0" fontId="7" fillId="14" borderId="0" xfId="0" applyFont="1" applyFill="1" applyBorder="1" applyProtection="1"/>
    <xf numFmtId="0" fontId="0" fillId="0" borderId="66" xfId="0" applyBorder="1" applyProtection="1"/>
    <xf numFmtId="0" fontId="61" fillId="4" borderId="136" xfId="0" applyFont="1" applyFill="1" applyBorder="1" applyAlignment="1" applyProtection="1">
      <alignment horizontal="center"/>
    </xf>
    <xf numFmtId="0" fontId="143" fillId="14" borderId="70" xfId="0" applyFont="1" applyFill="1" applyBorder="1" applyAlignment="1" applyProtection="1">
      <alignment horizontal="left" indent="1"/>
    </xf>
    <xf numFmtId="0" fontId="2" fillId="14" borderId="0" xfId="0" applyFont="1" applyFill="1" applyBorder="1" applyAlignment="1" applyProtection="1">
      <alignment horizontal="center"/>
    </xf>
    <xf numFmtId="0" fontId="0" fillId="14" borderId="76" xfId="0" applyFill="1" applyBorder="1" applyProtection="1"/>
    <xf numFmtId="0" fontId="0" fillId="14" borderId="80" xfId="0" applyFill="1" applyBorder="1" applyProtection="1"/>
    <xf numFmtId="0" fontId="0" fillId="14" borderId="81" xfId="0" applyFill="1" applyBorder="1" applyProtection="1"/>
    <xf numFmtId="0" fontId="0" fillId="14" borderId="0" xfId="0" applyFill="1" applyBorder="1" applyProtection="1"/>
    <xf numFmtId="0" fontId="7" fillId="14" borderId="0" xfId="0" applyFont="1" applyFill="1" applyBorder="1" applyAlignment="1" applyProtection="1">
      <alignment horizontal="center"/>
    </xf>
    <xf numFmtId="0" fontId="160" fillId="6" borderId="136" xfId="0" applyFont="1" applyFill="1" applyBorder="1" applyAlignment="1" applyProtection="1">
      <alignment horizontal="center"/>
    </xf>
    <xf numFmtId="0" fontId="153" fillId="6" borderId="136" xfId="0" applyFont="1" applyFill="1" applyBorder="1" applyAlignment="1" applyProtection="1">
      <alignment horizontal="center"/>
      <protection locked="0"/>
    </xf>
    <xf numFmtId="0" fontId="11" fillId="6" borderId="137" xfId="0" applyFont="1" applyFill="1" applyBorder="1" applyAlignment="1" applyProtection="1">
      <protection locked="0"/>
    </xf>
    <xf numFmtId="1" fontId="7" fillId="6" borderId="138" xfId="0" applyNumberFormat="1" applyFont="1" applyFill="1" applyBorder="1" applyAlignment="1" applyProtection="1">
      <alignment horizontal="right"/>
    </xf>
    <xf numFmtId="1" fontId="7" fillId="6" borderId="137" xfId="0" applyNumberFormat="1" applyFont="1" applyFill="1" applyBorder="1" applyAlignment="1" applyProtection="1">
      <alignment horizontal="center"/>
    </xf>
    <xf numFmtId="1" fontId="7" fillId="6" borderId="136" xfId="0" applyNumberFormat="1" applyFont="1" applyFill="1" applyBorder="1" applyAlignment="1" applyProtection="1">
      <alignment horizontal="center"/>
    </xf>
    <xf numFmtId="0" fontId="0" fillId="6" borderId="137" xfId="0" applyFill="1" applyBorder="1" applyProtection="1"/>
    <xf numFmtId="2" fontId="7" fillId="6" borderId="136" xfId="0" applyNumberFormat="1" applyFont="1" applyFill="1" applyBorder="1" applyAlignment="1" applyProtection="1">
      <alignment horizontal="center"/>
    </xf>
    <xf numFmtId="0" fontId="7" fillId="6" borderId="136" xfId="0" applyFont="1" applyFill="1" applyBorder="1" applyAlignment="1" applyProtection="1">
      <alignment horizontal="center"/>
    </xf>
    <xf numFmtId="0" fontId="74" fillId="6" borderId="137" xfId="0" applyFont="1" applyFill="1" applyBorder="1" applyAlignment="1" applyProtection="1">
      <alignment horizontal="centerContinuous"/>
    </xf>
    <xf numFmtId="0" fontId="49" fillId="6" borderId="139" xfId="0" applyFont="1" applyFill="1" applyBorder="1" applyAlignment="1" applyProtection="1">
      <alignment horizontal="centerContinuous"/>
    </xf>
    <xf numFmtId="0" fontId="44" fillId="6" borderId="140" xfId="0" applyFont="1" applyFill="1" applyBorder="1" applyAlignment="1" applyProtection="1">
      <alignment horizontal="centerContinuous"/>
    </xf>
    <xf numFmtId="0" fontId="68" fillId="4" borderId="136" xfId="0" applyFont="1" applyFill="1" applyBorder="1" applyAlignment="1" applyProtection="1">
      <alignment horizontal="center"/>
    </xf>
    <xf numFmtId="0" fontId="68" fillId="4" borderId="137" xfId="0" applyFont="1" applyFill="1" applyBorder="1" applyAlignment="1" applyProtection="1">
      <alignment horizontal="center"/>
    </xf>
    <xf numFmtId="0" fontId="68" fillId="4" borderId="138" xfId="0" applyFont="1" applyFill="1" applyBorder="1" applyAlignment="1" applyProtection="1">
      <alignment horizontal="center"/>
    </xf>
    <xf numFmtId="166" fontId="7" fillId="6" borderId="136" xfId="0" applyNumberFormat="1" applyFont="1" applyFill="1" applyBorder="1" applyAlignment="1" applyProtection="1">
      <alignment horizontal="center"/>
    </xf>
    <xf numFmtId="166" fontId="7" fillId="6" borderId="137" xfId="0" applyNumberFormat="1" applyFont="1" applyFill="1" applyBorder="1" applyAlignment="1" applyProtection="1">
      <alignment horizontal="center"/>
    </xf>
    <xf numFmtId="0" fontId="60" fillId="6" borderId="136" xfId="0" applyFont="1" applyFill="1" applyBorder="1" applyAlignment="1" applyProtection="1">
      <alignment horizontal="center"/>
    </xf>
    <xf numFmtId="0" fontId="144" fillId="14" borderId="70" xfId="0" applyFont="1" applyFill="1" applyBorder="1" applyAlignment="1" applyProtection="1">
      <alignment horizontal="left" indent="1"/>
    </xf>
    <xf numFmtId="0" fontId="0" fillId="14" borderId="79" xfId="0" applyFill="1" applyBorder="1" applyProtection="1"/>
    <xf numFmtId="0" fontId="73" fillId="6" borderId="141" xfId="0" applyFont="1" applyFill="1" applyBorder="1" applyAlignment="1" applyProtection="1">
      <alignment horizontal="center"/>
    </xf>
    <xf numFmtId="0" fontId="134" fillId="0" borderId="65" xfId="0" applyFont="1" applyBorder="1" applyAlignment="1">
      <alignment horizontal="center" vertical="center"/>
    </xf>
    <xf numFmtId="0" fontId="0" fillId="0" borderId="92" xfId="0" applyBorder="1" applyAlignment="1">
      <alignment vertical="center"/>
    </xf>
    <xf numFmtId="0" fontId="7" fillId="0" borderId="70" xfId="0" applyFont="1" applyBorder="1" applyAlignment="1">
      <alignment horizontal="center" vertical="center"/>
    </xf>
    <xf numFmtId="0" fontId="0" fillId="0" borderId="70" xfId="0" applyBorder="1" applyAlignment="1">
      <alignment vertical="center"/>
    </xf>
    <xf numFmtId="0" fontId="18" fillId="0" borderId="70" xfId="0" applyFont="1" applyBorder="1" applyAlignment="1">
      <alignment horizontal="center" vertical="center"/>
    </xf>
    <xf numFmtId="166" fontId="18" fillId="0" borderId="70" xfId="0" applyNumberFormat="1" applyFont="1" applyBorder="1" applyAlignment="1">
      <alignment horizontal="center"/>
    </xf>
    <xf numFmtId="166" fontId="7" fillId="0" borderId="70" xfId="0" applyNumberFormat="1" applyFont="1" applyBorder="1" applyAlignment="1">
      <alignment horizontal="center"/>
    </xf>
    <xf numFmtId="166" fontId="7" fillId="0" borderId="76" xfId="0" applyNumberFormat="1" applyFont="1" applyBorder="1" applyAlignment="1">
      <alignment horizontal="center"/>
    </xf>
    <xf numFmtId="0" fontId="51" fillId="0" borderId="70" xfId="0" applyFont="1" applyBorder="1" applyAlignment="1">
      <alignment horizontal="center" vertical="center"/>
    </xf>
    <xf numFmtId="0" fontId="103" fillId="0" borderId="79" xfId="0" applyFont="1" applyBorder="1" applyAlignment="1">
      <alignment horizontal="center"/>
    </xf>
    <xf numFmtId="0" fontId="18" fillId="0" borderId="76" xfId="0" applyFont="1" applyBorder="1" applyAlignment="1">
      <alignment horizontal="center" vertical="center"/>
    </xf>
    <xf numFmtId="0" fontId="49" fillId="0" borderId="76" xfId="0" applyFont="1" applyBorder="1" applyAlignment="1">
      <alignment horizontal="center"/>
    </xf>
    <xf numFmtId="0" fontId="102" fillId="0" borderId="76" xfId="0" applyFont="1" applyBorder="1" applyAlignment="1">
      <alignment horizontal="left"/>
    </xf>
    <xf numFmtId="0" fontId="102" fillId="0" borderId="81" xfId="0" applyFont="1" applyBorder="1" applyAlignment="1">
      <alignment horizontal="left"/>
    </xf>
    <xf numFmtId="169" fontId="49" fillId="0" borderId="22" xfId="0" applyNumberFormat="1" applyFont="1" applyFill="1" applyBorder="1" applyAlignment="1">
      <alignment horizontal="center"/>
    </xf>
    <xf numFmtId="169" fontId="49" fillId="0" borderId="5" xfId="0" applyNumberFormat="1" applyFont="1" applyFill="1" applyBorder="1" applyAlignment="1">
      <alignment horizontal="center"/>
    </xf>
    <xf numFmtId="169" fontId="49" fillId="0" borderId="7" xfId="0" applyNumberFormat="1" applyFont="1" applyFill="1" applyBorder="1" applyAlignment="1">
      <alignment horizontal="center"/>
    </xf>
    <xf numFmtId="169" fontId="79" fillId="0" borderId="0" xfId="0" applyNumberFormat="1" applyFont="1" applyFill="1" applyAlignment="1">
      <alignment horizontal="center"/>
    </xf>
    <xf numFmtId="169" fontId="7" fillId="0" borderId="70" xfId="0" applyNumberFormat="1" applyFont="1" applyBorder="1" applyAlignment="1">
      <alignment horizontal="center" vertical="center"/>
    </xf>
    <xf numFmtId="0" fontId="21" fillId="6" borderId="0" xfId="0" applyFont="1" applyFill="1" applyBorder="1" applyAlignment="1" applyProtection="1">
      <alignment horizontal="center" vertical="center"/>
    </xf>
    <xf numFmtId="165" fontId="23" fillId="4" borderId="0" xfId="0" applyNumberFormat="1" applyFont="1" applyFill="1" applyBorder="1" applyAlignment="1" applyProtection="1">
      <alignment horizontal="center" vertical="center"/>
    </xf>
    <xf numFmtId="169" fontId="39" fillId="0" borderId="0" xfId="0" applyNumberFormat="1" applyFont="1" applyFill="1" applyAlignment="1">
      <alignment horizontal="center"/>
    </xf>
    <xf numFmtId="0" fontId="0" fillId="14" borderId="31" xfId="0" applyFill="1" applyBorder="1" applyProtection="1">
      <protection locked="0"/>
    </xf>
    <xf numFmtId="0" fontId="0" fillId="14" borderId="32" xfId="0" applyFill="1" applyBorder="1" applyProtection="1">
      <protection locked="0"/>
    </xf>
    <xf numFmtId="0" fontId="0" fillId="14" borderId="36" xfId="0" applyFill="1" applyBorder="1" applyProtection="1">
      <protection locked="0"/>
    </xf>
    <xf numFmtId="0" fontId="0" fillId="14" borderId="142" xfId="0" applyFill="1" applyBorder="1" applyProtection="1">
      <protection locked="0"/>
    </xf>
    <xf numFmtId="0" fontId="0" fillId="14" borderId="143" xfId="0" applyFill="1" applyBorder="1" applyProtection="1">
      <protection locked="0"/>
    </xf>
    <xf numFmtId="0" fontId="0" fillId="14" borderId="144" xfId="0" applyFill="1" applyBorder="1" applyProtection="1">
      <protection locked="0"/>
    </xf>
    <xf numFmtId="0" fontId="1" fillId="6" borderId="0" xfId="0" applyFont="1" applyFill="1" applyBorder="1" applyProtection="1"/>
    <xf numFmtId="0" fontId="167" fillId="6" borderId="0" xfId="1" applyFont="1" applyFill="1" applyBorder="1" applyAlignment="1" applyProtection="1">
      <alignment horizontal="center"/>
    </xf>
    <xf numFmtId="0" fontId="75" fillId="0" borderId="0" xfId="0" applyFont="1" applyFill="1" applyBorder="1" applyAlignment="1" applyProtection="1">
      <alignment horizontal="left" vertical="center"/>
    </xf>
    <xf numFmtId="166" fontId="18" fillId="0" borderId="0" xfId="0" applyNumberFormat="1" applyFont="1" applyBorder="1" applyAlignment="1">
      <alignment horizontal="center"/>
    </xf>
    <xf numFmtId="0" fontId="75" fillId="0" borderId="0" xfId="0" applyFont="1" applyFill="1" applyBorder="1" applyAlignment="1" applyProtection="1">
      <alignment horizontal="center" vertical="center" wrapText="1"/>
    </xf>
    <xf numFmtId="0" fontId="16" fillId="6" borderId="70" xfId="0" applyFont="1" applyFill="1" applyBorder="1" applyAlignment="1" applyProtection="1">
      <alignment horizontal="center"/>
    </xf>
    <xf numFmtId="0" fontId="16" fillId="6" borderId="0" xfId="0" applyFont="1" applyFill="1" applyBorder="1" applyAlignment="1" applyProtection="1">
      <alignment horizontal="center"/>
    </xf>
    <xf numFmtId="0" fontId="16" fillId="6" borderId="76" xfId="0" applyFont="1" applyFill="1" applyBorder="1" applyAlignment="1" applyProtection="1">
      <alignment horizontal="center"/>
    </xf>
    <xf numFmtId="0" fontId="220" fillId="0" borderId="70" xfId="0" applyFont="1" applyBorder="1" applyAlignment="1" applyProtection="1">
      <alignment horizontal="center" vertical="center"/>
    </xf>
    <xf numFmtId="0" fontId="220" fillId="0" borderId="76" xfId="0" applyFont="1" applyBorder="1" applyAlignment="1" applyProtection="1">
      <alignment horizontal="center" vertical="center"/>
    </xf>
    <xf numFmtId="0" fontId="220" fillId="0" borderId="70" xfId="0" applyFont="1" applyBorder="1" applyAlignment="1" applyProtection="1">
      <alignment horizontal="center"/>
    </xf>
    <xf numFmtId="0" fontId="220" fillId="0" borderId="76" xfId="0" applyFont="1" applyBorder="1" applyAlignment="1" applyProtection="1">
      <alignment horizontal="center"/>
    </xf>
    <xf numFmtId="0" fontId="222" fillId="0" borderId="70" xfId="0" applyFont="1" applyBorder="1" applyAlignment="1" applyProtection="1">
      <alignment horizontal="center"/>
    </xf>
    <xf numFmtId="0" fontId="222" fillId="0" borderId="76" xfId="0" applyFont="1" applyBorder="1" applyAlignment="1" applyProtection="1">
      <alignment horizontal="center"/>
    </xf>
    <xf numFmtId="165" fontId="222" fillId="0" borderId="70" xfId="0" applyNumberFormat="1" applyFont="1" applyBorder="1" applyAlignment="1" applyProtection="1">
      <alignment horizontal="center"/>
    </xf>
    <xf numFmtId="165" fontId="222" fillId="0" borderId="76" xfId="0" applyNumberFormat="1" applyFont="1" applyBorder="1" applyAlignment="1" applyProtection="1">
      <alignment horizontal="center"/>
    </xf>
    <xf numFmtId="0" fontId="220" fillId="0" borderId="65" xfId="0" applyFont="1" applyBorder="1" applyAlignment="1" applyProtection="1">
      <alignment horizontal="center" vertical="center"/>
    </xf>
    <xf numFmtId="0" fontId="220" fillId="0" borderId="92" xfId="0" applyFont="1" applyBorder="1" applyAlignment="1" applyProtection="1">
      <alignment horizontal="center" vertical="center"/>
    </xf>
    <xf numFmtId="165" fontId="7" fillId="6" borderId="139" xfId="0" applyNumberFormat="1" applyFont="1" applyFill="1" applyBorder="1" applyAlignment="1" applyProtection="1">
      <alignment horizontal="center"/>
    </xf>
    <xf numFmtId="165" fontId="7" fillId="6" borderId="138" xfId="0" applyNumberFormat="1" applyFont="1" applyFill="1" applyBorder="1" applyAlignment="1" applyProtection="1">
      <alignment horizontal="center"/>
    </xf>
    <xf numFmtId="165" fontId="7" fillId="6" borderId="0" xfId="0" applyNumberFormat="1" applyFont="1" applyFill="1" applyBorder="1" applyAlignment="1" applyProtection="1">
      <alignment horizontal="center"/>
    </xf>
    <xf numFmtId="165" fontId="7" fillId="6" borderId="5" xfId="0" applyNumberFormat="1" applyFont="1" applyFill="1" applyBorder="1" applyAlignment="1" applyProtection="1">
      <alignment horizontal="center"/>
    </xf>
    <xf numFmtId="1" fontId="200" fillId="4" borderId="67" xfId="0" applyNumberFormat="1" applyFont="1" applyFill="1" applyBorder="1" applyAlignment="1" applyProtection="1">
      <alignment horizontal="center" vertical="center" shrinkToFit="1"/>
      <protection locked="0"/>
    </xf>
    <xf numFmtId="0" fontId="201" fillId="4" borderId="68" xfId="0" applyFont="1" applyFill="1" applyBorder="1" applyAlignment="1">
      <alignment shrinkToFit="1"/>
    </xf>
    <xf numFmtId="0" fontId="201" fillId="4" borderId="69" xfId="0" applyFont="1" applyFill="1" applyBorder="1" applyAlignment="1">
      <alignment shrinkToFit="1"/>
    </xf>
    <xf numFmtId="1" fontId="58" fillId="4" borderId="0" xfId="0" applyNumberFormat="1" applyFont="1" applyFill="1" applyBorder="1" applyAlignment="1" applyProtection="1">
      <alignment horizontal="justify" vertical="top" wrapText="1"/>
    </xf>
    <xf numFmtId="0" fontId="0" fillId="0" borderId="0" xfId="0" applyBorder="1" applyAlignment="1">
      <alignment wrapText="1"/>
    </xf>
    <xf numFmtId="165" fontId="7" fillId="6" borderId="37" xfId="0" applyNumberFormat="1" applyFont="1" applyFill="1" applyBorder="1" applyAlignment="1" applyProtection="1">
      <alignment horizontal="center"/>
    </xf>
    <xf numFmtId="165" fontId="7" fillId="6" borderId="22" xfId="0" applyNumberFormat="1" applyFont="1" applyFill="1" applyBorder="1" applyAlignment="1" applyProtection="1">
      <alignment horizontal="center"/>
    </xf>
    <xf numFmtId="0" fontId="73" fillId="6" borderId="21" xfId="0" applyFont="1" applyFill="1" applyBorder="1" applyAlignment="1" applyProtection="1">
      <alignment horizontal="center" vertical="center" wrapText="1"/>
    </xf>
    <xf numFmtId="0" fontId="180" fillId="6" borderId="37" xfId="0" applyFont="1" applyFill="1" applyBorder="1" applyAlignment="1" applyProtection="1">
      <alignment horizontal="center" vertical="center" wrapText="1"/>
    </xf>
    <xf numFmtId="0" fontId="180" fillId="6" borderId="133" xfId="0" applyFont="1" applyFill="1" applyBorder="1" applyAlignment="1" applyProtection="1">
      <alignment horizontal="center" vertical="center" wrapText="1"/>
    </xf>
    <xf numFmtId="0" fontId="180" fillId="6" borderId="2" xfId="0" applyFont="1" applyFill="1" applyBorder="1" applyAlignment="1" applyProtection="1">
      <alignment horizontal="center" vertical="center" wrapText="1"/>
    </xf>
    <xf numFmtId="0" fontId="180" fillId="6" borderId="0" xfId="0" applyFont="1" applyFill="1" applyBorder="1" applyAlignment="1" applyProtection="1">
      <alignment horizontal="center" vertical="center" wrapText="1"/>
    </xf>
    <xf numFmtId="0" fontId="180" fillId="6" borderId="76" xfId="0" applyFont="1" applyFill="1" applyBorder="1" applyAlignment="1" applyProtection="1">
      <alignment horizontal="center" vertical="center" wrapText="1"/>
    </xf>
    <xf numFmtId="0" fontId="180" fillId="6" borderId="137" xfId="0" applyFont="1" applyFill="1" applyBorder="1" applyAlignment="1" applyProtection="1">
      <alignment horizontal="center" vertical="center" wrapText="1"/>
    </xf>
    <xf numFmtId="0" fontId="180" fillId="6" borderId="139" xfId="0" applyFont="1" applyFill="1" applyBorder="1" applyAlignment="1" applyProtection="1">
      <alignment horizontal="center" vertical="center" wrapText="1"/>
    </xf>
    <xf numFmtId="0" fontId="180" fillId="6" borderId="140" xfId="0" applyFont="1" applyFill="1" applyBorder="1" applyAlignment="1" applyProtection="1">
      <alignment horizontal="center" vertical="center" wrapText="1"/>
    </xf>
    <xf numFmtId="0" fontId="221" fillId="6" borderId="0" xfId="0" applyFont="1" applyFill="1" applyBorder="1" applyAlignment="1" applyProtection="1">
      <alignment horizontal="left" vertical="center"/>
      <protection locked="0"/>
    </xf>
    <xf numFmtId="0" fontId="16" fillId="6" borderId="0" xfId="0" applyFont="1" applyFill="1" applyBorder="1" applyAlignment="1" applyProtection="1">
      <alignment horizontal="center" vertical="center"/>
    </xf>
    <xf numFmtId="0" fontId="16" fillId="6" borderId="76" xfId="0" applyFont="1" applyFill="1" applyBorder="1" applyAlignment="1" applyProtection="1">
      <alignment horizontal="center" vertical="center"/>
    </xf>
    <xf numFmtId="0" fontId="136" fillId="2" borderId="31" xfId="0" applyFont="1" applyFill="1" applyBorder="1" applyAlignment="1" applyProtection="1">
      <alignment horizontal="center"/>
    </xf>
    <xf numFmtId="0" fontId="136" fillId="2" borderId="32" xfId="0" applyFont="1" applyFill="1" applyBorder="1" applyAlignment="1" applyProtection="1">
      <alignment horizontal="center"/>
    </xf>
    <xf numFmtId="0" fontId="136" fillId="2" borderId="36" xfId="0" applyFont="1" applyFill="1" applyBorder="1" applyAlignment="1" applyProtection="1">
      <alignment horizontal="center"/>
    </xf>
    <xf numFmtId="0" fontId="64" fillId="4" borderId="137" xfId="0" applyFont="1" applyFill="1" applyBorder="1" applyAlignment="1" applyProtection="1">
      <alignment horizontal="center"/>
    </xf>
    <xf numFmtId="0" fontId="64" fillId="4" borderId="138" xfId="0" applyFont="1" applyFill="1" applyBorder="1" applyAlignment="1" applyProtection="1">
      <alignment horizontal="center"/>
    </xf>
    <xf numFmtId="0" fontId="64" fillId="4" borderId="21" xfId="0" applyFont="1" applyFill="1" applyBorder="1" applyAlignment="1" applyProtection="1">
      <alignment horizontal="center"/>
    </xf>
    <xf numFmtId="0" fontId="64" fillId="4" borderId="22" xfId="0" applyFont="1" applyFill="1" applyBorder="1" applyAlignment="1" applyProtection="1">
      <alignment horizontal="center"/>
    </xf>
    <xf numFmtId="0" fontId="186" fillId="6" borderId="0" xfId="0" applyFont="1" applyFill="1" applyBorder="1" applyAlignment="1" applyProtection="1">
      <alignment horizontal="left" vertical="center"/>
      <protection locked="0"/>
    </xf>
    <xf numFmtId="0" fontId="72" fillId="4" borderId="137" xfId="0" applyFont="1" applyFill="1" applyBorder="1" applyAlignment="1" applyProtection="1">
      <alignment horizontal="center" vertical="center"/>
    </xf>
    <xf numFmtId="0" fontId="72" fillId="4" borderId="138" xfId="0" applyFont="1" applyFill="1" applyBorder="1" applyAlignment="1" applyProtection="1">
      <alignment horizontal="center" vertical="center"/>
    </xf>
    <xf numFmtId="1" fontId="58" fillId="4" borderId="0" xfId="0" applyNumberFormat="1" applyFont="1" applyFill="1" applyBorder="1" applyAlignment="1" applyProtection="1">
      <alignment wrapText="1"/>
    </xf>
    <xf numFmtId="0" fontId="0" fillId="0" borderId="24" xfId="0" applyBorder="1" applyAlignment="1">
      <alignment wrapText="1"/>
    </xf>
    <xf numFmtId="1" fontId="82" fillId="4" borderId="54" xfId="0" applyNumberFormat="1" applyFont="1" applyFill="1" applyBorder="1" applyAlignment="1" applyProtection="1">
      <alignment horizontal="center" vertical="center" shrinkToFit="1"/>
    </xf>
    <xf numFmtId="0" fontId="83" fillId="0" borderId="54" xfId="0" applyFont="1" applyBorder="1" applyAlignment="1" applyProtection="1">
      <alignment shrinkToFit="1"/>
    </xf>
    <xf numFmtId="0" fontId="83" fillId="0" borderId="55" xfId="0" applyFont="1" applyBorder="1" applyAlignment="1" applyProtection="1">
      <alignment shrinkToFit="1"/>
    </xf>
    <xf numFmtId="0" fontId="85" fillId="6" borderId="10" xfId="0" applyFont="1" applyFill="1" applyBorder="1" applyAlignment="1" applyProtection="1">
      <alignment horizontal="left" vertical="center" textRotation="90"/>
    </xf>
    <xf numFmtId="2" fontId="136" fillId="6" borderId="0" xfId="0" applyNumberFormat="1" applyFont="1" applyFill="1" applyBorder="1" applyAlignment="1" applyProtection="1">
      <alignment horizontal="center"/>
    </xf>
    <xf numFmtId="0" fontId="163" fillId="6" borderId="66" xfId="0" applyFont="1" applyFill="1" applyBorder="1" applyAlignment="1" applyProtection="1">
      <alignment horizontal="left"/>
    </xf>
    <xf numFmtId="1" fontId="82" fillId="4" borderId="54" xfId="0" applyNumberFormat="1" applyFont="1" applyFill="1" applyBorder="1" applyAlignment="1" applyProtection="1">
      <alignment horizontal="center" vertical="center"/>
    </xf>
    <xf numFmtId="1" fontId="82" fillId="4" borderId="55" xfId="0" applyNumberFormat="1" applyFont="1" applyFill="1" applyBorder="1" applyAlignment="1" applyProtection="1">
      <alignment horizontal="center" vertical="center"/>
    </xf>
    <xf numFmtId="0" fontId="0" fillId="0" borderId="0" xfId="0" applyAlignment="1">
      <alignment wrapText="1"/>
    </xf>
    <xf numFmtId="2" fontId="163" fillId="6" borderId="0" xfId="0" applyNumberFormat="1" applyFont="1" applyFill="1" applyBorder="1" applyAlignment="1" applyProtection="1">
      <alignment horizontal="center"/>
    </xf>
    <xf numFmtId="0" fontId="189" fillId="0" borderId="0" xfId="0" quotePrefix="1" applyFont="1" applyFill="1" applyBorder="1" applyAlignment="1">
      <alignment horizontal="justify" vertical="center"/>
    </xf>
    <xf numFmtId="166" fontId="38" fillId="6" borderId="70" xfId="0" applyNumberFormat="1" applyFont="1" applyFill="1" applyBorder="1" applyAlignment="1" applyProtection="1">
      <alignment horizontal="center" vertical="center" wrapText="1"/>
    </xf>
    <xf numFmtId="166" fontId="38" fillId="6" borderId="0" xfId="0" applyNumberFormat="1" applyFont="1" applyFill="1" applyBorder="1" applyAlignment="1" applyProtection="1">
      <alignment horizontal="center" vertical="center" wrapText="1"/>
    </xf>
    <xf numFmtId="166" fontId="38" fillId="6" borderId="5" xfId="0" applyNumberFormat="1" applyFont="1" applyFill="1" applyBorder="1" applyAlignment="1" applyProtection="1">
      <alignment horizontal="center" vertical="center" wrapText="1"/>
    </xf>
    <xf numFmtId="0" fontId="161" fillId="0" borderId="0" xfId="0" applyFont="1" applyAlignment="1">
      <alignment horizontal="center"/>
    </xf>
    <xf numFmtId="166" fontId="18" fillId="0" borderId="0" xfId="0" applyNumberFormat="1" applyFont="1" applyBorder="1" applyAlignment="1">
      <alignment horizontal="center" vertical="center"/>
    </xf>
    <xf numFmtId="0" fontId="21" fillId="14" borderId="2" xfId="0" applyFont="1" applyFill="1" applyBorder="1" applyAlignment="1" applyProtection="1">
      <alignment horizontal="left" vertical="center" wrapText="1"/>
    </xf>
    <xf numFmtId="0" fontId="21" fillId="14" borderId="5" xfId="0" applyFont="1" applyFill="1" applyBorder="1" applyAlignment="1" applyProtection="1">
      <alignment horizontal="left" vertical="center" wrapText="1"/>
    </xf>
    <xf numFmtId="15" fontId="26" fillId="0" borderId="0" xfId="0" applyNumberFormat="1" applyFont="1" applyFill="1" applyBorder="1" applyAlignment="1">
      <alignment horizontal="center"/>
    </xf>
    <xf numFmtId="0" fontId="54" fillId="0" borderId="0" xfId="0" applyFont="1" applyFill="1" applyBorder="1" applyAlignment="1">
      <alignment horizontal="left"/>
    </xf>
    <xf numFmtId="165" fontId="7" fillId="14" borderId="37" xfId="0" applyNumberFormat="1" applyFont="1" applyFill="1" applyBorder="1" applyAlignment="1">
      <alignment horizontal="center"/>
    </xf>
    <xf numFmtId="165" fontId="7" fillId="14" borderId="22" xfId="0" applyNumberFormat="1" applyFont="1" applyFill="1" applyBorder="1" applyAlignment="1">
      <alignment horizontal="center"/>
    </xf>
    <xf numFmtId="165" fontId="7" fillId="14" borderId="59" xfId="0" applyNumberFormat="1" applyFont="1" applyFill="1" applyBorder="1" applyAlignment="1">
      <alignment horizontal="center"/>
    </xf>
    <xf numFmtId="165" fontId="7" fillId="14" borderId="60" xfId="0" applyNumberFormat="1" applyFont="1" applyFill="1" applyBorder="1" applyAlignment="1">
      <alignment horizontal="center"/>
    </xf>
    <xf numFmtId="0" fontId="68" fillId="4" borderId="21" xfId="0" applyFont="1" applyFill="1" applyBorder="1" applyAlignment="1">
      <alignment horizontal="center"/>
    </xf>
    <xf numFmtId="0" fontId="68" fillId="4" borderId="37" xfId="0" applyFont="1" applyFill="1" applyBorder="1" applyAlignment="1">
      <alignment horizontal="center"/>
    </xf>
    <xf numFmtId="0" fontId="68" fillId="4" borderId="22" xfId="0" applyFont="1" applyFill="1" applyBorder="1" applyAlignment="1">
      <alignment horizontal="center"/>
    </xf>
    <xf numFmtId="1" fontId="58" fillId="4" borderId="0" xfId="0" applyNumberFormat="1" applyFont="1" applyFill="1" applyBorder="1" applyAlignment="1" applyProtection="1">
      <alignment vertical="top" wrapText="1"/>
    </xf>
    <xf numFmtId="0" fontId="0" fillId="0" borderId="0" xfId="0" applyAlignment="1">
      <alignment vertical="top" wrapText="1"/>
    </xf>
    <xf numFmtId="0" fontId="68" fillId="26" borderId="56" xfId="0" applyFont="1" applyFill="1" applyBorder="1" applyAlignment="1">
      <alignment horizontal="center"/>
    </xf>
    <xf numFmtId="0" fontId="68" fillId="26" borderId="36" xfId="0" applyFont="1" applyFill="1" applyBorder="1" applyAlignment="1">
      <alignment horizontal="center"/>
    </xf>
    <xf numFmtId="0" fontId="68" fillId="4" borderId="31" xfId="0" applyFont="1" applyFill="1" applyBorder="1" applyAlignment="1">
      <alignment horizontal="center"/>
    </xf>
    <xf numFmtId="0" fontId="68" fillId="4" borderId="36" xfId="0" applyFont="1" applyFill="1" applyBorder="1" applyAlignment="1">
      <alignment horizontal="center"/>
    </xf>
    <xf numFmtId="0" fontId="87" fillId="4" borderId="31" xfId="0" applyNumberFormat="1" applyFont="1" applyFill="1" applyBorder="1" applyAlignment="1" applyProtection="1">
      <alignment horizontal="center"/>
    </xf>
    <xf numFmtId="0" fontId="87" fillId="4" borderId="36" xfId="0" applyNumberFormat="1" applyFont="1" applyFill="1" applyBorder="1" applyAlignment="1" applyProtection="1">
      <alignment horizontal="center"/>
    </xf>
    <xf numFmtId="0" fontId="87" fillId="4" borderId="31" xfId="0" applyNumberFormat="1" applyFont="1" applyFill="1" applyBorder="1" applyAlignment="1" applyProtection="1">
      <alignment horizontal="center" vertical="center"/>
    </xf>
    <xf numFmtId="0" fontId="87" fillId="4" borderId="36" xfId="0" applyNumberFormat="1" applyFont="1" applyFill="1" applyBorder="1" applyAlignment="1" applyProtection="1">
      <alignment horizontal="center" vertical="center"/>
    </xf>
    <xf numFmtId="0" fontId="39" fillId="0" borderId="31" xfId="0" applyFont="1" applyFill="1" applyBorder="1" applyAlignment="1">
      <alignment horizontal="center"/>
    </xf>
    <xf numFmtId="0" fontId="39" fillId="0" borderId="32" xfId="0" applyFont="1" applyFill="1" applyBorder="1" applyAlignment="1">
      <alignment horizontal="center"/>
    </xf>
    <xf numFmtId="0" fontId="39" fillId="0" borderId="36" xfId="0" applyFont="1" applyFill="1" applyBorder="1" applyAlignment="1">
      <alignment horizontal="center"/>
    </xf>
    <xf numFmtId="0" fontId="39" fillId="0" borderId="21" xfId="0" applyFont="1" applyFill="1" applyBorder="1" applyAlignment="1">
      <alignment horizontal="center"/>
    </xf>
    <xf numFmtId="0" fontId="39" fillId="0" borderId="37" xfId="0" applyFont="1" applyFill="1" applyBorder="1" applyAlignment="1">
      <alignment horizontal="center"/>
    </xf>
    <xf numFmtId="0" fontId="39" fillId="0" borderId="22" xfId="0" applyFont="1" applyFill="1" applyBorder="1" applyAlignment="1">
      <alignment horizontal="center"/>
    </xf>
    <xf numFmtId="0" fontId="64" fillId="4" borderId="21" xfId="0" applyFont="1" applyFill="1" applyBorder="1" applyAlignment="1">
      <alignment horizontal="center"/>
    </xf>
    <xf numFmtId="0" fontId="64" fillId="4" borderId="37" xfId="0" applyFont="1" applyFill="1" applyBorder="1" applyAlignment="1">
      <alignment horizontal="center"/>
    </xf>
    <xf numFmtId="0" fontId="64" fillId="4" borderId="22" xfId="0" applyFont="1" applyFill="1" applyBorder="1" applyAlignment="1">
      <alignment horizontal="center"/>
    </xf>
    <xf numFmtId="0" fontId="77" fillId="6" borderId="31" xfId="0" applyFont="1" applyFill="1" applyBorder="1" applyAlignment="1">
      <alignment horizontal="center"/>
    </xf>
    <xf numFmtId="0" fontId="77" fillId="6" borderId="32" xfId="0" applyFont="1" applyFill="1" applyBorder="1" applyAlignment="1">
      <alignment horizontal="center"/>
    </xf>
    <xf numFmtId="0" fontId="77" fillId="6" borderId="36" xfId="0" applyFont="1" applyFill="1" applyBorder="1" applyAlignment="1">
      <alignment horizontal="center"/>
    </xf>
    <xf numFmtId="0" fontId="39" fillId="0" borderId="0" xfId="0" applyFont="1" applyFill="1" applyAlignment="1">
      <alignment horizontal="center"/>
    </xf>
    <xf numFmtId="0" fontId="145" fillId="14" borderId="2" xfId="0" applyFont="1" applyFill="1" applyBorder="1" applyAlignment="1">
      <alignment horizontal="left" indent="1" shrinkToFit="1"/>
    </xf>
    <xf numFmtId="0" fontId="145" fillId="14" borderId="0" xfId="0" applyFont="1" applyFill="1" applyBorder="1" applyAlignment="1">
      <alignment horizontal="left" indent="1" shrinkToFit="1"/>
    </xf>
    <xf numFmtId="0" fontId="145" fillId="14" borderId="24" xfId="0" applyFont="1" applyFill="1" applyBorder="1" applyAlignment="1">
      <alignment horizontal="left" indent="1" shrinkToFit="1"/>
    </xf>
    <xf numFmtId="0" fontId="7" fillId="0" borderId="0" xfId="0" applyNumberFormat="1" applyFont="1" applyAlignment="1">
      <alignment horizontal="left" indent="1"/>
    </xf>
    <xf numFmtId="2" fontId="7" fillId="0" borderId="0" xfId="0" applyNumberFormat="1" applyFont="1" applyAlignment="1">
      <alignment horizontal="right" indent="1"/>
    </xf>
    <xf numFmtId="0" fontId="49" fillId="0" borderId="31" xfId="0" applyFont="1" applyBorder="1" applyAlignment="1">
      <alignment horizontal="center"/>
    </xf>
    <xf numFmtId="0" fontId="49" fillId="0" borderId="32" xfId="0" applyFont="1" applyBorder="1" applyAlignment="1">
      <alignment horizontal="center"/>
    </xf>
    <xf numFmtId="0" fontId="49" fillId="0" borderId="36" xfId="0" applyFont="1" applyBorder="1" applyAlignment="1">
      <alignment horizontal="center"/>
    </xf>
    <xf numFmtId="0" fontId="7" fillId="25" borderId="103" xfId="0" applyFont="1" applyFill="1" applyBorder="1" applyAlignment="1" applyProtection="1">
      <alignment horizontal="center" vertical="center"/>
      <protection locked="0"/>
    </xf>
    <xf numFmtId="0" fontId="7" fillId="8" borderId="85" xfId="0" applyFont="1" applyFill="1" applyBorder="1" applyAlignment="1">
      <alignment horizontal="center" vertical="center"/>
    </xf>
    <xf numFmtId="0" fontId="49" fillId="8" borderId="0" xfId="0" applyFont="1" applyFill="1" applyBorder="1" applyAlignment="1">
      <alignment horizontal="center" vertical="center"/>
    </xf>
    <xf numFmtId="0" fontId="11" fillId="8" borderId="0" xfId="0" applyFont="1" applyFill="1" applyBorder="1" applyAlignment="1" applyProtection="1">
      <alignment horizontal="center" vertical="center"/>
      <protection locked="0"/>
    </xf>
    <xf numFmtId="1" fontId="77" fillId="4" borderId="113" xfId="0" applyNumberFormat="1" applyFont="1" applyFill="1" applyBorder="1" applyAlignment="1" applyProtection="1">
      <alignment horizontal="center"/>
    </xf>
    <xf numFmtId="1" fontId="77" fillId="4" borderId="114" xfId="0" applyNumberFormat="1" applyFont="1" applyFill="1" applyBorder="1" applyAlignment="1" applyProtection="1">
      <alignment horizontal="center"/>
    </xf>
    <xf numFmtId="0" fontId="60" fillId="8" borderId="104" xfId="0" applyFont="1" applyFill="1" applyBorder="1" applyAlignment="1">
      <alignment horizontal="center" vertical="center"/>
    </xf>
    <xf numFmtId="0" fontId="60" fillId="8" borderId="121" xfId="0" applyFont="1" applyFill="1" applyBorder="1" applyAlignment="1">
      <alignment horizontal="center" vertical="center"/>
    </xf>
    <xf numFmtId="0" fontId="60" fillId="8" borderId="98" xfId="0" applyFont="1" applyFill="1" applyBorder="1" applyAlignment="1">
      <alignment horizontal="center" vertical="center"/>
    </xf>
    <xf numFmtId="0" fontId="60" fillId="8" borderId="101" xfId="0" applyFont="1" applyFill="1" applyBorder="1" applyAlignment="1">
      <alignment horizontal="center" vertical="center"/>
    </xf>
    <xf numFmtId="0" fontId="21" fillId="8" borderId="0" xfId="0" applyFont="1" applyFill="1" applyBorder="1" applyAlignment="1">
      <alignment horizontal="center" vertical="center"/>
    </xf>
    <xf numFmtId="1" fontId="82" fillId="4" borderId="116" xfId="0" applyNumberFormat="1" applyFont="1" applyFill="1" applyBorder="1" applyAlignment="1" applyProtection="1">
      <alignment horizontal="center" vertical="center"/>
    </xf>
    <xf numFmtId="1" fontId="82" fillId="4" borderId="83" xfId="0" applyNumberFormat="1" applyFont="1" applyFill="1" applyBorder="1" applyAlignment="1" applyProtection="1">
      <alignment horizontal="center" vertical="center"/>
    </xf>
    <xf numFmtId="1" fontId="82" fillId="4" borderId="84" xfId="0" applyNumberFormat="1" applyFont="1" applyFill="1" applyBorder="1" applyAlignment="1" applyProtection="1">
      <alignment horizontal="center" vertical="center"/>
    </xf>
    <xf numFmtId="0" fontId="60" fillId="8" borderId="97" xfId="0" applyFont="1" applyFill="1" applyBorder="1" applyAlignment="1">
      <alignment horizontal="center" vertical="center"/>
    </xf>
    <xf numFmtId="0" fontId="60" fillId="8" borderId="107" xfId="0" applyFont="1" applyFill="1" applyBorder="1" applyAlignment="1">
      <alignment horizontal="center" vertical="center"/>
    </xf>
    <xf numFmtId="0" fontId="60" fillId="8" borderId="100" xfId="0" applyFont="1" applyFill="1" applyBorder="1" applyAlignment="1">
      <alignment horizontal="center" vertical="center"/>
    </xf>
    <xf numFmtId="0" fontId="60" fillId="8" borderId="122" xfId="0" applyFont="1" applyFill="1" applyBorder="1" applyAlignment="1">
      <alignment horizontal="center" vertical="center"/>
    </xf>
    <xf numFmtId="1" fontId="44" fillId="4" borderId="96" xfId="0" applyNumberFormat="1" applyFont="1" applyFill="1" applyBorder="1" applyAlignment="1" applyProtection="1">
      <alignment horizontal="center" vertical="center"/>
    </xf>
    <xf numFmtId="1" fontId="44" fillId="4" borderId="44" xfId="0" applyNumberFormat="1" applyFont="1" applyFill="1" applyBorder="1" applyAlignment="1" applyProtection="1">
      <alignment horizontal="center" vertical="center"/>
    </xf>
    <xf numFmtId="1" fontId="44" fillId="4" borderId="98" xfId="0" applyNumberFormat="1" applyFont="1" applyFill="1" applyBorder="1" applyAlignment="1" applyProtection="1">
      <alignment horizontal="center" vertical="center"/>
    </xf>
    <xf numFmtId="15" fontId="77" fillId="4" borderId="108" xfId="0" applyNumberFormat="1" applyFont="1" applyFill="1" applyBorder="1" applyAlignment="1" applyProtection="1">
      <alignment horizontal="center" shrinkToFit="1"/>
    </xf>
    <xf numFmtId="0" fontId="0" fillId="8" borderId="98" xfId="0" applyFill="1" applyBorder="1" applyAlignment="1">
      <alignment horizontal="center" vertical="center"/>
    </xf>
    <xf numFmtId="0" fontId="0" fillId="8" borderId="101" xfId="0" applyFill="1" applyBorder="1" applyAlignment="1">
      <alignment horizontal="center" vertical="center"/>
    </xf>
    <xf numFmtId="0" fontId="60" fillId="8" borderId="99" xfId="0" applyFont="1" applyFill="1" applyBorder="1" applyAlignment="1">
      <alignment horizontal="center" vertical="center"/>
    </xf>
    <xf numFmtId="0" fontId="60" fillId="8" borderId="102" xfId="0" applyFont="1" applyFill="1" applyBorder="1" applyAlignment="1">
      <alignment horizontal="center" vertical="center"/>
    </xf>
    <xf numFmtId="1" fontId="82" fillId="4" borderId="124" xfId="0" applyNumberFormat="1" applyFont="1" applyFill="1" applyBorder="1" applyAlignment="1" applyProtection="1">
      <alignment horizontal="center" vertical="center"/>
    </xf>
    <xf numFmtId="1" fontId="82" fillId="4" borderId="66" xfId="0" applyNumberFormat="1" applyFont="1" applyFill="1" applyBorder="1" applyAlignment="1" applyProtection="1">
      <alignment horizontal="center" vertical="center"/>
    </xf>
    <xf numFmtId="1" fontId="82" fillId="4" borderId="92" xfId="0" applyNumberFormat="1" applyFont="1" applyFill="1" applyBorder="1" applyAlignment="1" applyProtection="1">
      <alignment horizontal="center" vertical="center"/>
    </xf>
    <xf numFmtId="0" fontId="128" fillId="0" borderId="0" xfId="0" applyFont="1" applyFill="1" applyAlignment="1">
      <alignment horizontal="center" vertical="top" wrapText="1"/>
    </xf>
    <xf numFmtId="0" fontId="117" fillId="0" borderId="0" xfId="0" applyFont="1" applyFill="1" applyAlignment="1">
      <alignment horizontal="justify" vertical="top" wrapText="1"/>
    </xf>
    <xf numFmtId="0" fontId="115" fillId="0" borderId="0" xfId="0" applyFont="1" applyAlignment="1">
      <alignment vertical="top" wrapText="1"/>
    </xf>
    <xf numFmtId="11" fontId="0" fillId="0" borderId="0" xfId="0" applyNumberFormat="1"/>
  </cellXfs>
  <cellStyles count="2">
    <cellStyle name="Normal" xfId="0" builtinId="0"/>
    <cellStyle name="Normal 2" xfId="1" xr:uid="{8BAF445A-41C0-4227-B3A0-42FA6E89E367}"/>
  </cellStyles>
  <dxfs count="40">
    <dxf>
      <font>
        <b val="0"/>
        <i val="0"/>
        <color auto="1"/>
      </font>
    </dxf>
    <dxf>
      <font>
        <b val="0"/>
        <i val="0"/>
        <color auto="1"/>
      </font>
    </dxf>
    <dxf>
      <font>
        <b val="0"/>
        <i val="0"/>
        <strike val="0"/>
        <color rgb="FF007E39"/>
      </font>
    </dxf>
    <dxf>
      <font>
        <color rgb="FFFF0000"/>
      </font>
    </dxf>
    <dxf>
      <font>
        <color rgb="FFFF0000"/>
      </font>
    </dxf>
    <dxf>
      <font>
        <color rgb="FFFF0000"/>
      </font>
    </dxf>
    <dxf>
      <fill>
        <patternFill>
          <bgColor rgb="FFFF0000"/>
        </patternFill>
      </fill>
    </dxf>
    <dxf>
      <fill>
        <patternFill>
          <bgColor rgb="FFFF0000"/>
        </patternFill>
      </fill>
    </dxf>
    <dxf>
      <fill>
        <patternFill>
          <bgColor theme="0"/>
        </patternFill>
      </fill>
    </dxf>
    <dxf>
      <fill>
        <patternFill>
          <bgColor theme="0"/>
        </patternFill>
      </fill>
    </dxf>
    <dxf>
      <font>
        <strike val="0"/>
        <color rgb="FFFF0000"/>
      </font>
      <fill>
        <patternFill>
          <bgColor theme="0"/>
        </patternFill>
      </fill>
    </dxf>
    <dxf>
      <font>
        <condense val="0"/>
        <extend val="0"/>
        <color indexed="10"/>
      </font>
    </dxf>
    <dxf>
      <font>
        <color theme="1" tint="0.499984740745262"/>
      </font>
    </dxf>
    <dxf>
      <font>
        <color theme="1" tint="0.499984740745262"/>
      </font>
    </dxf>
    <dxf>
      <font>
        <condense val="0"/>
        <extend val="0"/>
        <color indexed="23"/>
      </font>
    </dxf>
    <dxf>
      <font>
        <condense val="0"/>
        <extend val="0"/>
        <color indexed="23"/>
      </font>
    </dxf>
    <dxf>
      <font>
        <color rgb="FF9C0006"/>
      </font>
    </dxf>
    <dxf>
      <font>
        <strike val="0"/>
        <color rgb="FFFF0000"/>
      </font>
    </dxf>
    <dxf>
      <font>
        <condense val="0"/>
        <extend val="0"/>
        <color indexed="9"/>
      </font>
    </dxf>
    <dxf>
      <font>
        <b/>
        <i val="0"/>
        <condense val="0"/>
        <extend val="0"/>
        <color indexed="9"/>
      </font>
      <fill>
        <patternFill>
          <bgColor indexed="10"/>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ont>
        <condense val="0"/>
        <extend val="0"/>
        <color indexed="9"/>
      </font>
    </dxf>
    <dxf>
      <font>
        <b val="0"/>
        <i val="0"/>
        <strike val="0"/>
        <color rgb="FF007E39"/>
      </font>
    </dxf>
    <dxf>
      <font>
        <b/>
        <i val="0"/>
        <condense val="0"/>
        <extend val="0"/>
        <color indexed="9"/>
      </font>
      <fill>
        <patternFill patternType="solid">
          <bgColor indexed="10"/>
        </patternFill>
      </fill>
    </dxf>
    <dxf>
      <font>
        <b val="0"/>
        <i val="0"/>
        <condense val="0"/>
        <extend val="0"/>
        <color indexed="9"/>
      </font>
      <fill>
        <patternFill>
          <bgColor indexed="9"/>
        </patternFill>
      </fill>
    </dxf>
    <dxf>
      <font>
        <condense val="0"/>
        <extend val="0"/>
        <color indexed="9"/>
      </font>
    </dxf>
    <dxf>
      <font>
        <condense val="0"/>
        <extend val="0"/>
        <color indexed="10"/>
      </font>
    </dxf>
    <dxf>
      <font>
        <condense val="0"/>
        <extend val="0"/>
        <color indexed="10"/>
      </font>
    </dxf>
    <dxf>
      <font>
        <condense val="0"/>
        <extend val="0"/>
        <color indexed="9"/>
      </font>
    </dxf>
    <dxf>
      <font>
        <b/>
        <i val="0"/>
        <condense val="0"/>
        <extend val="0"/>
        <color indexed="9"/>
      </font>
      <fill>
        <patternFill>
          <bgColor indexed="10"/>
        </patternFill>
      </fill>
    </dxf>
    <dxf>
      <fill>
        <patternFill>
          <bgColor theme="9" tint="0.59996337778862885"/>
        </patternFill>
      </fill>
    </dxf>
    <dxf>
      <font>
        <b val="0"/>
        <i val="0"/>
        <condense val="0"/>
        <extend val="0"/>
        <color indexed="21"/>
      </font>
    </dxf>
    <dxf>
      <font>
        <condense val="0"/>
        <extend val="0"/>
        <u val="none"/>
        <color indexed="14"/>
      </font>
    </dxf>
    <dxf>
      <font>
        <condense val="0"/>
        <extend val="0"/>
        <color indexed="17"/>
      </font>
    </dxf>
    <dxf>
      <font>
        <b/>
        <i val="0"/>
        <condense val="0"/>
        <extend val="0"/>
        <color indexed="57"/>
      </font>
      <fill>
        <patternFill patternType="none">
          <bgColor indexed="6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AFFFFF"/>
      <rgbColor rgb="00BC0000"/>
      <rgbColor rgb="00003976"/>
      <rgbColor rgb="00000080"/>
      <rgbColor rgb="00808000"/>
      <rgbColor rgb="00800080"/>
      <rgbColor rgb="00007854"/>
      <rgbColor rgb="00EAEAEA"/>
      <rgbColor rgb="00808080"/>
      <rgbColor rgb="009999FF"/>
      <rgbColor rgb="00993366"/>
      <rgbColor rgb="00F7F3DD"/>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E5E9F0"/>
      <rgbColor rgb="00DDFFDD"/>
      <rgbColor rgb="00FFFFDC"/>
      <rgbColor rgb="00BAC0D9"/>
      <rgbColor rgb="00FFE1E1"/>
      <rgbColor rgb="00CC99FF"/>
      <rgbColor rgb="00FAE9B8"/>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002469"/>
      <rgbColor rgb="00333333"/>
    </indexedColors>
    <mruColors>
      <color rgb="FF0000FF"/>
      <color rgb="FF800000"/>
      <color rgb="FFFF66FF"/>
      <color rgb="FFE5E9F0"/>
      <color rgb="FF000000"/>
      <color rgb="FFF7F3DD"/>
      <color rgb="FFE0E0E9"/>
      <color rgb="FFE0E0E8"/>
      <color rgb="FFE0E0E7"/>
      <color rgb="FFE0E0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10.xml"/><Relationship Id="rId1" Type="http://schemas.microsoft.com/office/2011/relationships/chartStyle" Target="style10.xml"/></Relationships>
</file>

<file path=xl/charts/_rels/chart16.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12.xml"/><Relationship Id="rId1" Type="http://schemas.microsoft.com/office/2011/relationships/chartStyle" Target="style12.xml"/></Relationships>
</file>

<file path=xl/charts/_rels/chart18.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13.xml"/><Relationship Id="rId1" Type="http://schemas.microsoft.com/office/2011/relationships/chartStyle" Target="style13.xml"/></Relationships>
</file>

<file path=xl/charts/_rels/chart19.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14.xml"/><Relationship Id="rId1" Type="http://schemas.microsoft.com/office/2011/relationships/chartStyle" Target="style14.xml"/></Relationships>
</file>

<file path=xl/charts/_rels/chart20.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15.xml"/><Relationship Id="rId1" Type="http://schemas.microsoft.com/office/2011/relationships/chartStyle" Target="style15.xml"/></Relationships>
</file>

<file path=xl/charts/_rels/chart21.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16.xml"/><Relationship Id="rId1" Type="http://schemas.microsoft.com/office/2011/relationships/chartStyle" Target="style16.xml"/></Relationships>
</file>

<file path=xl/charts/_rels/chart22.xml.rels><?xml version="1.0" encoding="UTF-8" standalone="yes"?>
<Relationships xmlns="http://schemas.openxmlformats.org/package/2006/relationships"><Relationship Id="rId3" Type="http://schemas.openxmlformats.org/officeDocument/2006/relationships/chartUserShapes" Target="../drawings/drawing17.xml"/><Relationship Id="rId2" Type="http://schemas.microsoft.com/office/2011/relationships/chartColorStyle" Target="colors17.xml"/><Relationship Id="rId1" Type="http://schemas.microsoft.com/office/2011/relationships/chartStyle" Target="style17.xml"/></Relationships>
</file>

<file path=xl/charts/_rels/chart23.xml.rels><?xml version="1.0" encoding="UTF-8" standalone="yes"?>
<Relationships xmlns="http://schemas.openxmlformats.org/package/2006/relationships"><Relationship Id="rId3" Type="http://schemas.openxmlformats.org/officeDocument/2006/relationships/chartUserShapes" Target="../drawings/drawing18.xml"/><Relationship Id="rId2" Type="http://schemas.microsoft.com/office/2011/relationships/chartColorStyle" Target="colors18.xml"/><Relationship Id="rId1" Type="http://schemas.microsoft.com/office/2011/relationships/chartStyle" Target="style18.xml"/></Relationships>
</file>

<file path=xl/charts/_rels/chart24.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19.xml"/><Relationship Id="rId1" Type="http://schemas.microsoft.com/office/2011/relationships/chartStyle" Target="style19.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20.xml"/><Relationship Id="rId2" Type="http://schemas.microsoft.com/office/2011/relationships/chartColorStyle" Target="colors20.xml"/><Relationship Id="rId1" Type="http://schemas.microsoft.com/office/2011/relationships/chartStyle" Target="style20.xml"/></Relationships>
</file>

<file path=xl/charts/_rels/chart26.xml.rels><?xml version="1.0" encoding="UTF-8" standalone="yes"?>
<Relationships xmlns="http://schemas.openxmlformats.org/package/2006/relationships"><Relationship Id="rId3" Type="http://schemas.openxmlformats.org/officeDocument/2006/relationships/chartUserShapes" Target="../drawings/drawing21.xml"/><Relationship Id="rId2" Type="http://schemas.microsoft.com/office/2011/relationships/chartColorStyle" Target="colors21.xml"/><Relationship Id="rId1" Type="http://schemas.microsoft.com/office/2011/relationships/chartStyle" Target="style21.xml"/></Relationships>
</file>

<file path=xl/charts/_rels/chart27.xml.rels><?xml version="1.0" encoding="UTF-8" standalone="yes"?>
<Relationships xmlns="http://schemas.openxmlformats.org/package/2006/relationships"><Relationship Id="rId3" Type="http://schemas.openxmlformats.org/officeDocument/2006/relationships/chartUserShapes" Target="../drawings/drawing22.xml"/><Relationship Id="rId2" Type="http://schemas.microsoft.com/office/2011/relationships/chartColorStyle" Target="colors22.xml"/><Relationship Id="rId1" Type="http://schemas.microsoft.com/office/2011/relationships/chartStyle" Target="style22.xml"/></Relationships>
</file>

<file path=xl/charts/_rels/chart28.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7637866460970002E-2"/>
          <c:y val="3.1982787038755435E-2"/>
          <c:w val="0.84294680879761508"/>
          <c:h val="0.92954397347210815"/>
        </c:manualLayout>
      </c:layout>
      <c:scatterChart>
        <c:scatterStyle val="lineMarker"/>
        <c:varyColors val="0"/>
        <c:ser>
          <c:idx val="0"/>
          <c:order val="0"/>
          <c:tx>
            <c:v>outline</c:v>
          </c:tx>
          <c:spPr>
            <a:ln w="25400">
              <a:solidFill>
                <a:srgbClr val="000000"/>
              </a:solidFill>
              <a:prstDash val="solid"/>
            </a:ln>
          </c:spPr>
          <c:marker>
            <c:symbol val="none"/>
          </c:marker>
          <c:xVal>
            <c:numRef>
              <c:f>MAIN!$Q$9:$U$9</c:f>
              <c:numCache>
                <c:formatCode>General</c:formatCode>
                <c:ptCount val="5"/>
                <c:pt idx="0">
                  <c:v>480</c:v>
                </c:pt>
                <c:pt idx="1">
                  <c:v>480</c:v>
                </c:pt>
                <c:pt idx="2">
                  <c:v>780</c:v>
                </c:pt>
                <c:pt idx="3">
                  <c:v>780</c:v>
                </c:pt>
                <c:pt idx="4">
                  <c:v>480</c:v>
                </c:pt>
              </c:numCache>
            </c:numRef>
          </c:xVal>
          <c:yVal>
            <c:numRef>
              <c:f>MAIN!$Q$10:$U$10</c:f>
              <c:numCache>
                <c:formatCode>General</c:formatCode>
                <c:ptCount val="5"/>
                <c:pt idx="0">
                  <c:v>0</c:v>
                </c:pt>
                <c:pt idx="1">
                  <c:v>1200</c:v>
                </c:pt>
                <c:pt idx="2">
                  <c:v>1200</c:v>
                </c:pt>
                <c:pt idx="3">
                  <c:v>0</c:v>
                </c:pt>
                <c:pt idx="4">
                  <c:v>0</c:v>
                </c:pt>
              </c:numCache>
            </c:numRef>
          </c:yVal>
          <c:smooth val="0"/>
          <c:extLst>
            <c:ext xmlns:c16="http://schemas.microsoft.com/office/drawing/2014/chart" uri="{C3380CC4-5D6E-409C-BE32-E72D297353CC}">
              <c16:uniqueId val="{00000000-4321-4E85-A6A1-BD55F4078799}"/>
            </c:ext>
          </c:extLst>
        </c:ser>
        <c:ser>
          <c:idx val="2"/>
          <c:order val="1"/>
          <c:tx>
            <c:v>scaledot</c:v>
          </c:tx>
          <c:spPr>
            <a:ln w="12700">
              <a:solidFill>
                <a:srgbClr val="FFFF00"/>
              </a:solidFill>
              <a:prstDash val="solid"/>
            </a:ln>
          </c:spPr>
          <c:marker>
            <c:symbol val="none"/>
          </c:marker>
          <c:xVal>
            <c:numRef>
              <c:f>MAIN!$Z$5</c:f>
              <c:numCache>
                <c:formatCode>General</c:formatCode>
                <c:ptCount val="1"/>
                <c:pt idx="0">
                  <c:v>1200</c:v>
                </c:pt>
              </c:numCache>
            </c:numRef>
          </c:xVal>
          <c:yVal>
            <c:numRef>
              <c:f>MAIN!$AA$5</c:f>
              <c:numCache>
                <c:formatCode>General</c:formatCode>
                <c:ptCount val="1"/>
                <c:pt idx="0">
                  <c:v>300</c:v>
                </c:pt>
              </c:numCache>
            </c:numRef>
          </c:yVal>
          <c:smooth val="0"/>
          <c:extLst>
            <c:ext xmlns:c16="http://schemas.microsoft.com/office/drawing/2014/chart" uri="{C3380CC4-5D6E-409C-BE32-E72D297353CC}">
              <c16:uniqueId val="{00000001-4321-4E85-A6A1-BD55F4078799}"/>
            </c:ext>
          </c:extLst>
        </c:ser>
        <c:ser>
          <c:idx val="3"/>
          <c:order val="2"/>
          <c:tx>
            <c:v>link</c:v>
          </c:tx>
          <c:spPr>
            <a:ln w="12700">
              <a:solidFill>
                <a:srgbClr val="0000FF"/>
              </a:solidFill>
              <a:prstDash val="solid"/>
            </a:ln>
          </c:spPr>
          <c:marker>
            <c:symbol val="none"/>
          </c:marker>
          <c:xVal>
            <c:numRef>
              <c:f>MAIN!$Q$11:$U$11</c:f>
              <c:numCache>
                <c:formatCode>General</c:formatCode>
                <c:ptCount val="5"/>
                <c:pt idx="0">
                  <c:v>520</c:v>
                </c:pt>
                <c:pt idx="1">
                  <c:v>520</c:v>
                </c:pt>
                <c:pt idx="2">
                  <c:v>740</c:v>
                </c:pt>
                <c:pt idx="3">
                  <c:v>740</c:v>
                </c:pt>
                <c:pt idx="4">
                  <c:v>520</c:v>
                </c:pt>
              </c:numCache>
            </c:numRef>
          </c:xVal>
          <c:yVal>
            <c:numRef>
              <c:f>MAIN!$Q$12:$U$12</c:f>
              <c:numCache>
                <c:formatCode>General</c:formatCode>
                <c:ptCount val="5"/>
                <c:pt idx="0">
                  <c:v>40</c:v>
                </c:pt>
                <c:pt idx="1">
                  <c:v>1160</c:v>
                </c:pt>
                <c:pt idx="2">
                  <c:v>1160</c:v>
                </c:pt>
                <c:pt idx="3">
                  <c:v>40</c:v>
                </c:pt>
                <c:pt idx="4">
                  <c:v>40</c:v>
                </c:pt>
              </c:numCache>
            </c:numRef>
          </c:yVal>
          <c:smooth val="0"/>
          <c:extLst>
            <c:ext xmlns:c16="http://schemas.microsoft.com/office/drawing/2014/chart" uri="{C3380CC4-5D6E-409C-BE32-E72D297353CC}">
              <c16:uniqueId val="{00000002-4321-4E85-A6A1-BD55F4078799}"/>
            </c:ext>
          </c:extLst>
        </c:ser>
        <c:ser>
          <c:idx val="1"/>
          <c:order val="3"/>
          <c:tx>
            <c:v>bars</c:v>
          </c:tx>
          <c:spPr>
            <a:ln w="28575">
              <a:noFill/>
            </a:ln>
          </c:spPr>
          <c:marker>
            <c:symbol val="circle"/>
            <c:size val="6"/>
            <c:spPr>
              <a:solidFill>
                <a:srgbClr val="BC0000"/>
              </a:solidFill>
              <a:ln>
                <a:solidFill>
                  <a:srgbClr val="BC0000"/>
                </a:solidFill>
                <a:prstDash val="solid"/>
              </a:ln>
            </c:spPr>
          </c:marker>
          <c:xVal>
            <c:numRef>
              <c:f>MAIN!$P$6:$BF$6</c:f>
              <c:numCache>
                <c:formatCode>General</c:formatCode>
                <c:ptCount val="43"/>
                <c:pt idx="0">
                  <c:v>0</c:v>
                </c:pt>
                <c:pt idx="1">
                  <c:v>536</c:v>
                </c:pt>
                <c:pt idx="2">
                  <c:v>536</c:v>
                </c:pt>
                <c:pt idx="3">
                  <c:v>536</c:v>
                </c:pt>
                <c:pt idx="4">
                  <c:v>536</c:v>
                </c:pt>
                <c:pt idx="5">
                  <c:v>536</c:v>
                </c:pt>
                <c:pt idx="6">
                  <c:v>536</c:v>
                </c:pt>
                <c:pt idx="7">
                  <c:v>536</c:v>
                </c:pt>
                <c:pt idx="8">
                  <c:v>536</c:v>
                </c:pt>
                <c:pt idx="9">
                  <c:v>536</c:v>
                </c:pt>
                <c:pt idx="10">
                  <c:v>536</c:v>
                </c:pt>
                <c:pt idx="11">
                  <c:v>720</c:v>
                </c:pt>
                <c:pt idx="12">
                  <c:v>720</c:v>
                </c:pt>
                <c:pt idx="13">
                  <c:v>720</c:v>
                </c:pt>
                <c:pt idx="14">
                  <c:v>720</c:v>
                </c:pt>
                <c:pt idx="15">
                  <c:v>720</c:v>
                </c:pt>
                <c:pt idx="16">
                  <c:v>720</c:v>
                </c:pt>
                <c:pt idx="17">
                  <c:v>720</c:v>
                </c:pt>
                <c:pt idx="18">
                  <c:v>720</c:v>
                </c:pt>
                <c:pt idx="19">
                  <c:v>720</c:v>
                </c:pt>
                <c:pt idx="20">
                  <c:v>720</c:v>
                </c:pt>
                <c:pt idx="21">
                  <c:v>720</c:v>
                </c:pt>
                <c:pt idx="22">
                  <c:v>720</c:v>
                </c:pt>
                <c:pt idx="23">
                  <c:v>720</c:v>
                </c:pt>
                <c:pt idx="24">
                  <c:v>720</c:v>
                </c:pt>
                <c:pt idx="25">
                  <c:v>720</c:v>
                </c:pt>
                <c:pt idx="26">
                  <c:v>720</c:v>
                </c:pt>
                <c:pt idx="27">
                  <c:v>720</c:v>
                </c:pt>
                <c:pt idx="28">
                  <c:v>720</c:v>
                </c:pt>
                <c:pt idx="29">
                  <c:v>536</c:v>
                </c:pt>
                <c:pt idx="30">
                  <c:v>536</c:v>
                </c:pt>
                <c:pt idx="31">
                  <c:v>536</c:v>
                </c:pt>
                <c:pt idx="32">
                  <c:v>536</c:v>
                </c:pt>
                <c:pt idx="33">
                  <c:v>536</c:v>
                </c:pt>
                <c:pt idx="34">
                  <c:v>536</c:v>
                </c:pt>
                <c:pt idx="35">
                  <c:v>536</c:v>
                </c:pt>
                <c:pt idx="36">
                  <c:v>536</c:v>
                </c:pt>
                <c:pt idx="37">
                  <c:v>536</c:v>
                </c:pt>
              </c:numCache>
            </c:numRef>
          </c:xVal>
          <c:yVal>
            <c:numRef>
              <c:f>MAIN!$P$8:$BB$8</c:f>
              <c:numCache>
                <c:formatCode>General</c:formatCode>
                <c:ptCount val="39"/>
                <c:pt idx="1">
                  <c:v>56</c:v>
                </c:pt>
                <c:pt idx="2">
                  <c:v>418.66666666666669</c:v>
                </c:pt>
                <c:pt idx="3">
                  <c:v>781.33333333333337</c:v>
                </c:pt>
                <c:pt idx="4">
                  <c:v>1144</c:v>
                </c:pt>
                <c:pt idx="5">
                  <c:v>1144</c:v>
                </c:pt>
                <c:pt idx="6">
                  <c:v>1144</c:v>
                </c:pt>
                <c:pt idx="7">
                  <c:v>1144</c:v>
                </c:pt>
                <c:pt idx="8">
                  <c:v>1144</c:v>
                </c:pt>
                <c:pt idx="9">
                  <c:v>1144</c:v>
                </c:pt>
                <c:pt idx="10">
                  <c:v>1144</c:v>
                </c:pt>
                <c:pt idx="11">
                  <c:v>1144</c:v>
                </c:pt>
                <c:pt idx="12">
                  <c:v>1144</c:v>
                </c:pt>
                <c:pt idx="13">
                  <c:v>1144</c:v>
                </c:pt>
                <c:pt idx="14">
                  <c:v>1144</c:v>
                </c:pt>
                <c:pt idx="15">
                  <c:v>1144</c:v>
                </c:pt>
                <c:pt idx="16">
                  <c:v>1144</c:v>
                </c:pt>
                <c:pt idx="17">
                  <c:v>1144</c:v>
                </c:pt>
                <c:pt idx="18">
                  <c:v>1144</c:v>
                </c:pt>
                <c:pt idx="19">
                  <c:v>1144</c:v>
                </c:pt>
                <c:pt idx="20">
                  <c:v>781.33333333333326</c:v>
                </c:pt>
                <c:pt idx="21">
                  <c:v>418.66666666666657</c:v>
                </c:pt>
                <c:pt idx="22">
                  <c:v>56</c:v>
                </c:pt>
                <c:pt idx="23">
                  <c:v>56</c:v>
                </c:pt>
                <c:pt idx="24">
                  <c:v>56</c:v>
                </c:pt>
                <c:pt idx="25">
                  <c:v>56</c:v>
                </c:pt>
                <c:pt idx="26">
                  <c:v>56</c:v>
                </c:pt>
                <c:pt idx="27">
                  <c:v>56</c:v>
                </c:pt>
                <c:pt idx="28">
                  <c:v>56</c:v>
                </c:pt>
                <c:pt idx="29">
                  <c:v>56</c:v>
                </c:pt>
                <c:pt idx="30">
                  <c:v>56</c:v>
                </c:pt>
                <c:pt idx="31">
                  <c:v>56</c:v>
                </c:pt>
                <c:pt idx="32">
                  <c:v>56</c:v>
                </c:pt>
                <c:pt idx="33">
                  <c:v>56</c:v>
                </c:pt>
                <c:pt idx="34">
                  <c:v>56</c:v>
                </c:pt>
                <c:pt idx="35">
                  <c:v>56</c:v>
                </c:pt>
                <c:pt idx="36">
                  <c:v>56</c:v>
                </c:pt>
                <c:pt idx="37">
                  <c:v>56</c:v>
                </c:pt>
              </c:numCache>
            </c:numRef>
          </c:yVal>
          <c:smooth val="0"/>
          <c:extLst>
            <c:ext xmlns:c16="http://schemas.microsoft.com/office/drawing/2014/chart" uri="{C3380CC4-5D6E-409C-BE32-E72D297353CC}">
              <c16:uniqueId val="{00000003-4321-4E85-A6A1-BD55F4078799}"/>
            </c:ext>
          </c:extLst>
        </c:ser>
        <c:dLbls>
          <c:showLegendKey val="0"/>
          <c:showVal val="0"/>
          <c:showCatName val="0"/>
          <c:showSerName val="0"/>
          <c:showPercent val="0"/>
          <c:showBubbleSize val="0"/>
        </c:dLbls>
        <c:axId val="457442312"/>
        <c:axId val="457443096"/>
      </c:scatterChart>
      <c:valAx>
        <c:axId val="457442312"/>
        <c:scaling>
          <c:orientation val="minMax"/>
          <c:min val="-5"/>
        </c:scaling>
        <c:delete val="1"/>
        <c:axPos val="b"/>
        <c:numFmt formatCode="General" sourceLinked="1"/>
        <c:majorTickMark val="out"/>
        <c:minorTickMark val="none"/>
        <c:tickLblPos val="nextTo"/>
        <c:crossAx val="457443096"/>
        <c:crosses val="autoZero"/>
        <c:crossBetween val="midCat"/>
        <c:majorUnit val="10"/>
      </c:valAx>
      <c:valAx>
        <c:axId val="457443096"/>
        <c:scaling>
          <c:orientation val="minMax"/>
          <c:min val="0"/>
        </c:scaling>
        <c:delete val="1"/>
        <c:axPos val="l"/>
        <c:numFmt formatCode="General" sourceLinked="1"/>
        <c:majorTickMark val="out"/>
        <c:minorTickMark val="none"/>
        <c:tickLblPos val="nextTo"/>
        <c:crossAx val="457442312"/>
        <c:crosses val="autoZero"/>
        <c:crossBetween val="midCat"/>
        <c:majorUnit val="10"/>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3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1.4283674116683907E-2"/>
          <c:w val="1"/>
          <c:h val="0.98571632588331604"/>
        </c:manualLayout>
      </c:layout>
      <c:scatterChart>
        <c:scatterStyle val="lineMarker"/>
        <c:varyColors val="0"/>
        <c:ser>
          <c:idx val="0"/>
          <c:order val="0"/>
          <c:tx>
            <c:v>My1</c:v>
          </c:tx>
          <c:spPr>
            <a:ln w="12700" cap="rnd">
              <a:solidFill>
                <a:schemeClr val="accent1"/>
              </a:solidFill>
              <a:round/>
            </a:ln>
            <a:effectLst/>
          </c:spPr>
          <c:marker>
            <c:symbol val="none"/>
          </c:marker>
          <c:xVal>
            <c:numRef>
              <c:f>MAIN!$AB$48:$AE$48</c:f>
              <c:numCache>
                <c:formatCode>0.0</c:formatCode>
                <c:ptCount val="4"/>
                <c:pt idx="0">
                  <c:v>0</c:v>
                </c:pt>
                <c:pt idx="1">
                  <c:v>-0.49079479057940895</c:v>
                </c:pt>
                <c:pt idx="2">
                  <c:v>1</c:v>
                </c:pt>
              </c:numCache>
            </c:numRef>
          </c:xVal>
          <c:yVal>
            <c:numRef>
              <c:f>MAIN!$AB$47:$AE$47</c:f>
              <c:numCache>
                <c:formatCode>General</c:formatCode>
                <c:ptCount val="4"/>
                <c:pt idx="0">
                  <c:v>0</c:v>
                </c:pt>
                <c:pt idx="1">
                  <c:v>0</c:v>
                </c:pt>
                <c:pt idx="2" formatCode="0.0">
                  <c:v>1</c:v>
                </c:pt>
              </c:numCache>
            </c:numRef>
          </c:yVal>
          <c:smooth val="0"/>
          <c:extLst>
            <c:ext xmlns:c16="http://schemas.microsoft.com/office/drawing/2014/chart" uri="{C3380CC4-5D6E-409C-BE32-E72D297353CC}">
              <c16:uniqueId val="{00000000-0F1A-4F30-9B11-92CB4483E375}"/>
            </c:ext>
          </c:extLst>
        </c:ser>
        <c:ser>
          <c:idx val="2"/>
          <c:order val="1"/>
          <c:tx>
            <c:v>My2</c:v>
          </c:tx>
          <c:spPr>
            <a:ln w="19050" cap="rnd">
              <a:solidFill>
                <a:schemeClr val="accent1"/>
              </a:solidFill>
              <a:round/>
            </a:ln>
            <a:effectLst/>
          </c:spPr>
          <c:marker>
            <c:symbol val="none"/>
          </c:marker>
          <c:xVal>
            <c:numRef>
              <c:f>MAIN!$AG$48:$AI$48</c:f>
              <c:numCache>
                <c:formatCode>0.0</c:formatCode>
                <c:ptCount val="3"/>
                <c:pt idx="0">
                  <c:v>0</c:v>
                </c:pt>
                <c:pt idx="1">
                  <c:v>0</c:v>
                </c:pt>
                <c:pt idx="2">
                  <c:v>1</c:v>
                </c:pt>
              </c:numCache>
            </c:numRef>
          </c:xVal>
          <c:yVal>
            <c:numRef>
              <c:f>MAIN!$AG$47:$AI$47</c:f>
              <c:numCache>
                <c:formatCode>0.0</c:formatCode>
                <c:ptCount val="3"/>
                <c:pt idx="0">
                  <c:v>0</c:v>
                </c:pt>
                <c:pt idx="1">
                  <c:v>1</c:v>
                </c:pt>
                <c:pt idx="2">
                  <c:v>1</c:v>
                </c:pt>
              </c:numCache>
            </c:numRef>
          </c:yVal>
          <c:smooth val="0"/>
          <c:extLst>
            <c:ext xmlns:c16="http://schemas.microsoft.com/office/drawing/2014/chart" uri="{C3380CC4-5D6E-409C-BE32-E72D297353CC}">
              <c16:uniqueId val="{00000001-0F1A-4F30-9B11-92CB4483E375}"/>
            </c:ext>
          </c:extLst>
        </c:ser>
        <c:dLbls>
          <c:showLegendKey val="0"/>
          <c:showVal val="0"/>
          <c:showCatName val="0"/>
          <c:showSerName val="0"/>
          <c:showPercent val="0"/>
          <c:showBubbleSize val="0"/>
        </c:dLbls>
        <c:axId val="457446624"/>
        <c:axId val="457441920"/>
      </c:scatterChart>
      <c:valAx>
        <c:axId val="457446624"/>
        <c:scaling>
          <c:orientation val="minMax"/>
          <c:max val="1.1000000000000001"/>
          <c:min val="-1.1000000000000001"/>
        </c:scaling>
        <c:delete val="0"/>
        <c:axPos val="b"/>
        <c:majorGridlines>
          <c:spPr>
            <a:ln w="9525" cap="flat" cmpd="sng" algn="ctr">
              <a:solidFill>
                <a:schemeClr val="bg1"/>
              </a:solidFill>
              <a:round/>
            </a:ln>
            <a:effectLst/>
          </c:spPr>
        </c:majorGridlines>
        <c:numFmt formatCode="0.0" sourceLinked="1"/>
        <c:majorTickMark val="none"/>
        <c:minorTickMark val="none"/>
        <c:tickLblPos val="none"/>
        <c:spPr>
          <a:noFill/>
          <a:ln w="1270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441920"/>
        <c:crossesAt val="0"/>
        <c:crossBetween val="midCat"/>
        <c:majorUnit val="0.1"/>
        <c:minorUnit val="0.1"/>
      </c:valAx>
      <c:valAx>
        <c:axId val="457441920"/>
        <c:scaling>
          <c:orientation val="minMax"/>
          <c:max val="1.1000000000000001"/>
          <c:min val="-0.1"/>
        </c:scaling>
        <c:delete val="0"/>
        <c:axPos val="l"/>
        <c:majorGridlines>
          <c:spPr>
            <a:ln w="0" cap="flat" cmpd="sng" algn="ctr">
              <a:solidFill>
                <a:schemeClr val="bg1"/>
              </a:solidFill>
              <a:round/>
            </a:ln>
            <a:effectLst/>
          </c:spPr>
        </c:majorGridlines>
        <c:numFmt formatCode="General" sourceLinked="0"/>
        <c:majorTickMark val="none"/>
        <c:minorTickMark val="none"/>
        <c:tickLblPos val="none"/>
        <c:spPr>
          <a:noFill/>
          <a:ln w="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446624"/>
        <c:crosses val="autoZero"/>
        <c:crossBetween val="midCat"/>
      </c:valAx>
      <c:spPr>
        <a:noFill/>
        <a:ln>
          <a:noFill/>
        </a:ln>
        <a:effectLst/>
      </c:spPr>
    </c:plotArea>
    <c:plotVisOnly val="1"/>
    <c:dispBlanksAs val="gap"/>
    <c:showDLblsOverMax val="0"/>
  </c:chart>
  <c:spPr>
    <a:solidFill>
      <a:schemeClr val="bg1"/>
    </a:solidFill>
    <a:ln w="635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264853316688826E-2"/>
          <c:y val="0"/>
          <c:w val="0.98173514668331119"/>
          <c:h val="0.97920276161124575"/>
        </c:manualLayout>
      </c:layout>
      <c:scatterChart>
        <c:scatterStyle val="lineMarker"/>
        <c:varyColors val="0"/>
        <c:ser>
          <c:idx val="0"/>
          <c:order val="0"/>
          <c:tx>
            <c:v>Mz1</c:v>
          </c:tx>
          <c:spPr>
            <a:ln w="12700" cap="rnd">
              <a:solidFill>
                <a:schemeClr val="accent1"/>
              </a:solidFill>
              <a:round/>
            </a:ln>
            <a:effectLst/>
          </c:spPr>
          <c:marker>
            <c:symbol val="none"/>
          </c:marker>
          <c:xVal>
            <c:numRef>
              <c:f>MAIN!$AB$54:$AE$54</c:f>
              <c:numCache>
                <c:formatCode>0.0</c:formatCode>
                <c:ptCount val="4"/>
                <c:pt idx="0">
                  <c:v>0</c:v>
                </c:pt>
                <c:pt idx="1">
                  <c:v>0</c:v>
                </c:pt>
                <c:pt idx="2">
                  <c:v>1.841107075039706E-17</c:v>
                </c:pt>
              </c:numCache>
            </c:numRef>
          </c:xVal>
          <c:yVal>
            <c:numRef>
              <c:f>MAIN!$AB$53:$AE$53</c:f>
              <c:numCache>
                <c:formatCode>General</c:formatCode>
                <c:ptCount val="4"/>
                <c:pt idx="0">
                  <c:v>0</c:v>
                </c:pt>
                <c:pt idx="1">
                  <c:v>0</c:v>
                </c:pt>
                <c:pt idx="2" formatCode="0.0">
                  <c:v>1</c:v>
                </c:pt>
              </c:numCache>
            </c:numRef>
          </c:yVal>
          <c:smooth val="0"/>
          <c:extLst>
            <c:ext xmlns:c16="http://schemas.microsoft.com/office/drawing/2014/chart" uri="{C3380CC4-5D6E-409C-BE32-E72D297353CC}">
              <c16:uniqueId val="{00000000-894E-443B-B185-D8538D99FBF2}"/>
            </c:ext>
          </c:extLst>
        </c:ser>
        <c:ser>
          <c:idx val="2"/>
          <c:order val="1"/>
          <c:tx>
            <c:v>Mz2</c:v>
          </c:tx>
          <c:spPr>
            <a:ln w="19050" cap="rnd">
              <a:solidFill>
                <a:schemeClr val="accent1"/>
              </a:solidFill>
              <a:round/>
            </a:ln>
            <a:effectLst/>
          </c:spPr>
          <c:marker>
            <c:symbol val="none"/>
          </c:marker>
          <c:xVal>
            <c:numRef>
              <c:f>MAIN!$AG$54:$AI$54</c:f>
              <c:numCache>
                <c:formatCode>0.0</c:formatCode>
                <c:ptCount val="3"/>
                <c:pt idx="0">
                  <c:v>0</c:v>
                </c:pt>
                <c:pt idx="1">
                  <c:v>0</c:v>
                </c:pt>
                <c:pt idx="2">
                  <c:v>1.841107075039706E-17</c:v>
                </c:pt>
              </c:numCache>
            </c:numRef>
          </c:xVal>
          <c:yVal>
            <c:numRef>
              <c:f>MAIN!$AG$53:$AI$53</c:f>
              <c:numCache>
                <c:formatCode>0.0</c:formatCode>
                <c:ptCount val="3"/>
                <c:pt idx="0">
                  <c:v>0</c:v>
                </c:pt>
                <c:pt idx="1">
                  <c:v>1</c:v>
                </c:pt>
                <c:pt idx="2">
                  <c:v>1</c:v>
                </c:pt>
              </c:numCache>
            </c:numRef>
          </c:yVal>
          <c:smooth val="0"/>
          <c:extLst>
            <c:ext xmlns:c16="http://schemas.microsoft.com/office/drawing/2014/chart" uri="{C3380CC4-5D6E-409C-BE32-E72D297353CC}">
              <c16:uniqueId val="{00000001-894E-443B-B185-D8538D99FBF2}"/>
            </c:ext>
          </c:extLst>
        </c:ser>
        <c:dLbls>
          <c:showLegendKey val="0"/>
          <c:showVal val="0"/>
          <c:showCatName val="0"/>
          <c:showSerName val="0"/>
          <c:showPercent val="0"/>
          <c:showBubbleSize val="0"/>
        </c:dLbls>
        <c:axId val="457447016"/>
        <c:axId val="457444272"/>
      </c:scatterChart>
      <c:valAx>
        <c:axId val="457447016"/>
        <c:scaling>
          <c:orientation val="minMax"/>
          <c:max val="1.1000000000000001"/>
          <c:min val="-1.1000000000000001"/>
        </c:scaling>
        <c:delete val="0"/>
        <c:axPos val="b"/>
        <c:majorGridlines>
          <c:spPr>
            <a:ln w="9525" cap="flat" cmpd="sng" algn="ctr">
              <a:solidFill>
                <a:schemeClr val="bg1"/>
              </a:solidFill>
              <a:round/>
            </a:ln>
            <a:effectLst/>
          </c:spPr>
        </c:majorGridlines>
        <c:numFmt formatCode="0.0" sourceLinked="1"/>
        <c:majorTickMark val="none"/>
        <c:minorTickMark val="none"/>
        <c:tickLblPos val="none"/>
        <c:spPr>
          <a:noFill/>
          <a:ln w="1270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444272"/>
        <c:crossesAt val="0"/>
        <c:crossBetween val="midCat"/>
        <c:majorUnit val="0.1"/>
        <c:minorUnit val="0.1"/>
      </c:valAx>
      <c:valAx>
        <c:axId val="457444272"/>
        <c:scaling>
          <c:orientation val="minMax"/>
          <c:max val="1.1000000000000001"/>
          <c:min val="-0.1"/>
        </c:scaling>
        <c:delete val="0"/>
        <c:axPos val="l"/>
        <c:majorGridlines>
          <c:spPr>
            <a:ln w="0" cap="flat" cmpd="sng" algn="ctr">
              <a:solidFill>
                <a:schemeClr val="bg1"/>
              </a:solidFill>
              <a:round/>
            </a:ln>
            <a:effectLst/>
          </c:spPr>
        </c:majorGridlines>
        <c:numFmt formatCode="General" sourceLinked="0"/>
        <c:majorTickMark val="none"/>
        <c:minorTickMark val="none"/>
        <c:tickLblPos val="none"/>
        <c:spPr>
          <a:noFill/>
          <a:ln w="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447016"/>
        <c:crosses val="autoZero"/>
        <c:crossBetween val="midCat"/>
      </c:valAx>
      <c:spPr>
        <a:noFill/>
        <a:ln>
          <a:noFill/>
        </a:ln>
        <a:effectLst/>
      </c:spPr>
    </c:plotArea>
    <c:plotVisOnly val="1"/>
    <c:dispBlanksAs val="gap"/>
    <c:showDLblsOverMax val="0"/>
  </c:chart>
  <c:spPr>
    <a:solidFill>
      <a:schemeClr val="bg1"/>
    </a:solidFill>
    <a:ln w="635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8169717150741285E-2"/>
          <c:y val="4.6016787715382874E-2"/>
          <c:w val="0.9064377278178779"/>
          <c:h val="0.84911030884949379"/>
        </c:manualLayout>
      </c:layout>
      <c:scatterChart>
        <c:scatterStyle val="lineMarker"/>
        <c:varyColors val="0"/>
        <c:ser>
          <c:idx val="2"/>
          <c:order val="0"/>
          <c:tx>
            <c:v>Outline</c:v>
          </c:tx>
          <c:spPr>
            <a:ln w="19050" cap="rnd">
              <a:noFill/>
              <a:round/>
            </a:ln>
            <a:effectLst/>
          </c:spPr>
          <c:marker>
            <c:symbol val="none"/>
          </c:marker>
          <c:xVal>
            <c:numRef>
              <c:f>Calc!$AW$4:$AW$8</c:f>
              <c:numCache>
                <c:formatCode>0.0</c:formatCode>
                <c:ptCount val="5"/>
                <c:pt idx="0">
                  <c:v>-61.199526109531803</c:v>
                </c:pt>
                <c:pt idx="1">
                  <c:v>124.694734508658</c:v>
                </c:pt>
                <c:pt idx="2">
                  <c:v>124.694734508658</c:v>
                </c:pt>
                <c:pt idx="3">
                  <c:v>-61.199526109531803</c:v>
                </c:pt>
                <c:pt idx="4">
                  <c:v>-61.199526109531803</c:v>
                </c:pt>
              </c:numCache>
            </c:numRef>
          </c:xVal>
          <c:yVal>
            <c:numRef>
              <c:f>Calc!$AV$4:$AV$8</c:f>
              <c:numCache>
                <c:formatCode>0.0</c:formatCode>
                <c:ptCount val="5"/>
                <c:pt idx="0">
                  <c:v>0</c:v>
                </c:pt>
                <c:pt idx="1">
                  <c:v>0</c:v>
                </c:pt>
                <c:pt idx="2">
                  <c:v>1</c:v>
                </c:pt>
                <c:pt idx="3">
                  <c:v>1</c:v>
                </c:pt>
                <c:pt idx="4">
                  <c:v>0</c:v>
                </c:pt>
              </c:numCache>
            </c:numRef>
          </c:yVal>
          <c:smooth val="0"/>
          <c:extLst>
            <c:ext xmlns:c16="http://schemas.microsoft.com/office/drawing/2014/chart" uri="{C3380CC4-5D6E-409C-BE32-E72D297353CC}">
              <c16:uniqueId val="{00000000-CFC2-40CD-BCEC-17F5CAC359B3}"/>
            </c:ext>
          </c:extLst>
        </c:ser>
        <c:ser>
          <c:idx val="0"/>
          <c:order val="1"/>
          <c:tx>
            <c:v>1st Order</c:v>
          </c:tx>
          <c:spPr>
            <a:ln w="25400" cap="rnd">
              <a:solidFill>
                <a:srgbClr val="0070C0"/>
              </a:solidFill>
              <a:round/>
            </a:ln>
            <a:effectLst/>
          </c:spPr>
          <c:marker>
            <c:symbol val="none"/>
          </c:marker>
          <c:dPt>
            <c:idx val="1"/>
            <c:marker>
              <c:symbol val="none"/>
            </c:marker>
            <c:bubble3D val="0"/>
            <c:spPr>
              <a:ln w="25400" cap="rnd">
                <a:solidFill>
                  <a:schemeClr val="tx1"/>
                </a:solidFill>
                <a:round/>
              </a:ln>
              <a:effectLst/>
            </c:spPr>
            <c:extLst>
              <c:ext xmlns:c16="http://schemas.microsoft.com/office/drawing/2014/chart" uri="{C3380CC4-5D6E-409C-BE32-E72D297353CC}">
                <c16:uniqueId val="{00000002-CFC2-40CD-BCEC-17F5CAC359B3}"/>
              </c:ext>
            </c:extLst>
          </c:dPt>
          <c:dPt>
            <c:idx val="12"/>
            <c:marker>
              <c:symbol val="none"/>
            </c:marker>
            <c:bubble3D val="0"/>
            <c:spPr>
              <a:ln w="25400" cap="rnd">
                <a:solidFill>
                  <a:schemeClr val="tx1"/>
                </a:solidFill>
                <a:round/>
              </a:ln>
              <a:effectLst/>
            </c:spPr>
            <c:extLst>
              <c:ext xmlns:c16="http://schemas.microsoft.com/office/drawing/2014/chart" uri="{C3380CC4-5D6E-409C-BE32-E72D297353CC}">
                <c16:uniqueId val="{00000004-CFC2-40CD-BCEC-17F5CAC359B3}"/>
              </c:ext>
            </c:extLst>
          </c:dPt>
          <c:dPt>
            <c:idx val="13"/>
            <c:marker>
              <c:symbol val="none"/>
            </c:marker>
            <c:bubble3D val="0"/>
            <c:extLst>
              <c:ext xmlns:c16="http://schemas.microsoft.com/office/drawing/2014/chart" uri="{C3380CC4-5D6E-409C-BE32-E72D297353CC}">
                <c16:uniqueId val="{00000005-CFC2-40CD-BCEC-17F5CAC359B3}"/>
              </c:ext>
            </c:extLst>
          </c:dPt>
          <c:dLbls>
            <c:dLbl>
              <c:idx val="0"/>
              <c:delete val="1"/>
              <c:extLst>
                <c:ext xmlns:c15="http://schemas.microsoft.com/office/drawing/2012/chart" uri="{CE6537A1-D6FC-4f65-9D91-7224C49458BB}"/>
                <c:ext xmlns:c16="http://schemas.microsoft.com/office/drawing/2014/chart" uri="{C3380CC4-5D6E-409C-BE32-E72D297353CC}">
                  <c16:uniqueId val="{00000006-CFC2-40CD-BCEC-17F5CAC359B3}"/>
                </c:ext>
              </c:extLst>
            </c:dLbl>
            <c:dLbl>
              <c:idx val="1"/>
              <c:layout>
                <c:manualLayout>
                  <c:x val="2.4270173884764587E-2"/>
                  <c:y val="-5.752237826650939E-2"/>
                </c:manualLayout>
              </c:layout>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FC2-40CD-BCEC-17F5CAC359B3}"/>
                </c:ext>
              </c:extLst>
            </c:dLbl>
            <c:dLbl>
              <c:idx val="2"/>
              <c:delete val="1"/>
              <c:extLst>
                <c:ext xmlns:c15="http://schemas.microsoft.com/office/drawing/2012/chart" uri="{CE6537A1-D6FC-4f65-9D91-7224C49458BB}"/>
                <c:ext xmlns:c16="http://schemas.microsoft.com/office/drawing/2014/chart" uri="{C3380CC4-5D6E-409C-BE32-E72D297353CC}">
                  <c16:uniqueId val="{00000007-CFC2-40CD-BCEC-17F5CAC359B3}"/>
                </c:ext>
              </c:extLst>
            </c:dLbl>
            <c:dLbl>
              <c:idx val="3"/>
              <c:delete val="1"/>
              <c:extLst>
                <c:ext xmlns:c15="http://schemas.microsoft.com/office/drawing/2012/chart" uri="{CE6537A1-D6FC-4f65-9D91-7224C49458BB}"/>
                <c:ext xmlns:c16="http://schemas.microsoft.com/office/drawing/2014/chart" uri="{C3380CC4-5D6E-409C-BE32-E72D297353CC}">
                  <c16:uniqueId val="{00000008-CFC2-40CD-BCEC-17F5CAC359B3}"/>
                </c:ext>
              </c:extLst>
            </c:dLbl>
            <c:dLbl>
              <c:idx val="4"/>
              <c:delete val="1"/>
              <c:extLst>
                <c:ext xmlns:c15="http://schemas.microsoft.com/office/drawing/2012/chart" uri="{CE6537A1-D6FC-4f65-9D91-7224C49458BB}"/>
                <c:ext xmlns:c16="http://schemas.microsoft.com/office/drawing/2014/chart" uri="{C3380CC4-5D6E-409C-BE32-E72D297353CC}">
                  <c16:uniqueId val="{00000009-CFC2-40CD-BCEC-17F5CAC359B3}"/>
                </c:ext>
              </c:extLst>
            </c:dLbl>
            <c:dLbl>
              <c:idx val="5"/>
              <c:layout>
                <c:manualLayout>
                  <c:x val="4.8192752796602676E-3"/>
                  <c:y val="5.4894777086142007E-3"/>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A-CFC2-40CD-BCEC-17F5CAC359B3}"/>
                </c:ext>
              </c:extLst>
            </c:dLbl>
            <c:dLbl>
              <c:idx val="6"/>
              <c:delete val="1"/>
              <c:extLst>
                <c:ext xmlns:c15="http://schemas.microsoft.com/office/drawing/2012/chart" uri="{CE6537A1-D6FC-4f65-9D91-7224C49458BB}"/>
                <c:ext xmlns:c16="http://schemas.microsoft.com/office/drawing/2014/chart" uri="{C3380CC4-5D6E-409C-BE32-E72D297353CC}">
                  <c16:uniqueId val="{0000000B-CFC2-40CD-BCEC-17F5CAC359B3}"/>
                </c:ext>
              </c:extLst>
            </c:dLbl>
            <c:dLbl>
              <c:idx val="7"/>
              <c:layout>
                <c:manualLayout>
                  <c:x val="-8.8352359473108871E-17"/>
                  <c:y val="5.4894777086142007E-3"/>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C-CFC2-40CD-BCEC-17F5CAC359B3}"/>
                </c:ext>
              </c:extLst>
            </c:dLbl>
            <c:dLbl>
              <c:idx val="8"/>
              <c:delete val="1"/>
              <c:extLst>
                <c:ext xmlns:c15="http://schemas.microsoft.com/office/drawing/2012/chart" uri="{CE6537A1-D6FC-4f65-9D91-7224C49458BB}"/>
                <c:ext xmlns:c16="http://schemas.microsoft.com/office/drawing/2014/chart" uri="{C3380CC4-5D6E-409C-BE32-E72D297353CC}">
                  <c16:uniqueId val="{0000000D-CFC2-40CD-BCEC-17F5CAC359B3}"/>
                </c:ext>
              </c:extLst>
            </c:dLbl>
            <c:dLbl>
              <c:idx val="9"/>
              <c:delete val="1"/>
              <c:extLst>
                <c:ext xmlns:c15="http://schemas.microsoft.com/office/drawing/2012/chart" uri="{CE6537A1-D6FC-4f65-9D91-7224C49458BB}"/>
                <c:ext xmlns:c16="http://schemas.microsoft.com/office/drawing/2014/chart" uri="{C3380CC4-5D6E-409C-BE32-E72D297353CC}">
                  <c16:uniqueId val="{0000000E-CFC2-40CD-BCEC-17F5CAC359B3}"/>
                </c:ext>
              </c:extLst>
            </c:dLbl>
            <c:dLbl>
              <c:idx val="10"/>
              <c:delete val="1"/>
              <c:extLst>
                <c:ext xmlns:c15="http://schemas.microsoft.com/office/drawing/2012/chart" uri="{CE6537A1-D6FC-4f65-9D91-7224C49458BB}"/>
                <c:ext xmlns:c16="http://schemas.microsoft.com/office/drawing/2014/chart" uri="{C3380CC4-5D6E-409C-BE32-E72D297353CC}">
                  <c16:uniqueId val="{0000000F-CFC2-40CD-BCEC-17F5CAC359B3}"/>
                </c:ext>
              </c:extLst>
            </c:dLbl>
            <c:dLbl>
              <c:idx val="11"/>
              <c:layout>
                <c:manualLayout>
                  <c:x val="-4.3744427493683929E-2"/>
                  <c:y val="5.7181013590253509E-2"/>
                </c:manualLayout>
              </c:layout>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0-CFC2-40CD-BCEC-17F5CAC359B3}"/>
                </c:ext>
              </c:extLst>
            </c:dLbl>
            <c:dLbl>
              <c:idx val="12"/>
              <c:delete val="1"/>
              <c:extLst>
                <c:ext xmlns:c15="http://schemas.microsoft.com/office/drawing/2012/chart" uri="{CE6537A1-D6FC-4f65-9D91-7224C49458BB}"/>
                <c:ext xmlns:c16="http://schemas.microsoft.com/office/drawing/2014/chart" uri="{C3380CC4-5D6E-409C-BE32-E72D297353CC}">
                  <c16:uniqueId val="{00000004-CFC2-40CD-BCEC-17F5CAC359B3}"/>
                </c:ext>
              </c:extLst>
            </c:dLbl>
            <c:dLbl>
              <c:idx val="13"/>
              <c:delete val="1"/>
              <c:extLst>
                <c:ext xmlns:c15="http://schemas.microsoft.com/office/drawing/2012/chart" uri="{CE6537A1-D6FC-4f65-9D91-7224C49458BB}"/>
                <c:ext xmlns:c16="http://schemas.microsoft.com/office/drawing/2014/chart" uri="{C3380CC4-5D6E-409C-BE32-E72D297353CC}">
                  <c16:uniqueId val="{00000005-CFC2-40CD-BCEC-17F5CAC359B3}"/>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strRef>
              <c:f>Calc!$AL$3:$AL$16</c:f>
              <c:strCache>
                <c:ptCount val="1"/>
                <c:pt idx="0">
                  <c:v>0.0</c:v>
                </c:pt>
              </c:strCache>
            </c:strRef>
          </c:xVal>
          <c:yVal>
            <c:numRef>
              <c:f>Calc!$AH$3:$AH$16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11-CFC2-40CD-BCEC-17F5CAC359B3}"/>
            </c:ext>
          </c:extLst>
        </c:ser>
        <c:ser>
          <c:idx val="1"/>
          <c:order val="2"/>
          <c:tx>
            <c:v>-1st Order</c:v>
          </c:tx>
          <c:spPr>
            <a:ln w="25400" cap="rnd">
              <a:solidFill>
                <a:srgbClr val="00B050"/>
              </a:solidFill>
              <a:round/>
            </a:ln>
            <a:effectLst/>
          </c:spPr>
          <c:marker>
            <c:symbol val="none"/>
          </c:marker>
          <c:dPt>
            <c:idx val="1"/>
            <c:marker>
              <c:symbol val="none"/>
            </c:marker>
            <c:bubble3D val="0"/>
            <c:spPr>
              <a:ln w="25400" cap="rnd">
                <a:solidFill>
                  <a:schemeClr val="tx1"/>
                </a:solidFill>
                <a:round/>
              </a:ln>
              <a:effectLst/>
            </c:spPr>
            <c:extLst>
              <c:ext xmlns:c16="http://schemas.microsoft.com/office/drawing/2014/chart" uri="{C3380CC4-5D6E-409C-BE32-E72D297353CC}">
                <c16:uniqueId val="{00000013-CFC2-40CD-BCEC-17F5CAC359B3}"/>
              </c:ext>
            </c:extLst>
          </c:dPt>
          <c:dPt>
            <c:idx val="11"/>
            <c:marker>
              <c:symbol val="none"/>
            </c:marker>
            <c:bubble3D val="0"/>
            <c:extLst>
              <c:ext xmlns:c16="http://schemas.microsoft.com/office/drawing/2014/chart" uri="{C3380CC4-5D6E-409C-BE32-E72D297353CC}">
                <c16:uniqueId val="{00000014-CFC2-40CD-BCEC-17F5CAC359B3}"/>
              </c:ext>
            </c:extLst>
          </c:dPt>
          <c:dPt>
            <c:idx val="12"/>
            <c:marker>
              <c:symbol val="none"/>
            </c:marker>
            <c:bubble3D val="0"/>
            <c:spPr>
              <a:ln w="25400" cap="rnd">
                <a:solidFill>
                  <a:schemeClr val="tx1"/>
                </a:solidFill>
                <a:round/>
              </a:ln>
              <a:effectLst/>
            </c:spPr>
            <c:extLst>
              <c:ext xmlns:c16="http://schemas.microsoft.com/office/drawing/2014/chart" uri="{C3380CC4-5D6E-409C-BE32-E72D297353CC}">
                <c16:uniqueId val="{00000016-CFC2-40CD-BCEC-17F5CAC359B3}"/>
              </c:ext>
            </c:extLst>
          </c:dPt>
          <c:dPt>
            <c:idx val="13"/>
            <c:marker>
              <c:symbol val="none"/>
            </c:marker>
            <c:bubble3D val="0"/>
            <c:spPr>
              <a:ln w="12700" cap="rnd">
                <a:solidFill>
                  <a:schemeClr val="tx1"/>
                </a:solidFill>
                <a:round/>
              </a:ln>
              <a:effectLst/>
            </c:spPr>
            <c:extLst>
              <c:ext xmlns:c16="http://schemas.microsoft.com/office/drawing/2014/chart" uri="{C3380CC4-5D6E-409C-BE32-E72D297353CC}">
                <c16:uniqueId val="{00000018-CFC2-40CD-BCEC-17F5CAC359B3}"/>
              </c:ext>
            </c:extLst>
          </c:dPt>
          <c:dLbls>
            <c:dLbl>
              <c:idx val="0"/>
              <c:delete val="1"/>
              <c:extLst>
                <c:ext xmlns:c15="http://schemas.microsoft.com/office/drawing/2012/chart" uri="{CE6537A1-D6FC-4f65-9D91-7224C49458BB}"/>
                <c:ext xmlns:c16="http://schemas.microsoft.com/office/drawing/2014/chart" uri="{C3380CC4-5D6E-409C-BE32-E72D297353CC}">
                  <c16:uniqueId val="{00000019-CFC2-40CD-BCEC-17F5CAC359B3}"/>
                </c:ext>
              </c:extLst>
            </c:dLbl>
            <c:dLbl>
              <c:idx val="1"/>
              <c:layout>
                <c:manualLayout>
                  <c:x val="-0.10038208884087323"/>
                  <c:y val="-5.8626973564490772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15:layout>
                    <c:manualLayout>
                      <c:w val="0.20012021625264539"/>
                      <c:h val="9.1399803848426428E-2"/>
                    </c:manualLayout>
                  </c15:layout>
                </c:ext>
                <c:ext xmlns:c16="http://schemas.microsoft.com/office/drawing/2014/chart" uri="{C3380CC4-5D6E-409C-BE32-E72D297353CC}">
                  <c16:uniqueId val="{00000013-CFC2-40CD-BCEC-17F5CAC359B3}"/>
                </c:ext>
              </c:extLst>
            </c:dLbl>
            <c:dLbl>
              <c:idx val="2"/>
              <c:delete val="1"/>
              <c:extLst>
                <c:ext xmlns:c15="http://schemas.microsoft.com/office/drawing/2012/chart" uri="{CE6537A1-D6FC-4f65-9D91-7224C49458BB}"/>
                <c:ext xmlns:c16="http://schemas.microsoft.com/office/drawing/2014/chart" uri="{C3380CC4-5D6E-409C-BE32-E72D297353CC}">
                  <c16:uniqueId val="{0000001A-CFC2-40CD-BCEC-17F5CAC359B3}"/>
                </c:ext>
              </c:extLst>
            </c:dLbl>
            <c:dLbl>
              <c:idx val="3"/>
              <c:delete val="1"/>
              <c:extLst>
                <c:ext xmlns:c15="http://schemas.microsoft.com/office/drawing/2012/chart" uri="{CE6537A1-D6FC-4f65-9D91-7224C49458BB}"/>
                <c:ext xmlns:c16="http://schemas.microsoft.com/office/drawing/2014/chart" uri="{C3380CC4-5D6E-409C-BE32-E72D297353CC}">
                  <c16:uniqueId val="{0000001B-CFC2-40CD-BCEC-17F5CAC359B3}"/>
                </c:ext>
              </c:extLst>
            </c:dLbl>
            <c:dLbl>
              <c:idx val="4"/>
              <c:delete val="1"/>
              <c:extLst>
                <c:ext xmlns:c15="http://schemas.microsoft.com/office/drawing/2012/chart" uri="{CE6537A1-D6FC-4f65-9D91-7224C49458BB}"/>
                <c:ext xmlns:c16="http://schemas.microsoft.com/office/drawing/2014/chart" uri="{C3380CC4-5D6E-409C-BE32-E72D297353CC}">
                  <c16:uniqueId val="{0000001C-CFC2-40CD-BCEC-17F5CAC359B3}"/>
                </c:ext>
              </c:extLst>
            </c:dLbl>
            <c:dLbl>
              <c:idx val="5"/>
              <c:layout>
                <c:manualLayout>
                  <c:x val="-0.22401699117086002"/>
                  <c:y val="7.4976756168206246E-3"/>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D-CFC2-40CD-BCEC-17F5CAC359B3}"/>
                </c:ext>
              </c:extLst>
            </c:dLbl>
            <c:dLbl>
              <c:idx val="6"/>
              <c:delete val="1"/>
              <c:extLst>
                <c:ext xmlns:c15="http://schemas.microsoft.com/office/drawing/2012/chart" uri="{CE6537A1-D6FC-4f65-9D91-7224C49458BB}"/>
                <c:ext xmlns:c16="http://schemas.microsoft.com/office/drawing/2014/chart" uri="{C3380CC4-5D6E-409C-BE32-E72D297353CC}">
                  <c16:uniqueId val="{0000001E-CFC2-40CD-BCEC-17F5CAC359B3}"/>
                </c:ext>
              </c:extLst>
            </c:dLbl>
            <c:dLbl>
              <c:idx val="7"/>
              <c:layout>
                <c:manualLayout>
                  <c:x val="-0.21919775719101986"/>
                  <c:y val="6.4935081535709566E-3"/>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F-CFC2-40CD-BCEC-17F5CAC359B3}"/>
                </c:ext>
              </c:extLst>
            </c:dLbl>
            <c:dLbl>
              <c:idx val="8"/>
              <c:delete val="1"/>
              <c:extLst>
                <c:ext xmlns:c15="http://schemas.microsoft.com/office/drawing/2012/chart" uri="{CE6537A1-D6FC-4f65-9D91-7224C49458BB}"/>
                <c:ext xmlns:c16="http://schemas.microsoft.com/office/drawing/2014/chart" uri="{C3380CC4-5D6E-409C-BE32-E72D297353CC}">
                  <c16:uniqueId val="{00000020-CFC2-40CD-BCEC-17F5CAC359B3}"/>
                </c:ext>
              </c:extLst>
            </c:dLbl>
            <c:dLbl>
              <c:idx val="9"/>
              <c:delete val="1"/>
              <c:extLst>
                <c:ext xmlns:c15="http://schemas.microsoft.com/office/drawing/2012/chart" uri="{CE6537A1-D6FC-4f65-9D91-7224C49458BB}"/>
                <c:ext xmlns:c16="http://schemas.microsoft.com/office/drawing/2014/chart" uri="{C3380CC4-5D6E-409C-BE32-E72D297353CC}">
                  <c16:uniqueId val="{00000021-CFC2-40CD-BCEC-17F5CAC359B3}"/>
                </c:ext>
              </c:extLst>
            </c:dLbl>
            <c:dLbl>
              <c:idx val="10"/>
              <c:delete val="1"/>
              <c:extLst>
                <c:ext xmlns:c15="http://schemas.microsoft.com/office/drawing/2012/chart" uri="{CE6537A1-D6FC-4f65-9D91-7224C49458BB}"/>
                <c:ext xmlns:c16="http://schemas.microsoft.com/office/drawing/2014/chart" uri="{C3380CC4-5D6E-409C-BE32-E72D297353CC}">
                  <c16:uniqueId val="{00000022-CFC2-40CD-BCEC-17F5CAC359B3}"/>
                </c:ext>
              </c:extLst>
            </c:dLbl>
            <c:dLbl>
              <c:idx val="11"/>
              <c:layout>
                <c:manualLayout>
                  <c:x val="-0.20514261712468868"/>
                  <c:y val="5.7782376742017021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4-CFC2-40CD-BCEC-17F5CAC359B3}"/>
                </c:ext>
              </c:extLst>
            </c:dLbl>
            <c:dLbl>
              <c:idx val="12"/>
              <c:delete val="1"/>
              <c:extLst>
                <c:ext xmlns:c15="http://schemas.microsoft.com/office/drawing/2012/chart" uri="{CE6537A1-D6FC-4f65-9D91-7224C49458BB}"/>
                <c:ext xmlns:c16="http://schemas.microsoft.com/office/drawing/2014/chart" uri="{C3380CC4-5D6E-409C-BE32-E72D297353CC}">
                  <c16:uniqueId val="{00000016-CFC2-40CD-BCEC-17F5CAC359B3}"/>
                </c:ext>
              </c:extLst>
            </c:dLbl>
            <c:dLbl>
              <c:idx val="13"/>
              <c:delete val="1"/>
              <c:extLst>
                <c:ext xmlns:c15="http://schemas.microsoft.com/office/drawing/2012/chart" uri="{CE6537A1-D6FC-4f65-9D91-7224C49458BB}"/>
                <c:ext xmlns:c16="http://schemas.microsoft.com/office/drawing/2014/chart" uri="{C3380CC4-5D6E-409C-BE32-E72D297353CC}">
                  <c16:uniqueId val="{00000018-CFC2-40CD-BCEC-17F5CAC359B3}"/>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Calc!$AM$3:$AM$16</c:f>
              <c:numCache>
                <c:formatCode>0.0</c:formatCode>
                <c:ptCount val="14"/>
                <c:pt idx="0">
                  <c:v>0</c:v>
                </c:pt>
                <c:pt idx="1">
                  <c:v>124.694734508658</c:v>
                </c:pt>
                <c:pt idx="2">
                  <c:v>106.10530844683902</c:v>
                </c:pt>
                <c:pt idx="3">
                  <c:v>87.515882385020035</c:v>
                </c:pt>
                <c:pt idx="4">
                  <c:v>68.926456323201066</c:v>
                </c:pt>
                <c:pt idx="5">
                  <c:v>50.337030261382083</c:v>
                </c:pt>
                <c:pt idx="6">
                  <c:v>31.747604199563099</c:v>
                </c:pt>
                <c:pt idx="7">
                  <c:v>13.15817813774412</c:v>
                </c:pt>
                <c:pt idx="8">
                  <c:v>-5.4312479240748601</c:v>
                </c:pt>
                <c:pt idx="9">
                  <c:v>-24.02067398589384</c:v>
                </c:pt>
                <c:pt idx="10">
                  <c:v>-42.61010004771282</c:v>
                </c:pt>
                <c:pt idx="11">
                  <c:v>-61.199526109531803</c:v>
                </c:pt>
                <c:pt idx="12">
                  <c:v>0</c:v>
                </c:pt>
                <c:pt idx="13">
                  <c:v>0</c:v>
                </c:pt>
              </c:numCache>
            </c:numRef>
          </c:xVal>
          <c:yVal>
            <c:numRef>
              <c:f>Calc!$AH$3:$AH$16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23-CFC2-40CD-BCEC-17F5CAC359B3}"/>
            </c:ext>
          </c:extLst>
        </c:ser>
        <c:ser>
          <c:idx val="3"/>
          <c:order val="3"/>
          <c:tx>
            <c:v> Initial</c:v>
          </c:tx>
          <c:spPr>
            <a:ln w="19050" cap="rnd">
              <a:solidFill>
                <a:schemeClr val="tx1"/>
              </a:solidFill>
              <a:prstDash val="dash"/>
              <a:round/>
            </a:ln>
            <a:effectLst/>
          </c:spPr>
          <c:marker>
            <c:symbol val="none"/>
          </c:marker>
          <c:dPt>
            <c:idx val="1"/>
            <c:marker>
              <c:symbol val="none"/>
            </c:marker>
            <c:bubble3D val="0"/>
            <c:spPr>
              <a:ln w="25400" cap="rnd">
                <a:solidFill>
                  <a:schemeClr val="tx1"/>
                </a:solidFill>
                <a:prstDash val="solid"/>
                <a:round/>
              </a:ln>
              <a:effectLst/>
            </c:spPr>
            <c:extLst>
              <c:ext xmlns:c16="http://schemas.microsoft.com/office/drawing/2014/chart" uri="{C3380CC4-5D6E-409C-BE32-E72D297353CC}">
                <c16:uniqueId val="{00000025-CFC2-40CD-BCEC-17F5CAC359B3}"/>
              </c:ext>
            </c:extLst>
          </c:dPt>
          <c:dPt>
            <c:idx val="12"/>
            <c:marker>
              <c:symbol val="none"/>
            </c:marker>
            <c:bubble3D val="0"/>
            <c:spPr>
              <a:ln w="12700" cap="rnd">
                <a:solidFill>
                  <a:schemeClr val="tx1"/>
                </a:solidFill>
                <a:prstDash val="solid"/>
                <a:round/>
              </a:ln>
              <a:effectLst/>
            </c:spPr>
            <c:extLst>
              <c:ext xmlns:c16="http://schemas.microsoft.com/office/drawing/2014/chart" uri="{C3380CC4-5D6E-409C-BE32-E72D297353CC}">
                <c16:uniqueId val="{00000027-CFC2-40CD-BCEC-17F5CAC359B3}"/>
              </c:ext>
            </c:extLst>
          </c:dPt>
          <c:xVal>
            <c:numRef>
              <c:f>Calc!$AI$3:$AI$15</c:f>
              <c:numCache>
                <c:formatCode>0.0</c:formatCode>
                <c:ptCount val="13"/>
                <c:pt idx="0">
                  <c:v>0</c:v>
                </c:pt>
                <c:pt idx="1">
                  <c:v>124.694734508658</c:v>
                </c:pt>
                <c:pt idx="2">
                  <c:v>106.10530844683902</c:v>
                </c:pt>
                <c:pt idx="3">
                  <c:v>87.515882385020035</c:v>
                </c:pt>
                <c:pt idx="4">
                  <c:v>68.926456323201052</c:v>
                </c:pt>
                <c:pt idx="5">
                  <c:v>50.337030261382083</c:v>
                </c:pt>
                <c:pt idx="6">
                  <c:v>31.747604199563099</c:v>
                </c:pt>
                <c:pt idx="7">
                  <c:v>13.15817813774412</c:v>
                </c:pt>
                <c:pt idx="8">
                  <c:v>-5.4312479240748601</c:v>
                </c:pt>
                <c:pt idx="9">
                  <c:v>-24.020673985893843</c:v>
                </c:pt>
                <c:pt idx="10">
                  <c:v>-42.61010004771282</c:v>
                </c:pt>
                <c:pt idx="11">
                  <c:v>-61.199526109531803</c:v>
                </c:pt>
                <c:pt idx="12">
                  <c:v>0</c:v>
                </c:pt>
              </c:numCache>
            </c:numRef>
          </c:xVal>
          <c:yVal>
            <c:numRef>
              <c:f>Calc!$AH$3:$AH$15</c:f>
              <c:numCache>
                <c:formatCode>0.0</c:formatCode>
                <c:ptCount val="13"/>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numCache>
            </c:numRef>
          </c:yVal>
          <c:smooth val="0"/>
          <c:extLst>
            <c:ext xmlns:c16="http://schemas.microsoft.com/office/drawing/2014/chart" uri="{C3380CC4-5D6E-409C-BE32-E72D297353CC}">
              <c16:uniqueId val="{00000028-CFC2-40CD-BCEC-17F5CAC359B3}"/>
            </c:ext>
          </c:extLst>
        </c:ser>
        <c:dLbls>
          <c:showLegendKey val="0"/>
          <c:showVal val="0"/>
          <c:showCatName val="0"/>
          <c:showSerName val="0"/>
          <c:showPercent val="0"/>
          <c:showBubbleSize val="0"/>
        </c:dLbls>
        <c:axId val="457443488"/>
        <c:axId val="457448584"/>
      </c:scatterChart>
      <c:valAx>
        <c:axId val="457443488"/>
        <c:scaling>
          <c:orientation val="minMax"/>
        </c:scaling>
        <c:delete val="0"/>
        <c:axPos val="b"/>
        <c:majorGridlines>
          <c:spPr>
            <a:ln w="9525" cap="flat" cmpd="sng" algn="ctr">
              <a:solidFill>
                <a:schemeClr val="bg1"/>
              </a:solidFill>
              <a:round/>
            </a:ln>
            <a:effectLst/>
          </c:spPr>
        </c:majorGridlines>
        <c:numFmt formatCode="0.0" sourceLinked="1"/>
        <c:majorTickMark val="none"/>
        <c:minorTickMark val="none"/>
        <c:tickLblPos val="none"/>
        <c:spPr>
          <a:noFill/>
          <a:ln w="1270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448584"/>
        <c:crossesAt val="0"/>
        <c:crossBetween val="midCat"/>
        <c:majorUnit val="1"/>
        <c:minorUnit val="1"/>
      </c:valAx>
      <c:valAx>
        <c:axId val="457448584"/>
        <c:scaling>
          <c:orientation val="minMax"/>
          <c:max val="1.1000000000000001"/>
          <c:min val="-0.1"/>
        </c:scaling>
        <c:delete val="0"/>
        <c:axPos val="l"/>
        <c:majorGridlines>
          <c:spPr>
            <a:ln w="0" cap="flat" cmpd="sng" algn="ctr">
              <a:solidFill>
                <a:schemeClr val="bg1"/>
              </a:solidFill>
              <a:round/>
            </a:ln>
            <a:effectLst/>
          </c:spPr>
        </c:majorGridlines>
        <c:numFmt formatCode="General" sourceLinked="0"/>
        <c:majorTickMark val="none"/>
        <c:minorTickMark val="none"/>
        <c:tickLblPos val="none"/>
        <c:spPr>
          <a:noFill/>
          <a:ln w="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443488"/>
        <c:crosses val="autoZero"/>
        <c:crossBetween val="midCat"/>
      </c:valAx>
      <c:spPr>
        <a:noFill/>
        <a:ln>
          <a:noFill/>
        </a:ln>
        <a:effectLst/>
      </c:spPr>
    </c:plotArea>
    <c:plotVisOnly val="1"/>
    <c:dispBlanksAs val="gap"/>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0393729067061331E-2"/>
          <c:y val="4.5883677233454295E-2"/>
          <c:w val="0.90002848305820471"/>
          <c:h val="0.84964751501887825"/>
        </c:manualLayout>
      </c:layout>
      <c:scatterChart>
        <c:scatterStyle val="lineMarker"/>
        <c:varyColors val="0"/>
        <c:ser>
          <c:idx val="2"/>
          <c:order val="0"/>
          <c:tx>
            <c:v>Outline</c:v>
          </c:tx>
          <c:spPr>
            <a:ln w="19050" cap="rnd">
              <a:noFill/>
              <a:round/>
            </a:ln>
            <a:effectLst/>
          </c:spPr>
          <c:marker>
            <c:symbol val="none"/>
          </c:marker>
          <c:xVal>
            <c:numRef>
              <c:f>Calc!$CD$4:$CD$8</c:f>
              <c:numCache>
                <c:formatCode>0.0</c:formatCode>
                <c:ptCount val="5"/>
                <c:pt idx="0">
                  <c:v>-61.199526109531803</c:v>
                </c:pt>
                <c:pt idx="1">
                  <c:v>124.694734508658</c:v>
                </c:pt>
                <c:pt idx="2">
                  <c:v>124.694734508658</c:v>
                </c:pt>
                <c:pt idx="3">
                  <c:v>-61.199526109531803</c:v>
                </c:pt>
                <c:pt idx="4">
                  <c:v>-61.199526109531803</c:v>
                </c:pt>
              </c:numCache>
            </c:numRef>
          </c:xVal>
          <c:yVal>
            <c:numRef>
              <c:f>Calc!$CC$4:$CC$8</c:f>
              <c:numCache>
                <c:formatCode>0.0</c:formatCode>
                <c:ptCount val="5"/>
                <c:pt idx="0">
                  <c:v>0</c:v>
                </c:pt>
                <c:pt idx="1">
                  <c:v>0</c:v>
                </c:pt>
                <c:pt idx="2">
                  <c:v>1</c:v>
                </c:pt>
                <c:pt idx="3">
                  <c:v>1</c:v>
                </c:pt>
                <c:pt idx="4">
                  <c:v>0</c:v>
                </c:pt>
              </c:numCache>
            </c:numRef>
          </c:yVal>
          <c:smooth val="0"/>
          <c:extLst>
            <c:ext xmlns:c16="http://schemas.microsoft.com/office/drawing/2014/chart" uri="{C3380CC4-5D6E-409C-BE32-E72D297353CC}">
              <c16:uniqueId val="{00000000-A327-40B3-9E3F-4130A4FE8D2B}"/>
            </c:ext>
          </c:extLst>
        </c:ser>
        <c:ser>
          <c:idx val="0"/>
          <c:order val="1"/>
          <c:tx>
            <c:v>1st Order</c:v>
          </c:tx>
          <c:spPr>
            <a:ln w="25400" cap="rnd">
              <a:solidFill>
                <a:srgbClr val="0070C0"/>
              </a:solidFill>
              <a:round/>
            </a:ln>
            <a:effectLst/>
          </c:spPr>
          <c:marker>
            <c:symbol val="none"/>
          </c:marker>
          <c:dPt>
            <c:idx val="1"/>
            <c:marker>
              <c:symbol val="none"/>
            </c:marker>
            <c:bubble3D val="0"/>
            <c:extLst>
              <c:ext xmlns:c16="http://schemas.microsoft.com/office/drawing/2014/chart" uri="{C3380CC4-5D6E-409C-BE32-E72D297353CC}">
                <c16:uniqueId val="{00000001-A327-40B3-9E3F-4130A4FE8D2B}"/>
              </c:ext>
            </c:extLst>
          </c:dPt>
          <c:dPt>
            <c:idx val="12"/>
            <c:marker>
              <c:symbol val="none"/>
            </c:marker>
            <c:bubble3D val="0"/>
            <c:spPr>
              <a:ln w="25400" cap="rnd">
                <a:solidFill>
                  <a:schemeClr val="tx1"/>
                </a:solidFill>
                <a:round/>
              </a:ln>
              <a:effectLst/>
            </c:spPr>
            <c:extLst>
              <c:ext xmlns:c16="http://schemas.microsoft.com/office/drawing/2014/chart" uri="{C3380CC4-5D6E-409C-BE32-E72D297353CC}">
                <c16:uniqueId val="{00000003-A327-40B3-9E3F-4130A4FE8D2B}"/>
              </c:ext>
            </c:extLst>
          </c:dPt>
          <c:dPt>
            <c:idx val="13"/>
            <c:marker>
              <c:symbol val="none"/>
            </c:marker>
            <c:bubble3D val="0"/>
            <c:extLst>
              <c:ext xmlns:c16="http://schemas.microsoft.com/office/drawing/2014/chart" uri="{C3380CC4-5D6E-409C-BE32-E72D297353CC}">
                <c16:uniqueId val="{00000004-A327-40B3-9E3F-4130A4FE8D2B}"/>
              </c:ext>
            </c:extLst>
          </c:dPt>
          <c:dLbls>
            <c:dLbl>
              <c:idx val="0"/>
              <c:delete val="1"/>
              <c:extLst>
                <c:ext xmlns:c15="http://schemas.microsoft.com/office/drawing/2012/chart" uri="{CE6537A1-D6FC-4f65-9D91-7224C49458BB}"/>
                <c:ext xmlns:c16="http://schemas.microsoft.com/office/drawing/2014/chart" uri="{C3380CC4-5D6E-409C-BE32-E72D297353CC}">
                  <c16:uniqueId val="{00000005-A327-40B3-9E3F-4130A4FE8D2B}"/>
                </c:ext>
              </c:extLst>
            </c:dLbl>
            <c:dLbl>
              <c:idx val="1"/>
              <c:layout>
                <c:manualLayout>
                  <c:x val="-4.3629921259842521E-3"/>
                  <c:y val="-6.3041221205108411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0"/>
              <c:showPercent val="0"/>
              <c:showBubbleSize val="0"/>
              <c:extLst>
                <c:ext xmlns:c15="http://schemas.microsoft.com/office/drawing/2012/chart" uri="{CE6537A1-D6FC-4f65-9D91-7224C49458BB}">
                  <c15:layout>
                    <c:manualLayout>
                      <c:w val="0.16762480314960629"/>
                      <c:h val="7.4931338334086869E-2"/>
                    </c:manualLayout>
                  </c15:layout>
                </c:ext>
                <c:ext xmlns:c16="http://schemas.microsoft.com/office/drawing/2014/chart" uri="{C3380CC4-5D6E-409C-BE32-E72D297353CC}">
                  <c16:uniqueId val="{00000001-A327-40B3-9E3F-4130A4FE8D2B}"/>
                </c:ext>
              </c:extLst>
            </c:dLbl>
            <c:dLbl>
              <c:idx val="2"/>
              <c:delete val="1"/>
              <c:extLst>
                <c:ext xmlns:c15="http://schemas.microsoft.com/office/drawing/2012/chart" uri="{CE6537A1-D6FC-4f65-9D91-7224C49458BB}"/>
                <c:ext xmlns:c16="http://schemas.microsoft.com/office/drawing/2014/chart" uri="{C3380CC4-5D6E-409C-BE32-E72D297353CC}">
                  <c16:uniqueId val="{00000006-A327-40B3-9E3F-4130A4FE8D2B}"/>
                </c:ext>
              </c:extLst>
            </c:dLbl>
            <c:dLbl>
              <c:idx val="3"/>
              <c:delete val="1"/>
              <c:extLst>
                <c:ext xmlns:c15="http://schemas.microsoft.com/office/drawing/2012/chart" uri="{CE6537A1-D6FC-4f65-9D91-7224C49458BB}"/>
                <c:ext xmlns:c16="http://schemas.microsoft.com/office/drawing/2014/chart" uri="{C3380CC4-5D6E-409C-BE32-E72D297353CC}">
                  <c16:uniqueId val="{00000007-A327-40B3-9E3F-4130A4FE8D2B}"/>
                </c:ext>
              </c:extLst>
            </c:dLbl>
            <c:dLbl>
              <c:idx val="4"/>
              <c:delete val="1"/>
              <c:extLst>
                <c:ext xmlns:c15="http://schemas.microsoft.com/office/drawing/2012/chart" uri="{CE6537A1-D6FC-4f65-9D91-7224C49458BB}"/>
                <c:ext xmlns:c16="http://schemas.microsoft.com/office/drawing/2014/chart" uri="{C3380CC4-5D6E-409C-BE32-E72D297353CC}">
                  <c16:uniqueId val="{00000008-A327-40B3-9E3F-4130A4FE8D2B}"/>
                </c:ext>
              </c:extLst>
            </c:dLbl>
            <c:dLbl>
              <c:idx val="5"/>
              <c:layout>
                <c:manualLayout>
                  <c:x val="-9.1665607737743949E-17"/>
                  <c:y val="5.4894753358305402E-3"/>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327-40B3-9E3F-4130A4FE8D2B}"/>
                </c:ext>
              </c:extLst>
            </c:dLbl>
            <c:dLbl>
              <c:idx val="6"/>
              <c:delete val="1"/>
              <c:extLst>
                <c:ext xmlns:c15="http://schemas.microsoft.com/office/drawing/2012/chart" uri="{CE6537A1-D6FC-4f65-9D91-7224C49458BB}"/>
                <c:ext xmlns:c16="http://schemas.microsoft.com/office/drawing/2014/chart" uri="{C3380CC4-5D6E-409C-BE32-E72D297353CC}">
                  <c16:uniqueId val="{0000000A-A327-40B3-9E3F-4130A4FE8D2B}"/>
                </c:ext>
              </c:extLst>
            </c:dLbl>
            <c:dLbl>
              <c:idx val="7"/>
              <c:layout>
                <c:manualLayout>
                  <c:x val="-9.1665607737743949E-17"/>
                  <c:y val="0"/>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327-40B3-9E3F-4130A4FE8D2B}"/>
                </c:ext>
              </c:extLst>
            </c:dLbl>
            <c:dLbl>
              <c:idx val="8"/>
              <c:delete val="1"/>
              <c:extLst>
                <c:ext xmlns:c15="http://schemas.microsoft.com/office/drawing/2012/chart" uri="{CE6537A1-D6FC-4f65-9D91-7224C49458BB}"/>
                <c:ext xmlns:c16="http://schemas.microsoft.com/office/drawing/2014/chart" uri="{C3380CC4-5D6E-409C-BE32-E72D297353CC}">
                  <c16:uniqueId val="{0000000C-A327-40B3-9E3F-4130A4FE8D2B}"/>
                </c:ext>
              </c:extLst>
            </c:dLbl>
            <c:dLbl>
              <c:idx val="9"/>
              <c:delete val="1"/>
              <c:extLst>
                <c:ext xmlns:c15="http://schemas.microsoft.com/office/drawing/2012/chart" uri="{CE6537A1-D6FC-4f65-9D91-7224C49458BB}"/>
                <c:ext xmlns:c16="http://schemas.microsoft.com/office/drawing/2014/chart" uri="{C3380CC4-5D6E-409C-BE32-E72D297353CC}">
                  <c16:uniqueId val="{0000000D-A327-40B3-9E3F-4130A4FE8D2B}"/>
                </c:ext>
              </c:extLst>
            </c:dLbl>
            <c:dLbl>
              <c:idx val="10"/>
              <c:delete val="1"/>
              <c:extLst>
                <c:ext xmlns:c15="http://schemas.microsoft.com/office/drawing/2012/chart" uri="{CE6537A1-D6FC-4f65-9D91-7224C49458BB}"/>
                <c:ext xmlns:c16="http://schemas.microsoft.com/office/drawing/2014/chart" uri="{C3380CC4-5D6E-409C-BE32-E72D297353CC}">
                  <c16:uniqueId val="{0000000E-A327-40B3-9E3F-4130A4FE8D2B}"/>
                </c:ext>
              </c:extLst>
            </c:dLbl>
            <c:dLbl>
              <c:idx val="11"/>
              <c:layout>
                <c:manualLayout>
                  <c:x val="-3.5035626508410432E-2"/>
                  <c:y val="5.1772548408163373E-2"/>
                </c:manualLayout>
              </c:layout>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327-40B3-9E3F-4130A4FE8D2B}"/>
                </c:ext>
              </c:extLst>
            </c:dLbl>
            <c:dLbl>
              <c:idx val="12"/>
              <c:delete val="1"/>
              <c:extLst>
                <c:ext xmlns:c15="http://schemas.microsoft.com/office/drawing/2012/chart" uri="{CE6537A1-D6FC-4f65-9D91-7224C49458BB}"/>
                <c:ext xmlns:c16="http://schemas.microsoft.com/office/drawing/2014/chart" uri="{C3380CC4-5D6E-409C-BE32-E72D297353CC}">
                  <c16:uniqueId val="{00000003-A327-40B3-9E3F-4130A4FE8D2B}"/>
                </c:ext>
              </c:extLst>
            </c:dLbl>
            <c:dLbl>
              <c:idx val="13"/>
              <c:delete val="1"/>
              <c:extLst>
                <c:ext xmlns:c15="http://schemas.microsoft.com/office/drawing/2012/chart" uri="{CE6537A1-D6FC-4f65-9D91-7224C49458BB}"/>
                <c:ext xmlns:c16="http://schemas.microsoft.com/office/drawing/2014/chart" uri="{C3380CC4-5D6E-409C-BE32-E72D297353CC}">
                  <c16:uniqueId val="{00000004-A327-40B3-9E3F-4130A4FE8D2B}"/>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Calc!$BS$3:$BS$16</c:f>
              <c:numCache>
                <c:formatCode>0.0</c:formatCode>
                <c:ptCount val="14"/>
                <c:pt idx="0">
                  <c:v>0</c:v>
                </c:pt>
                <c:pt idx="1">
                  <c:v>4.9767018505885616</c:v>
                </c:pt>
                <c:pt idx="2">
                  <c:v>4.9767018505885616</c:v>
                </c:pt>
                <c:pt idx="3">
                  <c:v>4.9767018505885616</c:v>
                </c:pt>
                <c:pt idx="4">
                  <c:v>4.9767018505885607</c:v>
                </c:pt>
                <c:pt idx="5">
                  <c:v>4.9767018505885607</c:v>
                </c:pt>
                <c:pt idx="6">
                  <c:v>4.9767018505885599</c:v>
                </c:pt>
                <c:pt idx="7">
                  <c:v>4.9767018505885599</c:v>
                </c:pt>
                <c:pt idx="8">
                  <c:v>4.9767018505885599</c:v>
                </c:pt>
                <c:pt idx="9">
                  <c:v>4.9767018505885599</c:v>
                </c:pt>
                <c:pt idx="10">
                  <c:v>4.976701850588559</c:v>
                </c:pt>
                <c:pt idx="11">
                  <c:v>4.976701850588559</c:v>
                </c:pt>
                <c:pt idx="12">
                  <c:v>0</c:v>
                </c:pt>
                <c:pt idx="13">
                  <c:v>0</c:v>
                </c:pt>
              </c:numCache>
            </c:numRef>
          </c:xVal>
          <c:yVal>
            <c:numRef>
              <c:f>Calc!$BO$3:$BO$16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10-A327-40B3-9E3F-4130A4FE8D2B}"/>
            </c:ext>
          </c:extLst>
        </c:ser>
        <c:ser>
          <c:idx val="1"/>
          <c:order val="2"/>
          <c:tx>
            <c:v>-1st Order</c:v>
          </c:tx>
          <c:spPr>
            <a:ln w="25400" cap="rnd">
              <a:solidFill>
                <a:srgbClr val="00B050"/>
              </a:solidFill>
              <a:round/>
            </a:ln>
            <a:effectLst/>
          </c:spPr>
          <c:marker>
            <c:symbol val="none"/>
          </c:marker>
          <c:dPt>
            <c:idx val="1"/>
            <c:marker>
              <c:symbol val="none"/>
            </c:marker>
            <c:bubble3D val="0"/>
            <c:spPr>
              <a:ln w="25400" cap="rnd">
                <a:solidFill>
                  <a:schemeClr val="tx1"/>
                </a:solidFill>
                <a:round/>
              </a:ln>
              <a:effectLst/>
            </c:spPr>
            <c:extLst>
              <c:ext xmlns:c16="http://schemas.microsoft.com/office/drawing/2014/chart" uri="{C3380CC4-5D6E-409C-BE32-E72D297353CC}">
                <c16:uniqueId val="{00000012-A327-40B3-9E3F-4130A4FE8D2B}"/>
              </c:ext>
            </c:extLst>
          </c:dPt>
          <c:dPt>
            <c:idx val="11"/>
            <c:marker>
              <c:symbol val="none"/>
            </c:marker>
            <c:bubble3D val="0"/>
            <c:extLst>
              <c:ext xmlns:c16="http://schemas.microsoft.com/office/drawing/2014/chart" uri="{C3380CC4-5D6E-409C-BE32-E72D297353CC}">
                <c16:uniqueId val="{00000013-A327-40B3-9E3F-4130A4FE8D2B}"/>
              </c:ext>
            </c:extLst>
          </c:dPt>
          <c:dPt>
            <c:idx val="12"/>
            <c:marker>
              <c:symbol val="none"/>
            </c:marker>
            <c:bubble3D val="0"/>
            <c:extLst>
              <c:ext xmlns:c16="http://schemas.microsoft.com/office/drawing/2014/chart" uri="{C3380CC4-5D6E-409C-BE32-E72D297353CC}">
                <c16:uniqueId val="{00000014-A327-40B3-9E3F-4130A4FE8D2B}"/>
              </c:ext>
            </c:extLst>
          </c:dPt>
          <c:dPt>
            <c:idx val="13"/>
            <c:marker>
              <c:symbol val="none"/>
            </c:marker>
            <c:bubble3D val="0"/>
            <c:spPr>
              <a:ln w="12700" cap="rnd">
                <a:solidFill>
                  <a:schemeClr val="tx1"/>
                </a:solidFill>
                <a:round/>
              </a:ln>
              <a:effectLst/>
            </c:spPr>
            <c:extLst>
              <c:ext xmlns:c16="http://schemas.microsoft.com/office/drawing/2014/chart" uri="{C3380CC4-5D6E-409C-BE32-E72D297353CC}">
                <c16:uniqueId val="{00000016-A327-40B3-9E3F-4130A4FE8D2B}"/>
              </c:ext>
            </c:extLst>
          </c:dPt>
          <c:dLbls>
            <c:dLbl>
              <c:idx val="0"/>
              <c:delete val="1"/>
              <c:extLst>
                <c:ext xmlns:c15="http://schemas.microsoft.com/office/drawing/2012/chart" uri="{CE6537A1-D6FC-4f65-9D91-7224C49458BB}"/>
                <c:ext xmlns:c16="http://schemas.microsoft.com/office/drawing/2014/chart" uri="{C3380CC4-5D6E-409C-BE32-E72D297353CC}">
                  <c16:uniqueId val="{00000017-A327-40B3-9E3F-4130A4FE8D2B}"/>
                </c:ext>
              </c:extLst>
            </c:dLbl>
            <c:dLbl>
              <c:idx val="1"/>
              <c:layout>
                <c:manualLayout>
                  <c:x val="-0.15871437007874023"/>
                  <c:y val="-5.9080802483490506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15:layout>
                    <c:manualLayout>
                      <c:w val="0.18722480314960627"/>
                      <c:h val="9.6889239677409034E-2"/>
                    </c:manualLayout>
                  </c15:layout>
                </c:ext>
                <c:ext xmlns:c16="http://schemas.microsoft.com/office/drawing/2014/chart" uri="{C3380CC4-5D6E-409C-BE32-E72D297353CC}">
                  <c16:uniqueId val="{00000012-A327-40B3-9E3F-4130A4FE8D2B}"/>
                </c:ext>
              </c:extLst>
            </c:dLbl>
            <c:dLbl>
              <c:idx val="2"/>
              <c:delete val="1"/>
              <c:extLst>
                <c:ext xmlns:c15="http://schemas.microsoft.com/office/drawing/2012/chart" uri="{CE6537A1-D6FC-4f65-9D91-7224C49458BB}"/>
                <c:ext xmlns:c16="http://schemas.microsoft.com/office/drawing/2014/chart" uri="{C3380CC4-5D6E-409C-BE32-E72D297353CC}">
                  <c16:uniqueId val="{00000018-A327-40B3-9E3F-4130A4FE8D2B}"/>
                </c:ext>
              </c:extLst>
            </c:dLbl>
            <c:dLbl>
              <c:idx val="3"/>
              <c:delete val="1"/>
              <c:extLst>
                <c:ext xmlns:c15="http://schemas.microsoft.com/office/drawing/2012/chart" uri="{CE6537A1-D6FC-4f65-9D91-7224C49458BB}"/>
                <c:ext xmlns:c16="http://schemas.microsoft.com/office/drawing/2014/chart" uri="{C3380CC4-5D6E-409C-BE32-E72D297353CC}">
                  <c16:uniqueId val="{00000019-A327-40B3-9E3F-4130A4FE8D2B}"/>
                </c:ext>
              </c:extLst>
            </c:dLbl>
            <c:dLbl>
              <c:idx val="4"/>
              <c:delete val="1"/>
              <c:extLst>
                <c:ext xmlns:c15="http://schemas.microsoft.com/office/drawing/2012/chart" uri="{CE6537A1-D6FC-4f65-9D91-7224C49458BB}"/>
                <c:ext xmlns:c16="http://schemas.microsoft.com/office/drawing/2014/chart" uri="{C3380CC4-5D6E-409C-BE32-E72D297353CC}">
                  <c16:uniqueId val="{0000001A-A327-40B3-9E3F-4130A4FE8D2B}"/>
                </c:ext>
              </c:extLst>
            </c:dLbl>
            <c:dLbl>
              <c:idx val="5"/>
              <c:layout>
                <c:manualLayout>
                  <c:x val="-0.22779374766909907"/>
                  <c:y val="3.2467540767854783E-3"/>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B-A327-40B3-9E3F-4130A4FE8D2B}"/>
                </c:ext>
              </c:extLst>
            </c:dLbl>
            <c:dLbl>
              <c:idx val="6"/>
              <c:delete val="1"/>
              <c:extLst>
                <c:ext xmlns:c15="http://schemas.microsoft.com/office/drawing/2012/chart" uri="{CE6537A1-D6FC-4f65-9D91-7224C49458BB}"/>
                <c:ext xmlns:c16="http://schemas.microsoft.com/office/drawing/2014/chart" uri="{C3380CC4-5D6E-409C-BE32-E72D297353CC}">
                  <c16:uniqueId val="{0000001C-A327-40B3-9E3F-4130A4FE8D2B}"/>
                </c:ext>
              </c:extLst>
            </c:dLbl>
            <c:dLbl>
              <c:idx val="7"/>
              <c:layout>
                <c:manualLayout>
                  <c:x val="-0.22349575243005948"/>
                  <c:y val="0"/>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D-A327-40B3-9E3F-4130A4FE8D2B}"/>
                </c:ext>
              </c:extLst>
            </c:dLbl>
            <c:dLbl>
              <c:idx val="8"/>
              <c:delete val="1"/>
              <c:extLst>
                <c:ext xmlns:c15="http://schemas.microsoft.com/office/drawing/2012/chart" uri="{CE6537A1-D6FC-4f65-9D91-7224C49458BB}"/>
                <c:ext xmlns:c16="http://schemas.microsoft.com/office/drawing/2014/chart" uri="{C3380CC4-5D6E-409C-BE32-E72D297353CC}">
                  <c16:uniqueId val="{0000001E-A327-40B3-9E3F-4130A4FE8D2B}"/>
                </c:ext>
              </c:extLst>
            </c:dLbl>
            <c:dLbl>
              <c:idx val="9"/>
              <c:delete val="1"/>
              <c:extLst>
                <c:ext xmlns:c15="http://schemas.microsoft.com/office/drawing/2012/chart" uri="{CE6537A1-D6FC-4f65-9D91-7224C49458BB}"/>
                <c:ext xmlns:c16="http://schemas.microsoft.com/office/drawing/2014/chart" uri="{C3380CC4-5D6E-409C-BE32-E72D297353CC}">
                  <c16:uniqueId val="{0000001F-A327-40B3-9E3F-4130A4FE8D2B}"/>
                </c:ext>
              </c:extLst>
            </c:dLbl>
            <c:dLbl>
              <c:idx val="10"/>
              <c:delete val="1"/>
              <c:extLst>
                <c:ext xmlns:c15="http://schemas.microsoft.com/office/drawing/2012/chart" uri="{CE6537A1-D6FC-4f65-9D91-7224C49458BB}"/>
                <c:ext xmlns:c16="http://schemas.microsoft.com/office/drawing/2014/chart" uri="{C3380CC4-5D6E-409C-BE32-E72D297353CC}">
                  <c16:uniqueId val="{00000020-A327-40B3-9E3F-4130A4FE8D2B}"/>
                </c:ext>
              </c:extLst>
            </c:dLbl>
            <c:dLbl>
              <c:idx val="11"/>
              <c:layout>
                <c:manualLayout>
                  <c:x val="-0.16248569087056047"/>
                  <c:y val="5.2372156418570945E-2"/>
                </c:manualLayout>
              </c:layout>
              <c:showLegendKey val="0"/>
              <c:showVal val="0"/>
              <c:showCatName val="1"/>
              <c:showSerName val="0"/>
              <c:showPercent val="0"/>
              <c:showBubbleSize val="0"/>
              <c:extLst>
                <c:ext xmlns:c15="http://schemas.microsoft.com/office/drawing/2012/chart" uri="{CE6537A1-D6FC-4f65-9D91-7224C49458BB}">
                  <c15:layout>
                    <c:manualLayout>
                      <c:w val="0.18059999999999998"/>
                      <c:h val="9.733448838113104E-2"/>
                    </c:manualLayout>
                  </c15:layout>
                </c:ext>
                <c:ext xmlns:c16="http://schemas.microsoft.com/office/drawing/2014/chart" uri="{C3380CC4-5D6E-409C-BE32-E72D297353CC}">
                  <c16:uniqueId val="{00000013-A327-40B3-9E3F-4130A4FE8D2B}"/>
                </c:ext>
              </c:extLst>
            </c:dLbl>
            <c:dLbl>
              <c:idx val="12"/>
              <c:delete val="1"/>
              <c:extLst>
                <c:ext xmlns:c15="http://schemas.microsoft.com/office/drawing/2012/chart" uri="{CE6537A1-D6FC-4f65-9D91-7224C49458BB}"/>
                <c:ext xmlns:c16="http://schemas.microsoft.com/office/drawing/2014/chart" uri="{C3380CC4-5D6E-409C-BE32-E72D297353CC}">
                  <c16:uniqueId val="{00000014-A327-40B3-9E3F-4130A4FE8D2B}"/>
                </c:ext>
              </c:extLst>
            </c:dLbl>
            <c:dLbl>
              <c:idx val="13"/>
              <c:delete val="1"/>
              <c:extLst>
                <c:ext xmlns:c15="http://schemas.microsoft.com/office/drawing/2012/chart" uri="{CE6537A1-D6FC-4f65-9D91-7224C49458BB}"/>
                <c:ext xmlns:c16="http://schemas.microsoft.com/office/drawing/2014/chart" uri="{C3380CC4-5D6E-409C-BE32-E72D297353CC}">
                  <c16:uniqueId val="{00000016-A327-40B3-9E3F-4130A4FE8D2B}"/>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Calc!$BT$3:$BT$16</c:f>
              <c:numCache>
                <c:formatCode>0.0</c:formatCode>
                <c:ptCount val="14"/>
                <c:pt idx="0">
                  <c:v>0</c:v>
                </c:pt>
                <c:pt idx="1">
                  <c:v>-4.9767018505885563</c:v>
                </c:pt>
                <c:pt idx="2">
                  <c:v>-4.9767018505885563</c:v>
                </c:pt>
                <c:pt idx="3">
                  <c:v>-4.9767018505885563</c:v>
                </c:pt>
                <c:pt idx="4">
                  <c:v>-4.9767018505885572</c:v>
                </c:pt>
                <c:pt idx="5">
                  <c:v>-4.9767018505885572</c:v>
                </c:pt>
                <c:pt idx="6">
                  <c:v>-4.9767018505885581</c:v>
                </c:pt>
                <c:pt idx="7">
                  <c:v>-4.9767018505885581</c:v>
                </c:pt>
                <c:pt idx="8">
                  <c:v>-4.9767018505885581</c:v>
                </c:pt>
                <c:pt idx="9">
                  <c:v>-4.9767018505885581</c:v>
                </c:pt>
                <c:pt idx="10">
                  <c:v>-4.976701850588559</c:v>
                </c:pt>
                <c:pt idx="11">
                  <c:v>-4.976701850588559</c:v>
                </c:pt>
                <c:pt idx="12">
                  <c:v>0</c:v>
                </c:pt>
                <c:pt idx="13">
                  <c:v>0</c:v>
                </c:pt>
              </c:numCache>
            </c:numRef>
          </c:xVal>
          <c:yVal>
            <c:numRef>
              <c:f>Calc!$BO$3:$BO$16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21-A327-40B3-9E3F-4130A4FE8D2B}"/>
            </c:ext>
          </c:extLst>
        </c:ser>
        <c:ser>
          <c:idx val="3"/>
          <c:order val="3"/>
          <c:tx>
            <c:v>Initial</c:v>
          </c:tx>
          <c:spPr>
            <a:ln w="22225" cap="rnd">
              <a:solidFill>
                <a:schemeClr val="tx1"/>
              </a:solidFill>
              <a:prstDash val="dash"/>
              <a:round/>
            </a:ln>
            <a:effectLst/>
          </c:spPr>
          <c:marker>
            <c:symbol val="none"/>
          </c:marker>
          <c:dPt>
            <c:idx val="1"/>
            <c:marker>
              <c:symbol val="none"/>
            </c:marker>
            <c:bubble3D val="0"/>
            <c:spPr>
              <a:ln w="12700" cap="rnd">
                <a:solidFill>
                  <a:schemeClr val="tx1"/>
                </a:solidFill>
                <a:prstDash val="solid"/>
                <a:round/>
              </a:ln>
              <a:effectLst/>
            </c:spPr>
            <c:extLst>
              <c:ext xmlns:c16="http://schemas.microsoft.com/office/drawing/2014/chart" uri="{C3380CC4-5D6E-409C-BE32-E72D297353CC}">
                <c16:uniqueId val="{00000023-A327-40B3-9E3F-4130A4FE8D2B}"/>
              </c:ext>
            </c:extLst>
          </c:dPt>
          <c:dPt>
            <c:idx val="12"/>
            <c:marker>
              <c:symbol val="none"/>
            </c:marker>
            <c:bubble3D val="0"/>
            <c:spPr>
              <a:ln w="12700" cap="rnd">
                <a:solidFill>
                  <a:schemeClr val="tx1"/>
                </a:solidFill>
                <a:prstDash val="solid"/>
                <a:round/>
              </a:ln>
              <a:effectLst/>
            </c:spPr>
            <c:extLst>
              <c:ext xmlns:c16="http://schemas.microsoft.com/office/drawing/2014/chart" uri="{C3380CC4-5D6E-409C-BE32-E72D297353CC}">
                <c16:uniqueId val="{00000025-A327-40B3-9E3F-4130A4FE8D2B}"/>
              </c:ext>
            </c:extLst>
          </c:dPt>
          <c:xVal>
            <c:numRef>
              <c:f>Calc!$BP$3:$BP$15</c:f>
              <c:numCache>
                <c:formatCode>0.0</c:formatCode>
                <c:ptCount val="13"/>
                <c:pt idx="0">
                  <c:v>0</c:v>
                </c:pt>
                <c:pt idx="1">
                  <c:v>2.2957635792408801E-15</c:v>
                </c:pt>
                <c:pt idx="2">
                  <c:v>2.0661872213167921E-15</c:v>
                </c:pt>
                <c:pt idx="3">
                  <c:v>1.8366108633927041E-15</c:v>
                </c:pt>
                <c:pt idx="4">
                  <c:v>1.6070345054686161E-15</c:v>
                </c:pt>
                <c:pt idx="5">
                  <c:v>1.3774581475445281E-15</c:v>
                </c:pt>
                <c:pt idx="6">
                  <c:v>1.1478817896204401E-15</c:v>
                </c:pt>
                <c:pt idx="7">
                  <c:v>9.1830543169635206E-16</c:v>
                </c:pt>
                <c:pt idx="8">
                  <c:v>6.8872907377226404E-16</c:v>
                </c:pt>
                <c:pt idx="9">
                  <c:v>4.5915271584817603E-16</c:v>
                </c:pt>
                <c:pt idx="10">
                  <c:v>2.2957635792408801E-16</c:v>
                </c:pt>
                <c:pt idx="11">
                  <c:v>0</c:v>
                </c:pt>
                <c:pt idx="12">
                  <c:v>0</c:v>
                </c:pt>
              </c:numCache>
              <c:extLst xmlns:c15="http://schemas.microsoft.com/office/drawing/2012/chart"/>
            </c:numRef>
          </c:xVal>
          <c:yVal>
            <c:numRef>
              <c:f>Calc!$BO$3:$BO$15</c:f>
              <c:numCache>
                <c:formatCode>0.0</c:formatCode>
                <c:ptCount val="13"/>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numCache>
              <c:extLst xmlns:c15="http://schemas.microsoft.com/office/drawing/2012/chart"/>
            </c:numRef>
          </c:yVal>
          <c:smooth val="0"/>
          <c:extLst>
            <c:ext xmlns:c16="http://schemas.microsoft.com/office/drawing/2014/chart" uri="{C3380CC4-5D6E-409C-BE32-E72D297353CC}">
              <c16:uniqueId val="{00000026-A327-40B3-9E3F-4130A4FE8D2B}"/>
            </c:ext>
          </c:extLst>
        </c:ser>
        <c:dLbls>
          <c:showLegendKey val="0"/>
          <c:showVal val="0"/>
          <c:showCatName val="0"/>
          <c:showSerName val="0"/>
          <c:showPercent val="0"/>
          <c:showBubbleSize val="0"/>
        </c:dLbls>
        <c:axId val="457449368"/>
        <c:axId val="457447800"/>
        <c:extLst/>
      </c:scatterChart>
      <c:valAx>
        <c:axId val="457449368"/>
        <c:scaling>
          <c:orientation val="minMax"/>
        </c:scaling>
        <c:delete val="0"/>
        <c:axPos val="b"/>
        <c:majorGridlines>
          <c:spPr>
            <a:ln w="9525" cap="flat" cmpd="sng" algn="ctr">
              <a:solidFill>
                <a:schemeClr val="bg1"/>
              </a:solidFill>
              <a:round/>
            </a:ln>
            <a:effectLst/>
          </c:spPr>
        </c:majorGridlines>
        <c:numFmt formatCode="0.0" sourceLinked="1"/>
        <c:majorTickMark val="none"/>
        <c:minorTickMark val="none"/>
        <c:tickLblPos val="none"/>
        <c:spPr>
          <a:noFill/>
          <a:ln w="1270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447800"/>
        <c:crossesAt val="0"/>
        <c:crossBetween val="midCat"/>
        <c:majorUnit val="1"/>
        <c:minorUnit val="1"/>
      </c:valAx>
      <c:valAx>
        <c:axId val="457447800"/>
        <c:scaling>
          <c:orientation val="minMax"/>
          <c:max val="1.1000000000000001"/>
          <c:min val="-0.1"/>
        </c:scaling>
        <c:delete val="0"/>
        <c:axPos val="l"/>
        <c:majorGridlines>
          <c:spPr>
            <a:ln w="0" cap="flat" cmpd="sng" algn="ctr">
              <a:solidFill>
                <a:schemeClr val="bg1"/>
              </a:solidFill>
              <a:round/>
            </a:ln>
            <a:effectLst/>
          </c:spPr>
        </c:majorGridlines>
        <c:numFmt formatCode="General" sourceLinked="0"/>
        <c:majorTickMark val="none"/>
        <c:minorTickMark val="none"/>
        <c:tickLblPos val="none"/>
        <c:spPr>
          <a:noFill/>
          <a:ln w="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449368"/>
        <c:crosses val="autoZero"/>
        <c:crossBetween val="midCat"/>
      </c:valAx>
      <c:spPr>
        <a:noFill/>
        <a:ln>
          <a:noFill/>
        </a:ln>
        <a:effectLst/>
      </c:spPr>
    </c:plotArea>
    <c:plotVisOnly val="1"/>
    <c:dispBlanksAs val="gap"/>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2407253179890982E-2"/>
          <c:y val="5.5772406515571117E-2"/>
          <c:w val="0.88333131435493639"/>
          <c:h val="0.84775925562578425"/>
        </c:manualLayout>
      </c:layout>
      <c:scatterChart>
        <c:scatterStyle val="lineMarker"/>
        <c:varyColors val="0"/>
        <c:ser>
          <c:idx val="2"/>
          <c:order val="0"/>
          <c:tx>
            <c:v>Outline</c:v>
          </c:tx>
          <c:spPr>
            <a:ln w="19050" cap="rnd">
              <a:noFill/>
              <a:round/>
            </a:ln>
            <a:effectLst/>
          </c:spPr>
          <c:marker>
            <c:symbol val="none"/>
          </c:marker>
          <c:xVal>
            <c:numRef>
              <c:f>Calc!$AW$4:$AW$8</c:f>
              <c:numCache>
                <c:formatCode>0.0</c:formatCode>
                <c:ptCount val="5"/>
                <c:pt idx="0">
                  <c:v>-61.199526109531803</c:v>
                </c:pt>
                <c:pt idx="1">
                  <c:v>124.694734508658</c:v>
                </c:pt>
                <c:pt idx="2">
                  <c:v>124.694734508658</c:v>
                </c:pt>
                <c:pt idx="3">
                  <c:v>-61.199526109531803</c:v>
                </c:pt>
                <c:pt idx="4">
                  <c:v>-61.199526109531803</c:v>
                </c:pt>
              </c:numCache>
            </c:numRef>
          </c:xVal>
          <c:yVal>
            <c:numRef>
              <c:f>Calc!$AV$4:$AV$8</c:f>
              <c:numCache>
                <c:formatCode>0.0</c:formatCode>
                <c:ptCount val="5"/>
                <c:pt idx="0">
                  <c:v>0</c:v>
                </c:pt>
                <c:pt idx="1">
                  <c:v>0</c:v>
                </c:pt>
                <c:pt idx="2">
                  <c:v>1</c:v>
                </c:pt>
                <c:pt idx="3">
                  <c:v>1</c:v>
                </c:pt>
                <c:pt idx="4">
                  <c:v>0</c:v>
                </c:pt>
              </c:numCache>
            </c:numRef>
          </c:yVal>
          <c:smooth val="0"/>
          <c:extLst>
            <c:ext xmlns:c16="http://schemas.microsoft.com/office/drawing/2014/chart" uri="{C3380CC4-5D6E-409C-BE32-E72D297353CC}">
              <c16:uniqueId val="{00000000-31D8-47C2-92D5-D23FA86C89BD}"/>
            </c:ext>
          </c:extLst>
        </c:ser>
        <c:ser>
          <c:idx val="0"/>
          <c:order val="1"/>
          <c:tx>
            <c:v>M2</c:v>
          </c:tx>
          <c:spPr>
            <a:ln w="22225" cap="rnd">
              <a:solidFill>
                <a:srgbClr val="FF0000"/>
              </a:solidFill>
              <a:round/>
            </a:ln>
            <a:effectLst/>
          </c:spPr>
          <c:marker>
            <c:symbol val="none"/>
          </c:marker>
          <c:dPt>
            <c:idx val="1"/>
            <c:marker>
              <c:symbol val="none"/>
            </c:marker>
            <c:bubble3D val="0"/>
            <c:spPr>
              <a:ln w="19050" cap="rnd">
                <a:solidFill>
                  <a:schemeClr val="tx1"/>
                </a:solidFill>
                <a:round/>
              </a:ln>
              <a:effectLst/>
            </c:spPr>
            <c:extLst>
              <c:ext xmlns:c16="http://schemas.microsoft.com/office/drawing/2014/chart" uri="{C3380CC4-5D6E-409C-BE32-E72D297353CC}">
                <c16:uniqueId val="{00000002-31D8-47C2-92D5-D23FA86C89BD}"/>
              </c:ext>
            </c:extLst>
          </c:dPt>
          <c:dPt>
            <c:idx val="12"/>
            <c:marker>
              <c:symbol val="none"/>
            </c:marker>
            <c:bubble3D val="0"/>
            <c:spPr>
              <a:ln w="19050" cap="rnd">
                <a:solidFill>
                  <a:schemeClr val="tx1"/>
                </a:solidFill>
                <a:round/>
              </a:ln>
              <a:effectLst/>
            </c:spPr>
            <c:extLst>
              <c:ext xmlns:c16="http://schemas.microsoft.com/office/drawing/2014/chart" uri="{C3380CC4-5D6E-409C-BE32-E72D297353CC}">
                <c16:uniqueId val="{00000004-31D8-47C2-92D5-D23FA86C89BD}"/>
              </c:ext>
            </c:extLst>
          </c:dPt>
          <c:dPt>
            <c:idx val="13"/>
            <c:marker>
              <c:symbol val="none"/>
            </c:marker>
            <c:bubble3D val="0"/>
            <c:spPr>
              <a:ln w="19050" cap="rnd">
                <a:solidFill>
                  <a:schemeClr val="tx1"/>
                </a:solidFill>
                <a:round/>
              </a:ln>
              <a:effectLst/>
            </c:spPr>
            <c:extLst>
              <c:ext xmlns:c16="http://schemas.microsoft.com/office/drawing/2014/chart" uri="{C3380CC4-5D6E-409C-BE32-E72D297353CC}">
                <c16:uniqueId val="{00000006-31D8-47C2-92D5-D23FA86C89BD}"/>
              </c:ext>
            </c:extLst>
          </c:dPt>
          <c:dLbls>
            <c:dLbl>
              <c:idx val="0"/>
              <c:delete val="1"/>
              <c:extLst>
                <c:ext xmlns:c15="http://schemas.microsoft.com/office/drawing/2012/chart" uri="{CE6537A1-D6FC-4f65-9D91-7224C49458BB}"/>
                <c:ext xmlns:c16="http://schemas.microsoft.com/office/drawing/2014/chart" uri="{C3380CC4-5D6E-409C-BE32-E72D297353CC}">
                  <c16:uniqueId val="{00000007-31D8-47C2-92D5-D23FA86C89BD}"/>
                </c:ext>
              </c:extLst>
            </c:dLbl>
            <c:dLbl>
              <c:idx val="1"/>
              <c:layout>
                <c:manualLayout>
                  <c:x val="-7.9632058915590206E-2"/>
                  <c:y val="-6.0482950491310444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1D8-47C2-92D5-D23FA86C89BD}"/>
                </c:ext>
              </c:extLst>
            </c:dLbl>
            <c:dLbl>
              <c:idx val="2"/>
              <c:delete val="1"/>
              <c:extLst>
                <c:ext xmlns:c15="http://schemas.microsoft.com/office/drawing/2012/chart" uri="{CE6537A1-D6FC-4f65-9D91-7224C49458BB}"/>
                <c:ext xmlns:c16="http://schemas.microsoft.com/office/drawing/2014/chart" uri="{C3380CC4-5D6E-409C-BE32-E72D297353CC}">
                  <c16:uniqueId val="{00000008-31D8-47C2-92D5-D23FA86C89BD}"/>
                </c:ext>
              </c:extLst>
            </c:dLbl>
            <c:dLbl>
              <c:idx val="3"/>
              <c:delete val="1"/>
              <c:extLst>
                <c:ext xmlns:c15="http://schemas.microsoft.com/office/drawing/2012/chart" uri="{CE6537A1-D6FC-4f65-9D91-7224C49458BB}"/>
                <c:ext xmlns:c16="http://schemas.microsoft.com/office/drawing/2014/chart" uri="{C3380CC4-5D6E-409C-BE32-E72D297353CC}">
                  <c16:uniqueId val="{00000009-31D8-47C2-92D5-D23FA86C89BD}"/>
                </c:ext>
              </c:extLst>
            </c:dLbl>
            <c:dLbl>
              <c:idx val="4"/>
              <c:delete val="1"/>
              <c:extLst>
                <c:ext xmlns:c15="http://schemas.microsoft.com/office/drawing/2012/chart" uri="{CE6537A1-D6FC-4f65-9D91-7224C49458BB}"/>
                <c:ext xmlns:c16="http://schemas.microsoft.com/office/drawing/2014/chart" uri="{C3380CC4-5D6E-409C-BE32-E72D297353CC}">
                  <c16:uniqueId val="{0000000A-31D8-47C2-92D5-D23FA86C89BD}"/>
                </c:ext>
              </c:extLst>
            </c:dLbl>
            <c:dLbl>
              <c:idx val="5"/>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B-31D8-47C2-92D5-D23FA86C89BD}"/>
                </c:ext>
              </c:extLst>
            </c:dLbl>
            <c:dLbl>
              <c:idx val="6"/>
              <c:delete val="1"/>
              <c:extLst>
                <c:ext xmlns:c15="http://schemas.microsoft.com/office/drawing/2012/chart" uri="{CE6537A1-D6FC-4f65-9D91-7224C49458BB}"/>
                <c:ext xmlns:c16="http://schemas.microsoft.com/office/drawing/2014/chart" uri="{C3380CC4-5D6E-409C-BE32-E72D297353CC}">
                  <c16:uniqueId val="{0000000C-31D8-47C2-92D5-D23FA86C89BD}"/>
                </c:ext>
              </c:extLst>
            </c:dLbl>
            <c:dLbl>
              <c:idx val="7"/>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D-31D8-47C2-92D5-D23FA86C89BD}"/>
                </c:ext>
              </c:extLst>
            </c:dLbl>
            <c:dLbl>
              <c:idx val="8"/>
              <c:delete val="1"/>
              <c:extLst>
                <c:ext xmlns:c15="http://schemas.microsoft.com/office/drawing/2012/chart" uri="{CE6537A1-D6FC-4f65-9D91-7224C49458BB}"/>
                <c:ext xmlns:c16="http://schemas.microsoft.com/office/drawing/2014/chart" uri="{C3380CC4-5D6E-409C-BE32-E72D297353CC}">
                  <c16:uniqueId val="{0000000E-31D8-47C2-92D5-D23FA86C89BD}"/>
                </c:ext>
              </c:extLst>
            </c:dLbl>
            <c:dLbl>
              <c:idx val="9"/>
              <c:delete val="1"/>
              <c:extLst>
                <c:ext xmlns:c15="http://schemas.microsoft.com/office/drawing/2012/chart" uri="{CE6537A1-D6FC-4f65-9D91-7224C49458BB}"/>
                <c:ext xmlns:c16="http://schemas.microsoft.com/office/drawing/2014/chart" uri="{C3380CC4-5D6E-409C-BE32-E72D297353CC}">
                  <c16:uniqueId val="{0000000F-31D8-47C2-92D5-D23FA86C89BD}"/>
                </c:ext>
              </c:extLst>
            </c:dLbl>
            <c:dLbl>
              <c:idx val="10"/>
              <c:delete val="1"/>
              <c:extLst>
                <c:ext xmlns:c15="http://schemas.microsoft.com/office/drawing/2012/chart" uri="{CE6537A1-D6FC-4f65-9D91-7224C49458BB}"/>
                <c:ext xmlns:c16="http://schemas.microsoft.com/office/drawing/2014/chart" uri="{C3380CC4-5D6E-409C-BE32-E72D297353CC}">
                  <c16:uniqueId val="{00000010-31D8-47C2-92D5-D23FA86C89BD}"/>
                </c:ext>
              </c:extLst>
            </c:dLbl>
            <c:dLbl>
              <c:idx val="11"/>
              <c:layout>
                <c:manualLayout>
                  <c:x val="-9.1139742818724598E-2"/>
                  <c:y val="5.1344650566608925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1-31D8-47C2-92D5-D23FA86C89BD}"/>
                </c:ext>
              </c:extLst>
            </c:dLbl>
            <c:dLbl>
              <c:idx val="12"/>
              <c:delete val="1"/>
              <c:extLst>
                <c:ext xmlns:c15="http://schemas.microsoft.com/office/drawing/2012/chart" uri="{CE6537A1-D6FC-4f65-9D91-7224C49458BB}"/>
                <c:ext xmlns:c16="http://schemas.microsoft.com/office/drawing/2014/chart" uri="{C3380CC4-5D6E-409C-BE32-E72D297353CC}">
                  <c16:uniqueId val="{00000004-31D8-47C2-92D5-D23FA86C89BD}"/>
                </c:ext>
              </c:extLst>
            </c:dLbl>
            <c:dLbl>
              <c:idx val="13"/>
              <c:delete val="1"/>
              <c:extLst>
                <c:ext xmlns:c15="http://schemas.microsoft.com/office/drawing/2012/chart" uri="{CE6537A1-D6FC-4f65-9D91-7224C49458BB}"/>
                <c:ext xmlns:c16="http://schemas.microsoft.com/office/drawing/2014/chart" uri="{C3380CC4-5D6E-409C-BE32-E72D297353CC}">
                  <c16:uniqueId val="{00000006-31D8-47C2-92D5-D23FA86C89BD}"/>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Calc!$AO$3:$AO$16</c:f>
              <c:numCache>
                <c:formatCode>0.0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Calc!$AH$3:$AH$16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12-31D8-47C2-92D5-D23FA86C89BD}"/>
            </c:ext>
          </c:extLst>
        </c:ser>
        <c:ser>
          <c:idx val="1"/>
          <c:order val="2"/>
          <c:tx>
            <c:v>-M2</c:v>
          </c:tx>
          <c:spPr>
            <a:ln w="25400" cap="rnd">
              <a:solidFill>
                <a:srgbClr val="FF0000"/>
              </a:solidFill>
              <a:round/>
            </a:ln>
            <a:effectLst/>
          </c:spPr>
          <c:marker>
            <c:symbol val="none"/>
          </c:marker>
          <c:dPt>
            <c:idx val="1"/>
            <c:marker>
              <c:symbol val="none"/>
            </c:marker>
            <c:bubble3D val="0"/>
            <c:spPr>
              <a:ln w="12700" cap="rnd">
                <a:solidFill>
                  <a:schemeClr val="tx1"/>
                </a:solidFill>
                <a:round/>
              </a:ln>
              <a:effectLst/>
            </c:spPr>
            <c:extLst>
              <c:ext xmlns:c16="http://schemas.microsoft.com/office/drawing/2014/chart" uri="{C3380CC4-5D6E-409C-BE32-E72D297353CC}">
                <c16:uniqueId val="{00000014-31D8-47C2-92D5-D23FA86C89BD}"/>
              </c:ext>
            </c:extLst>
          </c:dPt>
          <c:dPt>
            <c:idx val="11"/>
            <c:marker>
              <c:symbol val="none"/>
            </c:marker>
            <c:bubble3D val="0"/>
            <c:spPr>
              <a:ln w="12700" cap="rnd">
                <a:solidFill>
                  <a:srgbClr val="FF0000"/>
                </a:solidFill>
                <a:round/>
              </a:ln>
              <a:effectLst/>
            </c:spPr>
            <c:extLst>
              <c:ext xmlns:c16="http://schemas.microsoft.com/office/drawing/2014/chart" uri="{C3380CC4-5D6E-409C-BE32-E72D297353CC}">
                <c16:uniqueId val="{00000016-31D8-47C2-92D5-D23FA86C89BD}"/>
              </c:ext>
            </c:extLst>
          </c:dPt>
          <c:dPt>
            <c:idx val="12"/>
            <c:marker>
              <c:symbol val="none"/>
            </c:marker>
            <c:bubble3D val="0"/>
            <c:spPr>
              <a:ln w="12700" cap="rnd">
                <a:solidFill>
                  <a:schemeClr val="tx1"/>
                </a:solidFill>
                <a:round/>
              </a:ln>
              <a:effectLst/>
            </c:spPr>
            <c:extLst>
              <c:ext xmlns:c16="http://schemas.microsoft.com/office/drawing/2014/chart" uri="{C3380CC4-5D6E-409C-BE32-E72D297353CC}">
                <c16:uniqueId val="{00000018-31D8-47C2-92D5-D23FA86C89BD}"/>
              </c:ext>
            </c:extLst>
          </c:dPt>
          <c:dPt>
            <c:idx val="13"/>
            <c:marker>
              <c:symbol val="none"/>
            </c:marker>
            <c:bubble3D val="0"/>
            <c:spPr>
              <a:ln w="12700" cap="rnd">
                <a:solidFill>
                  <a:schemeClr val="tx1"/>
                </a:solidFill>
                <a:round/>
              </a:ln>
              <a:effectLst/>
            </c:spPr>
            <c:extLst>
              <c:ext xmlns:c16="http://schemas.microsoft.com/office/drawing/2014/chart" uri="{C3380CC4-5D6E-409C-BE32-E72D297353CC}">
                <c16:uniqueId val="{0000001A-31D8-47C2-92D5-D23FA86C89BD}"/>
              </c:ext>
            </c:extLst>
          </c:dPt>
          <c:xVal>
            <c:numRef>
              <c:f>Calc!$AO$3:$AO$16</c:f>
              <c:numCache>
                <c:formatCode>0.0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Calc!$AH$3:$AH$16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1B-31D8-47C2-92D5-D23FA86C89BD}"/>
            </c:ext>
          </c:extLst>
        </c:ser>
        <c:dLbls>
          <c:showLegendKey val="0"/>
          <c:showVal val="0"/>
          <c:showCatName val="0"/>
          <c:showSerName val="0"/>
          <c:showPercent val="0"/>
          <c:showBubbleSize val="0"/>
        </c:dLbls>
        <c:axId val="457825968"/>
        <c:axId val="457824792"/>
      </c:scatterChart>
      <c:valAx>
        <c:axId val="457825968"/>
        <c:scaling>
          <c:orientation val="minMax"/>
        </c:scaling>
        <c:delete val="0"/>
        <c:axPos val="b"/>
        <c:majorGridlines>
          <c:spPr>
            <a:ln w="9525" cap="flat" cmpd="sng" algn="ctr">
              <a:solidFill>
                <a:schemeClr val="bg1"/>
              </a:solidFill>
              <a:round/>
            </a:ln>
            <a:effectLst/>
          </c:spPr>
        </c:majorGridlines>
        <c:numFmt formatCode="0.0" sourceLinked="1"/>
        <c:majorTickMark val="none"/>
        <c:minorTickMark val="none"/>
        <c:tickLblPos val="none"/>
        <c:spPr>
          <a:noFill/>
          <a:ln w="1270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824792"/>
        <c:crossesAt val="0"/>
        <c:crossBetween val="midCat"/>
        <c:majorUnit val="1"/>
        <c:minorUnit val="1"/>
      </c:valAx>
      <c:valAx>
        <c:axId val="457824792"/>
        <c:scaling>
          <c:orientation val="minMax"/>
          <c:max val="1.1000000000000001"/>
          <c:min val="-0.1"/>
        </c:scaling>
        <c:delete val="0"/>
        <c:axPos val="l"/>
        <c:majorGridlines>
          <c:spPr>
            <a:ln w="0" cap="flat" cmpd="sng" algn="ctr">
              <a:solidFill>
                <a:schemeClr val="bg1"/>
              </a:solidFill>
              <a:round/>
            </a:ln>
            <a:effectLst/>
          </c:spPr>
        </c:majorGridlines>
        <c:numFmt formatCode="General" sourceLinked="0"/>
        <c:majorTickMark val="none"/>
        <c:minorTickMark val="none"/>
        <c:tickLblPos val="none"/>
        <c:spPr>
          <a:noFill/>
          <a:ln w="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825968"/>
        <c:crosses val="autoZero"/>
        <c:crossBetween val="midCat"/>
      </c:valAx>
      <c:spPr>
        <a:noFill/>
        <a:ln>
          <a:noFill/>
        </a:ln>
        <a:effectLst/>
      </c:spPr>
    </c:plotArea>
    <c:plotVisOnly val="1"/>
    <c:dispBlanksAs val="gap"/>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600599220075385E-2"/>
          <c:y val="5.2315811782299167E-2"/>
          <c:w val="0.89299897160663999"/>
          <c:h val="0.86266063964226702"/>
        </c:manualLayout>
      </c:layout>
      <c:scatterChart>
        <c:scatterStyle val="lineMarker"/>
        <c:varyColors val="0"/>
        <c:ser>
          <c:idx val="2"/>
          <c:order val="0"/>
          <c:tx>
            <c:v>Outline</c:v>
          </c:tx>
          <c:spPr>
            <a:ln w="19050" cap="rnd">
              <a:noFill/>
              <a:round/>
            </a:ln>
            <a:effectLst/>
          </c:spPr>
          <c:marker>
            <c:symbol val="none"/>
          </c:marker>
          <c:xVal>
            <c:numRef>
              <c:f>Calc!$CD$4:$CD$8</c:f>
              <c:numCache>
                <c:formatCode>0.0</c:formatCode>
                <c:ptCount val="5"/>
                <c:pt idx="0">
                  <c:v>-61.199526109531803</c:v>
                </c:pt>
                <c:pt idx="1">
                  <c:v>124.694734508658</c:v>
                </c:pt>
                <c:pt idx="2">
                  <c:v>124.694734508658</c:v>
                </c:pt>
                <c:pt idx="3">
                  <c:v>-61.199526109531803</c:v>
                </c:pt>
                <c:pt idx="4">
                  <c:v>-61.199526109531803</c:v>
                </c:pt>
              </c:numCache>
            </c:numRef>
          </c:xVal>
          <c:yVal>
            <c:numRef>
              <c:f>Calc!$CC$4:$CC$8</c:f>
              <c:numCache>
                <c:formatCode>0.0</c:formatCode>
                <c:ptCount val="5"/>
                <c:pt idx="0">
                  <c:v>0</c:v>
                </c:pt>
                <c:pt idx="1">
                  <c:v>0</c:v>
                </c:pt>
                <c:pt idx="2">
                  <c:v>1</c:v>
                </c:pt>
                <c:pt idx="3">
                  <c:v>1</c:v>
                </c:pt>
                <c:pt idx="4">
                  <c:v>0</c:v>
                </c:pt>
              </c:numCache>
            </c:numRef>
          </c:yVal>
          <c:smooth val="0"/>
          <c:extLst>
            <c:ext xmlns:c16="http://schemas.microsoft.com/office/drawing/2014/chart" uri="{C3380CC4-5D6E-409C-BE32-E72D297353CC}">
              <c16:uniqueId val="{00000000-260F-4E01-8FC2-4A924CC75415}"/>
            </c:ext>
          </c:extLst>
        </c:ser>
        <c:ser>
          <c:idx val="0"/>
          <c:order val="1"/>
          <c:tx>
            <c:v>M2</c:v>
          </c:tx>
          <c:spPr>
            <a:ln w="22225" cap="rnd">
              <a:solidFill>
                <a:srgbClr val="FF0000"/>
              </a:solidFill>
              <a:round/>
            </a:ln>
            <a:effectLst/>
          </c:spPr>
          <c:marker>
            <c:symbol val="none"/>
          </c:marker>
          <c:dPt>
            <c:idx val="1"/>
            <c:marker>
              <c:symbol val="none"/>
            </c:marker>
            <c:bubble3D val="0"/>
            <c:spPr>
              <a:ln w="19050" cap="rnd">
                <a:solidFill>
                  <a:schemeClr val="tx1"/>
                </a:solidFill>
                <a:round/>
              </a:ln>
              <a:effectLst/>
            </c:spPr>
            <c:extLst>
              <c:ext xmlns:c16="http://schemas.microsoft.com/office/drawing/2014/chart" uri="{C3380CC4-5D6E-409C-BE32-E72D297353CC}">
                <c16:uniqueId val="{00000002-260F-4E01-8FC2-4A924CC75415}"/>
              </c:ext>
            </c:extLst>
          </c:dPt>
          <c:dPt>
            <c:idx val="12"/>
            <c:marker>
              <c:symbol val="none"/>
            </c:marker>
            <c:bubble3D val="0"/>
            <c:spPr>
              <a:ln w="19050" cap="rnd">
                <a:solidFill>
                  <a:schemeClr val="tx1"/>
                </a:solidFill>
                <a:round/>
              </a:ln>
              <a:effectLst/>
            </c:spPr>
            <c:extLst>
              <c:ext xmlns:c16="http://schemas.microsoft.com/office/drawing/2014/chart" uri="{C3380CC4-5D6E-409C-BE32-E72D297353CC}">
                <c16:uniqueId val="{00000004-260F-4E01-8FC2-4A924CC75415}"/>
              </c:ext>
            </c:extLst>
          </c:dPt>
          <c:dPt>
            <c:idx val="13"/>
            <c:marker>
              <c:symbol val="none"/>
            </c:marker>
            <c:bubble3D val="0"/>
            <c:spPr>
              <a:ln w="19050" cap="rnd">
                <a:solidFill>
                  <a:schemeClr val="tx1"/>
                </a:solidFill>
                <a:round/>
              </a:ln>
              <a:effectLst/>
            </c:spPr>
            <c:extLst>
              <c:ext xmlns:c16="http://schemas.microsoft.com/office/drawing/2014/chart" uri="{C3380CC4-5D6E-409C-BE32-E72D297353CC}">
                <c16:uniqueId val="{00000006-260F-4E01-8FC2-4A924CC75415}"/>
              </c:ext>
            </c:extLst>
          </c:dPt>
          <c:xVal>
            <c:numRef>
              <c:f>Calc!$BV$3:$BV$16</c:f>
              <c:numCache>
                <c:formatCode>0.0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Calc!$BO$3:$BO$16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07-260F-4E01-8FC2-4A924CC75415}"/>
            </c:ext>
          </c:extLst>
        </c:ser>
        <c:ser>
          <c:idx val="1"/>
          <c:order val="2"/>
          <c:tx>
            <c:v>-M2</c:v>
          </c:tx>
          <c:spPr>
            <a:ln w="25400" cap="rnd">
              <a:solidFill>
                <a:srgbClr val="FF0000"/>
              </a:solidFill>
              <a:round/>
            </a:ln>
            <a:effectLst/>
          </c:spPr>
          <c:marker>
            <c:symbol val="none"/>
          </c:marker>
          <c:dPt>
            <c:idx val="1"/>
            <c:marker>
              <c:symbol val="none"/>
            </c:marker>
            <c:bubble3D val="0"/>
            <c:spPr>
              <a:ln w="12700" cap="rnd">
                <a:solidFill>
                  <a:schemeClr val="tx1"/>
                </a:solidFill>
                <a:round/>
              </a:ln>
              <a:effectLst/>
            </c:spPr>
            <c:extLst>
              <c:ext xmlns:c16="http://schemas.microsoft.com/office/drawing/2014/chart" uri="{C3380CC4-5D6E-409C-BE32-E72D297353CC}">
                <c16:uniqueId val="{00000009-260F-4E01-8FC2-4A924CC75415}"/>
              </c:ext>
            </c:extLst>
          </c:dPt>
          <c:dPt>
            <c:idx val="12"/>
            <c:marker>
              <c:symbol val="none"/>
            </c:marker>
            <c:bubble3D val="0"/>
            <c:spPr>
              <a:ln w="12700" cap="rnd">
                <a:solidFill>
                  <a:schemeClr val="tx1"/>
                </a:solidFill>
                <a:round/>
              </a:ln>
              <a:effectLst/>
            </c:spPr>
            <c:extLst>
              <c:ext xmlns:c16="http://schemas.microsoft.com/office/drawing/2014/chart" uri="{C3380CC4-5D6E-409C-BE32-E72D297353CC}">
                <c16:uniqueId val="{0000000B-260F-4E01-8FC2-4A924CC75415}"/>
              </c:ext>
            </c:extLst>
          </c:dPt>
          <c:dPt>
            <c:idx val="13"/>
            <c:marker>
              <c:symbol val="none"/>
            </c:marker>
            <c:bubble3D val="0"/>
            <c:spPr>
              <a:ln w="19050" cap="rnd">
                <a:solidFill>
                  <a:schemeClr val="tx1"/>
                </a:solidFill>
                <a:round/>
              </a:ln>
              <a:effectLst/>
            </c:spPr>
            <c:extLst>
              <c:ext xmlns:c16="http://schemas.microsoft.com/office/drawing/2014/chart" uri="{C3380CC4-5D6E-409C-BE32-E72D297353CC}">
                <c16:uniqueId val="{0000000D-260F-4E01-8FC2-4A924CC75415}"/>
              </c:ext>
            </c:extLst>
          </c:dPt>
          <c:dLbls>
            <c:dLbl>
              <c:idx val="1"/>
              <c:layout>
                <c:manualLayout>
                  <c:x val="-7.3770464639528771E-2"/>
                  <c:y val="-6.2599576027166454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260F-4E01-8FC2-4A924CC75415}"/>
                </c:ext>
              </c:extLst>
            </c:dLbl>
            <c:dLbl>
              <c:idx val="5"/>
              <c:layout>
                <c:manualLayout>
                  <c:x val="2.1383967013005413E-2"/>
                  <c:y val="-4.984541896836766E-17"/>
                </c:manualLayout>
              </c:layout>
              <c:showLegendKey val="0"/>
              <c:showVal val="0"/>
              <c:showCatName val="1"/>
              <c:showSerName val="0"/>
              <c:showPercent val="0"/>
              <c:showBubbleSize val="0"/>
              <c:extLst>
                <c:ext xmlns:c15="http://schemas.microsoft.com/office/drawing/2012/chart" uri="{CE6537A1-D6FC-4f65-9D91-7224C49458BB}">
                  <c15:layout>
                    <c:manualLayout>
                      <c:w val="0.23797960870149629"/>
                      <c:h val="0.22950617283950617"/>
                    </c:manualLayout>
                  </c15:layout>
                </c:ext>
                <c:ext xmlns:c16="http://schemas.microsoft.com/office/drawing/2014/chart" uri="{C3380CC4-5D6E-409C-BE32-E72D297353CC}">
                  <c16:uniqueId val="{0000000E-260F-4E01-8FC2-4A924CC75415}"/>
                </c:ext>
              </c:extLst>
            </c:dLbl>
            <c:dLbl>
              <c:idx val="7"/>
              <c:layout>
                <c:manualLayout>
                  <c:x val="2.1902935219301853E-2"/>
                  <c:y val="1.1903095104445278E-2"/>
                </c:manualLayout>
              </c:layout>
              <c:showLegendKey val="0"/>
              <c:showVal val="0"/>
              <c:showCatName val="1"/>
              <c:showSerName val="0"/>
              <c:showPercent val="0"/>
              <c:showBubbleSize val="0"/>
              <c:extLst>
                <c:ext xmlns:c15="http://schemas.microsoft.com/office/drawing/2012/chart" uri="{CE6537A1-D6FC-4f65-9D91-7224C49458BB}">
                  <c15:layout>
                    <c:manualLayout>
                      <c:w val="0.24808061076862262"/>
                      <c:h val="0.22950617283950617"/>
                    </c:manualLayout>
                  </c15:layout>
                </c:ext>
                <c:ext xmlns:c16="http://schemas.microsoft.com/office/drawing/2014/chart" uri="{C3380CC4-5D6E-409C-BE32-E72D297353CC}">
                  <c16:uniqueId val="{0000000F-260F-4E01-8FC2-4A924CC75415}"/>
                </c:ext>
              </c:extLst>
            </c:dLbl>
            <c:dLbl>
              <c:idx val="11"/>
              <c:layout>
                <c:manualLayout>
                  <c:x val="-6.3231861777252485E-2"/>
                  <c:y val="5.4956901214779155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0-260F-4E01-8FC2-4A924CC75415}"/>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Calc!$BV$3:$BV$16</c:f>
              <c:numCache>
                <c:formatCode>0.0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Calc!$BO$3:$BO$16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11-260F-4E01-8FC2-4A924CC75415}"/>
            </c:ext>
          </c:extLst>
        </c:ser>
        <c:dLbls>
          <c:showLegendKey val="0"/>
          <c:showVal val="0"/>
          <c:showCatName val="0"/>
          <c:showSerName val="0"/>
          <c:showPercent val="0"/>
          <c:showBubbleSize val="0"/>
        </c:dLbls>
        <c:axId val="457827536"/>
        <c:axId val="457822832"/>
      </c:scatterChart>
      <c:valAx>
        <c:axId val="457827536"/>
        <c:scaling>
          <c:orientation val="minMax"/>
        </c:scaling>
        <c:delete val="0"/>
        <c:axPos val="b"/>
        <c:majorGridlines>
          <c:spPr>
            <a:ln w="9525" cap="flat" cmpd="sng" algn="ctr">
              <a:solidFill>
                <a:schemeClr val="bg1"/>
              </a:solidFill>
              <a:round/>
            </a:ln>
            <a:effectLst/>
          </c:spPr>
        </c:majorGridlines>
        <c:numFmt formatCode="0.0" sourceLinked="1"/>
        <c:majorTickMark val="none"/>
        <c:minorTickMark val="none"/>
        <c:tickLblPos val="none"/>
        <c:spPr>
          <a:noFill/>
          <a:ln w="1270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822832"/>
        <c:crossesAt val="0"/>
        <c:crossBetween val="midCat"/>
        <c:majorUnit val="1"/>
        <c:minorUnit val="1"/>
      </c:valAx>
      <c:valAx>
        <c:axId val="457822832"/>
        <c:scaling>
          <c:orientation val="minMax"/>
          <c:max val="1.1000000000000001"/>
          <c:min val="-0.1"/>
        </c:scaling>
        <c:delete val="0"/>
        <c:axPos val="l"/>
        <c:majorGridlines>
          <c:spPr>
            <a:ln w="0" cap="flat" cmpd="sng" algn="ctr">
              <a:solidFill>
                <a:schemeClr val="bg1"/>
              </a:solidFill>
              <a:round/>
            </a:ln>
            <a:effectLst/>
          </c:spPr>
        </c:majorGridlines>
        <c:numFmt formatCode="General" sourceLinked="0"/>
        <c:majorTickMark val="none"/>
        <c:minorTickMark val="none"/>
        <c:tickLblPos val="none"/>
        <c:spPr>
          <a:noFill/>
          <a:ln w="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827536"/>
        <c:crosses val="autoZero"/>
        <c:crossBetween val="midCat"/>
      </c:valAx>
      <c:spPr>
        <a:noFill/>
        <a:ln>
          <a:noFill/>
        </a:ln>
        <a:effectLst/>
      </c:spPr>
    </c:plotArea>
    <c:plotVisOnly val="1"/>
    <c:dispBlanksAs val="gap"/>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4873596506458062E-2"/>
          <c:y val="4.0702162705086996E-2"/>
          <c:w val="0.89457799426063223"/>
          <c:h val="0.85504779696348698"/>
        </c:manualLayout>
      </c:layout>
      <c:scatterChart>
        <c:scatterStyle val="lineMarker"/>
        <c:varyColors val="0"/>
        <c:ser>
          <c:idx val="4"/>
          <c:order val="0"/>
          <c:tx>
            <c:v>Outline</c:v>
          </c:tx>
          <c:spPr>
            <a:ln w="19050" cap="rnd">
              <a:noFill/>
              <a:round/>
            </a:ln>
            <a:effectLst/>
          </c:spPr>
          <c:marker>
            <c:symbol val="none"/>
          </c:marker>
          <c:xVal>
            <c:numRef>
              <c:f>Calc!$CD$4:$CD$8</c:f>
              <c:numCache>
                <c:formatCode>0.0</c:formatCode>
                <c:ptCount val="5"/>
                <c:pt idx="0">
                  <c:v>-61.199526109531803</c:v>
                </c:pt>
                <c:pt idx="1">
                  <c:v>124.694734508658</c:v>
                </c:pt>
                <c:pt idx="2">
                  <c:v>124.694734508658</c:v>
                </c:pt>
                <c:pt idx="3">
                  <c:v>-61.199526109531803</c:v>
                </c:pt>
                <c:pt idx="4">
                  <c:v>-61.199526109531803</c:v>
                </c:pt>
              </c:numCache>
            </c:numRef>
          </c:xVal>
          <c:yVal>
            <c:numRef>
              <c:f>Calc!$CC$4:$CC$8</c:f>
              <c:numCache>
                <c:formatCode>0.0</c:formatCode>
                <c:ptCount val="5"/>
                <c:pt idx="0">
                  <c:v>0</c:v>
                </c:pt>
                <c:pt idx="1">
                  <c:v>0</c:v>
                </c:pt>
                <c:pt idx="2">
                  <c:v>1</c:v>
                </c:pt>
                <c:pt idx="3">
                  <c:v>1</c:v>
                </c:pt>
                <c:pt idx="4">
                  <c:v>0</c:v>
                </c:pt>
              </c:numCache>
            </c:numRef>
          </c:yVal>
          <c:smooth val="0"/>
          <c:extLst>
            <c:ext xmlns:c16="http://schemas.microsoft.com/office/drawing/2014/chart" uri="{C3380CC4-5D6E-409C-BE32-E72D297353CC}">
              <c16:uniqueId val="{00000000-71D4-4D77-BF05-DC5E9C523883}"/>
            </c:ext>
          </c:extLst>
        </c:ser>
        <c:ser>
          <c:idx val="0"/>
          <c:order val="1"/>
          <c:tx>
            <c:v>Min My</c:v>
          </c:tx>
          <c:spPr>
            <a:ln w="19050" cap="rnd">
              <a:solidFill>
                <a:srgbClr val="7030A0"/>
              </a:solidFill>
              <a:prstDash val="dash"/>
              <a:round/>
            </a:ln>
            <a:effectLst/>
          </c:spPr>
          <c:marker>
            <c:symbol val="none"/>
          </c:marker>
          <c:dPt>
            <c:idx val="1"/>
            <c:marker>
              <c:symbol val="none"/>
            </c:marker>
            <c:bubble3D val="0"/>
            <c:spPr>
              <a:ln w="19050" cap="rnd">
                <a:solidFill>
                  <a:schemeClr val="tx1"/>
                </a:solidFill>
                <a:prstDash val="solid"/>
                <a:round/>
              </a:ln>
              <a:effectLst/>
            </c:spPr>
            <c:extLst>
              <c:ext xmlns:c16="http://schemas.microsoft.com/office/drawing/2014/chart" uri="{C3380CC4-5D6E-409C-BE32-E72D297353CC}">
                <c16:uniqueId val="{00000002-71D4-4D77-BF05-DC5E9C523883}"/>
              </c:ext>
            </c:extLst>
          </c:dPt>
          <c:dPt>
            <c:idx val="12"/>
            <c:marker>
              <c:symbol val="none"/>
            </c:marker>
            <c:bubble3D val="0"/>
            <c:spPr>
              <a:ln w="19050" cap="rnd">
                <a:solidFill>
                  <a:schemeClr val="tx1"/>
                </a:solidFill>
                <a:prstDash val="solid"/>
                <a:round/>
              </a:ln>
              <a:effectLst/>
            </c:spPr>
            <c:extLst>
              <c:ext xmlns:c16="http://schemas.microsoft.com/office/drawing/2014/chart" uri="{C3380CC4-5D6E-409C-BE32-E72D297353CC}">
                <c16:uniqueId val="{00000004-71D4-4D77-BF05-DC5E9C523883}"/>
              </c:ext>
            </c:extLst>
          </c:dPt>
          <c:dLbls>
            <c:dLbl>
              <c:idx val="6"/>
              <c:layout>
                <c:manualLayout>
                  <c:x val="-5.7438609368744162E-2"/>
                  <c:y val="3.2399064453050115E-3"/>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1D4-4D77-BF05-DC5E9C523883}"/>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Calc!$BY$3:$BY$16</c:f>
              <c:numCache>
                <c:formatCode>0.0</c:formatCode>
                <c:ptCount val="14"/>
                <c:pt idx="0">
                  <c:v>0</c:v>
                </c:pt>
                <c:pt idx="1">
                  <c:v>15.42623314118196</c:v>
                </c:pt>
                <c:pt idx="2">
                  <c:v>15.42623314118196</c:v>
                </c:pt>
                <c:pt idx="3">
                  <c:v>15.42623314118196</c:v>
                </c:pt>
                <c:pt idx="4">
                  <c:v>15.42623314118196</c:v>
                </c:pt>
                <c:pt idx="5">
                  <c:v>15.42623314118196</c:v>
                </c:pt>
                <c:pt idx="6">
                  <c:v>15.42623314118196</c:v>
                </c:pt>
                <c:pt idx="7">
                  <c:v>15.42623314118196</c:v>
                </c:pt>
                <c:pt idx="8">
                  <c:v>15.42623314118196</c:v>
                </c:pt>
                <c:pt idx="9">
                  <c:v>15.42623314118196</c:v>
                </c:pt>
                <c:pt idx="10">
                  <c:v>15.42623314118196</c:v>
                </c:pt>
                <c:pt idx="11">
                  <c:v>15.42623314118196</c:v>
                </c:pt>
                <c:pt idx="12">
                  <c:v>0</c:v>
                </c:pt>
                <c:pt idx="13">
                  <c:v>0</c:v>
                </c:pt>
              </c:numCache>
            </c:numRef>
          </c:xVal>
          <c:yVal>
            <c:numRef>
              <c:f>Calc!$BO$3:$BO$16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06-71D4-4D77-BF05-DC5E9C523883}"/>
            </c:ext>
          </c:extLst>
        </c:ser>
        <c:ser>
          <c:idx val="1"/>
          <c:order val="2"/>
          <c:tx>
            <c:v>Min -My</c:v>
          </c:tx>
          <c:spPr>
            <a:ln w="19050" cap="rnd">
              <a:solidFill>
                <a:srgbClr val="7030A0"/>
              </a:solidFill>
              <a:prstDash val="dash"/>
              <a:round/>
            </a:ln>
            <a:effectLst/>
          </c:spPr>
          <c:marker>
            <c:symbol val="none"/>
          </c:marker>
          <c:dPt>
            <c:idx val="1"/>
            <c:marker>
              <c:symbol val="none"/>
            </c:marker>
            <c:bubble3D val="0"/>
            <c:spPr>
              <a:ln w="19050" cap="rnd">
                <a:solidFill>
                  <a:schemeClr val="tx1"/>
                </a:solidFill>
                <a:prstDash val="solid"/>
                <a:round/>
              </a:ln>
              <a:effectLst/>
            </c:spPr>
            <c:extLst>
              <c:ext xmlns:c16="http://schemas.microsoft.com/office/drawing/2014/chart" uri="{C3380CC4-5D6E-409C-BE32-E72D297353CC}">
                <c16:uniqueId val="{00000008-71D4-4D77-BF05-DC5E9C523883}"/>
              </c:ext>
            </c:extLst>
          </c:dPt>
          <c:dPt>
            <c:idx val="12"/>
            <c:marker>
              <c:symbol val="none"/>
            </c:marker>
            <c:bubble3D val="0"/>
            <c:spPr>
              <a:ln w="19050" cap="rnd">
                <a:solidFill>
                  <a:schemeClr val="tx1"/>
                </a:solidFill>
                <a:prstDash val="solid"/>
                <a:round/>
              </a:ln>
              <a:effectLst/>
            </c:spPr>
            <c:extLst>
              <c:ext xmlns:c16="http://schemas.microsoft.com/office/drawing/2014/chart" uri="{C3380CC4-5D6E-409C-BE32-E72D297353CC}">
                <c16:uniqueId val="{0000000A-71D4-4D77-BF05-DC5E9C523883}"/>
              </c:ext>
            </c:extLst>
          </c:dPt>
          <c:dLbls>
            <c:dLbl>
              <c:idx val="6"/>
              <c:layout>
                <c:manualLayout>
                  <c:x val="-0.11588115574536241"/>
                  <c:y val="3.2399064453050115E-3"/>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1D4-4D77-BF05-DC5E9C523883}"/>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Calc!$BZ$3:$BZ$16</c:f>
              <c:numCache>
                <c:formatCode>0.0</c:formatCode>
                <c:ptCount val="14"/>
                <c:pt idx="0">
                  <c:v>0</c:v>
                </c:pt>
                <c:pt idx="1">
                  <c:v>-15.42623314118196</c:v>
                </c:pt>
                <c:pt idx="2">
                  <c:v>-15.42623314118196</c:v>
                </c:pt>
                <c:pt idx="3">
                  <c:v>-15.42623314118196</c:v>
                </c:pt>
                <c:pt idx="4">
                  <c:v>-15.42623314118196</c:v>
                </c:pt>
                <c:pt idx="5">
                  <c:v>-15.42623314118196</c:v>
                </c:pt>
                <c:pt idx="6">
                  <c:v>-15.42623314118196</c:v>
                </c:pt>
                <c:pt idx="7">
                  <c:v>-15.42623314118196</c:v>
                </c:pt>
                <c:pt idx="8">
                  <c:v>-15.42623314118196</c:v>
                </c:pt>
                <c:pt idx="9">
                  <c:v>-15.42623314118196</c:v>
                </c:pt>
                <c:pt idx="10">
                  <c:v>-15.42623314118196</c:v>
                </c:pt>
                <c:pt idx="11">
                  <c:v>-15.42623314118196</c:v>
                </c:pt>
                <c:pt idx="12">
                  <c:v>0</c:v>
                </c:pt>
                <c:pt idx="13">
                  <c:v>0</c:v>
                </c:pt>
              </c:numCache>
            </c:numRef>
          </c:xVal>
          <c:yVal>
            <c:numRef>
              <c:f>Calc!$BO$3:$BO$16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0C-71D4-4D77-BF05-DC5E9C523883}"/>
            </c:ext>
          </c:extLst>
        </c:ser>
        <c:ser>
          <c:idx val="2"/>
          <c:order val="3"/>
          <c:tx>
            <c:v>DESIGN</c:v>
          </c:tx>
          <c:spPr>
            <a:ln w="25400" cap="rnd">
              <a:solidFill>
                <a:srgbClr val="7030A0"/>
              </a:solidFill>
              <a:round/>
            </a:ln>
            <a:effectLst/>
          </c:spPr>
          <c:marker>
            <c:symbol val="none"/>
          </c:marker>
          <c:dPt>
            <c:idx val="1"/>
            <c:marker>
              <c:symbol val="none"/>
            </c:marker>
            <c:bubble3D val="0"/>
            <c:spPr>
              <a:ln w="12700" cap="rnd">
                <a:solidFill>
                  <a:schemeClr val="tx1"/>
                </a:solidFill>
                <a:round/>
              </a:ln>
              <a:effectLst/>
            </c:spPr>
            <c:extLst>
              <c:ext xmlns:c16="http://schemas.microsoft.com/office/drawing/2014/chart" uri="{C3380CC4-5D6E-409C-BE32-E72D297353CC}">
                <c16:uniqueId val="{0000000E-71D4-4D77-BF05-DC5E9C523883}"/>
              </c:ext>
            </c:extLst>
          </c:dPt>
          <c:dPt>
            <c:idx val="12"/>
            <c:marker>
              <c:symbol val="none"/>
            </c:marker>
            <c:bubble3D val="0"/>
            <c:spPr>
              <a:ln w="12700" cap="rnd">
                <a:solidFill>
                  <a:schemeClr val="tx1"/>
                </a:solidFill>
                <a:round/>
              </a:ln>
              <a:effectLst/>
            </c:spPr>
            <c:extLst>
              <c:ext xmlns:c16="http://schemas.microsoft.com/office/drawing/2014/chart" uri="{C3380CC4-5D6E-409C-BE32-E72D297353CC}">
                <c16:uniqueId val="{00000010-71D4-4D77-BF05-DC5E9C523883}"/>
              </c:ext>
            </c:extLst>
          </c:dPt>
          <c:dPt>
            <c:idx val="13"/>
            <c:marker>
              <c:symbol val="none"/>
            </c:marker>
            <c:bubble3D val="0"/>
            <c:spPr>
              <a:ln w="19050" cap="rnd">
                <a:solidFill>
                  <a:schemeClr val="tx1"/>
                </a:solidFill>
                <a:round/>
              </a:ln>
              <a:effectLst/>
            </c:spPr>
            <c:extLst>
              <c:ext xmlns:c16="http://schemas.microsoft.com/office/drawing/2014/chart" uri="{C3380CC4-5D6E-409C-BE32-E72D297353CC}">
                <c16:uniqueId val="{00000012-71D4-4D77-BF05-DC5E9C523883}"/>
              </c:ext>
            </c:extLst>
          </c:dPt>
          <c:dLbls>
            <c:dLbl>
              <c:idx val="1"/>
              <c:layout>
                <c:manualLayout>
                  <c:x val="-6.9910425959781336E-2"/>
                  <c:y val="-6.0397880595339626E-2"/>
                </c:manualLayout>
              </c:layout>
              <c:showLegendKey val="0"/>
              <c:showVal val="0"/>
              <c:showCatName val="1"/>
              <c:showSerName val="0"/>
              <c:showPercent val="0"/>
              <c:showBubbleSize val="0"/>
              <c:extLst>
                <c:ext xmlns:c15="http://schemas.microsoft.com/office/drawing/2012/chart" uri="{CE6537A1-D6FC-4f65-9D91-7224C49458BB}">
                  <c15:layout>
                    <c:manualLayout>
                      <c:w val="0.19438546461668577"/>
                      <c:h val="0.10311580822313551"/>
                    </c:manualLayout>
                  </c15:layout>
                </c:ext>
                <c:ext xmlns:c16="http://schemas.microsoft.com/office/drawing/2014/chart" uri="{C3380CC4-5D6E-409C-BE32-E72D297353CC}">
                  <c16:uniqueId val="{0000000E-71D4-4D77-BF05-DC5E9C523883}"/>
                </c:ext>
              </c:extLst>
            </c:dLbl>
            <c:dLbl>
              <c:idx val="5"/>
              <c:layout>
                <c:manualLayout>
                  <c:x val="-0.11803280212118267"/>
                  <c:y val="-5.8420254133510719E-3"/>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15:layout>
                    <c:manualLayout>
                      <c:w val="0.25527188011770752"/>
                      <c:h val="8.19769640328675E-2"/>
                    </c:manualLayout>
                  </c15:layout>
                </c:ext>
                <c:ext xmlns:c16="http://schemas.microsoft.com/office/drawing/2014/chart" uri="{C3380CC4-5D6E-409C-BE32-E72D297353CC}">
                  <c16:uniqueId val="{00000013-71D4-4D77-BF05-DC5E9C523883}"/>
                </c:ext>
              </c:extLst>
            </c:dLbl>
            <c:dLbl>
              <c:idx val="7"/>
              <c:layout>
                <c:manualLayout>
                  <c:x val="-0.13524572547382541"/>
                  <c:y val="-3.2131944808627085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15:layout>
                    <c:manualLayout>
                      <c:w val="0.2256819705282006"/>
                      <c:h val="9.3661474879681739E-2"/>
                    </c:manualLayout>
                  </c15:layout>
                </c:ext>
                <c:ext xmlns:c16="http://schemas.microsoft.com/office/drawing/2014/chart" uri="{C3380CC4-5D6E-409C-BE32-E72D297353CC}">
                  <c16:uniqueId val="{00000014-71D4-4D77-BF05-DC5E9C523883}"/>
                </c:ext>
              </c:extLst>
            </c:dLbl>
            <c:dLbl>
              <c:idx val="11"/>
              <c:layout>
                <c:manualLayout>
                  <c:x val="-0.16106647202107402"/>
                  <c:y val="4.6655388951760711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71D4-4D77-BF05-DC5E9C523883}"/>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Calc!$CE$3:$CE$16</c:f>
              <c:numCache>
                <c:formatCode>0.0</c:formatCode>
                <c:ptCount val="14"/>
                <c:pt idx="0">
                  <c:v>0</c:v>
                </c:pt>
                <c:pt idx="1">
                  <c:v>-4.9767018505885563</c:v>
                </c:pt>
                <c:pt idx="2">
                  <c:v>-4.9767018505885563</c:v>
                </c:pt>
                <c:pt idx="3">
                  <c:v>-4.9767018505885563</c:v>
                </c:pt>
                <c:pt idx="4">
                  <c:v>-4.9767018505885572</c:v>
                </c:pt>
                <c:pt idx="5">
                  <c:v>-4.9767018505885572</c:v>
                </c:pt>
                <c:pt idx="6">
                  <c:v>-4.9767018505885581</c:v>
                </c:pt>
                <c:pt idx="7">
                  <c:v>-4.9767018505885581</c:v>
                </c:pt>
                <c:pt idx="8">
                  <c:v>-4.9767018505885581</c:v>
                </c:pt>
                <c:pt idx="9">
                  <c:v>-4.9767018505885581</c:v>
                </c:pt>
                <c:pt idx="10">
                  <c:v>-4.976701850588559</c:v>
                </c:pt>
                <c:pt idx="11">
                  <c:v>-4.976701850588559</c:v>
                </c:pt>
                <c:pt idx="12">
                  <c:v>0</c:v>
                </c:pt>
                <c:pt idx="13">
                  <c:v>0</c:v>
                </c:pt>
              </c:numCache>
            </c:numRef>
          </c:xVal>
          <c:yVal>
            <c:numRef>
              <c:f>Calc!$BO$3:$BO$16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16-71D4-4D77-BF05-DC5E9C523883}"/>
            </c:ext>
          </c:extLst>
        </c:ser>
        <c:dLbls>
          <c:showLegendKey val="0"/>
          <c:showVal val="0"/>
          <c:showCatName val="0"/>
          <c:showSerName val="0"/>
          <c:showPercent val="0"/>
          <c:showBubbleSize val="0"/>
        </c:dLbls>
        <c:axId val="457821656"/>
        <c:axId val="457825576"/>
      </c:scatterChart>
      <c:valAx>
        <c:axId val="457821656"/>
        <c:scaling>
          <c:orientation val="minMax"/>
        </c:scaling>
        <c:delete val="0"/>
        <c:axPos val="b"/>
        <c:majorGridlines>
          <c:spPr>
            <a:ln w="9525" cap="flat" cmpd="sng" algn="ctr">
              <a:solidFill>
                <a:schemeClr val="bg1"/>
              </a:solidFill>
              <a:round/>
            </a:ln>
            <a:effectLst/>
          </c:spPr>
        </c:majorGridlines>
        <c:numFmt formatCode="0.0" sourceLinked="1"/>
        <c:majorTickMark val="none"/>
        <c:minorTickMark val="none"/>
        <c:tickLblPos val="none"/>
        <c:spPr>
          <a:noFill/>
          <a:ln w="1270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825576"/>
        <c:crossesAt val="0"/>
        <c:crossBetween val="midCat"/>
        <c:majorUnit val="1"/>
        <c:minorUnit val="1"/>
      </c:valAx>
      <c:valAx>
        <c:axId val="457825576"/>
        <c:scaling>
          <c:orientation val="minMax"/>
          <c:max val="1.1000000000000001"/>
          <c:min val="-0.1"/>
        </c:scaling>
        <c:delete val="0"/>
        <c:axPos val="l"/>
        <c:majorGridlines>
          <c:spPr>
            <a:ln w="0" cap="flat" cmpd="sng" algn="ctr">
              <a:solidFill>
                <a:schemeClr val="bg1"/>
              </a:solidFill>
              <a:round/>
            </a:ln>
            <a:effectLst/>
          </c:spPr>
        </c:majorGridlines>
        <c:numFmt formatCode="General" sourceLinked="0"/>
        <c:majorTickMark val="none"/>
        <c:minorTickMark val="none"/>
        <c:tickLblPos val="none"/>
        <c:spPr>
          <a:noFill/>
          <a:ln w="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821656"/>
        <c:crosses val="autoZero"/>
        <c:crossBetween val="midCat"/>
      </c:valAx>
      <c:spPr>
        <a:noFill/>
        <a:ln>
          <a:noFill/>
        </a:ln>
        <a:effectLst/>
      </c:spPr>
    </c:plotArea>
    <c:plotVisOnly val="1"/>
    <c:dispBlanksAs val="gap"/>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11470556177754"/>
          <c:y val="4.0682018112892307E-2"/>
          <c:w val="0.85139869501464605"/>
          <c:h val="0.85746242532736427"/>
        </c:manualLayout>
      </c:layout>
      <c:scatterChart>
        <c:scatterStyle val="lineMarker"/>
        <c:varyColors val="0"/>
        <c:ser>
          <c:idx val="4"/>
          <c:order val="0"/>
          <c:tx>
            <c:v>Outline</c:v>
          </c:tx>
          <c:spPr>
            <a:ln w="19050" cap="rnd">
              <a:noFill/>
              <a:round/>
            </a:ln>
            <a:effectLst/>
          </c:spPr>
          <c:marker>
            <c:symbol val="none"/>
          </c:marker>
          <c:xVal>
            <c:numRef>
              <c:f>Calc!$AW$4:$AW$8</c:f>
              <c:numCache>
                <c:formatCode>0.0</c:formatCode>
                <c:ptCount val="5"/>
                <c:pt idx="0">
                  <c:v>-61.199526109531803</c:v>
                </c:pt>
                <c:pt idx="1">
                  <c:v>124.694734508658</c:v>
                </c:pt>
                <c:pt idx="2">
                  <c:v>124.694734508658</c:v>
                </c:pt>
                <c:pt idx="3">
                  <c:v>-61.199526109531803</c:v>
                </c:pt>
                <c:pt idx="4">
                  <c:v>-61.199526109531803</c:v>
                </c:pt>
              </c:numCache>
            </c:numRef>
          </c:xVal>
          <c:yVal>
            <c:numRef>
              <c:f>Calc!$AV$4:$AV$8</c:f>
              <c:numCache>
                <c:formatCode>0.0</c:formatCode>
                <c:ptCount val="5"/>
                <c:pt idx="0">
                  <c:v>0</c:v>
                </c:pt>
                <c:pt idx="1">
                  <c:v>0</c:v>
                </c:pt>
                <c:pt idx="2">
                  <c:v>1</c:v>
                </c:pt>
                <c:pt idx="3">
                  <c:v>1</c:v>
                </c:pt>
                <c:pt idx="4">
                  <c:v>0</c:v>
                </c:pt>
              </c:numCache>
            </c:numRef>
          </c:yVal>
          <c:smooth val="0"/>
          <c:extLst>
            <c:ext xmlns:c16="http://schemas.microsoft.com/office/drawing/2014/chart" uri="{C3380CC4-5D6E-409C-BE32-E72D297353CC}">
              <c16:uniqueId val="{00000000-0A17-4654-9F16-487FC29C361F}"/>
            </c:ext>
          </c:extLst>
        </c:ser>
        <c:ser>
          <c:idx val="0"/>
          <c:order val="1"/>
          <c:tx>
            <c:v>Min My</c:v>
          </c:tx>
          <c:spPr>
            <a:ln w="19050" cap="rnd">
              <a:solidFill>
                <a:srgbClr val="7030A0"/>
              </a:solidFill>
              <a:prstDash val="dash"/>
              <a:round/>
            </a:ln>
            <a:effectLst/>
          </c:spPr>
          <c:marker>
            <c:symbol val="none"/>
          </c:marker>
          <c:dPt>
            <c:idx val="1"/>
            <c:marker>
              <c:symbol val="none"/>
            </c:marker>
            <c:bubble3D val="0"/>
            <c:spPr>
              <a:ln w="19050" cap="rnd">
                <a:solidFill>
                  <a:schemeClr val="tx1"/>
                </a:solidFill>
                <a:prstDash val="solid"/>
                <a:round/>
              </a:ln>
              <a:effectLst/>
            </c:spPr>
            <c:extLst>
              <c:ext xmlns:c16="http://schemas.microsoft.com/office/drawing/2014/chart" uri="{C3380CC4-5D6E-409C-BE32-E72D297353CC}">
                <c16:uniqueId val="{00000002-0A17-4654-9F16-487FC29C361F}"/>
              </c:ext>
            </c:extLst>
          </c:dPt>
          <c:dPt>
            <c:idx val="12"/>
            <c:marker>
              <c:symbol val="none"/>
            </c:marker>
            <c:bubble3D val="0"/>
            <c:spPr>
              <a:ln w="19050" cap="rnd">
                <a:solidFill>
                  <a:schemeClr val="tx1"/>
                </a:solidFill>
                <a:prstDash val="solid"/>
                <a:round/>
              </a:ln>
              <a:effectLst/>
            </c:spPr>
            <c:extLst>
              <c:ext xmlns:c16="http://schemas.microsoft.com/office/drawing/2014/chart" uri="{C3380CC4-5D6E-409C-BE32-E72D297353CC}">
                <c16:uniqueId val="{00000004-0A17-4654-9F16-487FC29C361F}"/>
              </c:ext>
            </c:extLst>
          </c:dPt>
          <c:dLbls>
            <c:dLbl>
              <c:idx val="6"/>
              <c:layout>
                <c:manualLayout>
                  <c:x val="-6.6161771348689724E-2"/>
                  <c:y val="-5.3059839801063201E-3"/>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A17-4654-9F16-487FC29C361F}"/>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strRef>
              <c:f>Calc!$AR$3:$AR$16</c:f>
              <c:strCache>
                <c:ptCount val="1"/>
                <c:pt idx="0">
                  <c:v>0.0</c:v>
                </c:pt>
              </c:strCache>
            </c:strRef>
          </c:xVal>
          <c:yVal>
            <c:numRef>
              <c:f>Calc!$AH$3:$AH$16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06-0A17-4654-9F16-487FC29C361F}"/>
            </c:ext>
          </c:extLst>
        </c:ser>
        <c:ser>
          <c:idx val="1"/>
          <c:order val="2"/>
          <c:tx>
            <c:v>-Min My</c:v>
          </c:tx>
          <c:spPr>
            <a:ln w="19050" cap="rnd">
              <a:solidFill>
                <a:srgbClr val="7030A0"/>
              </a:solidFill>
              <a:prstDash val="dash"/>
              <a:round/>
            </a:ln>
            <a:effectLst/>
          </c:spPr>
          <c:marker>
            <c:symbol val="none"/>
          </c:marker>
          <c:dPt>
            <c:idx val="1"/>
            <c:marker>
              <c:symbol val="none"/>
            </c:marker>
            <c:bubble3D val="0"/>
            <c:spPr>
              <a:ln w="19050" cap="rnd">
                <a:solidFill>
                  <a:schemeClr val="tx1"/>
                </a:solidFill>
                <a:prstDash val="solid"/>
                <a:round/>
              </a:ln>
              <a:effectLst/>
            </c:spPr>
            <c:extLst>
              <c:ext xmlns:c16="http://schemas.microsoft.com/office/drawing/2014/chart" uri="{C3380CC4-5D6E-409C-BE32-E72D297353CC}">
                <c16:uniqueId val="{00000008-0A17-4654-9F16-487FC29C361F}"/>
              </c:ext>
            </c:extLst>
          </c:dPt>
          <c:dPt>
            <c:idx val="12"/>
            <c:marker>
              <c:symbol val="none"/>
            </c:marker>
            <c:bubble3D val="0"/>
            <c:spPr>
              <a:ln w="19050" cap="rnd">
                <a:solidFill>
                  <a:schemeClr val="tx1"/>
                </a:solidFill>
                <a:prstDash val="solid"/>
                <a:round/>
              </a:ln>
              <a:effectLst/>
            </c:spPr>
            <c:extLst>
              <c:ext xmlns:c16="http://schemas.microsoft.com/office/drawing/2014/chart" uri="{C3380CC4-5D6E-409C-BE32-E72D297353CC}">
                <c16:uniqueId val="{0000000A-0A17-4654-9F16-487FC29C361F}"/>
              </c:ext>
            </c:extLst>
          </c:dPt>
          <c:dLbls>
            <c:dLbl>
              <c:idx val="6"/>
              <c:layout>
                <c:manualLayout>
                  <c:x val="-0.11686205698645637"/>
                  <c:y val="-3.2395747859642237E-3"/>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A17-4654-9F16-487FC29C361F}"/>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strRef>
              <c:f>Calc!$AS$3:$AS$16</c:f>
              <c:strCache>
                <c:ptCount val="1"/>
                <c:pt idx="0">
                  <c:v>0.0</c:v>
                </c:pt>
              </c:strCache>
            </c:strRef>
          </c:xVal>
          <c:yVal>
            <c:numRef>
              <c:f>Calc!$AH$3:$AH$16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0C-0A17-4654-9F16-487FC29C361F}"/>
            </c:ext>
          </c:extLst>
        </c:ser>
        <c:ser>
          <c:idx val="3"/>
          <c:order val="3"/>
          <c:tx>
            <c:v>-My 1st &amp; 2nd Order</c:v>
          </c:tx>
          <c:spPr>
            <a:ln w="25400" cap="rnd">
              <a:solidFill>
                <a:srgbClr val="7030A0"/>
              </a:solidFill>
              <a:round/>
            </a:ln>
            <a:effectLst/>
          </c:spPr>
          <c:marker>
            <c:symbol val="none"/>
          </c:marker>
          <c:dPt>
            <c:idx val="1"/>
            <c:marker>
              <c:symbol val="none"/>
            </c:marker>
            <c:bubble3D val="0"/>
            <c:spPr>
              <a:ln w="12700" cap="rnd">
                <a:solidFill>
                  <a:schemeClr val="tx1"/>
                </a:solidFill>
                <a:round/>
              </a:ln>
              <a:effectLst/>
            </c:spPr>
            <c:extLst>
              <c:ext xmlns:c16="http://schemas.microsoft.com/office/drawing/2014/chart" uri="{C3380CC4-5D6E-409C-BE32-E72D297353CC}">
                <c16:uniqueId val="{0000000E-0A17-4654-9F16-487FC29C361F}"/>
              </c:ext>
            </c:extLst>
          </c:dPt>
          <c:dPt>
            <c:idx val="12"/>
            <c:marker>
              <c:symbol val="none"/>
            </c:marker>
            <c:bubble3D val="0"/>
            <c:spPr>
              <a:ln w="12700" cap="rnd">
                <a:solidFill>
                  <a:schemeClr val="tx1"/>
                </a:solidFill>
                <a:round/>
              </a:ln>
              <a:effectLst/>
            </c:spPr>
            <c:extLst>
              <c:ext xmlns:c16="http://schemas.microsoft.com/office/drawing/2014/chart" uri="{C3380CC4-5D6E-409C-BE32-E72D297353CC}">
                <c16:uniqueId val="{00000010-0A17-4654-9F16-487FC29C361F}"/>
              </c:ext>
            </c:extLst>
          </c:dPt>
          <c:dPt>
            <c:idx val="13"/>
            <c:marker>
              <c:symbol val="none"/>
            </c:marker>
            <c:bubble3D val="0"/>
            <c:spPr>
              <a:ln w="19050" cap="rnd">
                <a:solidFill>
                  <a:schemeClr val="tx1"/>
                </a:solidFill>
                <a:round/>
              </a:ln>
              <a:effectLst/>
            </c:spPr>
            <c:extLst>
              <c:ext xmlns:c16="http://schemas.microsoft.com/office/drawing/2014/chart" uri="{C3380CC4-5D6E-409C-BE32-E72D297353CC}">
                <c16:uniqueId val="{00000012-0A17-4654-9F16-487FC29C361F}"/>
              </c:ext>
            </c:extLst>
          </c:dPt>
          <c:dLbls>
            <c:dLbl>
              <c:idx val="1"/>
              <c:layout>
                <c:manualLayout>
                  <c:x val="-7.3002940897448063E-2"/>
                  <c:y val="-5.4194677906722742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15:layout>
                    <c:manualLayout>
                      <c:w val="0.1856624608670904"/>
                      <c:h val="9.1788813915157391E-2"/>
                    </c:manualLayout>
                  </c15:layout>
                </c:ext>
                <c:ext xmlns:c16="http://schemas.microsoft.com/office/drawing/2014/chart" uri="{C3380CC4-5D6E-409C-BE32-E72D297353CC}">
                  <c16:uniqueId val="{0000000E-0A17-4654-9F16-487FC29C361F}"/>
                </c:ext>
              </c:extLst>
            </c:dLbl>
            <c:dLbl>
              <c:idx val="5"/>
              <c:layout>
                <c:manualLayout>
                  <c:x val="-0.15347291528317997"/>
                  <c:y val="3.2401213475320555E-3"/>
                </c:manualLayout>
              </c:layout>
              <c:showLegendKey val="0"/>
              <c:showVal val="0"/>
              <c:showCatName val="1"/>
              <c:showSerName val="0"/>
              <c:showPercent val="0"/>
              <c:showBubbleSize val="0"/>
              <c:extLst>
                <c:ext xmlns:c15="http://schemas.microsoft.com/office/drawing/2012/chart" uri="{CE6537A1-D6FC-4f65-9D91-7224C49458BB}">
                  <c15:layout>
                    <c:manualLayout>
                      <c:w val="0.18084318375865666"/>
                      <c:h val="0.10351901377651937"/>
                    </c:manualLayout>
                  </c15:layout>
                </c:ext>
                <c:ext xmlns:c16="http://schemas.microsoft.com/office/drawing/2014/chart" uri="{C3380CC4-5D6E-409C-BE32-E72D297353CC}">
                  <c16:uniqueId val="{00000013-0A17-4654-9F16-487FC29C361F}"/>
                </c:ext>
              </c:extLst>
            </c:dLbl>
            <c:dLbl>
              <c:idx val="7"/>
              <c:layout>
                <c:manualLayout>
                  <c:x val="-0.145508395787876"/>
                  <c:y val="-1.5221088867347602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15:layout>
                    <c:manualLayout>
                      <c:w val="0.20744521392657242"/>
                      <c:h val="0.10521296547303416"/>
                    </c:manualLayout>
                  </c15:layout>
                </c:ext>
                <c:ext xmlns:c16="http://schemas.microsoft.com/office/drawing/2014/chart" uri="{C3380CC4-5D6E-409C-BE32-E72D297353CC}">
                  <c16:uniqueId val="{00000014-0A17-4654-9F16-487FC29C361F}"/>
                </c:ext>
              </c:extLst>
            </c:dLbl>
            <c:dLbl>
              <c:idx val="11"/>
              <c:layout>
                <c:manualLayout>
                  <c:x val="-5.6938047811501864E-2"/>
                  <c:y val="4.9391770444681286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0A17-4654-9F16-487FC29C361F}"/>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Calc!$AX$3:$AX$16</c:f>
              <c:numCache>
                <c:formatCode>0.0</c:formatCode>
                <c:ptCount val="14"/>
                <c:pt idx="0">
                  <c:v>0</c:v>
                </c:pt>
                <c:pt idx="1">
                  <c:v>124.694734508658</c:v>
                </c:pt>
                <c:pt idx="2">
                  <c:v>106.10530844683902</c:v>
                </c:pt>
                <c:pt idx="3">
                  <c:v>87.515882385020035</c:v>
                </c:pt>
                <c:pt idx="4">
                  <c:v>68.926456323201066</c:v>
                </c:pt>
                <c:pt idx="5">
                  <c:v>50.337030261382083</c:v>
                </c:pt>
                <c:pt idx="6">
                  <c:v>31.747604199563099</c:v>
                </c:pt>
                <c:pt idx="7">
                  <c:v>13.15817813774412</c:v>
                </c:pt>
                <c:pt idx="8">
                  <c:v>-5.4312479240748601</c:v>
                </c:pt>
                <c:pt idx="9">
                  <c:v>-24.02067398589384</c:v>
                </c:pt>
                <c:pt idx="10">
                  <c:v>-42.61010004771282</c:v>
                </c:pt>
                <c:pt idx="11">
                  <c:v>-61.199526109531803</c:v>
                </c:pt>
                <c:pt idx="12">
                  <c:v>0</c:v>
                </c:pt>
                <c:pt idx="13">
                  <c:v>0</c:v>
                </c:pt>
              </c:numCache>
            </c:numRef>
          </c:xVal>
          <c:yVal>
            <c:numRef>
              <c:f>Calc!$AH$3:$AH$16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16-0A17-4654-9F16-487FC29C361F}"/>
            </c:ext>
          </c:extLst>
        </c:ser>
        <c:ser>
          <c:idx val="2"/>
          <c:order val="4"/>
          <c:tx>
            <c:v>DESIGN</c:v>
          </c:tx>
          <c:spPr>
            <a:ln w="25400" cap="rnd">
              <a:noFill/>
              <a:round/>
            </a:ln>
            <a:effectLst/>
          </c:spPr>
          <c:marker>
            <c:symbol val="none"/>
          </c:marker>
          <c:xVal>
            <c:numRef>
              <c:f>Calc!$AX$3:$AX$16</c:f>
              <c:numCache>
                <c:formatCode>0.0</c:formatCode>
                <c:ptCount val="14"/>
                <c:pt idx="0">
                  <c:v>0</c:v>
                </c:pt>
                <c:pt idx="1">
                  <c:v>124.694734508658</c:v>
                </c:pt>
                <c:pt idx="2">
                  <c:v>106.10530844683902</c:v>
                </c:pt>
                <c:pt idx="3">
                  <c:v>87.515882385020035</c:v>
                </c:pt>
                <c:pt idx="4">
                  <c:v>68.926456323201066</c:v>
                </c:pt>
                <c:pt idx="5">
                  <c:v>50.337030261382083</c:v>
                </c:pt>
                <c:pt idx="6">
                  <c:v>31.747604199563099</c:v>
                </c:pt>
                <c:pt idx="7">
                  <c:v>13.15817813774412</c:v>
                </c:pt>
                <c:pt idx="8">
                  <c:v>-5.4312479240748601</c:v>
                </c:pt>
                <c:pt idx="9">
                  <c:v>-24.02067398589384</c:v>
                </c:pt>
                <c:pt idx="10">
                  <c:v>-42.61010004771282</c:v>
                </c:pt>
                <c:pt idx="11">
                  <c:v>-61.199526109531803</c:v>
                </c:pt>
                <c:pt idx="12">
                  <c:v>0</c:v>
                </c:pt>
                <c:pt idx="13">
                  <c:v>0</c:v>
                </c:pt>
              </c:numCache>
            </c:numRef>
          </c:xVal>
          <c:yVal>
            <c:numRef>
              <c:f>Calc!$AH$3:$AH$16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17-0A17-4654-9F16-487FC29C361F}"/>
            </c:ext>
          </c:extLst>
        </c:ser>
        <c:dLbls>
          <c:showLegendKey val="0"/>
          <c:showVal val="0"/>
          <c:showCatName val="0"/>
          <c:showSerName val="0"/>
          <c:showPercent val="0"/>
          <c:showBubbleSize val="0"/>
        </c:dLbls>
        <c:axId val="457826752"/>
        <c:axId val="457823224"/>
      </c:scatterChart>
      <c:valAx>
        <c:axId val="457826752"/>
        <c:scaling>
          <c:orientation val="minMax"/>
        </c:scaling>
        <c:delete val="0"/>
        <c:axPos val="b"/>
        <c:majorGridlines>
          <c:spPr>
            <a:ln w="9525" cap="flat" cmpd="sng" algn="ctr">
              <a:solidFill>
                <a:schemeClr val="bg1"/>
              </a:solidFill>
              <a:round/>
            </a:ln>
            <a:effectLst/>
          </c:spPr>
        </c:majorGridlines>
        <c:numFmt formatCode="0.0" sourceLinked="1"/>
        <c:majorTickMark val="none"/>
        <c:minorTickMark val="none"/>
        <c:tickLblPos val="none"/>
        <c:spPr>
          <a:noFill/>
          <a:ln w="1270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823224"/>
        <c:crossesAt val="0"/>
        <c:crossBetween val="midCat"/>
        <c:majorUnit val="1"/>
        <c:minorUnit val="1"/>
      </c:valAx>
      <c:valAx>
        <c:axId val="457823224"/>
        <c:scaling>
          <c:orientation val="minMax"/>
          <c:max val="1.1000000000000001"/>
          <c:min val="-0.1"/>
        </c:scaling>
        <c:delete val="0"/>
        <c:axPos val="l"/>
        <c:majorGridlines>
          <c:spPr>
            <a:ln w="0" cap="flat" cmpd="sng" algn="ctr">
              <a:solidFill>
                <a:schemeClr val="bg1"/>
              </a:solidFill>
              <a:round/>
            </a:ln>
            <a:effectLst/>
          </c:spPr>
        </c:majorGridlines>
        <c:numFmt formatCode="General" sourceLinked="0"/>
        <c:majorTickMark val="none"/>
        <c:minorTickMark val="none"/>
        <c:tickLblPos val="none"/>
        <c:spPr>
          <a:noFill/>
          <a:ln w="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826752"/>
        <c:crosses val="autoZero"/>
        <c:crossBetween val="midCat"/>
      </c:valAx>
      <c:spPr>
        <a:noFill/>
        <a:ln>
          <a:noFill/>
        </a:ln>
        <a:effectLst/>
      </c:spPr>
    </c:plotArea>
    <c:plotVisOnly val="1"/>
    <c:dispBlanksAs val="gap"/>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317589899112849E-2"/>
          <c:y val="9.6178951674083496E-2"/>
          <c:w val="0.93665977137719447"/>
          <c:h val="0.75150791459781108"/>
        </c:manualLayout>
      </c:layout>
      <c:scatterChart>
        <c:scatterStyle val="lineMarker"/>
        <c:varyColors val="0"/>
        <c:ser>
          <c:idx val="0"/>
          <c:order val="0"/>
          <c:tx>
            <c:v>My</c:v>
          </c:tx>
          <c:spPr>
            <a:ln w="12700" cap="rnd">
              <a:solidFill>
                <a:srgbClr val="C00000"/>
              </a:solidFill>
              <a:round/>
            </a:ln>
            <a:effectLst/>
          </c:spPr>
          <c:marker>
            <c:symbol val="none"/>
          </c:marker>
          <c:dPt>
            <c:idx val="1"/>
            <c:marker>
              <c:symbol val="none"/>
            </c:marker>
            <c:bubble3D val="0"/>
            <c:spPr>
              <a:ln w="63500" cap="rnd">
                <a:solidFill>
                  <a:srgbClr val="0000FF"/>
                </a:solidFill>
                <a:round/>
              </a:ln>
              <a:effectLst/>
            </c:spPr>
            <c:extLst>
              <c:ext xmlns:c16="http://schemas.microsoft.com/office/drawing/2014/chart" uri="{C3380CC4-5D6E-409C-BE32-E72D297353CC}">
                <c16:uniqueId val="{00000001-0EC1-490B-9E6E-8062BFB75124}"/>
              </c:ext>
            </c:extLst>
          </c:dPt>
          <c:dPt>
            <c:idx val="2"/>
            <c:marker>
              <c:symbol val="none"/>
            </c:marker>
            <c:bubble3D val="0"/>
            <c:spPr>
              <a:ln w="63500" cap="rnd">
                <a:solidFill>
                  <a:srgbClr val="C00000"/>
                </a:solidFill>
                <a:round/>
              </a:ln>
              <a:effectLst/>
            </c:spPr>
            <c:extLst>
              <c:ext xmlns:c16="http://schemas.microsoft.com/office/drawing/2014/chart" uri="{C3380CC4-5D6E-409C-BE32-E72D297353CC}">
                <c16:uniqueId val="{00000003-0EC1-490B-9E6E-8062BFB75124}"/>
              </c:ext>
            </c:extLst>
          </c:dPt>
          <c:dPt>
            <c:idx val="3"/>
            <c:marker>
              <c:symbol val="none"/>
            </c:marker>
            <c:bubble3D val="0"/>
            <c:spPr>
              <a:ln w="63500" cap="rnd">
                <a:solidFill>
                  <a:srgbClr val="C00000"/>
                </a:solidFill>
                <a:round/>
              </a:ln>
              <a:effectLst/>
            </c:spPr>
            <c:extLst>
              <c:ext xmlns:c16="http://schemas.microsoft.com/office/drawing/2014/chart" uri="{C3380CC4-5D6E-409C-BE32-E72D297353CC}">
                <c16:uniqueId val="{00000005-0EC1-490B-9E6E-8062BFB75124}"/>
              </c:ext>
            </c:extLst>
          </c:dPt>
          <c:dPt>
            <c:idx val="5"/>
            <c:marker>
              <c:symbol val="none"/>
            </c:marker>
            <c:bubble3D val="0"/>
            <c:spPr>
              <a:ln w="63500" cap="rnd">
                <a:solidFill>
                  <a:srgbClr val="0000FF"/>
                </a:solidFill>
                <a:round/>
              </a:ln>
              <a:effectLst/>
            </c:spPr>
            <c:extLst>
              <c:ext xmlns:c16="http://schemas.microsoft.com/office/drawing/2014/chart" uri="{C3380CC4-5D6E-409C-BE32-E72D297353CC}">
                <c16:uniqueId val="{00000007-0EC1-490B-9E6E-8062BFB75124}"/>
              </c:ext>
            </c:extLst>
          </c:dPt>
          <c:dPt>
            <c:idx val="6"/>
            <c:marker>
              <c:symbol val="none"/>
            </c:marker>
            <c:bubble3D val="0"/>
            <c:spPr>
              <a:ln w="38100" cap="rnd">
                <a:solidFill>
                  <a:srgbClr val="C00000"/>
                </a:solidFill>
                <a:round/>
              </a:ln>
              <a:effectLst/>
            </c:spPr>
            <c:extLst>
              <c:ext xmlns:c16="http://schemas.microsoft.com/office/drawing/2014/chart" uri="{C3380CC4-5D6E-409C-BE32-E72D297353CC}">
                <c16:uniqueId val="{00000009-0EC1-490B-9E6E-8062BFB75124}"/>
              </c:ext>
            </c:extLst>
          </c:dPt>
          <c:dPt>
            <c:idx val="7"/>
            <c:marker>
              <c:symbol val="none"/>
            </c:marker>
            <c:bubble3D val="0"/>
            <c:spPr>
              <a:ln w="63500" cap="rnd">
                <a:solidFill>
                  <a:srgbClr val="C00000"/>
                </a:solidFill>
                <a:round/>
              </a:ln>
              <a:effectLst/>
            </c:spPr>
            <c:extLst>
              <c:ext xmlns:c16="http://schemas.microsoft.com/office/drawing/2014/chart" uri="{C3380CC4-5D6E-409C-BE32-E72D297353CC}">
                <c16:uniqueId val="{0000000B-0EC1-490B-9E6E-8062BFB75124}"/>
              </c:ext>
            </c:extLst>
          </c:dPt>
          <c:dPt>
            <c:idx val="9"/>
            <c:marker>
              <c:symbol val="none"/>
            </c:marker>
            <c:bubble3D val="0"/>
            <c:spPr>
              <a:ln w="63500" cap="rnd">
                <a:solidFill>
                  <a:srgbClr val="0000FF"/>
                </a:solidFill>
                <a:round/>
              </a:ln>
              <a:effectLst/>
            </c:spPr>
            <c:extLst>
              <c:ext xmlns:c16="http://schemas.microsoft.com/office/drawing/2014/chart" uri="{C3380CC4-5D6E-409C-BE32-E72D297353CC}">
                <c16:uniqueId val="{0000000D-0EC1-490B-9E6E-8062BFB75124}"/>
              </c:ext>
            </c:extLst>
          </c:dPt>
          <c:xVal>
            <c:numRef>
              <c:f>MAIN!$AQ$18:$AQ$27</c:f>
              <c:numCache>
                <c:formatCode>0.0</c:formatCode>
                <c:ptCount val="10"/>
                <c:pt idx="0">
                  <c:v>0</c:v>
                </c:pt>
                <c:pt idx="1">
                  <c:v>0</c:v>
                </c:pt>
                <c:pt idx="2">
                  <c:v>0.5</c:v>
                </c:pt>
                <c:pt idx="3">
                  <c:v>-0.5</c:v>
                </c:pt>
                <c:pt idx="4">
                  <c:v>0</c:v>
                </c:pt>
                <c:pt idx="5">
                  <c:v>0</c:v>
                </c:pt>
                <c:pt idx="6">
                  <c:v>0.5</c:v>
                </c:pt>
                <c:pt idx="7">
                  <c:v>-0.5</c:v>
                </c:pt>
                <c:pt idx="8">
                  <c:v>0</c:v>
                </c:pt>
                <c:pt idx="9">
                  <c:v>0</c:v>
                </c:pt>
              </c:numCache>
            </c:numRef>
          </c:xVal>
          <c:yVal>
            <c:numRef>
              <c:f>MAIN!$AP$18:$AP$27</c:f>
              <c:numCache>
                <c:formatCode>0.0</c:formatCode>
                <c:ptCount val="10"/>
                <c:pt idx="0">
                  <c:v>1</c:v>
                </c:pt>
                <c:pt idx="1">
                  <c:v>0.5</c:v>
                </c:pt>
                <c:pt idx="2">
                  <c:v>0.5</c:v>
                </c:pt>
                <c:pt idx="3">
                  <c:v>0.5</c:v>
                </c:pt>
                <c:pt idx="4">
                  <c:v>0.5</c:v>
                </c:pt>
                <c:pt idx="5">
                  <c:v>0</c:v>
                </c:pt>
                <c:pt idx="6">
                  <c:v>0</c:v>
                </c:pt>
                <c:pt idx="7">
                  <c:v>0</c:v>
                </c:pt>
                <c:pt idx="8">
                  <c:v>0</c:v>
                </c:pt>
                <c:pt idx="9">
                  <c:v>0</c:v>
                </c:pt>
              </c:numCache>
            </c:numRef>
          </c:yVal>
          <c:smooth val="0"/>
          <c:extLst>
            <c:ext xmlns:c16="http://schemas.microsoft.com/office/drawing/2014/chart" uri="{C3380CC4-5D6E-409C-BE32-E72D297353CC}">
              <c16:uniqueId val="{0000000E-0EC1-490B-9E6E-8062BFB75124}"/>
            </c:ext>
          </c:extLst>
        </c:ser>
        <c:dLbls>
          <c:showLegendKey val="0"/>
          <c:showVal val="0"/>
          <c:showCatName val="0"/>
          <c:showSerName val="0"/>
          <c:showPercent val="0"/>
          <c:showBubbleSize val="0"/>
        </c:dLbls>
        <c:axId val="457824008"/>
        <c:axId val="457827928"/>
      </c:scatterChart>
      <c:valAx>
        <c:axId val="457824008"/>
        <c:scaling>
          <c:orientation val="minMax"/>
          <c:max val="0.60000000000000009"/>
          <c:min val="-0.60000000000000009"/>
        </c:scaling>
        <c:delete val="0"/>
        <c:axPos val="b"/>
        <c:majorGridlines>
          <c:spPr>
            <a:ln w="9525" cap="flat" cmpd="sng" algn="ctr">
              <a:solidFill>
                <a:schemeClr val="bg1"/>
              </a:solidFill>
              <a:round/>
            </a:ln>
            <a:effectLst/>
          </c:spPr>
        </c:majorGridlines>
        <c:numFmt formatCode="0.0" sourceLinked="1"/>
        <c:majorTickMark val="none"/>
        <c:minorTickMark val="none"/>
        <c:tickLblPos val="none"/>
        <c:spPr>
          <a:noFill/>
          <a:ln w="2540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827928"/>
        <c:crossesAt val="0"/>
        <c:crossBetween val="midCat"/>
        <c:majorUnit val="1"/>
        <c:minorUnit val="1"/>
      </c:valAx>
      <c:valAx>
        <c:axId val="457827928"/>
        <c:scaling>
          <c:orientation val="minMax"/>
          <c:max val="1.1000000000000001"/>
          <c:min val="-0.1"/>
        </c:scaling>
        <c:delete val="0"/>
        <c:axPos val="l"/>
        <c:majorGridlines>
          <c:spPr>
            <a:ln w="0" cap="flat" cmpd="sng" algn="ctr">
              <a:solidFill>
                <a:schemeClr val="bg1"/>
              </a:solidFill>
              <a:round/>
            </a:ln>
            <a:effectLst/>
          </c:spPr>
        </c:majorGridlines>
        <c:numFmt formatCode="General" sourceLinked="0"/>
        <c:majorTickMark val="none"/>
        <c:minorTickMark val="none"/>
        <c:tickLblPos val="none"/>
        <c:spPr>
          <a:noFill/>
          <a:ln w="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824008"/>
        <c:crosses val="autoZero"/>
        <c:crossBetween val="midCat"/>
        <c:minorUnit val="1"/>
      </c:valAx>
      <c:spPr>
        <a:noFill/>
        <a:ln>
          <a:noFill/>
        </a:ln>
        <a:effectLst/>
      </c:spPr>
    </c:plotArea>
    <c:plotVisOnly val="1"/>
    <c:dispBlanksAs val="gap"/>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3"/>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317589899112849E-2"/>
          <c:y val="9.617386542457762E-2"/>
          <c:w val="0.93665977137719447"/>
          <c:h val="0.75727008744896751"/>
        </c:manualLayout>
      </c:layout>
      <c:scatterChart>
        <c:scatterStyle val="lineMarker"/>
        <c:varyColors val="0"/>
        <c:ser>
          <c:idx val="0"/>
          <c:order val="0"/>
          <c:tx>
            <c:v>Y</c:v>
          </c:tx>
          <c:spPr>
            <a:ln w="12700" cap="rnd">
              <a:solidFill>
                <a:srgbClr val="C00000"/>
              </a:solidFill>
              <a:round/>
            </a:ln>
            <a:effectLst/>
          </c:spPr>
          <c:marker>
            <c:symbol val="none"/>
          </c:marker>
          <c:dPt>
            <c:idx val="1"/>
            <c:marker>
              <c:symbol val="none"/>
            </c:marker>
            <c:bubble3D val="0"/>
            <c:spPr>
              <a:ln w="63500" cap="rnd">
                <a:solidFill>
                  <a:srgbClr val="0000FF"/>
                </a:solidFill>
                <a:round/>
              </a:ln>
              <a:effectLst/>
            </c:spPr>
            <c:extLst>
              <c:ext xmlns:c16="http://schemas.microsoft.com/office/drawing/2014/chart" uri="{C3380CC4-5D6E-409C-BE32-E72D297353CC}">
                <c16:uniqueId val="{00000001-195C-4BC1-AFE1-B02314C3A913}"/>
              </c:ext>
            </c:extLst>
          </c:dPt>
          <c:dPt>
            <c:idx val="2"/>
            <c:marker>
              <c:symbol val="none"/>
            </c:marker>
            <c:bubble3D val="0"/>
            <c:spPr>
              <a:ln w="63500" cap="rnd">
                <a:solidFill>
                  <a:srgbClr val="C00000"/>
                </a:solidFill>
                <a:round/>
              </a:ln>
              <a:effectLst/>
            </c:spPr>
            <c:extLst>
              <c:ext xmlns:c16="http://schemas.microsoft.com/office/drawing/2014/chart" uri="{C3380CC4-5D6E-409C-BE32-E72D297353CC}">
                <c16:uniqueId val="{00000003-195C-4BC1-AFE1-B02314C3A913}"/>
              </c:ext>
            </c:extLst>
          </c:dPt>
          <c:dPt>
            <c:idx val="3"/>
            <c:marker>
              <c:symbol val="none"/>
            </c:marker>
            <c:bubble3D val="0"/>
            <c:spPr>
              <a:ln w="63500" cap="rnd">
                <a:solidFill>
                  <a:srgbClr val="C00000"/>
                </a:solidFill>
                <a:round/>
              </a:ln>
              <a:effectLst/>
            </c:spPr>
            <c:extLst>
              <c:ext xmlns:c16="http://schemas.microsoft.com/office/drawing/2014/chart" uri="{C3380CC4-5D6E-409C-BE32-E72D297353CC}">
                <c16:uniqueId val="{00000005-195C-4BC1-AFE1-B02314C3A913}"/>
              </c:ext>
            </c:extLst>
          </c:dPt>
          <c:dPt>
            <c:idx val="5"/>
            <c:marker>
              <c:symbol val="none"/>
            </c:marker>
            <c:bubble3D val="0"/>
            <c:spPr>
              <a:ln w="63500" cap="rnd">
                <a:solidFill>
                  <a:srgbClr val="0000FF"/>
                </a:solidFill>
                <a:round/>
              </a:ln>
              <a:effectLst/>
            </c:spPr>
            <c:extLst>
              <c:ext xmlns:c16="http://schemas.microsoft.com/office/drawing/2014/chart" uri="{C3380CC4-5D6E-409C-BE32-E72D297353CC}">
                <c16:uniqueId val="{00000007-195C-4BC1-AFE1-B02314C3A913}"/>
              </c:ext>
            </c:extLst>
          </c:dPt>
          <c:dPt>
            <c:idx val="6"/>
            <c:marker>
              <c:symbol val="none"/>
            </c:marker>
            <c:bubble3D val="0"/>
            <c:spPr>
              <a:ln w="38100" cap="rnd">
                <a:solidFill>
                  <a:srgbClr val="C00000"/>
                </a:solidFill>
                <a:round/>
              </a:ln>
              <a:effectLst/>
            </c:spPr>
            <c:extLst>
              <c:ext xmlns:c16="http://schemas.microsoft.com/office/drawing/2014/chart" uri="{C3380CC4-5D6E-409C-BE32-E72D297353CC}">
                <c16:uniqueId val="{00000009-195C-4BC1-AFE1-B02314C3A913}"/>
              </c:ext>
            </c:extLst>
          </c:dPt>
          <c:dPt>
            <c:idx val="7"/>
            <c:marker>
              <c:symbol val="none"/>
            </c:marker>
            <c:bubble3D val="0"/>
            <c:spPr>
              <a:ln w="63500" cap="rnd">
                <a:solidFill>
                  <a:srgbClr val="C00000"/>
                </a:solidFill>
                <a:round/>
              </a:ln>
              <a:effectLst/>
            </c:spPr>
            <c:extLst>
              <c:ext xmlns:c16="http://schemas.microsoft.com/office/drawing/2014/chart" uri="{C3380CC4-5D6E-409C-BE32-E72D297353CC}">
                <c16:uniqueId val="{0000000B-195C-4BC1-AFE1-B02314C3A913}"/>
              </c:ext>
            </c:extLst>
          </c:dPt>
          <c:dPt>
            <c:idx val="9"/>
            <c:marker>
              <c:symbol val="none"/>
            </c:marker>
            <c:bubble3D val="0"/>
            <c:spPr>
              <a:ln w="63500" cap="rnd">
                <a:solidFill>
                  <a:srgbClr val="0000FF"/>
                </a:solidFill>
                <a:round/>
              </a:ln>
              <a:effectLst/>
            </c:spPr>
            <c:extLst>
              <c:ext xmlns:c16="http://schemas.microsoft.com/office/drawing/2014/chart" uri="{C3380CC4-5D6E-409C-BE32-E72D297353CC}">
                <c16:uniqueId val="{0000000D-195C-4BC1-AFE1-B02314C3A913}"/>
              </c:ext>
            </c:extLst>
          </c:dPt>
          <c:xVal>
            <c:numRef>
              <c:f>MAIN!$AQ$42:$AQ$51</c:f>
              <c:numCache>
                <c:formatCode>0.0</c:formatCode>
                <c:ptCount val="10"/>
                <c:pt idx="0">
                  <c:v>0</c:v>
                </c:pt>
                <c:pt idx="1">
                  <c:v>0</c:v>
                </c:pt>
                <c:pt idx="2">
                  <c:v>0.5</c:v>
                </c:pt>
                <c:pt idx="3">
                  <c:v>-0.5</c:v>
                </c:pt>
                <c:pt idx="4">
                  <c:v>0</c:v>
                </c:pt>
                <c:pt idx="5">
                  <c:v>0</c:v>
                </c:pt>
                <c:pt idx="6">
                  <c:v>0.5</c:v>
                </c:pt>
                <c:pt idx="7">
                  <c:v>-0.5</c:v>
                </c:pt>
                <c:pt idx="8">
                  <c:v>0</c:v>
                </c:pt>
                <c:pt idx="9">
                  <c:v>0</c:v>
                </c:pt>
              </c:numCache>
            </c:numRef>
          </c:xVal>
          <c:yVal>
            <c:numRef>
              <c:f>MAIN!$AP$42:$AP$51</c:f>
              <c:numCache>
                <c:formatCode>0.0</c:formatCode>
                <c:ptCount val="10"/>
                <c:pt idx="0">
                  <c:v>1</c:v>
                </c:pt>
                <c:pt idx="1">
                  <c:v>0.5</c:v>
                </c:pt>
                <c:pt idx="2">
                  <c:v>0.5</c:v>
                </c:pt>
                <c:pt idx="3">
                  <c:v>0.5</c:v>
                </c:pt>
                <c:pt idx="4">
                  <c:v>0.5</c:v>
                </c:pt>
                <c:pt idx="5">
                  <c:v>0</c:v>
                </c:pt>
                <c:pt idx="6">
                  <c:v>0</c:v>
                </c:pt>
                <c:pt idx="7">
                  <c:v>0</c:v>
                </c:pt>
                <c:pt idx="8">
                  <c:v>0</c:v>
                </c:pt>
                <c:pt idx="9">
                  <c:v>0</c:v>
                </c:pt>
              </c:numCache>
            </c:numRef>
          </c:yVal>
          <c:smooth val="0"/>
          <c:extLst>
            <c:ext xmlns:c16="http://schemas.microsoft.com/office/drawing/2014/chart" uri="{C3380CC4-5D6E-409C-BE32-E72D297353CC}">
              <c16:uniqueId val="{0000000E-195C-4BC1-AFE1-B02314C3A913}"/>
            </c:ext>
          </c:extLst>
        </c:ser>
        <c:dLbls>
          <c:showLegendKey val="0"/>
          <c:showVal val="0"/>
          <c:showCatName val="0"/>
          <c:showSerName val="0"/>
          <c:showPercent val="0"/>
          <c:showBubbleSize val="0"/>
        </c:dLbls>
        <c:axId val="457828712"/>
        <c:axId val="242159096"/>
      </c:scatterChart>
      <c:valAx>
        <c:axId val="457828712"/>
        <c:scaling>
          <c:orientation val="minMax"/>
          <c:max val="0.60000000000000009"/>
          <c:min val="-0.60000000000000009"/>
        </c:scaling>
        <c:delete val="0"/>
        <c:axPos val="b"/>
        <c:majorGridlines>
          <c:spPr>
            <a:ln w="9525" cap="flat" cmpd="sng" algn="ctr">
              <a:solidFill>
                <a:schemeClr val="bg1"/>
              </a:solidFill>
              <a:round/>
            </a:ln>
            <a:effectLst/>
          </c:spPr>
        </c:majorGridlines>
        <c:numFmt formatCode="0.0" sourceLinked="1"/>
        <c:majorTickMark val="none"/>
        <c:minorTickMark val="none"/>
        <c:tickLblPos val="none"/>
        <c:spPr>
          <a:noFill/>
          <a:ln w="2540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159096"/>
        <c:crossesAt val="0"/>
        <c:crossBetween val="midCat"/>
        <c:majorUnit val="1"/>
        <c:minorUnit val="1"/>
      </c:valAx>
      <c:valAx>
        <c:axId val="242159096"/>
        <c:scaling>
          <c:orientation val="minMax"/>
          <c:max val="1.1000000000000001"/>
          <c:min val="-0.1"/>
        </c:scaling>
        <c:delete val="0"/>
        <c:axPos val="l"/>
        <c:majorGridlines>
          <c:spPr>
            <a:ln w="0" cap="flat" cmpd="sng" algn="ctr">
              <a:solidFill>
                <a:schemeClr val="bg1"/>
              </a:solidFill>
              <a:round/>
            </a:ln>
            <a:effectLst/>
          </c:spPr>
        </c:majorGridlines>
        <c:numFmt formatCode="General" sourceLinked="0"/>
        <c:majorTickMark val="none"/>
        <c:minorTickMark val="none"/>
        <c:tickLblPos val="none"/>
        <c:spPr>
          <a:noFill/>
          <a:ln w="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828712"/>
        <c:crosses val="autoZero"/>
        <c:crossBetween val="midCat"/>
        <c:minorUnit val="1"/>
      </c:valAx>
      <c:spPr>
        <a:noFill/>
        <a:ln>
          <a:noFill/>
        </a:ln>
        <a:effectLst/>
      </c:spPr>
    </c:plotArea>
    <c:plotVisOnly val="1"/>
    <c:dispBlanksAs val="gap"/>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1700984028778997E-2"/>
          <c:y val="4.5356371490280781E-2"/>
          <c:w val="0.88867737013759607"/>
          <c:h val="0.85529157667386613"/>
        </c:manualLayout>
      </c:layout>
      <c:scatterChart>
        <c:scatterStyle val="smoothMarker"/>
        <c:varyColors val="0"/>
        <c:ser>
          <c:idx val="6"/>
          <c:order val="0"/>
          <c:tx>
            <c:v>Cases</c:v>
          </c:tx>
          <c:spPr>
            <a:ln w="28575">
              <a:noFill/>
            </a:ln>
          </c:spPr>
          <c:marker>
            <c:symbol val="circle"/>
            <c:size val="6"/>
            <c:spPr>
              <a:solidFill>
                <a:srgbClr val="FF0000"/>
              </a:solidFill>
              <a:ln>
                <a:solidFill>
                  <a:srgbClr val="000000"/>
                </a:solidFill>
                <a:prstDash val="solid"/>
              </a:ln>
            </c:spPr>
          </c:marker>
          <c:dLbls>
            <c:numFmt formatCode="0" sourceLinked="0"/>
            <c:spPr>
              <a:noFill/>
              <a:ln w="25400">
                <a:noFill/>
              </a:ln>
            </c:spPr>
            <c:txPr>
              <a:bodyPr/>
              <a:lstStyle/>
              <a:p>
                <a:pPr algn="l">
                  <a:defRPr sz="1100" b="0" i="0" u="none" strike="noStrike" baseline="0">
                    <a:solidFill>
                      <a:srgbClr val="002469"/>
                    </a:solidFill>
                    <a:latin typeface="Tekton"/>
                    <a:ea typeface="Tekton"/>
                    <a:cs typeface="Tekton"/>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MAIN!$C$51:$C$56</c:f>
              <c:numCache>
                <c:formatCode>0.0</c:formatCode>
                <c:ptCount val="6"/>
                <c:pt idx="0">
                  <c:v>124.694734508658</c:v>
                </c:pt>
                <c:pt idx="1">
                  <c:v>124.694734508658</c:v>
                </c:pt>
                <c:pt idx="2">
                  <c:v>124.694734508658</c:v>
                </c:pt>
                <c:pt idx="3">
                  <c:v>#N/A</c:v>
                </c:pt>
                <c:pt idx="4">
                  <c:v>#N/A</c:v>
                </c:pt>
                <c:pt idx="5">
                  <c:v>#N/A</c:v>
                </c:pt>
              </c:numCache>
            </c:numRef>
          </c:xVal>
          <c:yVal>
            <c:numRef>
              <c:f>MAIN!$C$42:$C$47</c:f>
              <c:numCache>
                <c:formatCode>General</c:formatCode>
                <c:ptCount val="6"/>
                <c:pt idx="0">
                  <c:v>771.31165705909802</c:v>
                </c:pt>
                <c:pt idx="1">
                  <c:v>735.54691705909897</c:v>
                </c:pt>
                <c:pt idx="2">
                  <c:v>735.54691705909897</c:v>
                </c:pt>
              </c:numCache>
            </c:numRef>
          </c:yVal>
          <c:smooth val="1"/>
          <c:extLst>
            <c:ext xmlns:c16="http://schemas.microsoft.com/office/drawing/2014/chart" uri="{C3380CC4-5D6E-409C-BE32-E72D297353CC}">
              <c16:uniqueId val="{00000000-3319-4D78-BF3A-78C96B3D4794}"/>
            </c:ext>
          </c:extLst>
        </c:ser>
        <c:ser>
          <c:idx val="0"/>
          <c:order val="1"/>
          <c:tx>
            <c:strRef>
              <c:f>CHARTS!$L$14</c:f>
              <c:strCache>
                <c:ptCount val="1"/>
                <c:pt idx="0">
                  <c:v>8H40</c:v>
                </c:pt>
              </c:strCache>
            </c:strRef>
          </c:tx>
          <c:spPr>
            <a:ln w="25400">
              <a:solidFill>
                <a:srgbClr val="BC0000"/>
              </a:solidFill>
              <a:prstDash val="solid"/>
            </a:ln>
          </c:spPr>
          <c:marker>
            <c:symbol val="none"/>
          </c:marker>
          <c:dLbls>
            <c:dLbl>
              <c:idx val="46"/>
              <c:spPr>
                <a:noFill/>
                <a:ln w="25400">
                  <a:noFill/>
                </a:ln>
              </c:spPr>
              <c:txPr>
                <a:bodyPr/>
                <a:lstStyle/>
                <a:p>
                  <a:pPr>
                    <a:defRPr sz="1100" b="1" i="0" u="none" strike="noStrike" baseline="0">
                      <a:solidFill>
                        <a:srgbClr val="000000"/>
                      </a:solidFill>
                      <a:latin typeface="Trebuchet MS"/>
                      <a:ea typeface="Trebuchet MS"/>
                      <a:cs typeface="Trebuchet MS"/>
                    </a:defRPr>
                  </a:pPr>
                  <a:endParaRPr lang="en-US"/>
                </a:p>
              </c:txPr>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19-4D78-BF3A-78C96B3D4794}"/>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Ycal!$D$60:$BO$60</c:f>
              <c:numCache>
                <c:formatCode>General</c:formatCode>
                <c:ptCount val="64"/>
                <c:pt idx="0">
                  <c:v>985.67804918145589</c:v>
                </c:pt>
                <c:pt idx="1">
                  <c:v>1161.8506870408503</c:v>
                </c:pt>
                <c:pt idx="2">
                  <c:v>1298.5136590146435</c:v>
                </c:pt>
                <c:pt idx="3">
                  <c:v>1410.4576597891516</c:v>
                </c:pt>
                <c:pt idx="4">
                  <c:v>1505.7474554305859</c:v>
                </c:pt>
                <c:pt idx="5">
                  <c:v>1589.1548021363574</c:v>
                </c:pt>
                <c:pt idx="6">
                  <c:v>1640.0663130826579</c:v>
                </c:pt>
                <c:pt idx="7">
                  <c:v>1679.1902142848799</c:v>
                </c:pt>
                <c:pt idx="8">
                  <c:v>1717.241642159817</c:v>
                </c:pt>
                <c:pt idx="9">
                  <c:v>1754.2205967074699</c:v>
                </c:pt>
                <c:pt idx="10">
                  <c:v>1790.1270779278391</c:v>
                </c:pt>
                <c:pt idx="11">
                  <c:v>1824.9610858209235</c:v>
                </c:pt>
                <c:pt idx="12">
                  <c:v>1867.6581436397234</c:v>
                </c:pt>
                <c:pt idx="13">
                  <c:v>1928.691870449175</c:v>
                </c:pt>
                <c:pt idx="14">
                  <c:v>1985.6371283063418</c:v>
                </c:pt>
                <c:pt idx="15">
                  <c:v>2038.9509733954485</c:v>
                </c:pt>
                <c:pt idx="16">
                  <c:v>2089.0025505238946</c:v>
                </c:pt>
                <c:pt idx="17">
                  <c:v>2136.0932597746068</c:v>
                </c:pt>
                <c:pt idx="18">
                  <c:v>2180.4716152657029</c:v>
                </c:pt>
                <c:pt idx="19">
                  <c:v>2222.3443574100384</c:v>
                </c:pt>
                <c:pt idx="20">
                  <c:v>2261.8848763155379</c:v>
                </c:pt>
                <c:pt idx="21">
                  <c:v>2299.2396759685066</c:v>
                </c:pt>
                <c:pt idx="22">
                  <c:v>2334.5333910078293</c:v>
                </c:pt>
                <c:pt idx="23">
                  <c:v>2367.8727205950795</c:v>
                </c:pt>
                <c:pt idx="24">
                  <c:v>2399.349542620907</c:v>
                </c:pt>
                <c:pt idx="25">
                  <c:v>2429.0434008105562</c:v>
                </c:pt>
                <c:pt idx="26">
                  <c:v>2454.5867953439829</c:v>
                </c:pt>
                <c:pt idx="27">
                  <c:v>2464.84486552919</c:v>
                </c:pt>
                <c:pt idx="28">
                  <c:v>2474.4827317908721</c:v>
                </c:pt>
                <c:pt idx="29">
                  <c:v>2473.2060889686145</c:v>
                </c:pt>
                <c:pt idx="30">
                  <c:v>2481.4877222343466</c:v>
                </c:pt>
                <c:pt idx="31">
                  <c:v>2489.041911933838</c:v>
                </c:pt>
                <c:pt idx="32">
                  <c:v>2495.8405277549564</c:v>
                </c:pt>
                <c:pt idx="33">
                  <c:v>2501.8584164355188</c:v>
                </c:pt>
                <c:pt idx="34">
                  <c:v>2507.0730180854998</c:v>
                </c:pt>
                <c:pt idx="35">
                  <c:v>2511.4640403556041</c:v>
                </c:pt>
                <c:pt idx="36">
                  <c:v>2515.013180526656</c:v>
                </c:pt>
                <c:pt idx="37">
                  <c:v>2517.7038874940667</c:v>
                </c:pt>
                <c:pt idx="38">
                  <c:v>2519.5211571219079</c:v>
                </c:pt>
                <c:pt idx="39">
                  <c:v>2520.4513556330999</c:v>
                </c:pt>
                <c:pt idx="40">
                  <c:v>2520.4820666546761</c:v>
                </c:pt>
                <c:pt idx="41">
                  <c:v>2429.3962805332831</c:v>
                </c:pt>
                <c:pt idx="42">
                  <c:v>2340.8650392134496</c:v>
                </c:pt>
                <c:pt idx="43">
                  <c:v>2253.3392353425343</c:v>
                </c:pt>
                <c:pt idx="44">
                  <c:v>2165.5681129513332</c:v>
                </c:pt>
                <c:pt idx="45">
                  <c:v>2076.5307404700156</c:v>
                </c:pt>
                <c:pt idx="46">
                  <c:v>1985.3855417944228</c:v>
                </c:pt>
                <c:pt idx="47">
                  <c:v>1901.6867256829405</c:v>
                </c:pt>
                <c:pt idx="48">
                  <c:v>1804.3390624985404</c:v>
                </c:pt>
                <c:pt idx="49">
                  <c:v>1703.1009019266112</c:v>
                </c:pt>
                <c:pt idx="50">
                  <c:v>1596.0485808177191</c:v>
                </c:pt>
                <c:pt idx="51">
                  <c:v>1481.558379620561</c:v>
                </c:pt>
                <c:pt idx="52">
                  <c:v>1363.2541763787658</c:v>
                </c:pt>
                <c:pt idx="53">
                  <c:v>1245.727593131649</c:v>
                </c:pt>
                <c:pt idx="54">
                  <c:v>1124.2404821692053</c:v>
                </c:pt>
                <c:pt idx="55">
                  <c:v>998.15836021017458</c:v>
                </c:pt>
                <c:pt idx="56">
                  <c:v>865.44270665865952</c:v>
                </c:pt>
                <c:pt idx="57">
                  <c:v>726.89007610569934</c:v>
                </c:pt>
                <c:pt idx="58">
                  <c:v>613.48027208686108</c:v>
                </c:pt>
                <c:pt idx="59">
                  <c:v>463.40403914238414</c:v>
                </c:pt>
                <c:pt idx="60">
                  <c:v>311.00537951674414</c:v>
                </c:pt>
                <c:pt idx="61">
                  <c:v>247.83068307275244</c:v>
                </c:pt>
                <c:pt idx="62">
                  <c:v>190.00352368911172</c:v>
                </c:pt>
                <c:pt idx="63">
                  <c:v>0</c:v>
                </c:pt>
              </c:numCache>
            </c:numRef>
          </c:xVal>
          <c:yVal>
            <c:numRef>
              <c:f>Ycal!$D$59:$BO$59</c:f>
              <c:numCache>
                <c:formatCode>General</c:formatCode>
                <c:ptCount val="64"/>
                <c:pt idx="0">
                  <c:v>-2568.2481206260668</c:v>
                </c:pt>
                <c:pt idx="1">
                  <c:v>-2240.9725328596205</c:v>
                </c:pt>
                <c:pt idx="2">
                  <c:v>-1984.8769313122802</c:v>
                </c:pt>
                <c:pt idx="3">
                  <c:v>-1772.5711406390144</c:v>
                </c:pt>
                <c:pt idx="4">
                  <c:v>-1589.120408865359</c:v>
                </c:pt>
                <c:pt idx="5">
                  <c:v>-1425.688150440554</c:v>
                </c:pt>
                <c:pt idx="6">
                  <c:v>-1320.4473039272057</c:v>
                </c:pt>
                <c:pt idx="7">
                  <c:v>-1235.0493026301431</c:v>
                </c:pt>
                <c:pt idx="8">
                  <c:v>-1149.6513013330803</c:v>
                </c:pt>
                <c:pt idx="9">
                  <c:v>-1064.2533000360177</c:v>
                </c:pt>
                <c:pt idx="10">
                  <c:v>-978.85529873895484</c:v>
                </c:pt>
                <c:pt idx="11">
                  <c:v>-893.45729744189214</c:v>
                </c:pt>
                <c:pt idx="12">
                  <c:v>-758.41750029482853</c:v>
                </c:pt>
                <c:pt idx="13">
                  <c:v>-515.54913471478949</c:v>
                </c:pt>
                <c:pt idx="14">
                  <c:v>-289.4363003847576</c:v>
                </c:pt>
                <c:pt idx="15">
                  <c:v>-77.539796281250432</c:v>
                </c:pt>
                <c:pt idx="16">
                  <c:v>122.19118208127352</c:v>
                </c:pt>
                <c:pt idx="17">
                  <c:v>311.43107960796846</c:v>
                </c:pt>
                <c:pt idx="18">
                  <c:v>491.56053028837056</c:v>
                </c:pt>
                <c:pt idx="19">
                  <c:v>663.72809197168749</c:v>
                </c:pt>
                <c:pt idx="20">
                  <c:v>828.89704303526878</c:v>
                </c:pt>
                <c:pt idx="21">
                  <c:v>987.88129451414829</c:v>
                </c:pt>
                <c:pt idx="22">
                  <c:v>1141.3732610687962</c:v>
                </c:pt>
                <c:pt idx="23">
                  <c:v>1289.965715819066</c:v>
                </c:pt>
                <c:pt idx="24">
                  <c:v>1434.1690914907883</c:v>
                </c:pt>
                <c:pt idx="25">
                  <c:v>1574.4252976686541</c:v>
                </c:pt>
                <c:pt idx="26">
                  <c:v>1724.6561345183068</c:v>
                </c:pt>
                <c:pt idx="27">
                  <c:v>1947.3942186177551</c:v>
                </c:pt>
                <c:pt idx="28">
                  <c:v>2161.7569433883291</c:v>
                </c:pt>
                <c:pt idx="29">
                  <c:v>2311.5202201763791</c:v>
                </c:pt>
                <c:pt idx="30">
                  <c:v>2511.2771364540072</c:v>
                </c:pt>
                <c:pt idx="31">
                  <c:v>2704.6446127123149</c:v>
                </c:pt>
                <c:pt idx="32">
                  <c:v>2892.1435806574609</c:v>
                </c:pt>
                <c:pt idx="33">
                  <c:v>3074.2398414409799</c:v>
                </c:pt>
                <c:pt idx="34">
                  <c:v>3251.351170804056</c:v>
                </c:pt>
                <c:pt idx="35">
                  <c:v>3423.8533529929064</c:v>
                </c:pt>
                <c:pt idx="36">
                  <c:v>3592.0853272515487</c:v>
                </c:pt>
                <c:pt idx="37">
                  <c:v>3756.3535955168231</c:v>
                </c:pt>
                <c:pt idx="38">
                  <c:v>3916.9360121577297</c:v>
                </c:pt>
                <c:pt idx="39">
                  <c:v>4074.0850545276376</c:v>
                </c:pt>
                <c:pt idx="40">
                  <c:v>4228.0306554592034</c:v>
                </c:pt>
                <c:pt idx="41">
                  <c:v>4785.6220779114683</c:v>
                </c:pt>
                <c:pt idx="42">
                  <c:v>5308.1064557895061</c:v>
                </c:pt>
                <c:pt idx="43">
                  <c:v>5800.8114069727808</c:v>
                </c:pt>
                <c:pt idx="44">
                  <c:v>6268.0384731543099</c:v>
                </c:pt>
                <c:pt idx="45">
                  <c:v>6713.2987946536177</c:v>
                </c:pt>
                <c:pt idx="46">
                  <c:v>7139.4866808236411</c:v>
                </c:pt>
                <c:pt idx="47">
                  <c:v>7492.0418191697772</c:v>
                </c:pt>
                <c:pt idx="48">
                  <c:v>7886.9177864175426</c:v>
                </c:pt>
                <c:pt idx="49">
                  <c:v>8268.8521981011836</c:v>
                </c:pt>
                <c:pt idx="50">
                  <c:v>8630.951298459082</c:v>
                </c:pt>
                <c:pt idx="51">
                  <c:v>8967.441280689809</c:v>
                </c:pt>
                <c:pt idx="52">
                  <c:v>9292.576602594565</c:v>
                </c:pt>
                <c:pt idx="53">
                  <c:v>9588.2536758413062</c:v>
                </c:pt>
                <c:pt idx="54">
                  <c:v>9875.7241361357264</c:v>
                </c:pt>
                <c:pt idx="55">
                  <c:v>10156.397946325078</c:v>
                </c:pt>
                <c:pt idx="56">
                  <c:v>10422.815628558796</c:v>
                </c:pt>
                <c:pt idx="57">
                  <c:v>10682.473596348385</c:v>
                </c:pt>
                <c:pt idx="58">
                  <c:v>10882.082419149787</c:v>
                </c:pt>
                <c:pt idx="59">
                  <c:v>11136.007955581457</c:v>
                </c:pt>
                <c:pt idx="60">
                  <c:v>11366.915015620307</c:v>
                </c:pt>
                <c:pt idx="61">
                  <c:v>11450.713584880188</c:v>
                </c:pt>
                <c:pt idx="62">
                  <c:v>11450.713584880188</c:v>
                </c:pt>
                <c:pt idx="63">
                  <c:v>11450.713584880188</c:v>
                </c:pt>
              </c:numCache>
            </c:numRef>
          </c:yVal>
          <c:smooth val="1"/>
          <c:extLst>
            <c:ext xmlns:c16="http://schemas.microsoft.com/office/drawing/2014/chart" uri="{C3380CC4-5D6E-409C-BE32-E72D297353CC}">
              <c16:uniqueId val="{00000002-3319-4D78-BF3A-78C96B3D4794}"/>
            </c:ext>
          </c:extLst>
        </c:ser>
        <c:ser>
          <c:idx val="8"/>
          <c:order val="2"/>
          <c:tx>
            <c:v>N bal</c:v>
          </c:tx>
          <c:spPr>
            <a:ln w="12700">
              <a:solidFill>
                <a:srgbClr val="000000"/>
              </a:solidFill>
              <a:prstDash val="sysDash"/>
            </a:ln>
          </c:spPr>
          <c:marker>
            <c:symbol val="none"/>
          </c:marker>
          <c:dLbls>
            <c:dLbl>
              <c:idx val="1"/>
              <c:spPr>
                <a:noFill/>
                <a:ln w="25400">
                  <a:noFill/>
                </a:ln>
              </c:spPr>
              <c:txPr>
                <a:bodyPr/>
                <a:lstStyle/>
                <a:p>
                  <a:pPr>
                    <a:defRPr sz="1100" b="0" i="1" u="none" strike="noStrike" baseline="0">
                      <a:solidFill>
                        <a:srgbClr val="000000"/>
                      </a:solidFill>
                      <a:latin typeface="Trebuchet MS"/>
                      <a:ea typeface="Trebuchet MS"/>
                      <a:cs typeface="Trebuchet M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3319-4D78-BF3A-78C96B3D4794}"/>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Ycal!$Z$7:$Z$8</c:f>
              <c:numCache>
                <c:formatCode>General</c:formatCode>
                <c:ptCount val="2"/>
                <c:pt idx="0">
                  <c:v>1434.7892774273887</c:v>
                </c:pt>
                <c:pt idx="1">
                  <c:v>2520.4820666546761</c:v>
                </c:pt>
              </c:numCache>
            </c:numRef>
          </c:xVal>
          <c:yVal>
            <c:numRef>
              <c:f>Ycal!$Y$7:$Y$8</c:f>
              <c:numCache>
                <c:formatCode>General</c:formatCode>
                <c:ptCount val="2"/>
                <c:pt idx="0">
                  <c:v>3942.7189372943099</c:v>
                </c:pt>
                <c:pt idx="1">
                  <c:v>4228.0306554592034</c:v>
                </c:pt>
              </c:numCache>
            </c:numRef>
          </c:yVal>
          <c:smooth val="1"/>
          <c:extLst>
            <c:ext xmlns:c16="http://schemas.microsoft.com/office/drawing/2014/chart" uri="{C3380CC4-5D6E-409C-BE32-E72D297353CC}">
              <c16:uniqueId val="{00000004-3319-4D78-BF3A-78C96B3D4794}"/>
            </c:ext>
          </c:extLst>
        </c:ser>
        <c:ser>
          <c:idx val="1"/>
          <c:order val="3"/>
          <c:tx>
            <c:strRef>
              <c:f>CHARTS!$L$16</c:f>
              <c:strCache>
                <c:ptCount val="1"/>
                <c:pt idx="0">
                  <c:v>8H32</c:v>
                </c:pt>
              </c:strCache>
            </c:strRef>
          </c:tx>
          <c:spPr>
            <a:ln w="25400">
              <a:solidFill>
                <a:srgbClr val="007854"/>
              </a:solidFill>
              <a:prstDash val="solid"/>
            </a:ln>
          </c:spPr>
          <c:marker>
            <c:symbol val="none"/>
          </c:marker>
          <c:dLbls>
            <c:dLbl>
              <c:idx val="45"/>
              <c:spPr>
                <a:noFill/>
                <a:ln w="25400">
                  <a:noFill/>
                </a:ln>
              </c:spPr>
              <c:txPr>
                <a:bodyPr/>
                <a:lstStyle/>
                <a:p>
                  <a:pPr>
                    <a:defRPr sz="1100" b="1" i="0" u="none" strike="noStrike" baseline="0">
                      <a:solidFill>
                        <a:srgbClr val="000000"/>
                      </a:solidFill>
                      <a:latin typeface="Trebuchet MS"/>
                      <a:ea typeface="Trebuchet MS"/>
                      <a:cs typeface="Trebuchet MS"/>
                    </a:defRPr>
                  </a:pPr>
                  <a:endParaRPr lang="en-US"/>
                </a:p>
              </c:txPr>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3319-4D78-BF3A-78C96B3D4794}"/>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Ycal!$D$112:$BO$112</c:f>
              <c:numCache>
                <c:formatCode>General</c:formatCode>
                <c:ptCount val="64"/>
                <c:pt idx="0">
                  <c:v>638.86531267092346</c:v>
                </c:pt>
                <c:pt idx="1">
                  <c:v>782.10654799190081</c:v>
                </c:pt>
                <c:pt idx="2">
                  <c:v>904.04804665271024</c:v>
                </c:pt>
                <c:pt idx="3">
                  <c:v>1002.5870115743178</c:v>
                </c:pt>
                <c:pt idx="4">
                  <c:v>1086.3405424645464</c:v>
                </c:pt>
                <c:pt idx="5">
                  <c:v>1159.9873625293292</c:v>
                </c:pt>
                <c:pt idx="6">
                  <c:v>1204.0515060581247</c:v>
                </c:pt>
                <c:pt idx="7">
                  <c:v>1245.1417183632725</c:v>
                </c:pt>
                <c:pt idx="8">
                  <c:v>1285.0957839686757</c:v>
                </c:pt>
                <c:pt idx="9">
                  <c:v>1323.9137028743351</c:v>
                </c:pt>
                <c:pt idx="10">
                  <c:v>1361.5954750802496</c:v>
                </c:pt>
                <c:pt idx="11">
                  <c:v>1398.14110058642</c:v>
                </c:pt>
                <c:pt idx="12">
                  <c:v>1433.5505793928455</c:v>
                </c:pt>
                <c:pt idx="13">
                  <c:v>1483.5605532502723</c:v>
                </c:pt>
                <c:pt idx="14">
                  <c:v>1534.524904788921</c:v>
                </c:pt>
                <c:pt idx="15">
                  <c:v>1582.4517410415008</c:v>
                </c:pt>
                <c:pt idx="16">
                  <c:v>1627.6298492562269</c:v>
                </c:pt>
                <c:pt idx="17">
                  <c:v>1670.2923520301138</c:v>
                </c:pt>
                <c:pt idx="18">
                  <c:v>1710.6295026446101</c:v>
                </c:pt>
                <c:pt idx="19">
                  <c:v>1748.7981060936054</c:v>
                </c:pt>
                <c:pt idx="20">
                  <c:v>1784.9285602557402</c:v>
                </c:pt>
                <c:pt idx="21">
                  <c:v>1819.1301902490018</c:v>
                </c:pt>
                <c:pt idx="22">
                  <c:v>1851.4953399221172</c:v>
                </c:pt>
                <c:pt idx="23">
                  <c:v>1882.1025456944744</c:v>
                </c:pt>
                <c:pt idx="24">
                  <c:v>1911.0190242081412</c:v>
                </c:pt>
                <c:pt idx="25">
                  <c:v>1938.3026408525784</c:v>
                </c:pt>
                <c:pt idx="26">
                  <c:v>1964.0034813017453</c:v>
                </c:pt>
                <c:pt idx="27">
                  <c:v>1978.4775556773382</c:v>
                </c:pt>
                <c:pt idx="28">
                  <c:v>1990.9807103079329</c:v>
                </c:pt>
                <c:pt idx="29">
                  <c:v>1996.0008527860111</c:v>
                </c:pt>
                <c:pt idx="30">
                  <c:v>2006.7834807768361</c:v>
                </c:pt>
                <c:pt idx="31">
                  <c:v>2016.6703061361327</c:v>
                </c:pt>
                <c:pt idx="32">
                  <c:v>2025.6411612201571</c:v>
                </c:pt>
                <c:pt idx="33">
                  <c:v>2033.6780733875264</c:v>
                </c:pt>
                <c:pt idx="34">
                  <c:v>2040.7649742852982</c:v>
                </c:pt>
                <c:pt idx="35">
                  <c:v>2046.8874541465764</c:v>
                </c:pt>
                <c:pt idx="36">
                  <c:v>2052.0325531734661</c:v>
                </c:pt>
                <c:pt idx="37">
                  <c:v>2056.1885836352039</c:v>
                </c:pt>
                <c:pt idx="38">
                  <c:v>2059.3449775318231</c:v>
                </c:pt>
                <c:pt idx="39">
                  <c:v>2061.4921556374129</c:v>
                </c:pt>
                <c:pt idx="40">
                  <c:v>2062.6214145023487</c:v>
                </c:pt>
                <c:pt idx="41">
                  <c:v>2005.2076809306241</c:v>
                </c:pt>
                <c:pt idx="42">
                  <c:v>1946.7015480076393</c:v>
                </c:pt>
                <c:pt idx="43">
                  <c:v>1886.1263568835484</c:v>
                </c:pt>
                <c:pt idx="44">
                  <c:v>1822.6920492147551</c:v>
                </c:pt>
                <c:pt idx="45">
                  <c:v>1755.7526338849375</c:v>
                </c:pt>
                <c:pt idx="46">
                  <c:v>1684.7747804103196</c:v>
                </c:pt>
                <c:pt idx="47">
                  <c:v>1615.9498648946687</c:v>
                </c:pt>
                <c:pt idx="48">
                  <c:v>1535.6337794076012</c:v>
                </c:pt>
                <c:pt idx="49">
                  <c:v>1450.1466741914487</c:v>
                </c:pt>
                <c:pt idx="50">
                  <c:v>1357.7639635803298</c:v>
                </c:pt>
                <c:pt idx="51">
                  <c:v>1258.4403559147477</c:v>
                </c:pt>
                <c:pt idx="52">
                  <c:v>1154.1036846963698</c:v>
                </c:pt>
                <c:pt idx="53">
                  <c:v>1047.4318985373993</c:v>
                </c:pt>
                <c:pt idx="54">
                  <c:v>935.55844150954999</c:v>
                </c:pt>
                <c:pt idx="55">
                  <c:v>818.07658942471517</c:v>
                </c:pt>
                <c:pt idx="56">
                  <c:v>693.91626237844503</c:v>
                </c:pt>
                <c:pt idx="57">
                  <c:v>563.095224055377</c:v>
                </c:pt>
                <c:pt idx="58">
                  <c:v>445.91485702528644</c:v>
                </c:pt>
                <c:pt idx="59">
                  <c:v>302.37850878248082</c:v>
                </c:pt>
                <c:pt idx="60">
                  <c:v>202.66387764293086</c:v>
                </c:pt>
                <c:pt idx="61">
                  <c:v>162.15592189830659</c:v>
                </c:pt>
                <c:pt idx="62">
                  <c:v>124.31954012203551</c:v>
                </c:pt>
                <c:pt idx="63">
                  <c:v>0</c:v>
                </c:pt>
              </c:numCache>
            </c:numRef>
          </c:xVal>
          <c:yVal>
            <c:numRef>
              <c:f>Ycal!$D$111:$BO$111</c:f>
              <c:numCache>
                <c:formatCode>General</c:formatCode>
                <c:ptCount val="64"/>
                <c:pt idx="0">
                  <c:v>-1645.2700682225006</c:v>
                </c:pt>
                <c:pt idx="1">
                  <c:v>-1382.7688948582806</c:v>
                </c:pt>
                <c:pt idx="2">
                  <c:v>-1157.1973734362284</c:v>
                </c:pt>
                <c:pt idx="3">
                  <c:v>-972.40678065787108</c:v>
                </c:pt>
                <c:pt idx="4">
                  <c:v>-812.61488262609726</c:v>
                </c:pt>
                <c:pt idx="5">
                  <c:v>-669.25258922015053</c:v>
                </c:pt>
                <c:pt idx="6">
                  <c:v>-577.99016730915321</c:v>
                </c:pt>
                <c:pt idx="7">
                  <c:v>-490.09365111959096</c:v>
                </c:pt>
                <c:pt idx="8">
                  <c:v>-402.19713493002882</c:v>
                </c:pt>
                <c:pt idx="9">
                  <c:v>-314.30061874046618</c:v>
                </c:pt>
                <c:pt idx="10">
                  <c:v>-226.40410255090404</c:v>
                </c:pt>
                <c:pt idx="11">
                  <c:v>-138.50758636134188</c:v>
                </c:pt>
                <c:pt idx="12">
                  <c:v>-50.611070171779488</c:v>
                </c:pt>
                <c:pt idx="13">
                  <c:v>123.75051058231853</c:v>
                </c:pt>
                <c:pt idx="14">
                  <c:v>309.59848903403247</c:v>
                </c:pt>
                <c:pt idx="15">
                  <c:v>484.9993873411068</c:v>
                </c:pt>
                <c:pt idx="16">
                  <c:v>651.53994862560228</c:v>
                </c:pt>
                <c:pt idx="17">
                  <c:v>810.50106627770901</c:v>
                </c:pt>
                <c:pt idx="18">
                  <c:v>962.92808799769364</c:v>
                </c:pt>
                <c:pt idx="19">
                  <c:v>1109.6825796860508</c:v>
                </c:pt>
                <c:pt idx="20">
                  <c:v>1251.4810132034359</c:v>
                </c:pt>
                <c:pt idx="21">
                  <c:v>1388.9240760113289</c:v>
                </c:pt>
                <c:pt idx="22">
                  <c:v>1522.5191518939332</c:v>
                </c:pt>
                <c:pt idx="23">
                  <c:v>1652.6977596390996</c:v>
                </c:pt>
                <c:pt idx="24">
                  <c:v>1779.8292214559858</c:v>
                </c:pt>
                <c:pt idx="25">
                  <c:v>1904.2314790449416</c:v>
                </c:pt>
                <c:pt idx="26">
                  <c:v>2026.1797284167162</c:v>
                </c:pt>
                <c:pt idx="27">
                  <c:v>2199.141725753344</c:v>
                </c:pt>
                <c:pt idx="28">
                  <c:v>2372.6796556596187</c:v>
                </c:pt>
                <c:pt idx="29">
                  <c:v>2504.5286539553372</c:v>
                </c:pt>
                <c:pt idx="30">
                  <c:v>2668.072016302403</c:v>
                </c:pt>
                <c:pt idx="31">
                  <c:v>2827.2618452317183</c:v>
                </c:pt>
                <c:pt idx="32">
                  <c:v>2982.4634524884223</c:v>
                </c:pt>
                <c:pt idx="33">
                  <c:v>3134.0023900840415</c:v>
                </c:pt>
                <c:pt idx="34">
                  <c:v>3282.1697162170299</c:v>
                </c:pt>
                <c:pt idx="35">
                  <c:v>3427.2264458655923</c:v>
                </c:pt>
                <c:pt idx="36">
                  <c:v>3569.4073296255424</c:v>
                </c:pt>
                <c:pt idx="37">
                  <c:v>3708.9240761812171</c:v>
                </c:pt>
                <c:pt idx="38">
                  <c:v>3845.9681116882193</c:v>
                </c:pt>
                <c:pt idx="39">
                  <c:v>3980.7129518918591</c:v>
                </c:pt>
                <c:pt idx="40">
                  <c:v>4113.3162489408523</c:v>
                </c:pt>
                <c:pt idx="41">
                  <c:v>4548.7190223016842</c:v>
                </c:pt>
                <c:pt idx="42">
                  <c:v>4962.1178614359978</c:v>
                </c:pt>
                <c:pt idx="43">
                  <c:v>5356.8239814673125</c:v>
                </c:pt>
                <c:pt idx="44">
                  <c:v>5735.5159565325457</c:v>
                </c:pt>
                <c:pt idx="45">
                  <c:v>6100.3839224753101</c:v>
                </c:pt>
                <c:pt idx="46">
                  <c:v>6453.236056187674</c:v>
                </c:pt>
                <c:pt idx="47">
                  <c:v>6759.1191338019908</c:v>
                </c:pt>
                <c:pt idx="48">
                  <c:v>7092.2160401598194</c:v>
                </c:pt>
                <c:pt idx="49">
                  <c:v>7417.1369620202613</c:v>
                </c:pt>
                <c:pt idx="50">
                  <c:v>7726.7925191036848</c:v>
                </c:pt>
                <c:pt idx="51">
                  <c:v>8022.97852881378</c:v>
                </c:pt>
                <c:pt idx="52">
                  <c:v>8311.4660356429213</c:v>
                </c:pt>
                <c:pt idx="53">
                  <c:v>8581.8684577352233</c:v>
                </c:pt>
                <c:pt idx="54">
                  <c:v>8847.0381438515924</c:v>
                </c:pt>
                <c:pt idx="55">
                  <c:v>9107.8689933065489</c:v>
                </c:pt>
                <c:pt idx="56">
                  <c:v>9360.9358705777431</c:v>
                </c:pt>
                <c:pt idx="57">
                  <c:v>9608.2889137898419</c:v>
                </c:pt>
                <c:pt idx="58">
                  <c:v>9817.2099536094502</c:v>
                </c:pt>
                <c:pt idx="59">
                  <c:v>10060.891935548643</c:v>
                </c:pt>
                <c:pt idx="60">
                  <c:v>10210.314459733783</c:v>
                </c:pt>
                <c:pt idx="61">
                  <c:v>10266.056694323323</c:v>
                </c:pt>
                <c:pt idx="62">
                  <c:v>10266.056694323321</c:v>
                </c:pt>
                <c:pt idx="63">
                  <c:v>10266.056694323323</c:v>
                </c:pt>
              </c:numCache>
            </c:numRef>
          </c:yVal>
          <c:smooth val="1"/>
          <c:extLst>
            <c:ext xmlns:c16="http://schemas.microsoft.com/office/drawing/2014/chart" uri="{C3380CC4-5D6E-409C-BE32-E72D297353CC}">
              <c16:uniqueId val="{00000006-3319-4D78-BF3A-78C96B3D4794}"/>
            </c:ext>
          </c:extLst>
        </c:ser>
        <c:ser>
          <c:idx val="2"/>
          <c:order val="4"/>
          <c:tx>
            <c:strRef>
              <c:f>CHARTS!$L$18</c:f>
              <c:strCache>
                <c:ptCount val="1"/>
                <c:pt idx="0">
                  <c:v>8H25</c:v>
                </c:pt>
              </c:strCache>
            </c:strRef>
          </c:tx>
          <c:spPr>
            <a:ln w="25400">
              <a:solidFill>
                <a:srgbClr val="0000FF"/>
              </a:solidFill>
              <a:prstDash val="solid"/>
            </a:ln>
          </c:spPr>
          <c:marker>
            <c:symbol val="none"/>
          </c:marker>
          <c:dLbls>
            <c:dLbl>
              <c:idx val="45"/>
              <c:spPr>
                <a:noFill/>
                <a:ln w="25400">
                  <a:noFill/>
                </a:ln>
              </c:spPr>
              <c:txPr>
                <a:bodyPr/>
                <a:lstStyle/>
                <a:p>
                  <a:pPr>
                    <a:defRPr sz="1100" b="1" i="0" u="none" strike="noStrike" baseline="0">
                      <a:solidFill>
                        <a:srgbClr val="000000"/>
                      </a:solidFill>
                      <a:latin typeface="Trebuchet MS"/>
                      <a:ea typeface="Trebuchet MS"/>
                      <a:cs typeface="Trebuchet MS"/>
                    </a:defRPr>
                  </a:pPr>
                  <a:endParaRPr lang="en-US"/>
                </a:p>
              </c:txPr>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3319-4D78-BF3A-78C96B3D4794}"/>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Ycal!$D$164:$BO$164</c:f>
              <c:numCache>
                <c:formatCode>General</c:formatCode>
                <c:ptCount val="64"/>
                <c:pt idx="0">
                  <c:v>374.87953362377527</c:v>
                </c:pt>
                <c:pt idx="1">
                  <c:v>511.4186262961332</c:v>
                </c:pt>
                <c:pt idx="2">
                  <c:v>619.02997412778473</c:v>
                </c:pt>
                <c:pt idx="3">
                  <c:v>705.62926530869026</c:v>
                </c:pt>
                <c:pt idx="4">
                  <c:v>779.77118335320813</c:v>
                </c:pt>
                <c:pt idx="5">
                  <c:v>845.70762491786354</c:v>
                </c:pt>
                <c:pt idx="6">
                  <c:v>891.74644677133438</c:v>
                </c:pt>
                <c:pt idx="7">
                  <c:v>934.41853366413557</c:v>
                </c:pt>
                <c:pt idx="8">
                  <c:v>975.90458742541523</c:v>
                </c:pt>
                <c:pt idx="9">
                  <c:v>1016.2046080551737</c:v>
                </c:pt>
                <c:pt idx="10">
                  <c:v>1055.3185955534107</c:v>
                </c:pt>
                <c:pt idx="11">
                  <c:v>1093.2465499201255</c:v>
                </c:pt>
                <c:pt idx="12">
                  <c:v>1129.9884711553191</c:v>
                </c:pt>
                <c:pt idx="13">
                  <c:v>1170.3683902170228</c:v>
                </c:pt>
                <c:pt idx="14">
                  <c:v>1216.4907450461551</c:v>
                </c:pt>
                <c:pt idx="15">
                  <c:v>1260.1177922849333</c:v>
                </c:pt>
                <c:pt idx="16">
                  <c:v>1301.4567755057399</c:v>
                </c:pt>
                <c:pt idx="17">
                  <c:v>1340.6733912890229</c:v>
                </c:pt>
                <c:pt idx="18">
                  <c:v>1377.9017036996865</c:v>
                </c:pt>
                <c:pt idx="19">
                  <c:v>1413.2513489882476</c:v>
                </c:pt>
                <c:pt idx="20">
                  <c:v>1446.812856930811</c:v>
                </c:pt>
                <c:pt idx="21">
                  <c:v>1478.6616392065071</c:v>
                </c:pt>
                <c:pt idx="22">
                  <c:v>1508.861018749521</c:v>
                </c:pt>
                <c:pt idx="23">
                  <c:v>1537.4645587455238</c:v>
                </c:pt>
                <c:pt idx="24">
                  <c:v>1564.5178731649071</c:v>
                </c:pt>
                <c:pt idx="25">
                  <c:v>1590.060048667975</c:v>
                </c:pt>
                <c:pt idx="26">
                  <c:v>1614.1247718421478</c:v>
                </c:pt>
                <c:pt idx="27">
                  <c:v>1632.0502196623506</c:v>
                </c:pt>
                <c:pt idx="28">
                  <c:v>1646.8027255502018</c:v>
                </c:pt>
                <c:pt idx="29">
                  <c:v>1656.4817841366596</c:v>
                </c:pt>
                <c:pt idx="30">
                  <c:v>1669.2222234004005</c:v>
                </c:pt>
                <c:pt idx="31">
                  <c:v>1680.9328990671215</c:v>
                </c:pt>
                <c:pt idx="32">
                  <c:v>1691.6003984755673</c:v>
                </c:pt>
                <c:pt idx="33">
                  <c:v>1701.2128012212138</c:v>
                </c:pt>
                <c:pt idx="34">
                  <c:v>1709.7594772417792</c:v>
                </c:pt>
                <c:pt idx="35">
                  <c:v>1717.2309168237127</c:v>
                </c:pt>
                <c:pt idx="36">
                  <c:v>1723.6185867932936</c:v>
                </c:pt>
                <c:pt idx="37">
                  <c:v>1728.9148083046086</c:v>
                </c:pt>
                <c:pt idx="38">
                  <c:v>1733.1126525328787</c:v>
                </c:pt>
                <c:pt idx="39">
                  <c:v>1736.2058512855406</c:v>
                </c:pt>
                <c:pt idx="40">
                  <c:v>1738.1887200999331</c:v>
                </c:pt>
                <c:pt idx="41">
                  <c:v>1704.2792823062332</c:v>
                </c:pt>
                <c:pt idx="42">
                  <c:v>1666.7743264193778</c:v>
                </c:pt>
                <c:pt idx="43">
                  <c:v>1625.0829815712104</c:v>
                </c:pt>
                <c:pt idx="44">
                  <c:v>1578.7267422320106</c:v>
                </c:pt>
                <c:pt idx="45">
                  <c:v>1527.3139699465678</c:v>
                </c:pt>
                <c:pt idx="46">
                  <c:v>1470.5210369960664</c:v>
                </c:pt>
                <c:pt idx="47">
                  <c:v>1412.1541757933128</c:v>
                </c:pt>
                <c:pt idx="48">
                  <c:v>1343.8347279051745</c:v>
                </c:pt>
                <c:pt idx="49">
                  <c:v>1269.4468554215819</c:v>
                </c:pt>
                <c:pt idx="50">
                  <c:v>1187.7597134865896</c:v>
                </c:pt>
                <c:pt idx="51">
                  <c:v>1099.104797981151</c:v>
                </c:pt>
                <c:pt idx="52">
                  <c:v>1004.5155709131031</c:v>
                </c:pt>
                <c:pt idx="53">
                  <c:v>905.53587105519273</c:v>
                </c:pt>
                <c:pt idx="54">
                  <c:v>800.47405821235407</c:v>
                </c:pt>
                <c:pt idx="55">
                  <c:v>689.08168815570389</c:v>
                </c:pt>
                <c:pt idx="56">
                  <c:v>570.7906009743283</c:v>
                </c:pt>
                <c:pt idx="57">
                  <c:v>445.43363487562692</c:v>
                </c:pt>
                <c:pt idx="58">
                  <c:v>325.57207342464881</c:v>
                </c:pt>
                <c:pt idx="59">
                  <c:v>186.63770648653735</c:v>
                </c:pt>
                <c:pt idx="60">
                  <c:v>124.99395571811056</c:v>
                </c:pt>
                <c:pt idx="61">
                  <c:v>100.24506053815276</c:v>
                </c:pt>
                <c:pt idx="62">
                  <c:v>76.854546412583659</c:v>
                </c:pt>
                <c:pt idx="63">
                  <c:v>0</c:v>
                </c:pt>
              </c:numCache>
            </c:numRef>
          </c:xVal>
          <c:yVal>
            <c:numRef>
              <c:f>Ycal!$D$163:$BO$163</c:f>
              <c:numCache>
                <c:formatCode>General</c:formatCode>
                <c:ptCount val="64"/>
                <c:pt idx="0">
                  <c:v>-1040.1285246750765</c:v>
                </c:pt>
                <c:pt idx="1">
                  <c:v>-792.45077857478611</c:v>
                </c:pt>
                <c:pt idx="2">
                  <c:v>-595.25840410176431</c:v>
                </c:pt>
                <c:pt idx="3">
                  <c:v>-434.14614522332874</c:v>
                </c:pt>
                <c:pt idx="4">
                  <c:v>-293.54587907440356</c:v>
                </c:pt>
                <c:pt idx="5">
                  <c:v>-165.71985013810954</c:v>
                </c:pt>
                <c:pt idx="6">
                  <c:v>-71.945844094742327</c:v>
                </c:pt>
                <c:pt idx="7">
                  <c:v>17.859641786390217</c:v>
                </c:pt>
                <c:pt idx="8">
                  <c:v>107.66512766752287</c:v>
                </c:pt>
                <c:pt idx="9">
                  <c:v>197.47061354865565</c:v>
                </c:pt>
                <c:pt idx="10">
                  <c:v>287.27609942978842</c:v>
                </c:pt>
                <c:pt idx="11">
                  <c:v>377.08158531092096</c:v>
                </c:pt>
                <c:pt idx="12">
                  <c:v>466.8870711920535</c:v>
                </c:pt>
                <c:pt idx="13">
                  <c:v>583.02939578855364</c:v>
                </c:pt>
                <c:pt idx="14">
                  <c:v>736.99775623009623</c:v>
                </c:pt>
                <c:pt idx="15">
                  <c:v>883.81812144598223</c:v>
                </c:pt>
                <c:pt idx="16">
                  <c:v>1024.6219395110941</c:v>
                </c:pt>
                <c:pt idx="17">
                  <c:v>1160.3138323387047</c:v>
                </c:pt>
                <c:pt idx="18">
                  <c:v>1291.6257238500439</c:v>
                </c:pt>
                <c:pt idx="19">
                  <c:v>1419.1561741025205</c:v>
                </c:pt>
                <c:pt idx="20">
                  <c:v>1543.3994311913423</c:v>
                </c:pt>
                <c:pt idx="21">
                  <c:v>1664.7672058306</c:v>
                </c:pt>
                <c:pt idx="22">
                  <c:v>1783.6052101268451</c:v>
                </c:pt>
                <c:pt idx="23">
                  <c:v>1900.2058727552717</c:v>
                </c:pt>
                <c:pt idx="24">
                  <c:v>2014.8182235815268</c:v>
                </c:pt>
                <c:pt idx="25">
                  <c:v>2127.6556565654096</c:v>
                </c:pt>
                <c:pt idx="26">
                  <c:v>2238.9020839221366</c:v>
                </c:pt>
                <c:pt idx="27">
                  <c:v>2374.3274724661346</c:v>
                </c:pt>
                <c:pt idx="28">
                  <c:v>2518.0146170383755</c:v>
                </c:pt>
                <c:pt idx="29">
                  <c:v>2636.0762239153428</c:v>
                </c:pt>
                <c:pt idx="30">
                  <c:v>2773.3252282633521</c:v>
                </c:pt>
                <c:pt idx="31">
                  <c:v>2907.7795487642466</c:v>
                </c:pt>
                <c:pt idx="32">
                  <c:v>3039.6790539750978</c:v>
                </c:pt>
                <c:pt idx="33">
                  <c:v>3169.2369253204361</c:v>
                </c:pt>
                <c:pt idx="34">
                  <c:v>3296.643268078607</c:v>
                </c:pt>
                <c:pt idx="35">
                  <c:v>3422.068151501664</c:v>
                </c:pt>
                <c:pt idx="36">
                  <c:v>3545.6641806564721</c:v>
                </c:pt>
                <c:pt idx="37">
                  <c:v>3667.5686820328319</c:v>
                </c:pt>
                <c:pt idx="38">
                  <c:v>3787.9055689370243</c:v>
                </c:pt>
                <c:pt idx="39">
                  <c:v>3906.7869401000526</c:v>
                </c:pt>
                <c:pt idx="40">
                  <c:v>4024.3144549785898</c:v>
                </c:pt>
                <c:pt idx="41">
                  <c:v>4377.0344806755338</c:v>
                </c:pt>
                <c:pt idx="42">
                  <c:v>4716.4869578520756</c:v>
                </c:pt>
                <c:pt idx="43">
                  <c:v>5044.6586492955685</c:v>
                </c:pt>
                <c:pt idx="44">
                  <c:v>5363.1584970460281</c:v>
                </c:pt>
                <c:pt idx="45">
                  <c:v>5673.3033585605472</c:v>
                </c:pt>
                <c:pt idx="46">
                  <c:v>5976.1814098575314</c:v>
                </c:pt>
                <c:pt idx="47">
                  <c:v>6250.4467722823929</c:v>
                </c:pt>
                <c:pt idx="48">
                  <c:v>6541.3674766236109</c:v>
                </c:pt>
                <c:pt idx="49">
                  <c:v>6827.3356110297091</c:v>
                </c:pt>
                <c:pt idx="50">
                  <c:v>7103.0733283968329</c:v>
                </c:pt>
                <c:pt idx="51">
                  <c:v>7371.6266491882416</c:v>
                </c:pt>
                <c:pt idx="52">
                  <c:v>7635.3315076290446</c:v>
                </c:pt>
                <c:pt idx="53">
                  <c:v>7888.2665166179568</c:v>
                </c:pt>
                <c:pt idx="54">
                  <c:v>8138.0148652415837</c:v>
                </c:pt>
                <c:pt idx="55">
                  <c:v>8385.1191068660064</c:v>
                </c:pt>
                <c:pt idx="56">
                  <c:v>8627.9683771696837</c:v>
                </c:pt>
                <c:pt idx="57">
                  <c:v>8866.837092475178</c:v>
                </c:pt>
                <c:pt idx="58">
                  <c:v>9082.2486694672407</c:v>
                </c:pt>
                <c:pt idx="59">
                  <c:v>9318.8760952972043</c:v>
                </c:pt>
                <c:pt idx="60">
                  <c:v>9410.6609835287927</c:v>
                </c:pt>
                <c:pt idx="61">
                  <c:v>9445.4349940938246</c:v>
                </c:pt>
                <c:pt idx="62">
                  <c:v>9445.4349940938246</c:v>
                </c:pt>
                <c:pt idx="63">
                  <c:v>9445.4349940938246</c:v>
                </c:pt>
              </c:numCache>
            </c:numRef>
          </c:yVal>
          <c:smooth val="1"/>
          <c:extLst>
            <c:ext xmlns:c16="http://schemas.microsoft.com/office/drawing/2014/chart" uri="{C3380CC4-5D6E-409C-BE32-E72D297353CC}">
              <c16:uniqueId val="{00000008-3319-4D78-BF3A-78C96B3D4794}"/>
            </c:ext>
          </c:extLst>
        </c:ser>
        <c:ser>
          <c:idx val="3"/>
          <c:order val="5"/>
          <c:tx>
            <c:strRef>
              <c:f>CHARTS!$L$20</c:f>
              <c:strCache>
                <c:ptCount val="1"/>
                <c:pt idx="0">
                  <c:v>8H20</c:v>
                </c:pt>
              </c:strCache>
            </c:strRef>
          </c:tx>
          <c:spPr>
            <a:ln w="25400">
              <a:solidFill>
                <a:srgbClr val="800080"/>
              </a:solidFill>
              <a:prstDash val="solid"/>
            </a:ln>
          </c:spPr>
          <c:marker>
            <c:symbol val="none"/>
          </c:marker>
          <c:dLbls>
            <c:dLbl>
              <c:idx val="45"/>
              <c:spPr>
                <a:noFill/>
                <a:ln w="25400">
                  <a:noFill/>
                </a:ln>
              </c:spPr>
              <c:txPr>
                <a:bodyPr/>
                <a:lstStyle/>
                <a:p>
                  <a:pPr>
                    <a:defRPr sz="1100" b="1" i="0" u="none" strike="noStrike" baseline="0">
                      <a:solidFill>
                        <a:srgbClr val="000000"/>
                      </a:solidFill>
                      <a:latin typeface="Trebuchet MS"/>
                      <a:ea typeface="Trebuchet MS"/>
                      <a:cs typeface="Trebuchet MS"/>
                    </a:defRPr>
                  </a:pPr>
                  <a:endParaRPr lang="en-US"/>
                </a:p>
              </c:txPr>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9-3319-4D78-BF3A-78C96B3D4794}"/>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Ycal!$D$216:$BO$216</c:f>
              <c:numCache>
                <c:formatCode>General</c:formatCode>
                <c:ptCount val="64"/>
                <c:pt idx="0">
                  <c:v>228.0215467293888</c:v>
                </c:pt>
                <c:pt idx="1">
                  <c:v>365.74910031802801</c:v>
                </c:pt>
                <c:pt idx="2">
                  <c:v>454.86777654769088</c:v>
                </c:pt>
                <c:pt idx="3">
                  <c:v>533.14814865139783</c:v>
                </c:pt>
                <c:pt idx="4">
                  <c:v>600.94891616049404</c:v>
                </c:pt>
                <c:pt idx="5">
                  <c:v>662.03366798732975</c:v>
                </c:pt>
                <c:pt idx="6">
                  <c:v>709.33430503618933</c:v>
                </c:pt>
                <c:pt idx="7">
                  <c:v>753.2029291070404</c:v>
                </c:pt>
                <c:pt idx="8">
                  <c:v>795.84782672723577</c:v>
                </c:pt>
                <c:pt idx="9">
                  <c:v>837.26899789677464</c:v>
                </c:pt>
                <c:pt idx="10">
                  <c:v>877.4664426156578</c:v>
                </c:pt>
                <c:pt idx="11">
                  <c:v>916.44016088388548</c:v>
                </c:pt>
                <c:pt idx="12">
                  <c:v>954.19015270145678</c:v>
                </c:pt>
                <c:pt idx="13">
                  <c:v>991.35465774303202</c:v>
                </c:pt>
                <c:pt idx="14">
                  <c:v>1034.628556615773</c:v>
                </c:pt>
                <c:pt idx="15">
                  <c:v>1075.7613190783416</c:v>
                </c:pt>
                <c:pt idx="16">
                  <c:v>1114.9027021682323</c:v>
                </c:pt>
                <c:pt idx="17">
                  <c:v>1152.1715500747027</c:v>
                </c:pt>
                <c:pt idx="18">
                  <c:v>1187.6633790093342</c:v>
                </c:pt>
                <c:pt idx="19">
                  <c:v>1221.4558332855959</c:v>
                </c:pt>
                <c:pt idx="20">
                  <c:v>1253.6126785095998</c:v>
                </c:pt>
                <c:pt idx="21">
                  <c:v>1284.1867699107995</c:v>
                </c:pt>
                <c:pt idx="22">
                  <c:v>1313.2222900955931</c:v>
                </c:pt>
                <c:pt idx="23">
                  <c:v>1340.7564577387791</c:v>
                </c:pt>
                <c:pt idx="24">
                  <c:v>1366.8208476116788</c:v>
                </c:pt>
                <c:pt idx="25">
                  <c:v>1391.4424213203715</c:v>
                </c:pt>
                <c:pt idx="26">
                  <c:v>1414.644340113261</c:v>
                </c:pt>
                <c:pt idx="27">
                  <c:v>1434.0467223688972</c:v>
                </c:pt>
                <c:pt idx="28">
                  <c:v>1450.2270346079631</c:v>
                </c:pt>
                <c:pt idx="29">
                  <c:v>1462.6899574323577</c:v>
                </c:pt>
                <c:pt idx="30">
                  <c:v>1476.66475232176</c:v>
                </c:pt>
                <c:pt idx="31">
                  <c:v>1489.5205677525237</c:v>
                </c:pt>
                <c:pt idx="32">
                  <c:v>1501.2482629579197</c:v>
                </c:pt>
                <c:pt idx="33">
                  <c:v>1511.8397306694712</c:v>
                </c:pt>
                <c:pt idx="34">
                  <c:v>1521.2877550669225</c:v>
                </c:pt>
                <c:pt idx="35">
                  <c:v>1529.585892530419</c:v>
                </c:pt>
                <c:pt idx="36">
                  <c:v>1536.7283710358538</c:v>
                </c:pt>
                <c:pt idx="37">
                  <c:v>1542.7100048792959</c:v>
                </c:pt>
                <c:pt idx="38">
                  <c:v>1547.5261220730144</c:v>
                </c:pt>
                <c:pt idx="39">
                  <c:v>1551.1725022694222</c:v>
                </c:pt>
                <c:pt idx="40">
                  <c:v>1553.6453234739324</c:v>
                </c:pt>
                <c:pt idx="41">
                  <c:v>1532.9551429545459</c:v>
                </c:pt>
                <c:pt idx="42">
                  <c:v>1507.2712154274645</c:v>
                </c:pt>
                <c:pt idx="43">
                  <c:v>1476.2177691604047</c:v>
                </c:pt>
                <c:pt idx="44">
                  <c:v>1439.4902542003183</c:v>
                </c:pt>
                <c:pt idx="45">
                  <c:v>1396.8392319948744</c:v>
                </c:pt>
                <c:pt idx="46">
                  <c:v>1348.0584487461774</c:v>
                </c:pt>
                <c:pt idx="47">
                  <c:v>1295.5963846744689</c:v>
                </c:pt>
                <c:pt idx="48">
                  <c:v>1234.0674084810416</c:v>
                </c:pt>
                <c:pt idx="49">
                  <c:v>1165.9695701832111</c:v>
                </c:pt>
                <c:pt idx="50">
                  <c:v>1090.432911233092</c:v>
                </c:pt>
                <c:pt idx="51">
                  <c:v>1007.835285659386</c:v>
                </c:pt>
                <c:pt idx="52">
                  <c:v>918.77154001427334</c:v>
                </c:pt>
                <c:pt idx="53">
                  <c:v>824.18893241358273</c:v>
                </c:pt>
                <c:pt idx="54">
                  <c:v>723.03098928968029</c:v>
                </c:pt>
                <c:pt idx="55">
                  <c:v>615.1386247925393</c:v>
                </c:pt>
                <c:pt idx="56">
                  <c:v>500.18747513167091</c:v>
                </c:pt>
                <c:pt idx="57">
                  <c:v>377.98837027478294</c:v>
                </c:pt>
                <c:pt idx="58">
                  <c:v>256.65879680046692</c:v>
                </c:pt>
                <c:pt idx="59">
                  <c:v>120.40370265710044</c:v>
                </c:pt>
                <c:pt idx="60">
                  <c:v>80.591904661068838</c:v>
                </c:pt>
                <c:pt idx="61">
                  <c:v>64.741941405178295</c:v>
                </c:pt>
                <c:pt idx="62">
                  <c:v>49.635488410636754</c:v>
                </c:pt>
                <c:pt idx="63">
                  <c:v>0</c:v>
                </c:pt>
              </c:numCache>
            </c:numRef>
          </c:xVal>
          <c:yVal>
            <c:numRef>
              <c:f>Ycal!$D$215:$BO$215</c:f>
              <c:numCache>
                <c:formatCode>General</c:formatCode>
                <c:ptCount val="64"/>
                <c:pt idx="0">
                  <c:v>-692.24012970619208</c:v>
                </c:pt>
                <c:pt idx="1">
                  <c:v>-444.28583323496144</c:v>
                </c:pt>
                <c:pt idx="2">
                  <c:v>-282.17420145271734</c:v>
                </c:pt>
                <c:pt idx="3">
                  <c:v>-137.4802828503648</c:v>
                </c:pt>
                <c:pt idx="4">
                  <c:v>-9.5542594363358795</c:v>
                </c:pt>
                <c:pt idx="5">
                  <c:v>108.42196464507549</c:v>
                </c:pt>
                <c:pt idx="6">
                  <c:v>203.6438620465598</c:v>
                </c:pt>
                <c:pt idx="7">
                  <c:v>294.86524037675258</c:v>
                </c:pt>
                <c:pt idx="8">
                  <c:v>386.08661870694556</c:v>
                </c:pt>
                <c:pt idx="9">
                  <c:v>477.30799703713819</c:v>
                </c:pt>
                <c:pt idx="10">
                  <c:v>568.52937536733111</c:v>
                </c:pt>
                <c:pt idx="11">
                  <c:v>659.75075369752381</c:v>
                </c:pt>
                <c:pt idx="12">
                  <c:v>750.97213202771661</c:v>
                </c:pt>
                <c:pt idx="13">
                  <c:v>845.66220424193023</c:v>
                </c:pt>
                <c:pt idx="14">
                  <c:v>980.20619103125921</c:v>
                </c:pt>
                <c:pt idx="15">
                  <c:v>1109.764254127567</c:v>
                </c:pt>
                <c:pt idx="16">
                  <c:v>1235.1502904737524</c:v>
                </c:pt>
                <c:pt idx="17">
                  <c:v>1357.0101924027429</c:v>
                </c:pt>
                <c:pt idx="18">
                  <c:v>1475.8630697600852</c:v>
                </c:pt>
                <c:pt idx="19">
                  <c:v>1592.1309025102846</c:v>
                </c:pt>
                <c:pt idx="20">
                  <c:v>1706.160242860477</c:v>
                </c:pt>
                <c:pt idx="21">
                  <c:v>1818.2383474924723</c:v>
                </c:pt>
                <c:pt idx="22">
                  <c:v>1928.6053392671247</c:v>
                </c:pt>
                <c:pt idx="23">
                  <c:v>2037.4634935909583</c:v>
                </c:pt>
                <c:pt idx="24">
                  <c:v>2144.9844124820161</c:v>
                </c:pt>
                <c:pt idx="25">
                  <c:v>2251.3146264081215</c:v>
                </c:pt>
                <c:pt idx="26">
                  <c:v>2356.580011719298</c:v>
                </c:pt>
                <c:pt idx="27">
                  <c:v>2473.9321826059654</c:v>
                </c:pt>
                <c:pt idx="28">
                  <c:v>2600.4215731291752</c:v>
                </c:pt>
                <c:pt idx="29">
                  <c:v>2710.4211293881872</c:v>
                </c:pt>
                <c:pt idx="30">
                  <c:v>2832.6229097096825</c:v>
                </c:pt>
                <c:pt idx="31">
                  <c:v>2952.9683515620713</c:v>
                </c:pt>
                <c:pt idx="32">
                  <c:v>3071.6194486846307</c:v>
                </c:pt>
                <c:pt idx="33">
                  <c:v>3188.7198790395059</c:v>
                </c:pt>
                <c:pt idx="34">
                  <c:v>3304.3975222389754</c:v>
                </c:pt>
                <c:pt idx="35">
                  <c:v>3418.7665728693128</c:v>
                </c:pt>
                <c:pt idx="36">
                  <c:v>3531.9293234182182</c:v>
                </c:pt>
                <c:pt idx="37">
                  <c:v>3643.9776755385428</c:v>
                </c:pt>
                <c:pt idx="38">
                  <c:v>3754.9944267444307</c:v>
                </c:pt>
                <c:pt idx="39">
                  <c:v>3865.0543705304613</c:v>
                </c:pt>
                <c:pt idx="40">
                  <c:v>3974.2252407326241</c:v>
                </c:pt>
                <c:pt idx="41">
                  <c:v>4280.6442603300093</c:v>
                </c:pt>
                <c:pt idx="42">
                  <c:v>4578.645573739328</c:v>
                </c:pt>
                <c:pt idx="43">
                  <c:v>4869.4852853048878</c:v>
                </c:pt>
                <c:pt idx="44">
                  <c:v>5154.1814240220137</c:v>
                </c:pt>
                <c:pt idx="45">
                  <c:v>5433.567796221264</c:v>
                </c:pt>
                <c:pt idx="46">
                  <c:v>5708.3338531553845</c:v>
                </c:pt>
                <c:pt idx="47">
                  <c:v>5964.8127481268466</c:v>
                </c:pt>
                <c:pt idx="48">
                  <c:v>6231.9716704411721</c:v>
                </c:pt>
                <c:pt idx="49">
                  <c:v>6495.9780748341209</c:v>
                </c:pt>
                <c:pt idx="50">
                  <c:v>6753.0201680197933</c:v>
                </c:pt>
                <c:pt idx="51">
                  <c:v>7005.937340881389</c:v>
                </c:pt>
                <c:pt idx="52">
                  <c:v>7255.6842160165288</c:v>
                </c:pt>
                <c:pt idx="53">
                  <c:v>7498.6596280397862</c:v>
                </c:pt>
                <c:pt idx="54">
                  <c:v>7739.5989037787231</c:v>
                </c:pt>
                <c:pt idx="55">
                  <c:v>7978.847882037745</c:v>
                </c:pt>
                <c:pt idx="56">
                  <c:v>8215.5947161763434</c:v>
                </c:pt>
                <c:pt idx="57">
                  <c:v>8449.5688443943363</c:v>
                </c:pt>
                <c:pt idx="58">
                  <c:v>8668.5303821508969</c:v>
                </c:pt>
                <c:pt idx="59">
                  <c:v>8901.0698357520141</c:v>
                </c:pt>
                <c:pt idx="60">
                  <c:v>8960.0794177619428</c:v>
                </c:pt>
                <c:pt idx="61">
                  <c:v>8982.6783962200461</c:v>
                </c:pt>
                <c:pt idx="62">
                  <c:v>8982.6783962200461</c:v>
                </c:pt>
                <c:pt idx="63">
                  <c:v>8982.6783962200461</c:v>
                </c:pt>
              </c:numCache>
            </c:numRef>
          </c:yVal>
          <c:smooth val="1"/>
          <c:extLst>
            <c:ext xmlns:c16="http://schemas.microsoft.com/office/drawing/2014/chart" uri="{C3380CC4-5D6E-409C-BE32-E72D297353CC}">
              <c16:uniqueId val="{0000000A-3319-4D78-BF3A-78C96B3D4794}"/>
            </c:ext>
          </c:extLst>
        </c:ser>
        <c:ser>
          <c:idx val="5"/>
          <c:order val="6"/>
          <c:tx>
            <c:strRef>
              <c:f>CHARTS!$L$24</c:f>
              <c:strCache>
                <c:ptCount val="1"/>
                <c:pt idx="0">
                  <c:v>8H16</c:v>
                </c:pt>
              </c:strCache>
            </c:strRef>
          </c:tx>
          <c:spPr>
            <a:ln w="25400">
              <a:solidFill>
                <a:srgbClr val="000000"/>
              </a:solidFill>
              <a:prstDash val="solid"/>
            </a:ln>
          </c:spPr>
          <c:marker>
            <c:symbol val="none"/>
          </c:marker>
          <c:dLbls>
            <c:dLbl>
              <c:idx val="45"/>
              <c:spPr>
                <a:noFill/>
                <a:ln w="25400">
                  <a:noFill/>
                </a:ln>
              </c:spPr>
              <c:txPr>
                <a:bodyPr/>
                <a:lstStyle/>
                <a:p>
                  <a:pPr>
                    <a:defRPr sz="1125" b="1" i="0" u="none" strike="noStrike" baseline="0">
                      <a:solidFill>
                        <a:srgbClr val="000000"/>
                      </a:solidFill>
                      <a:latin typeface="Trebuchet MS"/>
                      <a:ea typeface="Trebuchet MS"/>
                      <a:cs typeface="Trebuchet MS"/>
                    </a:defRPr>
                  </a:pPr>
                  <a:endParaRPr lang="en-US"/>
                </a:p>
              </c:txPr>
              <c:dLblPos val="b"/>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3319-4D78-BF3A-78C96B3D4794}"/>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Ycal!$D$320:$BO$320</c:f>
              <c:numCache>
                <c:formatCode>General</c:formatCode>
                <c:ptCount val="64"/>
                <c:pt idx="0">
                  <c:v>135.98029574724376</c:v>
                </c:pt>
                <c:pt idx="1">
                  <c:v>264.09364172268914</c:v>
                </c:pt>
                <c:pt idx="2">
                  <c:v>347.21849314605964</c:v>
                </c:pt>
                <c:pt idx="3">
                  <c:v>419.06895892472471</c:v>
                </c:pt>
                <c:pt idx="4">
                  <c:v>482.23895265180602</c:v>
                </c:pt>
                <c:pt idx="5">
                  <c:v>539.95013289847861</c:v>
                </c:pt>
                <c:pt idx="6">
                  <c:v>588.08001652918506</c:v>
                </c:pt>
                <c:pt idx="7">
                  <c:v>632.95192668336881</c:v>
                </c:pt>
                <c:pt idx="8">
                  <c:v>676.56853909335132</c:v>
                </c:pt>
                <c:pt idx="9">
                  <c:v>718.92985375913327</c:v>
                </c:pt>
                <c:pt idx="10">
                  <c:v>760.03587068071397</c:v>
                </c:pt>
                <c:pt idx="11">
                  <c:v>799.88658985809377</c:v>
                </c:pt>
                <c:pt idx="12">
                  <c:v>838.48201129127256</c:v>
                </c:pt>
                <c:pt idx="13">
                  <c:v>875.82213498025055</c:v>
                </c:pt>
                <c:pt idx="14">
                  <c:v>916.29673955497765</c:v>
                </c:pt>
                <c:pt idx="15">
                  <c:v>955.84877388485302</c:v>
                </c:pt>
                <c:pt idx="16">
                  <c:v>993.61827743460958</c:v>
                </c:pt>
                <c:pt idx="17">
                  <c:v>1029.6888747038329</c:v>
                </c:pt>
                <c:pt idx="18">
                  <c:v>1064.127393319955</c:v>
                </c:pt>
                <c:pt idx="19">
                  <c:v>1096.9878796806399</c:v>
                </c:pt>
                <c:pt idx="20">
                  <c:v>1128.3145151382198</c:v>
                </c:pt>
                <c:pt idx="21">
                  <c:v>1158.1437685952624</c:v>
                </c:pt>
                <c:pt idx="22">
                  <c:v>1186.5060090227835</c:v>
                </c:pt>
                <c:pt idx="23">
                  <c:v>1213.4267296429198</c:v>
                </c:pt>
                <c:pt idx="24">
                  <c:v>1238.9274886736771</c:v>
                </c:pt>
                <c:pt idx="25">
                  <c:v>1263.0266403536536</c:v>
                </c:pt>
                <c:pt idx="26">
                  <c:v>1285.7399088376915</c:v>
                </c:pt>
                <c:pt idx="27">
                  <c:v>1305.8727857515792</c:v>
                </c:pt>
                <c:pt idx="28">
                  <c:v>1323.0765372630262</c:v>
                </c:pt>
                <c:pt idx="29">
                  <c:v>1337.4263401645183</c:v>
                </c:pt>
                <c:pt idx="30">
                  <c:v>1352.2806488167862</c:v>
                </c:pt>
                <c:pt idx="31">
                  <c:v>1365.9492801200824</c:v>
                </c:pt>
                <c:pt idx="32">
                  <c:v>1378.4260755758296</c:v>
                </c:pt>
                <c:pt idx="33">
                  <c:v>1389.7055822414034</c:v>
                </c:pt>
                <c:pt idx="34">
                  <c:v>1399.7829545024274</c:v>
                </c:pt>
                <c:pt idx="35">
                  <c:v>1408.653871810852</c:v>
                </c:pt>
                <c:pt idx="36">
                  <c:v>1416.314469441128</c:v>
                </c:pt>
                <c:pt idx="37">
                  <c:v>1422.7612799227272</c:v>
                </c:pt>
                <c:pt idx="38">
                  <c:v>1427.9911832766488</c:v>
                </c:pt>
                <c:pt idx="39">
                  <c:v>1432.001364549646</c:v>
                </c:pt>
                <c:pt idx="40">
                  <c:v>1434.7892774273887</c:v>
                </c:pt>
                <c:pt idx="41">
                  <c:v>1422.5260584844241</c:v>
                </c:pt>
                <c:pt idx="42">
                  <c:v>1404.3823401610321</c:v>
                </c:pt>
                <c:pt idx="43">
                  <c:v>1380.1188471490473</c:v>
                </c:pt>
                <c:pt idx="44">
                  <c:v>1349.5415339902543</c:v>
                </c:pt>
                <c:pt idx="45">
                  <c:v>1312.4913801682487</c:v>
                </c:pt>
                <c:pt idx="46">
                  <c:v>1268.8368288639499</c:v>
                </c:pt>
                <c:pt idx="47">
                  <c:v>1220.1513045546949</c:v>
                </c:pt>
                <c:pt idx="48">
                  <c:v>1162.9760803597555</c:v>
                </c:pt>
                <c:pt idx="49">
                  <c:v>1098.9161492156145</c:v>
                </c:pt>
                <c:pt idx="50">
                  <c:v>1027.3723600239173</c:v>
                </c:pt>
                <c:pt idx="51">
                  <c:v>948.67195786048296</c:v>
                </c:pt>
                <c:pt idx="52">
                  <c:v>863.16113402320389</c:v>
                </c:pt>
                <c:pt idx="53">
                  <c:v>771.42549560385578</c:v>
                </c:pt>
                <c:pt idx="54">
                  <c:v>672.80217529811125</c:v>
                </c:pt>
                <c:pt idx="55">
                  <c:v>567.18932009772834</c:v>
                </c:pt>
                <c:pt idx="56">
                  <c:v>454.39959766797801</c:v>
                </c:pt>
                <c:pt idx="57">
                  <c:v>334.26954777890751</c:v>
                </c:pt>
                <c:pt idx="58">
                  <c:v>212.03459167254186</c:v>
                </c:pt>
                <c:pt idx="59">
                  <c:v>77.549341995983923</c:v>
                </c:pt>
                <c:pt idx="60">
                  <c:v>51.884822370379879</c:v>
                </c:pt>
                <c:pt idx="61">
                  <c:v>41.735638916848984</c:v>
                </c:pt>
                <c:pt idx="62">
                  <c:v>31.997323169584888</c:v>
                </c:pt>
                <c:pt idx="63">
                  <c:v>0</c:v>
                </c:pt>
              </c:numCache>
            </c:numRef>
          </c:xVal>
          <c:yVal>
            <c:numRef>
              <c:f>Ycal!$D$319:$BO$319</c:f>
              <c:numCache>
                <c:formatCode>General</c:formatCode>
                <c:ptCount val="64"/>
                <c:pt idx="0">
                  <c:v>-464.42774905207392</c:v>
                </c:pt>
                <c:pt idx="1">
                  <c:v>-235.37712300599333</c:v>
                </c:pt>
                <c:pt idx="2">
                  <c:v>-85.267285421779036</c:v>
                </c:pt>
                <c:pt idx="3">
                  <c:v>46.75755595213856</c:v>
                </c:pt>
                <c:pt idx="4">
                  <c:v>165.379555615979</c:v>
                </c:pt>
                <c:pt idx="5">
                  <c:v>276.41398174875809</c:v>
                </c:pt>
                <c:pt idx="6">
                  <c:v>372.41952905163657</c:v>
                </c:pt>
                <c:pt idx="7">
                  <c:v>464.8101382095299</c:v>
                </c:pt>
                <c:pt idx="8">
                  <c:v>557.20074736742299</c:v>
                </c:pt>
                <c:pt idx="9">
                  <c:v>649.5913565253162</c:v>
                </c:pt>
                <c:pt idx="10">
                  <c:v>741.98196568320941</c:v>
                </c:pt>
                <c:pt idx="11">
                  <c:v>834.37257484110251</c:v>
                </c:pt>
                <c:pt idx="12">
                  <c:v>926.7631839989956</c:v>
                </c:pt>
                <c:pt idx="13">
                  <c:v>1019.1537931568887</c:v>
                </c:pt>
                <c:pt idx="14">
                  <c:v>1135.3157667368953</c:v>
                </c:pt>
                <c:pt idx="15">
                  <c:v>1253.2795137790808</c:v>
                </c:pt>
                <c:pt idx="16">
                  <c:v>1368.388208280197</c:v>
                </c:pt>
                <c:pt idx="17">
                  <c:v>1481.0946904907012</c:v>
                </c:pt>
                <c:pt idx="18">
                  <c:v>1591.760842869619</c:v>
                </c:pt>
                <c:pt idx="19">
                  <c:v>1700.6793354403965</c:v>
                </c:pt>
                <c:pt idx="20">
                  <c:v>1808.0894174033906</c:v>
                </c:pt>
                <c:pt idx="21">
                  <c:v>1914.188573790557</c:v>
                </c:pt>
                <c:pt idx="22">
                  <c:v>2019.1412575135357</c:v>
                </c:pt>
                <c:pt idx="23">
                  <c:v>2123.0855185116866</c:v>
                </c:pt>
                <c:pt idx="24">
                  <c:v>2226.1380980377567</c:v>
                </c:pt>
                <c:pt idx="25">
                  <c:v>2328.3983872754879</c:v>
                </c:pt>
                <c:pt idx="26">
                  <c:v>2429.951535077817</c:v>
                </c:pt>
                <c:pt idx="27">
                  <c:v>2537.412737093437</c:v>
                </c:pt>
                <c:pt idx="28">
                  <c:v>2652.7975612104228</c:v>
                </c:pt>
                <c:pt idx="29">
                  <c:v>2757.5799677153118</c:v>
                </c:pt>
                <c:pt idx="30">
                  <c:v>2870.1294095198832</c:v>
                </c:pt>
                <c:pt idx="31">
                  <c:v>2981.4539228937338</c:v>
                </c:pt>
                <c:pt idx="32">
                  <c:v>3091.6618628666674</c:v>
                </c:pt>
                <c:pt idx="33">
                  <c:v>3200.8491706413702</c:v>
                </c:pt>
                <c:pt idx="34">
                  <c:v>3309.1011018501331</c:v>
                </c:pt>
                <c:pt idx="35">
                  <c:v>3416.4936739031182</c:v>
                </c:pt>
                <c:pt idx="36">
                  <c:v>3523.0948842914063</c:v>
                </c:pt>
                <c:pt idx="37">
                  <c:v>3628.9657410460395</c:v>
                </c:pt>
                <c:pt idx="38">
                  <c:v>3734.1611382963556</c:v>
                </c:pt>
                <c:pt idx="39">
                  <c:v>3838.7306034294429</c:v>
                </c:pt>
                <c:pt idx="40">
                  <c:v>3942.7189372943099</c:v>
                </c:pt>
                <c:pt idx="41">
                  <c:v>4219.6326064992409</c:v>
                </c:pt>
                <c:pt idx="42">
                  <c:v>4491.1962843601186</c:v>
                </c:pt>
                <c:pt idx="43">
                  <c:v>4758.2060677070585</c:v>
                </c:pt>
                <c:pt idx="44">
                  <c:v>5021.307568389303</c:v>
                </c:pt>
                <c:pt idx="45">
                  <c:v>5281.029866193664</c:v>
                </c:pt>
                <c:pt idx="46">
                  <c:v>5537.8106659859386</c:v>
                </c:pt>
                <c:pt idx="47">
                  <c:v>5782.9003999472097</c:v>
                </c:pt>
                <c:pt idx="48">
                  <c:v>6034.835857914647</c:v>
                </c:pt>
                <c:pt idx="49">
                  <c:v>6284.7624401274625</c:v>
                </c:pt>
                <c:pt idx="50">
                  <c:v>6530.0186720518777</c:v>
                </c:pt>
                <c:pt idx="51">
                  <c:v>6772.8768511870758</c:v>
                </c:pt>
                <c:pt idx="52">
                  <c:v>7013.6720266910643</c:v>
                </c:pt>
                <c:pt idx="53">
                  <c:v>7250.1949824000567</c:v>
                </c:pt>
                <c:pt idx="54">
                  <c:v>7485.4165361979476</c:v>
                </c:pt>
                <c:pt idx="55">
                  <c:v>7719.5573083191839</c:v>
                </c:pt>
                <c:pt idx="56">
                  <c:v>7952.2098333998374</c:v>
                </c:pt>
                <c:pt idx="57">
                  <c:v>8182.9726529239406</c:v>
                </c:pt>
                <c:pt idx="58">
                  <c:v>8404.1274132657982</c:v>
                </c:pt>
                <c:pt idx="59">
                  <c:v>8633.9719318793304</c:v>
                </c:pt>
                <c:pt idx="60">
                  <c:v>8671.8748981790413</c:v>
                </c:pt>
                <c:pt idx="61">
                  <c:v>8686.5141735808302</c:v>
                </c:pt>
                <c:pt idx="62">
                  <c:v>8686.5141735808302</c:v>
                </c:pt>
                <c:pt idx="63">
                  <c:v>8686.5141735808302</c:v>
                </c:pt>
              </c:numCache>
            </c:numRef>
          </c:yVal>
          <c:smooth val="1"/>
          <c:extLst>
            <c:ext xmlns:c16="http://schemas.microsoft.com/office/drawing/2014/chart" uri="{C3380CC4-5D6E-409C-BE32-E72D297353CC}">
              <c16:uniqueId val="{0000000C-3319-4D78-BF3A-78C96B3D4794}"/>
            </c:ext>
          </c:extLst>
        </c:ser>
        <c:ser>
          <c:idx val="4"/>
          <c:order val="7"/>
          <c:tx>
            <c:strRef>
              <c:f>CHARTS!$L$22</c:f>
              <c:strCache>
                <c:ptCount val="1"/>
                <c:pt idx="0">
                  <c:v>8H16</c:v>
                </c:pt>
              </c:strCache>
            </c:strRef>
          </c:tx>
          <c:spPr>
            <a:ln w="25400">
              <a:solidFill>
                <a:srgbClr val="FF0000"/>
              </a:solidFill>
              <a:prstDash val="solid"/>
            </a:ln>
          </c:spPr>
          <c:marker>
            <c:symbol val="none"/>
          </c:marker>
          <c:dLbls>
            <c:dLbl>
              <c:idx val="45"/>
              <c:spPr>
                <a:noFill/>
                <a:ln w="25400">
                  <a:noFill/>
                </a:ln>
              </c:spPr>
              <c:txPr>
                <a:bodyPr/>
                <a:lstStyle/>
                <a:p>
                  <a:pPr>
                    <a:defRPr sz="1125" b="1" i="0" u="none" strike="noStrike" baseline="0">
                      <a:solidFill>
                        <a:srgbClr val="000000"/>
                      </a:solidFill>
                      <a:latin typeface="Trebuchet MS"/>
                      <a:ea typeface="Trebuchet MS"/>
                      <a:cs typeface="Trebuchet MS"/>
                    </a:defRPr>
                  </a:pPr>
                  <a:endParaRPr lang="en-US"/>
                </a:p>
              </c:txPr>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D-3319-4D78-BF3A-78C96B3D4794}"/>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Ycal!$D$268:$BO$268</c:f>
              <c:numCache>
                <c:formatCode>General</c:formatCode>
                <c:ptCount val="64"/>
                <c:pt idx="0">
                  <c:v>135.98029574724376</c:v>
                </c:pt>
                <c:pt idx="1">
                  <c:v>264.09364172268914</c:v>
                </c:pt>
                <c:pt idx="2">
                  <c:v>347.21849314605964</c:v>
                </c:pt>
                <c:pt idx="3">
                  <c:v>419.06895892472471</c:v>
                </c:pt>
                <c:pt idx="4">
                  <c:v>482.23895265180602</c:v>
                </c:pt>
                <c:pt idx="5">
                  <c:v>539.95013289847861</c:v>
                </c:pt>
                <c:pt idx="6">
                  <c:v>588.08001652918506</c:v>
                </c:pt>
                <c:pt idx="7">
                  <c:v>632.95192668336881</c:v>
                </c:pt>
                <c:pt idx="8">
                  <c:v>676.56853909335132</c:v>
                </c:pt>
                <c:pt idx="9">
                  <c:v>718.92985375913327</c:v>
                </c:pt>
                <c:pt idx="10">
                  <c:v>760.03587068071397</c:v>
                </c:pt>
                <c:pt idx="11">
                  <c:v>799.88658985809377</c:v>
                </c:pt>
                <c:pt idx="12">
                  <c:v>838.48201129127256</c:v>
                </c:pt>
                <c:pt idx="13">
                  <c:v>875.82213498025055</c:v>
                </c:pt>
                <c:pt idx="14">
                  <c:v>916.29673955497765</c:v>
                </c:pt>
                <c:pt idx="15">
                  <c:v>955.84877388485302</c:v>
                </c:pt>
                <c:pt idx="16">
                  <c:v>993.61827743460958</c:v>
                </c:pt>
                <c:pt idx="17">
                  <c:v>1029.6888747038329</c:v>
                </c:pt>
                <c:pt idx="18">
                  <c:v>1064.127393319955</c:v>
                </c:pt>
                <c:pt idx="19">
                  <c:v>1096.9878796806399</c:v>
                </c:pt>
                <c:pt idx="20">
                  <c:v>1128.3145151382198</c:v>
                </c:pt>
                <c:pt idx="21">
                  <c:v>1158.1437685952624</c:v>
                </c:pt>
                <c:pt idx="22">
                  <c:v>1186.5060090227835</c:v>
                </c:pt>
                <c:pt idx="23">
                  <c:v>1213.4267296429198</c:v>
                </c:pt>
                <c:pt idx="24">
                  <c:v>1238.9274886736771</c:v>
                </c:pt>
                <c:pt idx="25">
                  <c:v>1263.0266403536536</c:v>
                </c:pt>
                <c:pt idx="26">
                  <c:v>1285.7399088376915</c:v>
                </c:pt>
                <c:pt idx="27">
                  <c:v>1305.8727857515792</c:v>
                </c:pt>
                <c:pt idx="28">
                  <c:v>1323.0765372630262</c:v>
                </c:pt>
                <c:pt idx="29">
                  <c:v>1337.4263401645183</c:v>
                </c:pt>
                <c:pt idx="30">
                  <c:v>1352.2806488167862</c:v>
                </c:pt>
                <c:pt idx="31">
                  <c:v>1365.9492801200824</c:v>
                </c:pt>
                <c:pt idx="32">
                  <c:v>1378.4260755758296</c:v>
                </c:pt>
                <c:pt idx="33">
                  <c:v>1389.7055822414034</c:v>
                </c:pt>
                <c:pt idx="34">
                  <c:v>1399.7829545024274</c:v>
                </c:pt>
                <c:pt idx="35">
                  <c:v>1408.653871810852</c:v>
                </c:pt>
                <c:pt idx="36">
                  <c:v>1416.314469441128</c:v>
                </c:pt>
                <c:pt idx="37">
                  <c:v>1422.7612799227272</c:v>
                </c:pt>
                <c:pt idx="38">
                  <c:v>1427.9911832766488</c:v>
                </c:pt>
                <c:pt idx="39">
                  <c:v>1432.001364549646</c:v>
                </c:pt>
                <c:pt idx="40">
                  <c:v>1434.7892774273887</c:v>
                </c:pt>
                <c:pt idx="41">
                  <c:v>1422.5260584844241</c:v>
                </c:pt>
                <c:pt idx="42">
                  <c:v>1404.3823401610321</c:v>
                </c:pt>
                <c:pt idx="43">
                  <c:v>1380.1188471490473</c:v>
                </c:pt>
                <c:pt idx="44">
                  <c:v>1349.5415339902543</c:v>
                </c:pt>
                <c:pt idx="45">
                  <c:v>1312.4913801682487</c:v>
                </c:pt>
                <c:pt idx="46">
                  <c:v>1268.8368288639499</c:v>
                </c:pt>
                <c:pt idx="47">
                  <c:v>1220.1513045546949</c:v>
                </c:pt>
                <c:pt idx="48">
                  <c:v>1162.9760803597555</c:v>
                </c:pt>
                <c:pt idx="49">
                  <c:v>1098.9161492156145</c:v>
                </c:pt>
                <c:pt idx="50">
                  <c:v>1027.3723600239173</c:v>
                </c:pt>
                <c:pt idx="51">
                  <c:v>948.67195786048296</c:v>
                </c:pt>
                <c:pt idx="52">
                  <c:v>863.16113402320389</c:v>
                </c:pt>
                <c:pt idx="53">
                  <c:v>771.42549560385578</c:v>
                </c:pt>
                <c:pt idx="54">
                  <c:v>672.80217529811125</c:v>
                </c:pt>
                <c:pt idx="55">
                  <c:v>567.18932009772834</c:v>
                </c:pt>
                <c:pt idx="56">
                  <c:v>454.39959766797801</c:v>
                </c:pt>
                <c:pt idx="57">
                  <c:v>334.26954777890751</c:v>
                </c:pt>
                <c:pt idx="58">
                  <c:v>212.03459167254186</c:v>
                </c:pt>
                <c:pt idx="59">
                  <c:v>77.549341995983923</c:v>
                </c:pt>
                <c:pt idx="60">
                  <c:v>51.884822370379879</c:v>
                </c:pt>
                <c:pt idx="61">
                  <c:v>41.735638916848984</c:v>
                </c:pt>
                <c:pt idx="62">
                  <c:v>31.997323169584888</c:v>
                </c:pt>
                <c:pt idx="63">
                  <c:v>0</c:v>
                </c:pt>
              </c:numCache>
            </c:numRef>
          </c:xVal>
          <c:yVal>
            <c:numRef>
              <c:f>Ycal!$D$267:$BO$267</c:f>
              <c:numCache>
                <c:formatCode>General</c:formatCode>
                <c:ptCount val="64"/>
                <c:pt idx="0">
                  <c:v>-464.42774905207392</c:v>
                </c:pt>
                <c:pt idx="1">
                  <c:v>-235.37712300599333</c:v>
                </c:pt>
                <c:pt idx="2">
                  <c:v>-85.267285421779036</c:v>
                </c:pt>
                <c:pt idx="3">
                  <c:v>46.75755595213856</c:v>
                </c:pt>
                <c:pt idx="4">
                  <c:v>165.379555615979</c:v>
                </c:pt>
                <c:pt idx="5">
                  <c:v>276.41398174875809</c:v>
                </c:pt>
                <c:pt idx="6">
                  <c:v>372.41952905163657</c:v>
                </c:pt>
                <c:pt idx="7">
                  <c:v>464.8101382095299</c:v>
                </c:pt>
                <c:pt idx="8">
                  <c:v>557.20074736742299</c:v>
                </c:pt>
                <c:pt idx="9">
                  <c:v>649.5913565253162</c:v>
                </c:pt>
                <c:pt idx="10">
                  <c:v>741.98196568320941</c:v>
                </c:pt>
                <c:pt idx="11">
                  <c:v>834.37257484110251</c:v>
                </c:pt>
                <c:pt idx="12">
                  <c:v>926.7631839989956</c:v>
                </c:pt>
                <c:pt idx="13">
                  <c:v>1019.1537931568887</c:v>
                </c:pt>
                <c:pt idx="14">
                  <c:v>1135.3157667368953</c:v>
                </c:pt>
                <c:pt idx="15">
                  <c:v>1253.2795137790808</c:v>
                </c:pt>
                <c:pt idx="16">
                  <c:v>1368.388208280197</c:v>
                </c:pt>
                <c:pt idx="17">
                  <c:v>1481.0946904907012</c:v>
                </c:pt>
                <c:pt idx="18">
                  <c:v>1591.760842869619</c:v>
                </c:pt>
                <c:pt idx="19">
                  <c:v>1700.6793354403965</c:v>
                </c:pt>
                <c:pt idx="20">
                  <c:v>1808.0894174033906</c:v>
                </c:pt>
                <c:pt idx="21">
                  <c:v>1914.188573790557</c:v>
                </c:pt>
                <c:pt idx="22">
                  <c:v>2019.1412575135357</c:v>
                </c:pt>
                <c:pt idx="23">
                  <c:v>2123.0855185116866</c:v>
                </c:pt>
                <c:pt idx="24">
                  <c:v>2226.1380980377567</c:v>
                </c:pt>
                <c:pt idx="25">
                  <c:v>2328.3983872754879</c:v>
                </c:pt>
                <c:pt idx="26">
                  <c:v>2429.951535077817</c:v>
                </c:pt>
                <c:pt idx="27">
                  <c:v>2537.412737093437</c:v>
                </c:pt>
                <c:pt idx="28">
                  <c:v>2652.7975612104228</c:v>
                </c:pt>
                <c:pt idx="29">
                  <c:v>2757.5799677153118</c:v>
                </c:pt>
                <c:pt idx="30">
                  <c:v>2870.1294095198832</c:v>
                </c:pt>
                <c:pt idx="31">
                  <c:v>2981.4539228937338</c:v>
                </c:pt>
                <c:pt idx="32">
                  <c:v>3091.6618628666674</c:v>
                </c:pt>
                <c:pt idx="33">
                  <c:v>3200.8491706413702</c:v>
                </c:pt>
                <c:pt idx="34">
                  <c:v>3309.1011018501331</c:v>
                </c:pt>
                <c:pt idx="35">
                  <c:v>3416.4936739031182</c:v>
                </c:pt>
                <c:pt idx="36">
                  <c:v>3523.0948842914063</c:v>
                </c:pt>
                <c:pt idx="37">
                  <c:v>3628.9657410460395</c:v>
                </c:pt>
                <c:pt idx="38">
                  <c:v>3734.1611382963556</c:v>
                </c:pt>
                <c:pt idx="39">
                  <c:v>3838.7306034294429</c:v>
                </c:pt>
                <c:pt idx="40">
                  <c:v>3942.7189372943099</c:v>
                </c:pt>
                <c:pt idx="41">
                  <c:v>4219.6326064992409</c:v>
                </c:pt>
                <c:pt idx="42">
                  <c:v>4491.1962843601186</c:v>
                </c:pt>
                <c:pt idx="43">
                  <c:v>4758.2060677070585</c:v>
                </c:pt>
                <c:pt idx="44">
                  <c:v>5021.307568389303</c:v>
                </c:pt>
                <c:pt idx="45">
                  <c:v>5281.029866193664</c:v>
                </c:pt>
                <c:pt idx="46">
                  <c:v>5537.8106659859386</c:v>
                </c:pt>
                <c:pt idx="47">
                  <c:v>5782.9003999472097</c:v>
                </c:pt>
                <c:pt idx="48">
                  <c:v>6034.835857914647</c:v>
                </c:pt>
                <c:pt idx="49">
                  <c:v>6284.7624401274625</c:v>
                </c:pt>
                <c:pt idx="50">
                  <c:v>6530.0186720518777</c:v>
                </c:pt>
                <c:pt idx="51">
                  <c:v>6772.8768511870758</c:v>
                </c:pt>
                <c:pt idx="52">
                  <c:v>7013.6720266910643</c:v>
                </c:pt>
                <c:pt idx="53">
                  <c:v>7250.1949824000567</c:v>
                </c:pt>
                <c:pt idx="54">
                  <c:v>7485.4165361979476</c:v>
                </c:pt>
                <c:pt idx="55">
                  <c:v>7719.5573083191839</c:v>
                </c:pt>
                <c:pt idx="56">
                  <c:v>7952.2098333998374</c:v>
                </c:pt>
                <c:pt idx="57">
                  <c:v>8182.9726529239406</c:v>
                </c:pt>
                <c:pt idx="58">
                  <c:v>8404.1274132657982</c:v>
                </c:pt>
                <c:pt idx="59">
                  <c:v>8633.9719318793304</c:v>
                </c:pt>
                <c:pt idx="60">
                  <c:v>8671.8748981790413</c:v>
                </c:pt>
                <c:pt idx="61">
                  <c:v>8686.5141735808302</c:v>
                </c:pt>
                <c:pt idx="62">
                  <c:v>8686.5141735808302</c:v>
                </c:pt>
                <c:pt idx="63">
                  <c:v>8686.5141735808302</c:v>
                </c:pt>
              </c:numCache>
            </c:numRef>
          </c:yVal>
          <c:smooth val="1"/>
          <c:extLst>
            <c:ext xmlns:c16="http://schemas.microsoft.com/office/drawing/2014/chart" uri="{C3380CC4-5D6E-409C-BE32-E72D297353CC}">
              <c16:uniqueId val="{0000000E-3319-4D78-BF3A-78C96B3D4794}"/>
            </c:ext>
          </c:extLst>
        </c:ser>
        <c:dLbls>
          <c:showLegendKey val="0"/>
          <c:showVal val="0"/>
          <c:showCatName val="0"/>
          <c:showSerName val="0"/>
          <c:showPercent val="0"/>
          <c:showBubbleSize val="0"/>
        </c:dLbls>
        <c:axId val="461884344"/>
        <c:axId val="461878072"/>
      </c:scatterChart>
      <c:valAx>
        <c:axId val="461884344"/>
        <c:scaling>
          <c:orientation val="minMax"/>
          <c:min val="0"/>
        </c:scaling>
        <c:delete val="0"/>
        <c:axPos val="b"/>
        <c:majorGridlines>
          <c:spPr>
            <a:ln w="3175">
              <a:solidFill>
                <a:srgbClr val="002469"/>
              </a:solidFill>
              <a:prstDash val="solid"/>
            </a:ln>
          </c:spPr>
        </c:majorGridlines>
        <c:minorGridlines>
          <c:spPr>
            <a:ln w="3175">
              <a:solidFill>
                <a:srgbClr val="BAC0D9"/>
              </a:solidFill>
              <a:prstDash val="solid"/>
            </a:ln>
          </c:spPr>
        </c:minorGridlines>
        <c:numFmt formatCode="0" sourceLinked="0"/>
        <c:majorTickMark val="out"/>
        <c:minorTickMark val="none"/>
        <c:tickLblPos val="low"/>
        <c:spPr>
          <a:ln w="12700">
            <a:solidFill>
              <a:srgbClr val="000000"/>
            </a:solidFill>
            <a:prstDash val="solid"/>
          </a:ln>
        </c:spPr>
        <c:txPr>
          <a:bodyPr rot="0" vert="horz"/>
          <a:lstStyle/>
          <a:p>
            <a:pPr>
              <a:defRPr sz="1100" b="1" i="0" u="none" strike="noStrike" baseline="0">
                <a:solidFill>
                  <a:srgbClr val="000000"/>
                </a:solidFill>
                <a:latin typeface="Trebuchet MS"/>
                <a:ea typeface="Trebuchet MS"/>
                <a:cs typeface="Trebuchet MS"/>
              </a:defRPr>
            </a:pPr>
            <a:endParaRPr lang="en-US"/>
          </a:p>
        </c:txPr>
        <c:crossAx val="461878072"/>
        <c:crosses val="autoZero"/>
        <c:crossBetween val="midCat"/>
      </c:valAx>
      <c:valAx>
        <c:axId val="461878072"/>
        <c:scaling>
          <c:orientation val="minMax"/>
          <c:min val="0"/>
        </c:scaling>
        <c:delete val="0"/>
        <c:axPos val="l"/>
        <c:majorGridlines>
          <c:spPr>
            <a:ln w="3175">
              <a:solidFill>
                <a:srgbClr val="002469"/>
              </a:solidFill>
              <a:prstDash val="solid"/>
            </a:ln>
          </c:spPr>
        </c:majorGridlines>
        <c:minorGridlines>
          <c:spPr>
            <a:ln w="3175">
              <a:solidFill>
                <a:srgbClr val="BAC0D9"/>
              </a:solidFill>
              <a:prstDash val="solid"/>
            </a:ln>
          </c:spPr>
        </c:minorGridlines>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Trebuchet MS"/>
                <a:ea typeface="Trebuchet MS"/>
                <a:cs typeface="Trebuchet MS"/>
              </a:defRPr>
            </a:pPr>
            <a:endParaRPr lang="en-US"/>
          </a:p>
        </c:txPr>
        <c:crossAx val="461884344"/>
        <c:crosses val="autoZero"/>
        <c:crossBetween val="midCat"/>
      </c:valAx>
      <c:spPr>
        <a:solidFill>
          <a:srgbClr val="F7F3DD"/>
        </a:solidFill>
        <a:ln w="12700">
          <a:solidFill>
            <a:srgbClr val="002469"/>
          </a:solidFill>
          <a:prstDash val="solid"/>
        </a:ln>
      </c:spPr>
    </c:plotArea>
    <c:plotVisOnly val="1"/>
    <c:dispBlanksAs val="gap"/>
    <c:showDLblsOverMax val="0"/>
  </c:chart>
  <c:spPr>
    <a:solidFill>
      <a:srgbClr val="E5E9F0"/>
    </a:solidFill>
    <a:ln w="9525">
      <a:noFill/>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horizontalDpi="300" verticalDpi="300"/>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1700984028778997E-2"/>
          <c:y val="4.1203453548394511E-2"/>
          <c:w val="0.89011072073459219"/>
          <c:h val="0.86919666294946518"/>
        </c:manualLayout>
      </c:layout>
      <c:scatterChart>
        <c:scatterStyle val="smoothMarker"/>
        <c:varyColors val="0"/>
        <c:ser>
          <c:idx val="6"/>
          <c:order val="0"/>
          <c:tx>
            <c:v>Cases</c:v>
          </c:tx>
          <c:spPr>
            <a:ln w="28575">
              <a:noFill/>
            </a:ln>
          </c:spPr>
          <c:marker>
            <c:symbol val="circle"/>
            <c:size val="6"/>
            <c:spPr>
              <a:solidFill>
                <a:srgbClr val="FF0000"/>
              </a:solidFill>
              <a:ln>
                <a:solidFill>
                  <a:srgbClr val="000000"/>
                </a:solidFill>
                <a:prstDash val="solid"/>
              </a:ln>
            </c:spPr>
          </c:marker>
          <c:dLbls>
            <c:numFmt formatCode="0" sourceLinked="0"/>
            <c:spPr>
              <a:noFill/>
              <a:ln w="25400">
                <a:noFill/>
              </a:ln>
            </c:spPr>
            <c:txPr>
              <a:bodyPr/>
              <a:lstStyle/>
              <a:p>
                <a:pPr algn="l">
                  <a:defRPr sz="1025" b="0" i="0" u="none" strike="noStrike" baseline="0">
                    <a:solidFill>
                      <a:srgbClr val="002469"/>
                    </a:solidFill>
                    <a:latin typeface="Tekton"/>
                    <a:ea typeface="Tekton"/>
                    <a:cs typeface="Tekton"/>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MAIN!$E$51:$E$56</c:f>
              <c:numCache>
                <c:formatCode>0.0</c:formatCode>
                <c:ptCount val="6"/>
                <c:pt idx="0">
                  <c:v>15.42623314118196</c:v>
                </c:pt>
                <c:pt idx="1">
                  <c:v>14.710938341181979</c:v>
                </c:pt>
                <c:pt idx="2">
                  <c:v>14.710938341181979</c:v>
                </c:pt>
                <c:pt idx="3">
                  <c:v>#N/A</c:v>
                </c:pt>
                <c:pt idx="4">
                  <c:v>#N/A</c:v>
                </c:pt>
                <c:pt idx="5">
                  <c:v>#N/A</c:v>
                </c:pt>
              </c:numCache>
            </c:numRef>
          </c:xVal>
          <c:yVal>
            <c:numRef>
              <c:f>MAIN!$C$42:$C$47</c:f>
              <c:numCache>
                <c:formatCode>General</c:formatCode>
                <c:ptCount val="6"/>
                <c:pt idx="0">
                  <c:v>771.31165705909802</c:v>
                </c:pt>
                <c:pt idx="1">
                  <c:v>735.54691705909897</c:v>
                </c:pt>
                <c:pt idx="2">
                  <c:v>735.54691705909897</c:v>
                </c:pt>
              </c:numCache>
            </c:numRef>
          </c:yVal>
          <c:smooth val="1"/>
          <c:extLst>
            <c:ext xmlns:c16="http://schemas.microsoft.com/office/drawing/2014/chart" uri="{C3380CC4-5D6E-409C-BE32-E72D297353CC}">
              <c16:uniqueId val="{00000000-3391-4A0E-866C-79E950690FFB}"/>
            </c:ext>
          </c:extLst>
        </c:ser>
        <c:ser>
          <c:idx val="0"/>
          <c:order val="1"/>
          <c:tx>
            <c:strRef>
              <c:f>CHARTS!$L$37</c:f>
              <c:strCache>
                <c:ptCount val="1"/>
                <c:pt idx="0">
                  <c:v>8H40</c:v>
                </c:pt>
              </c:strCache>
            </c:strRef>
          </c:tx>
          <c:spPr>
            <a:ln w="25400">
              <a:solidFill>
                <a:srgbClr val="BC0000"/>
              </a:solidFill>
              <a:prstDash val="solid"/>
            </a:ln>
          </c:spPr>
          <c:marker>
            <c:symbol val="none"/>
          </c:marker>
          <c:dLbls>
            <c:dLbl>
              <c:idx val="46"/>
              <c:spPr>
                <a:noFill/>
                <a:ln w="25400">
                  <a:noFill/>
                </a:ln>
              </c:spPr>
              <c:txPr>
                <a:bodyPr/>
                <a:lstStyle/>
                <a:p>
                  <a:pPr>
                    <a:defRPr sz="1025" b="1" i="0" u="none" strike="noStrike" baseline="0">
                      <a:solidFill>
                        <a:srgbClr val="000000"/>
                      </a:solidFill>
                      <a:latin typeface="Trebuchet MS"/>
                      <a:ea typeface="Trebuchet MS"/>
                      <a:cs typeface="Trebuchet MS"/>
                    </a:defRPr>
                  </a:pPr>
                  <a:endParaRPr lang="en-US"/>
                </a:p>
              </c:txPr>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91-4A0E-866C-79E950690FFB}"/>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Zcal!$D$60:$BO$60</c:f>
              <c:numCache>
                <c:formatCode>General</c:formatCode>
                <c:ptCount val="64"/>
                <c:pt idx="0">
                  <c:v>357.51770601057535</c:v>
                </c:pt>
                <c:pt idx="1">
                  <c:v>373.85457241749822</c:v>
                </c:pt>
                <c:pt idx="2">
                  <c:v>389.31357095873977</c:v>
                </c:pt>
                <c:pt idx="3">
                  <c:v>403.97425732478933</c:v>
                </c:pt>
                <c:pt idx="4">
                  <c:v>417.90588475252218</c:v>
                </c:pt>
                <c:pt idx="5">
                  <c:v>431.16901943469492</c:v>
                </c:pt>
                <c:pt idx="6">
                  <c:v>443.81686121888998</c:v>
                </c:pt>
                <c:pt idx="7">
                  <c:v>445.64217205072976</c:v>
                </c:pt>
                <c:pt idx="8">
                  <c:v>457.19480960620518</c:v>
                </c:pt>
                <c:pt idx="9">
                  <c:v>468.25752625179371</c:v>
                </c:pt>
                <c:pt idx="10">
                  <c:v>478.86323031031793</c:v>
                </c:pt>
                <c:pt idx="11">
                  <c:v>489.04135583576897</c:v>
                </c:pt>
                <c:pt idx="12">
                  <c:v>498.81830931458359</c:v>
                </c:pt>
                <c:pt idx="13">
                  <c:v>508.21784917368137</c:v>
                </c:pt>
                <c:pt idx="14">
                  <c:v>517.26140959868803</c:v>
                </c:pt>
                <c:pt idx="15">
                  <c:v>525.96837796878583</c:v>
                </c:pt>
                <c:pt idx="16">
                  <c:v>534.35633347867974</c:v>
                </c:pt>
                <c:pt idx="17">
                  <c:v>542.44125313820746</c:v>
                </c:pt>
                <c:pt idx="18">
                  <c:v>550.23769023683838</c:v>
                </c:pt>
                <c:pt idx="19">
                  <c:v>557.75892947340503</c:v>
                </c:pt>
                <c:pt idx="20">
                  <c:v>565.0171222347609</c:v>
                </c:pt>
                <c:pt idx="21">
                  <c:v>572.0234049250746</c:v>
                </c:pt>
                <c:pt idx="22">
                  <c:v>578.78800277264691</c:v>
                </c:pt>
                <c:pt idx="23">
                  <c:v>585.32032115195636</c:v>
                </c:pt>
                <c:pt idx="24">
                  <c:v>591.62902613830181</c:v>
                </c:pt>
                <c:pt idx="25">
                  <c:v>597.72211574762491</c:v>
                </c:pt>
                <c:pt idx="26">
                  <c:v>603.6069830943768</c:v>
                </c:pt>
                <c:pt idx="27">
                  <c:v>609.29047251726649</c:v>
                </c:pt>
                <c:pt idx="28">
                  <c:v>614.77892956971311</c:v>
                </c:pt>
                <c:pt idx="29">
                  <c:v>620.07824564344889</c:v>
                </c:pt>
                <c:pt idx="30">
                  <c:v>625.19389788565832</c:v>
                </c:pt>
                <c:pt idx="31">
                  <c:v>630.13098497877354</c:v>
                </c:pt>
                <c:pt idx="32">
                  <c:v>634.89425927472735</c:v>
                </c:pt>
                <c:pt idx="33">
                  <c:v>639.48815570977661</c:v>
                </c:pt>
                <c:pt idx="34">
                  <c:v>643.91681787001392</c:v>
                </c:pt>
                <c:pt idx="35">
                  <c:v>648.18412152984979</c:v>
                </c:pt>
                <c:pt idx="36">
                  <c:v>652.2936959447411</c:v>
                </c:pt>
                <c:pt idx="37">
                  <c:v>656.24894314423227</c:v>
                </c:pt>
                <c:pt idx="38">
                  <c:v>660.05305544102487</c:v>
                </c:pt>
                <c:pt idx="39">
                  <c:v>663.70903134561058</c:v>
                </c:pt>
                <c:pt idx="40">
                  <c:v>667.21969005332858</c:v>
                </c:pt>
                <c:pt idx="41">
                  <c:v>644.21332649574128</c:v>
                </c:pt>
                <c:pt idx="42">
                  <c:v>615.68930662006551</c:v>
                </c:pt>
                <c:pt idx="43">
                  <c:v>588.96915764188225</c:v>
                </c:pt>
                <c:pt idx="44">
                  <c:v>563.26826274050541</c:v>
                </c:pt>
                <c:pt idx="45">
                  <c:v>537.98243874983132</c:v>
                </c:pt>
                <c:pt idx="46">
                  <c:v>512.63888934386364</c:v>
                </c:pt>
                <c:pt idx="47">
                  <c:v>486.86233201442735</c:v>
                </c:pt>
                <c:pt idx="48">
                  <c:v>460.35109062191714</c:v>
                </c:pt>
                <c:pt idx="49">
                  <c:v>432.85989284162008</c:v>
                </c:pt>
                <c:pt idx="50">
                  <c:v>404.18727666658765</c:v>
                </c:pt>
                <c:pt idx="51">
                  <c:v>374.16622683723585</c:v>
                </c:pt>
                <c:pt idx="52">
                  <c:v>342.65711435234084</c:v>
                </c:pt>
                <c:pt idx="53">
                  <c:v>320.51447621916725</c:v>
                </c:pt>
                <c:pt idx="54">
                  <c:v>288.47015179435914</c:v>
                </c:pt>
                <c:pt idx="55">
                  <c:v>254.84748917382001</c:v>
                </c:pt>
                <c:pt idx="56">
                  <c:v>219.4749596574984</c:v>
                </c:pt>
                <c:pt idx="57">
                  <c:v>182.22178638173398</c:v>
                </c:pt>
                <c:pt idx="58">
                  <c:v>142.98652054434353</c:v>
                </c:pt>
                <c:pt idx="59">
                  <c:v>101.68925646715365</c:v>
                </c:pt>
                <c:pt idx="60">
                  <c:v>71.251321383416553</c:v>
                </c:pt>
                <c:pt idx="61">
                  <c:v>49.566136614550715</c:v>
                </c:pt>
                <c:pt idx="62">
                  <c:v>38.000704737822161</c:v>
                </c:pt>
                <c:pt idx="63">
                  <c:v>0</c:v>
                </c:pt>
              </c:numCache>
            </c:numRef>
          </c:xVal>
          <c:yVal>
            <c:numRef>
              <c:f>Zcal!$D$59:$BO$59</c:f>
              <c:numCache>
                <c:formatCode>General</c:formatCode>
                <c:ptCount val="64"/>
                <c:pt idx="0">
                  <c:v>-919.29486794997172</c:v>
                </c:pt>
                <c:pt idx="1">
                  <c:v>-743.93073799683009</c:v>
                </c:pt>
                <c:pt idx="2">
                  <c:v>-577.37314476781012</c:v>
                </c:pt>
                <c:pt idx="3">
                  <c:v>-418.73813614636521</c:v>
                </c:pt>
                <c:pt idx="4">
                  <c:v>-267.25623172276607</c:v>
                </c:pt>
                <c:pt idx="5">
                  <c:v>-122.25447379972087</c:v>
                </c:pt>
                <c:pt idx="6">
                  <c:v>16.858247040353483</c:v>
                </c:pt>
                <c:pt idx="7">
                  <c:v>36.668174637707878</c:v>
                </c:pt>
                <c:pt idx="8">
                  <c:v>165.50706094779656</c:v>
                </c:pt>
                <c:pt idx="9">
                  <c:v>289.84993226481299</c:v>
                </c:pt>
                <c:pt idx="10">
                  <c:v>410.06243662011741</c:v>
                </c:pt>
                <c:pt idx="11">
                  <c:v>526.47161905805831</c:v>
                </c:pt>
                <c:pt idx="12">
                  <c:v>639.37088498348714</c:v>
                </c:pt>
                <c:pt idx="13">
                  <c:v>749.02421691773316</c:v>
                </c:pt>
                <c:pt idx="14">
                  <c:v>855.66977247886155</c:v>
                </c:pt>
                <c:pt idx="15">
                  <c:v>959.5229669911165</c:v>
                </c:pt>
                <c:pt idx="16">
                  <c:v>1060.779124840109</c:v>
                </c:pt>
                <c:pt idx="17">
                  <c:v>1159.6157683573736</c:v>
                </c:pt>
                <c:pt idx="18">
                  <c:v>1256.1946007592296</c:v>
                </c:pt>
                <c:pt idx="19">
                  <c:v>1350.6632298104896</c:v>
                </c:pt>
                <c:pt idx="20">
                  <c:v>1443.1566709206327</c:v>
                </c:pt>
                <c:pt idx="21">
                  <c:v>1533.7986619137575</c:v>
                </c:pt>
                <c:pt idx="22">
                  <c:v>1622.7028164376472</c:v>
                </c:pt>
                <c:pt idx="23">
                  <c:v>1709.973638653177</c:v>
                </c:pt>
                <c:pt idx="24">
                  <c:v>1795.7074182858894</c:v>
                </c:pt>
                <c:pt idx="25">
                  <c:v>1879.9930221795785</c:v>
                </c:pt>
                <c:pt idx="26">
                  <c:v>1962.9125960503695</c:v>
                </c:pt>
                <c:pt idx="27">
                  <c:v>2044.5421881061422</c:v>
                </c:pt>
                <c:pt idx="28">
                  <c:v>2124.9523044959942</c:v>
                </c:pt>
                <c:pt idx="29">
                  <c:v>2204.2084051280631</c:v>
                </c:pt>
                <c:pt idx="30">
                  <c:v>2282.3713471932901</c:v>
                </c:pt>
                <c:pt idx="31">
                  <c:v>2359.4977827186954</c:v>
                </c:pt>
                <c:pt idx="32">
                  <c:v>2435.6405156146443</c:v>
                </c:pt>
                <c:pt idx="33">
                  <c:v>2510.8488229506574</c:v>
                </c:pt>
                <c:pt idx="34">
                  <c:v>2585.1687445722109</c:v>
                </c:pt>
                <c:pt idx="35">
                  <c:v>2658.6433446394149</c:v>
                </c:pt>
                <c:pt idx="36">
                  <c:v>2731.3129482129107</c:v>
                </c:pt>
                <c:pt idx="37">
                  <c:v>2803.2153556209628</c:v>
                </c:pt>
                <c:pt idx="38">
                  <c:v>2874.3860370047009</c:v>
                </c:pt>
                <c:pt idx="39">
                  <c:v>2944.8583091473683</c:v>
                </c:pt>
                <c:pt idx="40">
                  <c:v>3014.6634964416185</c:v>
                </c:pt>
                <c:pt idx="41">
                  <c:v>3793.331968242388</c:v>
                </c:pt>
                <c:pt idx="42">
                  <c:v>4419.9461627924666</c:v>
                </c:pt>
                <c:pt idx="43">
                  <c:v>4998.9195172131303</c:v>
                </c:pt>
                <c:pt idx="44">
                  <c:v>5538.9699961786637</c:v>
                </c:pt>
                <c:pt idx="45">
                  <c:v>6046.8107459791099</c:v>
                </c:pt>
                <c:pt idx="46">
                  <c:v>6527.6950591255381</c:v>
                </c:pt>
                <c:pt idx="47">
                  <c:v>6985.7927412643376</c:v>
                </c:pt>
                <c:pt idx="48">
                  <c:v>7424.4557495022364</c:v>
                </c:pt>
                <c:pt idx="49">
                  <c:v>7846.4093318915966</c:v>
                </c:pt>
                <c:pt idx="50">
                  <c:v>8253.891955176292</c:v>
                </c:pt>
                <c:pt idx="51">
                  <c:v>8648.7593444628146</c:v>
                </c:pt>
                <c:pt idx="52">
                  <c:v>9032.5629330980901</c:v>
                </c:pt>
                <c:pt idx="53">
                  <c:v>9284.6967543347382</c:v>
                </c:pt>
                <c:pt idx="54">
                  <c:v>9619.2514819878234</c:v>
                </c:pt>
                <c:pt idx="55">
                  <c:v>9943.7454705473065</c:v>
                </c:pt>
                <c:pt idx="56">
                  <c:v>10260.084594458203</c:v>
                </c:pt>
                <c:pt idx="57">
                  <c:v>10569.721929983412</c:v>
                </c:pt>
                <c:pt idx="58">
                  <c:v>10873.78468603607</c:v>
                </c:pt>
                <c:pt idx="59">
                  <c:v>11173.160703484777</c:v>
                </c:pt>
                <c:pt idx="60">
                  <c:v>11450.713584880188</c:v>
                </c:pt>
                <c:pt idx="61">
                  <c:v>11450.713584880188</c:v>
                </c:pt>
                <c:pt idx="62">
                  <c:v>11450.713584880188</c:v>
                </c:pt>
                <c:pt idx="63">
                  <c:v>11450.713584880188</c:v>
                </c:pt>
              </c:numCache>
            </c:numRef>
          </c:yVal>
          <c:smooth val="1"/>
          <c:extLst>
            <c:ext xmlns:c16="http://schemas.microsoft.com/office/drawing/2014/chart" uri="{C3380CC4-5D6E-409C-BE32-E72D297353CC}">
              <c16:uniqueId val="{00000002-3391-4A0E-866C-79E950690FFB}"/>
            </c:ext>
          </c:extLst>
        </c:ser>
        <c:ser>
          <c:idx val="1"/>
          <c:order val="2"/>
          <c:tx>
            <c:strRef>
              <c:f>CHARTS!$L$39</c:f>
              <c:strCache>
                <c:ptCount val="1"/>
                <c:pt idx="0">
                  <c:v>8H32</c:v>
                </c:pt>
              </c:strCache>
            </c:strRef>
          </c:tx>
          <c:spPr>
            <a:ln w="25400">
              <a:solidFill>
                <a:srgbClr val="007854"/>
              </a:solidFill>
              <a:prstDash val="solid"/>
            </a:ln>
          </c:spPr>
          <c:marker>
            <c:symbol val="none"/>
          </c:marker>
          <c:dLbls>
            <c:dLbl>
              <c:idx val="46"/>
              <c:spPr>
                <a:noFill/>
                <a:ln w="25400">
                  <a:noFill/>
                </a:ln>
              </c:spPr>
              <c:txPr>
                <a:bodyPr/>
                <a:lstStyle/>
                <a:p>
                  <a:pPr>
                    <a:defRPr sz="1025" b="1" i="0" u="none" strike="noStrike" baseline="0">
                      <a:solidFill>
                        <a:srgbClr val="000000"/>
                      </a:solidFill>
                      <a:latin typeface="Trebuchet MS"/>
                      <a:ea typeface="Trebuchet MS"/>
                      <a:cs typeface="Trebuchet MS"/>
                    </a:defRPr>
                  </a:pPr>
                  <a:endParaRPr lang="en-US"/>
                </a:p>
              </c:txPr>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3391-4A0E-866C-79E950690FFB}"/>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Zcal!$D$112:$BO$112</c:f>
              <c:numCache>
                <c:formatCode>General</c:formatCode>
                <c:ptCount val="64"/>
                <c:pt idx="0">
                  <c:v>237.46659203711187</c:v>
                </c:pt>
                <c:pt idx="1">
                  <c:v>256.80049290191118</c:v>
                </c:pt>
                <c:pt idx="2">
                  <c:v>274.71710603462577</c:v>
                </c:pt>
                <c:pt idx="3">
                  <c:v>291.40159152403822</c:v>
                </c:pt>
                <c:pt idx="4">
                  <c:v>307.00549718855007</c:v>
                </c:pt>
                <c:pt idx="5">
                  <c:v>321.65405454575881</c:v>
                </c:pt>
                <c:pt idx="6">
                  <c:v>335.45165343217803</c:v>
                </c:pt>
                <c:pt idx="7">
                  <c:v>348.48600454173493</c:v>
                </c:pt>
                <c:pt idx="8">
                  <c:v>353.83117051426245</c:v>
                </c:pt>
                <c:pt idx="9">
                  <c:v>365.55074685504951</c:v>
                </c:pt>
                <c:pt idx="10">
                  <c:v>376.69878795883562</c:v>
                </c:pt>
                <c:pt idx="11">
                  <c:v>387.32204981607151</c:v>
                </c:pt>
                <c:pt idx="12">
                  <c:v>397.46106151267838</c:v>
                </c:pt>
                <c:pt idx="13">
                  <c:v>407.15112844262705</c:v>
                </c:pt>
                <c:pt idx="14">
                  <c:v>416.42314762261981</c:v>
                </c:pt>
                <c:pt idx="15">
                  <c:v>425.30427492399377</c:v>
                </c:pt>
                <c:pt idx="16">
                  <c:v>433.8184746782822</c:v>
                </c:pt>
                <c:pt idx="17">
                  <c:v>441.98697515832316</c:v>
                </c:pt>
                <c:pt idx="18">
                  <c:v>449.82864821920589</c:v>
                </c:pt>
                <c:pt idx="19">
                  <c:v>457.36032743370299</c:v>
                </c:pt>
                <c:pt idx="20">
                  <c:v>464.59707604178129</c:v>
                </c:pt>
                <c:pt idx="21">
                  <c:v>471.55241371388098</c:v>
                </c:pt>
                <c:pt idx="22">
                  <c:v>478.23850932928957</c:v>
                </c:pt>
                <c:pt idx="23">
                  <c:v>484.66634556698517</c:v>
                </c:pt>
                <c:pt idx="24">
                  <c:v>490.84586000298009</c:v>
                </c:pt>
                <c:pt idx="25">
                  <c:v>496.78606653559268</c:v>
                </c:pt>
                <c:pt idx="26">
                  <c:v>502.4951602658212</c:v>
                </c:pt>
                <c:pt idx="27">
                  <c:v>507.98060840448045</c:v>
                </c:pt>
                <c:pt idx="28">
                  <c:v>513.24922933085418</c:v>
                </c:pt>
                <c:pt idx="29">
                  <c:v>518.3072615662262</c:v>
                </c:pt>
                <c:pt idx="30">
                  <c:v>523.16042413196999</c:v>
                </c:pt>
                <c:pt idx="31">
                  <c:v>527.81396952209798</c:v>
                </c:pt>
                <c:pt idx="32">
                  <c:v>532.27273032353287</c:v>
                </c:pt>
                <c:pt idx="33">
                  <c:v>536.54116035537959</c:v>
                </c:pt>
                <c:pt idx="34">
                  <c:v>540.6233710645364</c:v>
                </c:pt>
                <c:pt idx="35">
                  <c:v>544.52316380375362</c:v>
                </c:pt>
                <c:pt idx="36">
                  <c:v>548.24405852555105</c:v>
                </c:pt>
                <c:pt idx="37">
                  <c:v>551.00483608694321</c:v>
                </c:pt>
                <c:pt idx="38">
                  <c:v>552.92977106852641</c:v>
                </c:pt>
                <c:pt idx="39">
                  <c:v>554.73568808140851</c:v>
                </c:pt>
                <c:pt idx="40">
                  <c:v>556.42258712558964</c:v>
                </c:pt>
                <c:pt idx="41">
                  <c:v>537.34755714255198</c:v>
                </c:pt>
                <c:pt idx="42">
                  <c:v>519.2465196586802</c:v>
                </c:pt>
                <c:pt idx="43">
                  <c:v>501.48280056908618</c:v>
                </c:pt>
                <c:pt idx="44">
                  <c:v>483.57028883635576</c:v>
                </c:pt>
                <c:pt idx="45">
                  <c:v>465.13141376823273</c:v>
                </c:pt>
                <c:pt idx="46">
                  <c:v>445.86845262720658</c:v>
                </c:pt>
                <c:pt idx="47">
                  <c:v>425.54348292065549</c:v>
                </c:pt>
                <c:pt idx="48">
                  <c:v>403.96408602895474</c:v>
                </c:pt>
                <c:pt idx="49">
                  <c:v>380.97296505926192</c:v>
                </c:pt>
                <c:pt idx="50">
                  <c:v>356.4402811930031</c:v>
                </c:pt>
                <c:pt idx="51">
                  <c:v>330.25791279771249</c:v>
                </c:pt>
                <c:pt idx="52">
                  <c:v>302.33509708127508</c:v>
                </c:pt>
                <c:pt idx="53">
                  <c:v>273.1997965151686</c:v>
                </c:pt>
                <c:pt idx="54">
                  <c:v>250.31948274908132</c:v>
                </c:pt>
                <c:pt idx="55">
                  <c:v>218.66226232325846</c:v>
                </c:pt>
                <c:pt idx="56">
                  <c:v>185.11187948348197</c:v>
                </c:pt>
                <c:pt idx="57">
                  <c:v>149.57906359753861</c:v>
                </c:pt>
                <c:pt idx="58">
                  <c:v>111.99421942217214</c:v>
                </c:pt>
                <c:pt idx="59">
                  <c:v>72.302289574282895</c:v>
                </c:pt>
                <c:pt idx="60">
                  <c:v>51.88362886870641</c:v>
                </c:pt>
                <c:pt idx="61">
                  <c:v>36.092959213013273</c:v>
                </c:pt>
                <c:pt idx="62">
                  <c:v>27.671268729976759</c:v>
                </c:pt>
                <c:pt idx="63">
                  <c:v>0</c:v>
                </c:pt>
              </c:numCache>
            </c:numRef>
          </c:xVal>
          <c:yVal>
            <c:numRef>
              <c:f>Zcal!$D$111:$BO$111</c:f>
              <c:numCache>
                <c:formatCode>General</c:formatCode>
                <c:ptCount val="64"/>
                <c:pt idx="0">
                  <c:v>-699.35075268596688</c:v>
                </c:pt>
                <c:pt idx="1">
                  <c:v>-506.98168985603701</c:v>
                </c:pt>
                <c:pt idx="2">
                  <c:v>-328.13627039468685</c:v>
                </c:pt>
                <c:pt idx="3">
                  <c:v>-160.88574337709719</c:v>
                </c:pt>
                <c:pt idx="4">
                  <c:v>-3.651485694919713</c:v>
                </c:pt>
                <c:pt idx="5">
                  <c:v>144.87099762681964</c:v>
                </c:pt>
                <c:pt idx="6">
                  <c:v>285.76910071847215</c:v>
                </c:pt>
                <c:pt idx="7">
                  <c:v>419.95647664177699</c:v>
                </c:pt>
                <c:pt idx="8">
                  <c:v>475.28794456166378</c:v>
                </c:pt>
                <c:pt idx="9">
                  <c:v>598.25929099155587</c:v>
                </c:pt>
                <c:pt idx="10">
                  <c:v>716.51691587665766</c:v>
                </c:pt>
                <c:pt idx="11">
                  <c:v>830.5478607841651</c:v>
                </c:pt>
                <c:pt idx="12">
                  <c:v>940.7743036924229</c:v>
                </c:pt>
                <c:pt idx="13">
                  <c:v>1047.5640091219598</c:v>
                </c:pt>
                <c:pt idx="14">
                  <c:v>1151.2388209967608</c:v>
                </c:pt>
                <c:pt idx="15">
                  <c:v>1252.0816129765847</c:v>
                </c:pt>
                <c:pt idx="16">
                  <c:v>1350.3420135149031</c:v>
                </c:pt>
                <c:pt idx="17">
                  <c:v>1446.2411504537799</c:v>
                </c:pt>
                <c:pt idx="18">
                  <c:v>1539.9756056170604</c:v>
                </c:pt>
                <c:pt idx="19">
                  <c:v>1631.7207287211306</c:v>
                </c:pt>
                <c:pt idx="20">
                  <c:v>1721.6334285156388</c:v>
                </c:pt>
                <c:pt idx="21">
                  <c:v>1809.854534901006</c:v>
                </c:pt>
                <c:pt idx="22">
                  <c:v>1896.5108070364763</c:v>
                </c:pt>
                <c:pt idx="23">
                  <c:v>1981.7166478280742</c:v>
                </c:pt>
                <c:pt idx="24">
                  <c:v>2065.5755736925935</c:v>
                </c:pt>
                <c:pt idx="25">
                  <c:v>2148.181479404182</c:v>
                </c:pt>
                <c:pt idx="26">
                  <c:v>2229.6197305982391</c:v>
                </c:pt>
                <c:pt idx="27">
                  <c:v>2309.9681107207521</c:v>
                </c:pt>
                <c:pt idx="28">
                  <c:v>2389.2976445559293</c:v>
                </c:pt>
                <c:pt idx="29">
                  <c:v>2467.6733167004754</c:v>
                </c:pt>
                <c:pt idx="30">
                  <c:v>2545.1547002936927</c:v>
                </c:pt>
                <c:pt idx="31">
                  <c:v>2621.7965088148853</c:v>
                </c:pt>
                <c:pt idx="32">
                  <c:v>2697.6490817111603</c:v>
                </c:pt>
                <c:pt idx="33">
                  <c:v>2772.7588129315272</c:v>
                </c:pt>
                <c:pt idx="34">
                  <c:v>2847.1685300478457</c:v>
                </c:pt>
                <c:pt idx="35">
                  <c:v>2920.9178304845946</c:v>
                </c:pt>
                <c:pt idx="36">
                  <c:v>2994.0433804138597</c:v>
                </c:pt>
                <c:pt idx="37">
                  <c:v>3058.4074804295356</c:v>
                </c:pt>
                <c:pt idx="38">
                  <c:v>3115.3046574128412</c:v>
                </c:pt>
                <c:pt idx="39">
                  <c:v>3172.2018343961445</c:v>
                </c:pt>
                <c:pt idx="40">
                  <c:v>3229.099011379446</c:v>
                </c:pt>
                <c:pt idx="41">
                  <c:v>3747.1409789014888</c:v>
                </c:pt>
                <c:pt idx="42">
                  <c:v>4230.0012134016315</c:v>
                </c:pt>
                <c:pt idx="43">
                  <c:v>4684.3117368057892</c:v>
                </c:pt>
                <c:pt idx="44">
                  <c:v>5115.1362057536953</c:v>
                </c:pt>
                <c:pt idx="45">
                  <c:v>5526.4076482896862</c:v>
                </c:pt>
                <c:pt idx="46">
                  <c:v>5921.2273429294946</c:v>
                </c:pt>
                <c:pt idx="47">
                  <c:v>6302.0736489712672</c:v>
                </c:pt>
                <c:pt idx="48">
                  <c:v>6670.9509270360868</c:v>
                </c:pt>
                <c:pt idx="49">
                  <c:v>7029.4976864244036</c:v>
                </c:pt>
                <c:pt idx="50">
                  <c:v>7379.0664148296937</c:v>
                </c:pt>
                <c:pt idx="51">
                  <c:v>7720.783379256809</c:v>
                </c:pt>
                <c:pt idx="52">
                  <c:v>8055.594025456945</c:v>
                </c:pt>
                <c:pt idx="53">
                  <c:v>8377.9987443522132</c:v>
                </c:pt>
                <c:pt idx="54">
                  <c:v>8610.2113729250268</c:v>
                </c:pt>
                <c:pt idx="55">
                  <c:v>8908.8141347144956</c:v>
                </c:pt>
                <c:pt idx="56">
                  <c:v>9202.1013604937234</c:v>
                </c:pt>
                <c:pt idx="57">
                  <c:v>9491.0029526815997</c:v>
                </c:pt>
                <c:pt idx="58">
                  <c:v>9776.2438617287135</c:v>
                </c:pt>
                <c:pt idx="59">
                  <c:v>10058.397602042349</c:v>
                </c:pt>
                <c:pt idx="60">
                  <c:v>10266.056694323323</c:v>
                </c:pt>
                <c:pt idx="61">
                  <c:v>10266.056694323321</c:v>
                </c:pt>
                <c:pt idx="62">
                  <c:v>10266.056694323323</c:v>
                </c:pt>
                <c:pt idx="63">
                  <c:v>10266.056694323323</c:v>
                </c:pt>
              </c:numCache>
            </c:numRef>
          </c:yVal>
          <c:smooth val="1"/>
          <c:extLst>
            <c:ext xmlns:c16="http://schemas.microsoft.com/office/drawing/2014/chart" uri="{C3380CC4-5D6E-409C-BE32-E72D297353CC}">
              <c16:uniqueId val="{00000004-3391-4A0E-866C-79E950690FFB}"/>
            </c:ext>
          </c:extLst>
        </c:ser>
        <c:ser>
          <c:idx val="2"/>
          <c:order val="3"/>
          <c:tx>
            <c:strRef>
              <c:f>CHARTS!$L$41</c:f>
              <c:strCache>
                <c:ptCount val="1"/>
                <c:pt idx="0">
                  <c:v>8H25</c:v>
                </c:pt>
              </c:strCache>
            </c:strRef>
          </c:tx>
          <c:spPr>
            <a:ln w="25400">
              <a:solidFill>
                <a:srgbClr val="0000FF"/>
              </a:solidFill>
              <a:prstDash val="solid"/>
            </a:ln>
          </c:spPr>
          <c:marker>
            <c:symbol val="none"/>
          </c:marker>
          <c:dLbls>
            <c:dLbl>
              <c:idx val="46"/>
              <c:spPr>
                <a:noFill/>
                <a:ln w="25400">
                  <a:noFill/>
                </a:ln>
              </c:spPr>
              <c:txPr>
                <a:bodyPr/>
                <a:lstStyle/>
                <a:p>
                  <a:pPr>
                    <a:defRPr sz="1025" b="1" i="0" u="none" strike="noStrike" baseline="0">
                      <a:solidFill>
                        <a:srgbClr val="000000"/>
                      </a:solidFill>
                      <a:latin typeface="Trebuchet MS"/>
                      <a:ea typeface="Trebuchet MS"/>
                      <a:cs typeface="Trebuchet MS"/>
                    </a:defRPr>
                  </a:pPr>
                  <a:endParaRPr lang="en-US"/>
                </a:p>
              </c:txPr>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3391-4A0E-866C-79E950690FFB}"/>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Zcal!$D$164:$BO$164</c:f>
              <c:numCache>
                <c:formatCode>General</c:formatCode>
                <c:ptCount val="64"/>
                <c:pt idx="0">
                  <c:v>145.94260350665769</c:v>
                </c:pt>
                <c:pt idx="1">
                  <c:v>166.94153060442645</c:v>
                </c:pt>
                <c:pt idx="2">
                  <c:v>185.97291827236458</c:v>
                </c:pt>
                <c:pt idx="3">
                  <c:v>203.38266493025819</c:v>
                </c:pt>
                <c:pt idx="4">
                  <c:v>219.43421824627777</c:v>
                </c:pt>
                <c:pt idx="5">
                  <c:v>234.33176040442092</c:v>
                </c:pt>
                <c:pt idx="6">
                  <c:v>248.23598627344197</c:v>
                </c:pt>
                <c:pt idx="7">
                  <c:v>261.27509568364297</c:v>
                </c:pt>
                <c:pt idx="8">
                  <c:v>273.55261193255569</c:v>
                </c:pt>
                <c:pt idx="9">
                  <c:v>280.72470987172022</c:v>
                </c:pt>
                <c:pt idx="10">
                  <c:v>291.71773524464982</c:v>
                </c:pt>
                <c:pt idx="11">
                  <c:v>302.16130477528202</c:v>
                </c:pt>
                <c:pt idx="12">
                  <c:v>312.10401729122788</c:v>
                </c:pt>
                <c:pt idx="13">
                  <c:v>321.58693132131435</c:v>
                </c:pt>
                <c:pt idx="14">
                  <c:v>330.6449728736863</c:v>
                </c:pt>
                <c:pt idx="15">
                  <c:v>339.30803916746436</c:v>
                </c:pt>
                <c:pt idx="16">
                  <c:v>347.6018722673075</c:v>
                </c:pt>
                <c:pt idx="17">
                  <c:v>355.54875670528855</c:v>
                </c:pt>
                <c:pt idx="18">
                  <c:v>363.16808111785519</c:v>
                </c:pt>
                <c:pt idx="19">
                  <c:v>370.47679384969888</c:v>
                </c:pt>
                <c:pt idx="20">
                  <c:v>377.48977516676393</c:v>
                </c:pt>
                <c:pt idx="21">
                  <c:v>384.22014335848792</c:v>
                </c:pt>
                <c:pt idx="22">
                  <c:v>390.67950803473093</c:v>
                </c:pt>
                <c:pt idx="23">
                  <c:v>396.87818094798871</c:v>
                </c:pt>
                <c:pt idx="24">
                  <c:v>402.82535242452019</c:v>
                </c:pt>
                <c:pt idx="25">
                  <c:v>408.52923977633952</c:v>
                </c:pt>
                <c:pt idx="26">
                  <c:v>413.99721275156736</c:v>
                </c:pt>
                <c:pt idx="27">
                  <c:v>419.23590006356409</c:v>
                </c:pt>
                <c:pt idx="28">
                  <c:v>424.25128024665889</c:v>
                </c:pt>
                <c:pt idx="29">
                  <c:v>429.04875946440717</c:v>
                </c:pt>
                <c:pt idx="30">
                  <c:v>433.63323840526709</c:v>
                </c:pt>
                <c:pt idx="31">
                  <c:v>438.00917001047583</c:v>
                </c:pt>
                <c:pt idx="32">
                  <c:v>442.18060946720732</c:v>
                </c:pt>
                <c:pt idx="33">
                  <c:v>446.07067141336984</c:v>
                </c:pt>
                <c:pt idx="34">
                  <c:v>448.73802539828893</c:v>
                </c:pt>
                <c:pt idx="35">
                  <c:v>451.25736362348334</c:v>
                </c:pt>
                <c:pt idx="36">
                  <c:v>453.62868608895326</c:v>
                </c:pt>
                <c:pt idx="37">
                  <c:v>455.85199279469839</c:v>
                </c:pt>
                <c:pt idx="38">
                  <c:v>457.9272837407193</c:v>
                </c:pt>
                <c:pt idx="39">
                  <c:v>459.85455892701543</c:v>
                </c:pt>
                <c:pt idx="40">
                  <c:v>461.63381835358717</c:v>
                </c:pt>
                <c:pt idx="41">
                  <c:v>451.67628643966015</c:v>
                </c:pt>
                <c:pt idx="42">
                  <c:v>441.40856862561049</c:v>
                </c:pt>
                <c:pt idx="43">
                  <c:v>430.45220005955963</c:v>
                </c:pt>
                <c:pt idx="44">
                  <c:v>418.51659745811196</c:v>
                </c:pt>
                <c:pt idx="45">
                  <c:v>405.3749504327493</c:v>
                </c:pt>
                <c:pt idx="46">
                  <c:v>390.84763653703237</c:v>
                </c:pt>
                <c:pt idx="47">
                  <c:v>374.79055617302242</c:v>
                </c:pt>
                <c:pt idx="48">
                  <c:v>357.086764874957</c:v>
                </c:pt>
                <c:pt idx="49">
                  <c:v>337.6403644790106</c:v>
                </c:pt>
                <c:pt idx="50">
                  <c:v>316.37197238548674</c:v>
                </c:pt>
                <c:pt idx="51">
                  <c:v>293.21531293278588</c:v>
                </c:pt>
                <c:pt idx="52">
                  <c:v>268.11461950831085</c:v>
                </c:pt>
                <c:pt idx="53">
                  <c:v>241.43915055335844</c:v>
                </c:pt>
                <c:pt idx="54">
                  <c:v>217.79209418246148</c:v>
                </c:pt>
                <c:pt idx="55">
                  <c:v>187.75836313032937</c:v>
                </c:pt>
                <c:pt idx="56">
                  <c:v>155.69304554843768</c:v>
                </c:pt>
                <c:pt idx="57">
                  <c:v>121.53979415528318</c:v>
                </c:pt>
                <c:pt idx="58">
                  <c:v>85.254554049222179</c:v>
                </c:pt>
                <c:pt idx="59">
                  <c:v>46.802384030304893</c:v>
                </c:pt>
                <c:pt idx="60">
                  <c:v>33.572999648651944</c:v>
                </c:pt>
                <c:pt idx="61">
                  <c:v>23.664985726186387</c:v>
                </c:pt>
                <c:pt idx="62">
                  <c:v>18.143155723409564</c:v>
                </c:pt>
                <c:pt idx="63">
                  <c:v>0</c:v>
                </c:pt>
              </c:numCache>
            </c:numRef>
          </c:xVal>
          <c:yVal>
            <c:numRef>
              <c:f>Zcal!$D$163:$BO$163</c:f>
              <c:numCache>
                <c:formatCode>General</c:formatCode>
                <c:ptCount val="64"/>
                <c:pt idx="0">
                  <c:v>-530.71957767654021</c:v>
                </c:pt>
                <c:pt idx="1">
                  <c:v>-332.12232175214052</c:v>
                </c:pt>
                <c:pt idx="2">
                  <c:v>-151.81173587905965</c:v>
                </c:pt>
                <c:pt idx="3">
                  <c:v>13.688545970706153</c:v>
                </c:pt>
                <c:pt idx="4">
                  <c:v>167.02623905515171</c:v>
                </c:pt>
                <c:pt idx="5">
                  <c:v>310.25342562550804</c:v>
                </c:pt>
                <c:pt idx="6">
                  <c:v>444.98512948835139</c:v>
                </c:pt>
                <c:pt idx="7">
                  <c:v>572.50979114923177</c:v>
                </c:pt>
                <c:pt idx="8">
                  <c:v>693.86784575921979</c:v>
                </c:pt>
                <c:pt idx="9">
                  <c:v>765.40275916294092</c:v>
                </c:pt>
                <c:pt idx="10">
                  <c:v>876.82654888314244</c:v>
                </c:pt>
                <c:pt idx="11">
                  <c:v>984.21576490914254</c:v>
                </c:pt>
                <c:pt idx="12">
                  <c:v>1088.0588376691969</c:v>
                </c:pt>
                <c:pt idx="13">
                  <c:v>1188.7684156942285</c:v>
                </c:pt>
                <c:pt idx="14">
                  <c:v>1286.6955141414714</c:v>
                </c:pt>
                <c:pt idx="15">
                  <c:v>1382.1406075749537</c:v>
                </c:pt>
                <c:pt idx="16">
                  <c:v>1475.3624102123513</c:v>
                </c:pt>
                <c:pt idx="17">
                  <c:v>1566.5848872001263</c:v>
                </c:pt>
                <c:pt idx="18">
                  <c:v>1656.0028992060943</c:v>
                </c:pt>
                <c:pt idx="19">
                  <c:v>1743.7867813527805</c:v>
                </c:pt>
                <c:pt idx="20">
                  <c:v>1830.0860840516909</c:v>
                </c:pt>
                <c:pt idx="21">
                  <c:v>1915.0326494077196</c:v>
                </c:pt>
                <c:pt idx="22">
                  <c:v>1998.7431569169523</c:v>
                </c:pt>
                <c:pt idx="23">
                  <c:v>2081.3212422828624</c:v>
                </c:pt>
                <c:pt idx="24">
                  <c:v>2162.8592705934784</c:v>
                </c:pt>
                <c:pt idx="25">
                  <c:v>2243.4398278991939</c:v>
                </c:pt>
                <c:pt idx="26">
                  <c:v>2323.1369820203163</c:v>
                </c:pt>
                <c:pt idx="27">
                  <c:v>2402.0173531916262</c:v>
                </c:pt>
                <c:pt idx="28">
                  <c:v>2480.1410271852742</c:v>
                </c:pt>
                <c:pt idx="29">
                  <c:v>2557.5623373033263</c:v>
                </c:pt>
                <c:pt idx="30">
                  <c:v>2634.3305366961135</c:v>
                </c:pt>
                <c:pt idx="31">
                  <c:v>2710.4903785418996</c:v>
                </c:pt>
                <c:pt idx="32">
                  <c:v>2786.0826184906764</c:v>
                </c:pt>
                <c:pt idx="33">
                  <c:v>2860.3345393354866</c:v>
                </c:pt>
                <c:pt idx="34">
                  <c:v>2923.7855335318677</c:v>
                </c:pt>
                <c:pt idx="35">
                  <c:v>2987.2365277282493</c:v>
                </c:pt>
                <c:pt idx="36">
                  <c:v>3050.6875219246299</c:v>
                </c:pt>
                <c:pt idx="37">
                  <c:v>3114.1385161210114</c:v>
                </c:pt>
                <c:pt idx="38">
                  <c:v>3177.5895103173925</c:v>
                </c:pt>
                <c:pt idx="39">
                  <c:v>3241.040504513775</c:v>
                </c:pt>
                <c:pt idx="40">
                  <c:v>3304.4914987101602</c:v>
                </c:pt>
                <c:pt idx="41">
                  <c:v>3714.3252417763056</c:v>
                </c:pt>
                <c:pt idx="42">
                  <c:v>4103.586052682942</c:v>
                </c:pt>
                <c:pt idx="43">
                  <c:v>4476.0775982831237</c:v>
                </c:pt>
                <c:pt idx="44">
                  <c:v>4834.7203135858454</c:v>
                </c:pt>
                <c:pt idx="45">
                  <c:v>5181.7936999832536</c:v>
                </c:pt>
                <c:pt idx="46">
                  <c:v>5519.1030081933277</c:v>
                </c:pt>
                <c:pt idx="47">
                  <c:v>5848.0964753812832</c:v>
                </c:pt>
                <c:pt idx="48">
                  <c:v>6169.949422811068</c:v>
                </c:pt>
                <c:pt idx="49">
                  <c:v>6485.6256511241399</c:v>
                </c:pt>
                <c:pt idx="50">
                  <c:v>6795.9229753928266</c:v>
                </c:pt>
                <c:pt idx="51">
                  <c:v>7101.5074826683831</c:v>
                </c:pt>
                <c:pt idx="52">
                  <c:v>7402.9396414191142</c:v>
                </c:pt>
                <c:pt idx="53">
                  <c:v>7696.5083115314865</c:v>
                </c:pt>
                <c:pt idx="54">
                  <c:v>7935.950295874527</c:v>
                </c:pt>
                <c:pt idx="55">
                  <c:v>8215.8895870642118</c:v>
                </c:pt>
                <c:pt idx="56">
                  <c:v>8492.5564549349583</c:v>
                </c:pt>
                <c:pt idx="57">
                  <c:v>8766.5172038234832</c:v>
                </c:pt>
                <c:pt idx="58">
                  <c:v>9038.2145965603777</c:v>
                </c:pt>
                <c:pt idx="59">
                  <c:v>9307.9998009843348</c:v>
                </c:pt>
                <c:pt idx="60">
                  <c:v>9440.9584379858716</c:v>
                </c:pt>
                <c:pt idx="61">
                  <c:v>9445.4349940938246</c:v>
                </c:pt>
                <c:pt idx="62">
                  <c:v>9445.4349940938246</c:v>
                </c:pt>
                <c:pt idx="63">
                  <c:v>9445.4349940938246</c:v>
                </c:pt>
              </c:numCache>
            </c:numRef>
          </c:yVal>
          <c:smooth val="1"/>
          <c:extLst>
            <c:ext xmlns:c16="http://schemas.microsoft.com/office/drawing/2014/chart" uri="{C3380CC4-5D6E-409C-BE32-E72D297353CC}">
              <c16:uniqueId val="{00000006-3391-4A0E-866C-79E950690FFB}"/>
            </c:ext>
          </c:extLst>
        </c:ser>
        <c:ser>
          <c:idx val="3"/>
          <c:order val="4"/>
          <c:tx>
            <c:strRef>
              <c:f>CHARTS!$L$43</c:f>
              <c:strCache>
                <c:ptCount val="1"/>
                <c:pt idx="0">
                  <c:v>8H20</c:v>
                </c:pt>
              </c:strCache>
            </c:strRef>
          </c:tx>
          <c:spPr>
            <a:ln w="25400">
              <a:solidFill>
                <a:srgbClr val="800080"/>
              </a:solidFill>
              <a:prstDash val="solid"/>
            </a:ln>
          </c:spPr>
          <c:marker>
            <c:symbol val="none"/>
          </c:marker>
          <c:dLbls>
            <c:dLbl>
              <c:idx val="46"/>
              <c:spPr>
                <a:noFill/>
                <a:ln w="25400">
                  <a:noFill/>
                </a:ln>
              </c:spPr>
              <c:txPr>
                <a:bodyPr/>
                <a:lstStyle/>
                <a:p>
                  <a:pPr>
                    <a:defRPr sz="1025" b="1" i="0" u="none" strike="noStrike" baseline="0">
                      <a:solidFill>
                        <a:srgbClr val="000000"/>
                      </a:solidFill>
                      <a:latin typeface="Trebuchet MS"/>
                      <a:ea typeface="Trebuchet MS"/>
                      <a:cs typeface="Trebuchet MS"/>
                    </a:defRPr>
                  </a:pPr>
                  <a:endParaRPr lang="en-US"/>
                </a:p>
              </c:txPr>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3391-4A0E-866C-79E950690FFB}"/>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Zcal!$D$216:$BO$216</c:f>
              <c:numCache>
                <c:formatCode>General</c:formatCode>
                <c:ptCount val="64"/>
                <c:pt idx="0">
                  <c:v>92.579726461074443</c:v>
                </c:pt>
                <c:pt idx="1">
                  <c:v>114.59408837838266</c:v>
                </c:pt>
                <c:pt idx="2">
                  <c:v>134.10740861040219</c:v>
                </c:pt>
                <c:pt idx="3">
                  <c:v>151.67458177264942</c:v>
                </c:pt>
                <c:pt idx="4">
                  <c:v>167.68726445001479</c:v>
                </c:pt>
                <c:pt idx="5">
                  <c:v>182.42978939478121</c:v>
                </c:pt>
                <c:pt idx="6">
                  <c:v>196.11357038895815</c:v>
                </c:pt>
                <c:pt idx="7">
                  <c:v>208.8990695085503</c:v>
                </c:pt>
                <c:pt idx="8">
                  <c:v>220.91027435173726</c:v>
                </c:pt>
                <c:pt idx="9">
                  <c:v>232.24450448772234</c:v>
                </c:pt>
                <c:pt idx="10">
                  <c:v>240.07387061490527</c:v>
                </c:pt>
                <c:pt idx="11">
                  <c:v>250.27147611840599</c:v>
                </c:pt>
                <c:pt idx="12">
                  <c:v>259.98283014473822</c:v>
                </c:pt>
                <c:pt idx="13">
                  <c:v>269.24978489333887</c:v>
                </c:pt>
                <c:pt idx="14">
                  <c:v>278.10709812569883</c:v>
                </c:pt>
                <c:pt idx="15">
                  <c:v>286.5838752890449</c:v>
                </c:pt>
                <c:pt idx="16">
                  <c:v>294.70467360517534</c:v>
                </c:pt>
                <c:pt idx="17">
                  <c:v>302.49035709038657</c:v>
                </c:pt>
                <c:pt idx="18">
                  <c:v>309.95876568257347</c:v>
                </c:pt>
                <c:pt idx="19">
                  <c:v>317.12524397822028</c:v>
                </c:pt>
                <c:pt idx="20">
                  <c:v>324.00306278279857</c:v>
                </c:pt>
                <c:pt idx="21">
                  <c:v>330.60375799662984</c:v>
                </c:pt>
                <c:pt idx="22">
                  <c:v>336.93740514961166</c:v>
                </c:pt>
                <c:pt idx="23">
                  <c:v>343.01284340372092</c:v>
                </c:pt>
                <c:pt idx="24">
                  <c:v>348.8378595517255</c:v>
                </c:pt>
                <c:pt idx="25">
                  <c:v>354.41934010601244</c:v>
                </c:pt>
                <c:pt idx="26">
                  <c:v>359.7633977524448</c:v>
                </c:pt>
                <c:pt idx="27">
                  <c:v>364.87547707248558</c:v>
                </c:pt>
                <c:pt idx="28">
                  <c:v>369.76044339350813</c:v>
                </c:pt>
                <c:pt idx="29">
                  <c:v>374.422657827173</c:v>
                </c:pt>
                <c:pt idx="30">
                  <c:v>378.86604093754687</c:v>
                </c:pt>
                <c:pt idx="31">
                  <c:v>382.94669937786904</c:v>
                </c:pt>
                <c:pt idx="32">
                  <c:v>386.1489899374252</c:v>
                </c:pt>
                <c:pt idx="33">
                  <c:v>389.18027638259576</c:v>
                </c:pt>
                <c:pt idx="34">
                  <c:v>392.04055871338045</c:v>
                </c:pt>
                <c:pt idx="35">
                  <c:v>394.72983692977903</c:v>
                </c:pt>
                <c:pt idx="36">
                  <c:v>397.24811103179206</c:v>
                </c:pt>
                <c:pt idx="37">
                  <c:v>399.59538101941905</c:v>
                </c:pt>
                <c:pt idx="38">
                  <c:v>401.77164689266033</c:v>
                </c:pt>
                <c:pt idx="39">
                  <c:v>403.77690865151595</c:v>
                </c:pt>
                <c:pt idx="40">
                  <c:v>405.61116629598564</c:v>
                </c:pt>
                <c:pt idx="41">
                  <c:v>400.8321197581912</c:v>
                </c:pt>
                <c:pt idx="42">
                  <c:v>395.0312506097589</c:v>
                </c:pt>
                <c:pt idx="43">
                  <c:v>387.97103828217632</c:v>
                </c:pt>
                <c:pt idx="44">
                  <c:v>379.46840041642503</c:v>
                </c:pt>
                <c:pt idx="45">
                  <c:v>369.37994195097008</c:v>
                </c:pt>
                <c:pt idx="46">
                  <c:v>357.59175403729444</c:v>
                </c:pt>
                <c:pt idx="47">
                  <c:v>344.01220557435784</c:v>
                </c:pt>
                <c:pt idx="48">
                  <c:v>328.56675086306711</c:v>
                </c:pt>
                <c:pt idx="49">
                  <c:v>311.19412481616189</c:v>
                </c:pt>
                <c:pt idx="50">
                  <c:v>291.84351157182994</c:v>
                </c:pt>
                <c:pt idx="51">
                  <c:v>270.47240785533063</c:v>
                </c:pt>
                <c:pt idx="52">
                  <c:v>247.04499001749195</c:v>
                </c:pt>
                <c:pt idx="53">
                  <c:v>221.8176415123105</c:v>
                </c:pt>
                <c:pt idx="54">
                  <c:v>197.75938235997467</c:v>
                </c:pt>
                <c:pt idx="55">
                  <c:v>168.73393537568597</c:v>
                </c:pt>
                <c:pt idx="56">
                  <c:v>137.59882078265821</c:v>
                </c:pt>
                <c:pt idx="57">
                  <c:v>104.3171631050817</c:v>
                </c:pt>
                <c:pt idx="58">
                  <c:v>68.860072247544394</c:v>
                </c:pt>
                <c:pt idx="59">
                  <c:v>31.204592964000767</c:v>
                </c:pt>
                <c:pt idx="60">
                  <c:v>22.306974250503799</c:v>
                </c:pt>
                <c:pt idx="61">
                  <c:v>15.916237201783588</c:v>
                </c:pt>
                <c:pt idx="62">
                  <c:v>12.202448521367387</c:v>
                </c:pt>
                <c:pt idx="63">
                  <c:v>0</c:v>
                </c:pt>
              </c:numCache>
            </c:numRef>
          </c:xVal>
          <c:yVal>
            <c:numRef>
              <c:f>Zcal!$D$215:$BO$215</c:f>
              <c:numCache>
                <c:formatCode>General</c:formatCode>
                <c:ptCount val="64"/>
                <c:pt idx="0">
                  <c:v>-415.89081846916514</c:v>
                </c:pt>
                <c:pt idx="1">
                  <c:v>-215.23005781336386</c:v>
                </c:pt>
                <c:pt idx="2">
                  <c:v>-37.412802754648958</c:v>
                </c:pt>
                <c:pt idx="3">
                  <c:v>123.00108999635465</c:v>
                </c:pt>
                <c:pt idx="4">
                  <c:v>269.85139087975062</c:v>
                </c:pt>
                <c:pt idx="5">
                  <c:v>405.92567589831168</c:v>
                </c:pt>
                <c:pt idx="6">
                  <c:v>533.29662918938607</c:v>
                </c:pt>
                <c:pt idx="7">
                  <c:v>653.53740836086217</c:v>
                </c:pt>
                <c:pt idx="8">
                  <c:v>767.86357810077652</c:v>
                </c:pt>
                <c:pt idx="9">
                  <c:v>877.22925183269069</c:v>
                </c:pt>
                <c:pt idx="10">
                  <c:v>953.91002463895359</c:v>
                </c:pt>
                <c:pt idx="11">
                  <c:v>1055.4853414717234</c:v>
                </c:pt>
                <c:pt idx="12">
                  <c:v>1153.969997885054</c:v>
                </c:pt>
                <c:pt idx="13">
                  <c:v>1249.7743095597023</c:v>
                </c:pt>
                <c:pt idx="14">
                  <c:v>1343.2390388632232</c:v>
                </c:pt>
                <c:pt idx="15">
                  <c:v>1434.6495333174498</c:v>
                </c:pt>
                <c:pt idx="16">
                  <c:v>1524.2465499988361</c:v>
                </c:pt>
                <c:pt idx="17">
                  <c:v>1612.2346380867566</c:v>
                </c:pt>
                <c:pt idx="18">
                  <c:v>1698.788698933123</c:v>
                </c:pt>
                <c:pt idx="19">
                  <c:v>1784.0591697583707</c:v>
                </c:pt>
                <c:pt idx="20">
                  <c:v>1868.1761564984909</c:v>
                </c:pt>
                <c:pt idx="21">
                  <c:v>1951.2527562154648</c:v>
                </c:pt>
                <c:pt idx="22">
                  <c:v>2033.3877486141673</c:v>
                </c:pt>
                <c:pt idx="23">
                  <c:v>2114.6677921453529</c:v>
                </c:pt>
                <c:pt idx="24">
                  <c:v>2195.1692279145877</c:v>
                </c:pt>
                <c:pt idx="25">
                  <c:v>2274.9595707491972</c:v>
                </c:pt>
                <c:pt idx="26">
                  <c:v>2354.0987489419581</c:v>
                </c:pt>
                <c:pt idx="27">
                  <c:v>2432.6401407425033</c:v>
                </c:pt>
                <c:pt idx="28">
                  <c:v>2510.6314454388094</c:v>
                </c:pt>
                <c:pt idx="29">
                  <c:v>2588.1154190275502</c:v>
                </c:pt>
                <c:pt idx="30">
                  <c:v>2665.1304984113381</c:v>
                </c:pt>
                <c:pt idx="31">
                  <c:v>2740.2659645042822</c:v>
                </c:pt>
                <c:pt idx="32">
                  <c:v>2808.4664917111477</c:v>
                </c:pt>
                <c:pt idx="33">
                  <c:v>2876.667018918014</c:v>
                </c:pt>
                <c:pt idx="34">
                  <c:v>2944.8675461248799</c:v>
                </c:pt>
                <c:pt idx="35">
                  <c:v>3013.0680733317454</c:v>
                </c:pt>
                <c:pt idx="36">
                  <c:v>3081.2686005386108</c:v>
                </c:pt>
                <c:pt idx="37">
                  <c:v>3149.4691277454772</c:v>
                </c:pt>
                <c:pt idx="38">
                  <c:v>3217.6696549523426</c:v>
                </c:pt>
                <c:pt idx="39">
                  <c:v>3285.8701821592076</c:v>
                </c:pt>
                <c:pt idx="40">
                  <c:v>3354.0707093660735</c:v>
                </c:pt>
                <c:pt idx="41">
                  <c:v>3704.1840169713951</c:v>
                </c:pt>
                <c:pt idx="42">
                  <c:v>4041.5267211931973</c:v>
                </c:pt>
                <c:pt idx="43">
                  <c:v>4368.4274550561076</c:v>
                </c:pt>
                <c:pt idx="44">
                  <c:v>4686.681143648545</c:v>
                </c:pt>
                <c:pt idx="45">
                  <c:v>4997.6936209071264</c:v>
                </c:pt>
                <c:pt idx="46">
                  <c:v>5302.5816402486807</c:v>
                </c:pt>
                <c:pt idx="47">
                  <c:v>5602.2435458010623</c:v>
                </c:pt>
                <c:pt idx="48">
                  <c:v>5897.4101777514516</c:v>
                </c:pt>
                <c:pt idx="49">
                  <c:v>6188.6821742102484</c:v>
                </c:pt>
                <c:pt idx="50">
                  <c:v>6476.5577299011011</c:v>
                </c:pt>
                <c:pt idx="51">
                  <c:v>6761.4535435959742</c:v>
                </c:pt>
                <c:pt idx="52">
                  <c:v>7043.720827541656</c:v>
                </c:pt>
                <c:pt idx="53">
                  <c:v>7320.8460184636679</c:v>
                </c:pt>
                <c:pt idx="54">
                  <c:v>7563.7210769483981</c:v>
                </c:pt>
                <c:pt idx="55">
                  <c:v>7832.5055832389689</c:v>
                </c:pt>
                <c:pt idx="56">
                  <c:v>8099.1846331862253</c:v>
                </c:pt>
                <c:pt idx="57">
                  <c:v>8364.1197510628135</c:v>
                </c:pt>
                <c:pt idx="58">
                  <c:v>8627.5941730982613</c:v>
                </c:pt>
                <c:pt idx="59">
                  <c:v>8889.8329507243907</c:v>
                </c:pt>
                <c:pt idx="60">
                  <c:v>8977.0645067390669</c:v>
                </c:pt>
                <c:pt idx="61">
                  <c:v>8982.6783962200461</c:v>
                </c:pt>
                <c:pt idx="62">
                  <c:v>8982.6783962200461</c:v>
                </c:pt>
                <c:pt idx="63">
                  <c:v>8982.6783962200461</c:v>
                </c:pt>
              </c:numCache>
            </c:numRef>
          </c:yVal>
          <c:smooth val="1"/>
          <c:extLst>
            <c:ext xmlns:c16="http://schemas.microsoft.com/office/drawing/2014/chart" uri="{C3380CC4-5D6E-409C-BE32-E72D297353CC}">
              <c16:uniqueId val="{00000008-3391-4A0E-866C-79E950690FFB}"/>
            </c:ext>
          </c:extLst>
        </c:ser>
        <c:ser>
          <c:idx val="5"/>
          <c:order val="5"/>
          <c:tx>
            <c:strRef>
              <c:f>CHARTS!$L$47</c:f>
              <c:strCache>
                <c:ptCount val="1"/>
                <c:pt idx="0">
                  <c:v>8H16</c:v>
                </c:pt>
              </c:strCache>
            </c:strRef>
          </c:tx>
          <c:spPr>
            <a:ln w="25400">
              <a:solidFill>
                <a:srgbClr val="000000"/>
              </a:solidFill>
              <a:prstDash val="solid"/>
            </a:ln>
          </c:spPr>
          <c:marker>
            <c:symbol val="none"/>
          </c:marker>
          <c:dLbls>
            <c:dLbl>
              <c:idx val="46"/>
              <c:spPr>
                <a:noFill/>
                <a:ln w="25400">
                  <a:noFill/>
                </a:ln>
              </c:spPr>
              <c:txPr>
                <a:bodyPr/>
                <a:lstStyle/>
                <a:p>
                  <a:pPr>
                    <a:defRPr sz="1050" b="1" i="0" u="none" strike="noStrike" baseline="0">
                      <a:solidFill>
                        <a:srgbClr val="000000"/>
                      </a:solidFill>
                      <a:latin typeface="Trebuchet MS"/>
                      <a:ea typeface="Trebuchet MS"/>
                      <a:cs typeface="Trebuchet MS"/>
                    </a:defRPr>
                  </a:pPr>
                  <a:endParaRPr lang="en-US"/>
                </a:p>
              </c:txPr>
              <c:dLblPos val="b"/>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9-3391-4A0E-866C-79E950690FFB}"/>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Zcal!$D$320:$BO$320</c:f>
              <c:numCache>
                <c:formatCode>General</c:formatCode>
                <c:ptCount val="64"/>
                <c:pt idx="0">
                  <c:v>74.017836716343794</c:v>
                </c:pt>
                <c:pt idx="1">
                  <c:v>83.331946512325416</c:v>
                </c:pt>
                <c:pt idx="2">
                  <c:v>100.11478395824513</c:v>
                </c:pt>
                <c:pt idx="3">
                  <c:v>117.50015180648339</c:v>
                </c:pt>
                <c:pt idx="4">
                  <c:v>133.20157429828103</c:v>
                </c:pt>
                <c:pt idx="5">
                  <c:v>147.58255919918813</c:v>
                </c:pt>
                <c:pt idx="6">
                  <c:v>160.89747362984804</c:v>
                </c:pt>
                <c:pt idx="7">
                  <c:v>173.32964506384815</c:v>
                </c:pt>
                <c:pt idx="8">
                  <c:v>185.01454274142054</c:v>
                </c:pt>
                <c:pt idx="9">
                  <c:v>196.05443783297545</c:v>
                </c:pt>
                <c:pt idx="10">
                  <c:v>206.52798576993621</c:v>
                </c:pt>
                <c:pt idx="11">
                  <c:v>214.6007907363765</c:v>
                </c:pt>
                <c:pt idx="12">
                  <c:v>224.11336882764897</c:v>
                </c:pt>
                <c:pt idx="13">
                  <c:v>233.20899979611772</c:v>
                </c:pt>
                <c:pt idx="14">
                  <c:v>241.91949719038485</c:v>
                </c:pt>
                <c:pt idx="15">
                  <c:v>250.27097385605592</c:v>
                </c:pt>
                <c:pt idx="16">
                  <c:v>258.28506408006547</c:v>
                </c:pt>
                <c:pt idx="17">
                  <c:v>265.97984425066966</c:v>
                </c:pt>
                <c:pt idx="18">
                  <c:v>273.37053537348459</c:v>
                </c:pt>
                <c:pt idx="19">
                  <c:v>280.47004545496941</c:v>
                </c:pt>
                <c:pt idx="20">
                  <c:v>287.28939277910627</c:v>
                </c:pt>
                <c:pt idx="21">
                  <c:v>293.83803951487369</c:v>
                </c:pt>
                <c:pt idx="22">
                  <c:v>300.12415706071863</c:v>
                </c:pt>
                <c:pt idx="23">
                  <c:v>306.15483888463427</c:v>
                </c:pt>
                <c:pt idx="24">
                  <c:v>311.93627259358942</c:v>
                </c:pt>
                <c:pt idx="25">
                  <c:v>317.47388006188714</c:v>
                </c:pt>
                <c:pt idx="26">
                  <c:v>322.77243232825526</c:v>
                </c:pt>
                <c:pt idx="27">
                  <c:v>327.83614440752081</c:v>
                </c:pt>
                <c:pt idx="28">
                  <c:v>332.6687539972695</c:v>
                </c:pt>
                <c:pt idx="29">
                  <c:v>337.27358718321739</c:v>
                </c:pt>
                <c:pt idx="30">
                  <c:v>341.2653601794367</c:v>
                </c:pt>
                <c:pt idx="31">
                  <c:v>344.85451424303909</c:v>
                </c:pt>
                <c:pt idx="32">
                  <c:v>348.25283644889538</c:v>
                </c:pt>
                <c:pt idx="33">
                  <c:v>351.46032679700579</c:v>
                </c:pt>
                <c:pt idx="34">
                  <c:v>354.47698528737033</c:v>
                </c:pt>
                <c:pt idx="35">
                  <c:v>357.30281191998887</c:v>
                </c:pt>
                <c:pt idx="36">
                  <c:v>359.93780669486142</c:v>
                </c:pt>
                <c:pt idx="37">
                  <c:v>362.38196961198776</c:v>
                </c:pt>
                <c:pt idx="38">
                  <c:v>364.63530067136838</c:v>
                </c:pt>
                <c:pt idx="39">
                  <c:v>366.69779987300291</c:v>
                </c:pt>
                <c:pt idx="40">
                  <c:v>368.56946721689155</c:v>
                </c:pt>
                <c:pt idx="41">
                  <c:v>367.09955430404995</c:v>
                </c:pt>
                <c:pt idx="42">
                  <c:v>364.16078286537964</c:v>
                </c:pt>
                <c:pt idx="43">
                  <c:v>359.60356369176498</c:v>
                </c:pt>
                <c:pt idx="44">
                  <c:v>353.31223595663067</c:v>
                </c:pt>
                <c:pt idx="45">
                  <c:v>345.19596424225909</c:v>
                </c:pt>
                <c:pt idx="46">
                  <c:v>335.18241709898882</c:v>
                </c:pt>
                <c:pt idx="47">
                  <c:v>323.21328359956431</c:v>
                </c:pt>
                <c:pt idx="48">
                  <c:v>309.24103322981432</c:v>
                </c:pt>
                <c:pt idx="49">
                  <c:v>293.22653462188828</c:v>
                </c:pt>
                <c:pt idx="50">
                  <c:v>275.13727877530664</c:v>
                </c:pt>
                <c:pt idx="51">
                  <c:v>254.94603500760354</c:v>
                </c:pt>
                <c:pt idx="52">
                  <c:v>232.62982147566163</c:v>
                </c:pt>
                <c:pt idx="53">
                  <c:v>208.36238367417047</c:v>
                </c:pt>
                <c:pt idx="54">
                  <c:v>184.0566466903706</c:v>
                </c:pt>
                <c:pt idx="55">
                  <c:v>155.72838951416895</c:v>
                </c:pt>
                <c:pt idx="56">
                  <c:v>125.2424212131142</c:v>
                </c:pt>
                <c:pt idx="57">
                  <c:v>92.574739883086409</c:v>
                </c:pt>
                <c:pt idx="58">
                  <c:v>57.706510451279087</c:v>
                </c:pt>
                <c:pt idx="59">
                  <c:v>20.622745363549143</c:v>
                </c:pt>
                <c:pt idx="60">
                  <c:v>14.702767262499719</c:v>
                </c:pt>
                <c:pt idx="61">
                  <c:v>10.589774491317939</c:v>
                </c:pt>
                <c:pt idx="62">
                  <c:v>8.118827110010443</c:v>
                </c:pt>
                <c:pt idx="63">
                  <c:v>0</c:v>
                </c:pt>
              </c:numCache>
            </c:numRef>
          </c:xVal>
          <c:yVal>
            <c:numRef>
              <c:f>Zcal!$D$319:$BO$319</c:f>
              <c:numCache>
                <c:formatCode>General</c:formatCode>
                <c:ptCount val="64"/>
                <c:pt idx="0">
                  <c:v>-171.78580474762688</c:v>
                </c:pt>
                <c:pt idx="1">
                  <c:v>-99.739801869670401</c:v>
                </c:pt>
                <c:pt idx="2">
                  <c:v>45.955811659094529</c:v>
                </c:pt>
                <c:pt idx="3">
                  <c:v>199.27990845771112</c:v>
                </c:pt>
                <c:pt idx="4">
                  <c:v>338.24714469195544</c:v>
                </c:pt>
                <c:pt idx="5">
                  <c:v>466.35278733827141</c:v>
                </c:pt>
                <c:pt idx="6">
                  <c:v>586.04267409515239</c:v>
                </c:pt>
                <c:pt idx="7">
                  <c:v>699.07956913170847</c:v>
                </c:pt>
                <c:pt idx="8">
                  <c:v>806.76606129632466</c:v>
                </c:pt>
                <c:pt idx="9">
                  <c:v>910.08552722756144</c:v>
                </c:pt>
                <c:pt idx="10">
                  <c:v>1009.7942691506422</c:v>
                </c:pt>
                <c:pt idx="11">
                  <c:v>1088.2538657585835</c:v>
                </c:pt>
                <c:pt idx="12">
                  <c:v>1182.3923564297756</c:v>
                </c:pt>
                <c:pt idx="13">
                  <c:v>1274.3566618600298</c:v>
                </c:pt>
                <c:pt idx="14">
                  <c:v>1364.4526815551319</c:v>
                </c:pt>
                <c:pt idx="15">
                  <c:v>1452.9315005689837</c:v>
                </c:pt>
                <c:pt idx="16">
                  <c:v>1540.0011408913394</c:v>
                </c:pt>
                <c:pt idx="17">
                  <c:v>1625.8354139477406</c:v>
                </c:pt>
                <c:pt idx="18">
                  <c:v>1710.5806755614174</c:v>
                </c:pt>
                <c:pt idx="19">
                  <c:v>1794.3610411790917</c:v>
                </c:pt>
                <c:pt idx="20">
                  <c:v>1877.2824558390564</c:v>
                </c:pt>
                <c:pt idx="21">
                  <c:v>1959.4359019353324</c:v>
                </c:pt>
                <c:pt idx="22">
                  <c:v>2040.8999506068351</c:v>
                </c:pt>
                <c:pt idx="23">
                  <c:v>2121.7428082765769</c:v>
                </c:pt>
                <c:pt idx="24">
                  <c:v>2202.0239711654067</c:v>
                </c:pt>
                <c:pt idx="25">
                  <c:v>2281.7955726800883</c:v>
                </c:pt>
                <c:pt idx="26">
                  <c:v>2361.1034881930063</c:v>
                </c:pt>
                <c:pt idx="27">
                  <c:v>2439.9882466928784</c:v>
                </c:pt>
                <c:pt idx="28">
                  <c:v>2518.4857875795697</c:v>
                </c:pt>
                <c:pt idx="29">
                  <c:v>2596.6280924465018</c:v>
                </c:pt>
                <c:pt idx="30">
                  <c:v>2670.7105095059114</c:v>
                </c:pt>
                <c:pt idx="31">
                  <c:v>2742.7565123838681</c:v>
                </c:pt>
                <c:pt idx="32">
                  <c:v>2814.8025152618243</c:v>
                </c:pt>
                <c:pt idx="33">
                  <c:v>2886.8485181397809</c:v>
                </c:pt>
                <c:pt idx="34">
                  <c:v>2958.8945210177371</c:v>
                </c:pt>
                <c:pt idx="35">
                  <c:v>3030.9405238956938</c:v>
                </c:pt>
                <c:pt idx="36">
                  <c:v>3102.98652677365</c:v>
                </c:pt>
                <c:pt idx="37">
                  <c:v>3175.0325296516066</c:v>
                </c:pt>
                <c:pt idx="38">
                  <c:v>3247.0785325295628</c:v>
                </c:pt>
                <c:pt idx="39">
                  <c:v>3319.1245354075199</c:v>
                </c:pt>
                <c:pt idx="40">
                  <c:v>3391.1705382854748</c:v>
                </c:pt>
                <c:pt idx="41">
                  <c:v>3703.5588933594868</c:v>
                </c:pt>
                <c:pt idx="42">
                  <c:v>4007.9711332840443</c:v>
                </c:pt>
                <c:pt idx="43">
                  <c:v>4305.8456158390973</c:v>
                </c:pt>
                <c:pt idx="44">
                  <c:v>4598.2944643571009</c:v>
                </c:pt>
                <c:pt idx="45">
                  <c:v>4886.1910963161145</c:v>
                </c:pt>
                <c:pt idx="46">
                  <c:v>5170.2310064244166</c:v>
                </c:pt>
                <c:pt idx="47">
                  <c:v>5450.9748766748498</c:v>
                </c:pt>
                <c:pt idx="48">
                  <c:v>5728.8797312421384</c:v>
                </c:pt>
                <c:pt idx="49">
                  <c:v>6004.321833278691</c:v>
                </c:pt>
                <c:pt idx="50">
                  <c:v>6277.6137693275787</c:v>
                </c:pt>
                <c:pt idx="51">
                  <c:v>6549.0173728740565</c:v>
                </c:pt>
                <c:pt idx="52">
                  <c:v>6818.7536231788608</c:v>
                </c:pt>
                <c:pt idx="53">
                  <c:v>7085.1518904853656</c:v>
                </c:pt>
                <c:pt idx="54">
                  <c:v>7329.8186643393292</c:v>
                </c:pt>
                <c:pt idx="55">
                  <c:v>7591.0637621455007</c:v>
                </c:pt>
                <c:pt idx="56">
                  <c:v>7850.9563274851398</c:v>
                </c:pt>
                <c:pt idx="57">
                  <c:v>8109.7271478978582</c:v>
                </c:pt>
                <c:pt idx="58">
                  <c:v>8367.5573298529507</c:v>
                </c:pt>
                <c:pt idx="59">
                  <c:v>8624.5909844479502</c:v>
                </c:pt>
                <c:pt idx="60">
                  <c:v>8681.5138508041946</c:v>
                </c:pt>
                <c:pt idx="61">
                  <c:v>8686.5141735808302</c:v>
                </c:pt>
                <c:pt idx="62">
                  <c:v>8686.5141735808302</c:v>
                </c:pt>
                <c:pt idx="63">
                  <c:v>8686.5141735808302</c:v>
                </c:pt>
              </c:numCache>
            </c:numRef>
          </c:yVal>
          <c:smooth val="1"/>
          <c:extLst>
            <c:ext xmlns:c16="http://schemas.microsoft.com/office/drawing/2014/chart" uri="{C3380CC4-5D6E-409C-BE32-E72D297353CC}">
              <c16:uniqueId val="{0000000A-3391-4A0E-866C-79E950690FFB}"/>
            </c:ext>
          </c:extLst>
        </c:ser>
        <c:ser>
          <c:idx val="4"/>
          <c:order val="6"/>
          <c:tx>
            <c:strRef>
              <c:f>CHARTS!$L$45</c:f>
              <c:strCache>
                <c:ptCount val="1"/>
                <c:pt idx="0">
                  <c:v>8H16</c:v>
                </c:pt>
              </c:strCache>
            </c:strRef>
          </c:tx>
          <c:spPr>
            <a:ln w="25400">
              <a:solidFill>
                <a:srgbClr val="FF0000"/>
              </a:solidFill>
              <a:prstDash val="solid"/>
            </a:ln>
          </c:spPr>
          <c:marker>
            <c:symbol val="none"/>
          </c:marker>
          <c:dLbls>
            <c:dLbl>
              <c:idx val="46"/>
              <c:spPr>
                <a:noFill/>
                <a:ln w="25400">
                  <a:noFill/>
                </a:ln>
              </c:spPr>
              <c:txPr>
                <a:bodyPr/>
                <a:lstStyle/>
                <a:p>
                  <a:pPr>
                    <a:defRPr sz="1025" b="1" i="0" u="none" strike="noStrike" baseline="0">
                      <a:solidFill>
                        <a:srgbClr val="000000"/>
                      </a:solidFill>
                      <a:latin typeface="Trebuchet MS"/>
                      <a:ea typeface="Trebuchet MS"/>
                      <a:cs typeface="Trebuchet MS"/>
                    </a:defRPr>
                  </a:pPr>
                  <a:endParaRPr lang="en-US"/>
                </a:p>
              </c:txPr>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3391-4A0E-866C-79E950690FFB}"/>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Zcal!$D$268:$BO$268</c:f>
              <c:numCache>
                <c:formatCode>General</c:formatCode>
                <c:ptCount val="64"/>
                <c:pt idx="0">
                  <c:v>74.017836716343794</c:v>
                </c:pt>
                <c:pt idx="1">
                  <c:v>83.331946512325416</c:v>
                </c:pt>
                <c:pt idx="2">
                  <c:v>100.11478395824513</c:v>
                </c:pt>
                <c:pt idx="3">
                  <c:v>117.50015180648339</c:v>
                </c:pt>
                <c:pt idx="4">
                  <c:v>133.20157429828103</c:v>
                </c:pt>
                <c:pt idx="5">
                  <c:v>147.58255919918813</c:v>
                </c:pt>
                <c:pt idx="6">
                  <c:v>160.89747362984804</c:v>
                </c:pt>
                <c:pt idx="7">
                  <c:v>173.32964506384815</c:v>
                </c:pt>
                <c:pt idx="8">
                  <c:v>185.01454274142054</c:v>
                </c:pt>
                <c:pt idx="9">
                  <c:v>196.05443783297545</c:v>
                </c:pt>
                <c:pt idx="10">
                  <c:v>206.52798576993621</c:v>
                </c:pt>
                <c:pt idx="11">
                  <c:v>214.6007907363765</c:v>
                </c:pt>
                <c:pt idx="12">
                  <c:v>224.11336882764897</c:v>
                </c:pt>
                <c:pt idx="13">
                  <c:v>233.20899979611772</c:v>
                </c:pt>
                <c:pt idx="14">
                  <c:v>241.91949719038485</c:v>
                </c:pt>
                <c:pt idx="15">
                  <c:v>250.27097385605592</c:v>
                </c:pt>
                <c:pt idx="16">
                  <c:v>258.28506408006547</c:v>
                </c:pt>
                <c:pt idx="17">
                  <c:v>265.97984425066966</c:v>
                </c:pt>
                <c:pt idx="18">
                  <c:v>273.37053537348459</c:v>
                </c:pt>
                <c:pt idx="19">
                  <c:v>280.47004545496941</c:v>
                </c:pt>
                <c:pt idx="20">
                  <c:v>287.28939277910627</c:v>
                </c:pt>
                <c:pt idx="21">
                  <c:v>293.83803951487369</c:v>
                </c:pt>
                <c:pt idx="22">
                  <c:v>300.12415706071863</c:v>
                </c:pt>
                <c:pt idx="23">
                  <c:v>306.15483888463427</c:v>
                </c:pt>
                <c:pt idx="24">
                  <c:v>311.93627259358942</c:v>
                </c:pt>
                <c:pt idx="25">
                  <c:v>317.47388006188714</c:v>
                </c:pt>
                <c:pt idx="26">
                  <c:v>322.77243232825526</c:v>
                </c:pt>
                <c:pt idx="27">
                  <c:v>327.83614440752081</c:v>
                </c:pt>
                <c:pt idx="28">
                  <c:v>332.6687539972695</c:v>
                </c:pt>
                <c:pt idx="29">
                  <c:v>337.27358718321739</c:v>
                </c:pt>
                <c:pt idx="30">
                  <c:v>341.2653601794367</c:v>
                </c:pt>
                <c:pt idx="31">
                  <c:v>344.85451424303909</c:v>
                </c:pt>
                <c:pt idx="32">
                  <c:v>348.25283644889538</c:v>
                </c:pt>
                <c:pt idx="33">
                  <c:v>351.46032679700579</c:v>
                </c:pt>
                <c:pt idx="34">
                  <c:v>354.47698528737033</c:v>
                </c:pt>
                <c:pt idx="35">
                  <c:v>357.30281191998887</c:v>
                </c:pt>
                <c:pt idx="36">
                  <c:v>359.93780669486142</c:v>
                </c:pt>
                <c:pt idx="37">
                  <c:v>362.38196961198776</c:v>
                </c:pt>
                <c:pt idx="38">
                  <c:v>364.63530067136838</c:v>
                </c:pt>
                <c:pt idx="39">
                  <c:v>366.69779987300291</c:v>
                </c:pt>
                <c:pt idx="40">
                  <c:v>368.56946721689155</c:v>
                </c:pt>
                <c:pt idx="41">
                  <c:v>367.09955430404995</c:v>
                </c:pt>
                <c:pt idx="42">
                  <c:v>364.16078286537964</c:v>
                </c:pt>
                <c:pt idx="43">
                  <c:v>359.60356369176498</c:v>
                </c:pt>
                <c:pt idx="44">
                  <c:v>353.31223595663067</c:v>
                </c:pt>
                <c:pt idx="45">
                  <c:v>345.19596424225909</c:v>
                </c:pt>
                <c:pt idx="46">
                  <c:v>335.18241709898882</c:v>
                </c:pt>
                <c:pt idx="47">
                  <c:v>323.21328359956431</c:v>
                </c:pt>
                <c:pt idx="48">
                  <c:v>309.24103322981432</c:v>
                </c:pt>
                <c:pt idx="49">
                  <c:v>293.22653462188828</c:v>
                </c:pt>
                <c:pt idx="50">
                  <c:v>275.13727877530664</c:v>
                </c:pt>
                <c:pt idx="51">
                  <c:v>254.94603500760354</c:v>
                </c:pt>
                <c:pt idx="52">
                  <c:v>232.62982147566163</c:v>
                </c:pt>
                <c:pt idx="53">
                  <c:v>208.36238367417047</c:v>
                </c:pt>
                <c:pt idx="54">
                  <c:v>184.0566466903706</c:v>
                </c:pt>
                <c:pt idx="55">
                  <c:v>155.72838951416895</c:v>
                </c:pt>
                <c:pt idx="56">
                  <c:v>125.2424212131142</c:v>
                </c:pt>
                <c:pt idx="57">
                  <c:v>92.574739883086409</c:v>
                </c:pt>
                <c:pt idx="58">
                  <c:v>57.706510451279087</c:v>
                </c:pt>
                <c:pt idx="59">
                  <c:v>20.622745363549143</c:v>
                </c:pt>
                <c:pt idx="60">
                  <c:v>14.702767262499719</c:v>
                </c:pt>
                <c:pt idx="61">
                  <c:v>10.589774491317939</c:v>
                </c:pt>
                <c:pt idx="62">
                  <c:v>8.118827110010443</c:v>
                </c:pt>
                <c:pt idx="63">
                  <c:v>0</c:v>
                </c:pt>
              </c:numCache>
            </c:numRef>
          </c:xVal>
          <c:yVal>
            <c:numRef>
              <c:f>Zcal!$D$267:$BO$267</c:f>
              <c:numCache>
                <c:formatCode>General</c:formatCode>
                <c:ptCount val="64"/>
                <c:pt idx="0">
                  <c:v>-171.78580474762688</c:v>
                </c:pt>
                <c:pt idx="1">
                  <c:v>-99.739801869670401</c:v>
                </c:pt>
                <c:pt idx="2">
                  <c:v>45.955811659094529</c:v>
                </c:pt>
                <c:pt idx="3">
                  <c:v>199.27990845771112</c:v>
                </c:pt>
                <c:pt idx="4">
                  <c:v>338.24714469195544</c:v>
                </c:pt>
                <c:pt idx="5">
                  <c:v>466.35278733827141</c:v>
                </c:pt>
                <c:pt idx="6">
                  <c:v>586.04267409515239</c:v>
                </c:pt>
                <c:pt idx="7">
                  <c:v>699.07956913170847</c:v>
                </c:pt>
                <c:pt idx="8">
                  <c:v>806.76606129632466</c:v>
                </c:pt>
                <c:pt idx="9">
                  <c:v>910.08552722756144</c:v>
                </c:pt>
                <c:pt idx="10">
                  <c:v>1009.7942691506422</c:v>
                </c:pt>
                <c:pt idx="11">
                  <c:v>1088.2538657585835</c:v>
                </c:pt>
                <c:pt idx="12">
                  <c:v>1182.3923564297756</c:v>
                </c:pt>
                <c:pt idx="13">
                  <c:v>1274.3566618600298</c:v>
                </c:pt>
                <c:pt idx="14">
                  <c:v>1364.4526815551319</c:v>
                </c:pt>
                <c:pt idx="15">
                  <c:v>1452.9315005689837</c:v>
                </c:pt>
                <c:pt idx="16">
                  <c:v>1540.0011408913394</c:v>
                </c:pt>
                <c:pt idx="17">
                  <c:v>1625.8354139477406</c:v>
                </c:pt>
                <c:pt idx="18">
                  <c:v>1710.5806755614174</c:v>
                </c:pt>
                <c:pt idx="19">
                  <c:v>1794.3610411790917</c:v>
                </c:pt>
                <c:pt idx="20">
                  <c:v>1877.2824558390564</c:v>
                </c:pt>
                <c:pt idx="21">
                  <c:v>1959.4359019353324</c:v>
                </c:pt>
                <c:pt idx="22">
                  <c:v>2040.8999506068351</c:v>
                </c:pt>
                <c:pt idx="23">
                  <c:v>2121.7428082765769</c:v>
                </c:pt>
                <c:pt idx="24">
                  <c:v>2202.0239711654067</c:v>
                </c:pt>
                <c:pt idx="25">
                  <c:v>2281.7955726800883</c:v>
                </c:pt>
                <c:pt idx="26">
                  <c:v>2361.1034881930063</c:v>
                </c:pt>
                <c:pt idx="27">
                  <c:v>2439.9882466928784</c:v>
                </c:pt>
                <c:pt idx="28">
                  <c:v>2518.4857875795697</c:v>
                </c:pt>
                <c:pt idx="29">
                  <c:v>2596.6280924465018</c:v>
                </c:pt>
                <c:pt idx="30">
                  <c:v>2670.7105095059114</c:v>
                </c:pt>
                <c:pt idx="31">
                  <c:v>2742.7565123838681</c:v>
                </c:pt>
                <c:pt idx="32">
                  <c:v>2814.8025152618243</c:v>
                </c:pt>
                <c:pt idx="33">
                  <c:v>2886.8485181397809</c:v>
                </c:pt>
                <c:pt idx="34">
                  <c:v>2958.8945210177371</c:v>
                </c:pt>
                <c:pt idx="35">
                  <c:v>3030.9405238956938</c:v>
                </c:pt>
                <c:pt idx="36">
                  <c:v>3102.98652677365</c:v>
                </c:pt>
                <c:pt idx="37">
                  <c:v>3175.0325296516066</c:v>
                </c:pt>
                <c:pt idx="38">
                  <c:v>3247.0785325295628</c:v>
                </c:pt>
                <c:pt idx="39">
                  <c:v>3319.1245354075199</c:v>
                </c:pt>
                <c:pt idx="40">
                  <c:v>3391.1705382854748</c:v>
                </c:pt>
                <c:pt idx="41">
                  <c:v>3703.5588933594868</c:v>
                </c:pt>
                <c:pt idx="42">
                  <c:v>4007.9711332840443</c:v>
                </c:pt>
                <c:pt idx="43">
                  <c:v>4305.8456158390973</c:v>
                </c:pt>
                <c:pt idx="44">
                  <c:v>4598.2944643571009</c:v>
                </c:pt>
                <c:pt idx="45">
                  <c:v>4886.1910963161145</c:v>
                </c:pt>
                <c:pt idx="46">
                  <c:v>5170.2310064244166</c:v>
                </c:pt>
                <c:pt idx="47">
                  <c:v>5450.9748766748498</c:v>
                </c:pt>
                <c:pt idx="48">
                  <c:v>5728.8797312421384</c:v>
                </c:pt>
                <c:pt idx="49">
                  <c:v>6004.321833278691</c:v>
                </c:pt>
                <c:pt idx="50">
                  <c:v>6277.6137693275787</c:v>
                </c:pt>
                <c:pt idx="51">
                  <c:v>6549.0173728740565</c:v>
                </c:pt>
                <c:pt idx="52">
                  <c:v>6818.7536231788608</c:v>
                </c:pt>
                <c:pt idx="53">
                  <c:v>7085.1518904853656</c:v>
                </c:pt>
                <c:pt idx="54">
                  <c:v>7329.8186643393292</c:v>
                </c:pt>
                <c:pt idx="55">
                  <c:v>7591.0637621455007</c:v>
                </c:pt>
                <c:pt idx="56">
                  <c:v>7850.9563274851398</c:v>
                </c:pt>
                <c:pt idx="57">
                  <c:v>8109.7271478978582</c:v>
                </c:pt>
                <c:pt idx="58">
                  <c:v>8367.5573298529507</c:v>
                </c:pt>
                <c:pt idx="59">
                  <c:v>8624.5909844479502</c:v>
                </c:pt>
                <c:pt idx="60">
                  <c:v>8681.5138508041946</c:v>
                </c:pt>
                <c:pt idx="61">
                  <c:v>8686.5141735808302</c:v>
                </c:pt>
                <c:pt idx="62">
                  <c:v>8686.5141735808302</c:v>
                </c:pt>
                <c:pt idx="63">
                  <c:v>8686.5141735808302</c:v>
                </c:pt>
              </c:numCache>
            </c:numRef>
          </c:yVal>
          <c:smooth val="1"/>
          <c:extLst>
            <c:ext xmlns:c16="http://schemas.microsoft.com/office/drawing/2014/chart" uri="{C3380CC4-5D6E-409C-BE32-E72D297353CC}">
              <c16:uniqueId val="{0000000C-3391-4A0E-866C-79E950690FFB}"/>
            </c:ext>
          </c:extLst>
        </c:ser>
        <c:ser>
          <c:idx val="8"/>
          <c:order val="7"/>
          <c:tx>
            <c:v>N bal</c:v>
          </c:tx>
          <c:spPr>
            <a:ln w="12700">
              <a:solidFill>
                <a:srgbClr val="000000"/>
              </a:solidFill>
              <a:prstDash val="sysDash"/>
            </a:ln>
          </c:spPr>
          <c:marker>
            <c:symbol val="none"/>
          </c:marker>
          <c:dLbls>
            <c:dLbl>
              <c:idx val="1"/>
              <c:spPr>
                <a:noFill/>
                <a:ln w="25400">
                  <a:noFill/>
                </a:ln>
              </c:spPr>
              <c:txPr>
                <a:bodyPr/>
                <a:lstStyle/>
                <a:p>
                  <a:pPr>
                    <a:defRPr sz="1100" b="0" i="1" u="none" strike="noStrike" baseline="0">
                      <a:solidFill>
                        <a:srgbClr val="000000"/>
                      </a:solidFill>
                      <a:latin typeface="Trebuchet MS"/>
                      <a:ea typeface="Trebuchet MS"/>
                      <a:cs typeface="Trebuchet M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D-3391-4A0E-866C-79E950690FFB}"/>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Zcal!$Z$7:$Z$8</c:f>
              <c:numCache>
                <c:formatCode>General</c:formatCode>
                <c:ptCount val="2"/>
                <c:pt idx="0">
                  <c:v>368.56946721689155</c:v>
                </c:pt>
                <c:pt idx="1">
                  <c:v>667.21969005332858</c:v>
                </c:pt>
              </c:numCache>
            </c:numRef>
          </c:xVal>
          <c:yVal>
            <c:numRef>
              <c:f>Zcal!$Y$7:$Y$8</c:f>
              <c:numCache>
                <c:formatCode>General</c:formatCode>
                <c:ptCount val="2"/>
                <c:pt idx="0">
                  <c:v>3391.1705382854748</c:v>
                </c:pt>
                <c:pt idx="1">
                  <c:v>3014.6634964416185</c:v>
                </c:pt>
              </c:numCache>
            </c:numRef>
          </c:yVal>
          <c:smooth val="1"/>
          <c:extLst>
            <c:ext xmlns:c16="http://schemas.microsoft.com/office/drawing/2014/chart" uri="{C3380CC4-5D6E-409C-BE32-E72D297353CC}">
              <c16:uniqueId val="{0000000E-3391-4A0E-866C-79E950690FFB}"/>
            </c:ext>
          </c:extLst>
        </c:ser>
        <c:dLbls>
          <c:showLegendKey val="0"/>
          <c:showVal val="0"/>
          <c:showCatName val="0"/>
          <c:showSerName val="0"/>
          <c:showPercent val="0"/>
          <c:showBubbleSize val="0"/>
        </c:dLbls>
        <c:axId val="461878856"/>
        <c:axId val="461880816"/>
      </c:scatterChart>
      <c:valAx>
        <c:axId val="461878856"/>
        <c:scaling>
          <c:orientation val="minMax"/>
          <c:min val="0"/>
        </c:scaling>
        <c:delete val="0"/>
        <c:axPos val="b"/>
        <c:majorGridlines>
          <c:spPr>
            <a:ln w="3175">
              <a:solidFill>
                <a:srgbClr val="002469"/>
              </a:solidFill>
              <a:prstDash val="solid"/>
            </a:ln>
          </c:spPr>
        </c:majorGridlines>
        <c:minorGridlines>
          <c:spPr>
            <a:ln w="3175">
              <a:solidFill>
                <a:srgbClr val="BAC0D9"/>
              </a:solidFill>
              <a:prstDash val="solid"/>
            </a:ln>
          </c:spPr>
        </c:minorGridlines>
        <c:numFmt formatCode="0" sourceLinked="0"/>
        <c:majorTickMark val="out"/>
        <c:minorTickMark val="none"/>
        <c:tickLblPos val="low"/>
        <c:spPr>
          <a:ln w="3175">
            <a:solidFill>
              <a:srgbClr val="000000"/>
            </a:solidFill>
            <a:prstDash val="solid"/>
          </a:ln>
        </c:spPr>
        <c:txPr>
          <a:bodyPr rot="0" vert="horz"/>
          <a:lstStyle/>
          <a:p>
            <a:pPr>
              <a:defRPr sz="1100" b="1" i="0" u="none" strike="noStrike" baseline="0">
                <a:solidFill>
                  <a:srgbClr val="000000"/>
                </a:solidFill>
                <a:latin typeface="Trebuchet MS"/>
                <a:ea typeface="Trebuchet MS"/>
                <a:cs typeface="Trebuchet MS"/>
              </a:defRPr>
            </a:pPr>
            <a:endParaRPr lang="en-US"/>
          </a:p>
        </c:txPr>
        <c:crossAx val="461880816"/>
        <c:crosses val="autoZero"/>
        <c:crossBetween val="midCat"/>
      </c:valAx>
      <c:valAx>
        <c:axId val="461880816"/>
        <c:scaling>
          <c:orientation val="minMax"/>
          <c:min val="0"/>
        </c:scaling>
        <c:delete val="0"/>
        <c:axPos val="l"/>
        <c:majorGridlines>
          <c:spPr>
            <a:ln w="3175">
              <a:solidFill>
                <a:srgbClr val="002469"/>
              </a:solidFill>
              <a:prstDash val="solid"/>
            </a:ln>
          </c:spPr>
        </c:majorGridlines>
        <c:minorGridlines>
          <c:spPr>
            <a:ln w="3175">
              <a:solidFill>
                <a:srgbClr val="BAC0D9"/>
              </a:solidFill>
              <a:prstDash val="solid"/>
            </a:ln>
          </c:spPr>
        </c:minorGridlines>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000000"/>
                </a:solidFill>
                <a:latin typeface="Trebuchet MS"/>
                <a:ea typeface="Trebuchet MS"/>
                <a:cs typeface="Trebuchet MS"/>
              </a:defRPr>
            </a:pPr>
            <a:endParaRPr lang="en-US"/>
          </a:p>
        </c:txPr>
        <c:crossAx val="461878856"/>
        <c:crosses val="autoZero"/>
        <c:crossBetween val="midCat"/>
      </c:valAx>
      <c:spPr>
        <a:solidFill>
          <a:srgbClr val="F7F3DD"/>
        </a:solidFill>
        <a:ln w="12700">
          <a:solidFill>
            <a:srgbClr val="002469"/>
          </a:solidFill>
          <a:prstDash val="solid"/>
        </a:ln>
      </c:spPr>
    </c:plotArea>
    <c:plotVisOnly val="1"/>
    <c:dispBlanksAs val="gap"/>
    <c:showDLblsOverMax val="0"/>
  </c:chart>
  <c:spPr>
    <a:solidFill>
      <a:srgbClr val="E5E9F0"/>
    </a:solidFill>
    <a:ln w="9525">
      <a:noFill/>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9289452962156652E-2"/>
          <c:y val="5.8366202320968515E-2"/>
          <c:w val="0.88934179443234984"/>
          <c:h val="0.8988395157429151"/>
        </c:manualLayout>
      </c:layout>
      <c:scatterChart>
        <c:scatterStyle val="lineMarker"/>
        <c:varyColors val="0"/>
        <c:ser>
          <c:idx val="0"/>
          <c:order val="0"/>
          <c:tx>
            <c:v>outline</c:v>
          </c:tx>
          <c:spPr>
            <a:ln w="25400">
              <a:solidFill>
                <a:srgbClr val="000000"/>
              </a:solidFill>
              <a:prstDash val="solid"/>
            </a:ln>
          </c:spPr>
          <c:marker>
            <c:symbol val="none"/>
          </c:marker>
          <c:xVal>
            <c:numRef>
              <c:f>MAIN!$Q$9:$U$9</c:f>
              <c:numCache>
                <c:formatCode>General</c:formatCode>
                <c:ptCount val="5"/>
                <c:pt idx="0">
                  <c:v>480</c:v>
                </c:pt>
                <c:pt idx="1">
                  <c:v>480</c:v>
                </c:pt>
                <c:pt idx="2">
                  <c:v>780</c:v>
                </c:pt>
                <c:pt idx="3">
                  <c:v>780</c:v>
                </c:pt>
                <c:pt idx="4">
                  <c:v>480</c:v>
                </c:pt>
              </c:numCache>
            </c:numRef>
          </c:xVal>
          <c:yVal>
            <c:numRef>
              <c:f>MAIN!$Q$10:$U$10</c:f>
              <c:numCache>
                <c:formatCode>General</c:formatCode>
                <c:ptCount val="5"/>
                <c:pt idx="0">
                  <c:v>0</c:v>
                </c:pt>
                <c:pt idx="1">
                  <c:v>1200</c:v>
                </c:pt>
                <c:pt idx="2">
                  <c:v>1200</c:v>
                </c:pt>
                <c:pt idx="3">
                  <c:v>0</c:v>
                </c:pt>
                <c:pt idx="4">
                  <c:v>0</c:v>
                </c:pt>
              </c:numCache>
            </c:numRef>
          </c:yVal>
          <c:smooth val="0"/>
          <c:extLst>
            <c:ext xmlns:c16="http://schemas.microsoft.com/office/drawing/2014/chart" uri="{C3380CC4-5D6E-409C-BE32-E72D297353CC}">
              <c16:uniqueId val="{00000000-C35B-4E24-BB14-1317D2A99E10}"/>
            </c:ext>
          </c:extLst>
        </c:ser>
        <c:ser>
          <c:idx val="2"/>
          <c:order val="1"/>
          <c:tx>
            <c:v>scaledot</c:v>
          </c:tx>
          <c:spPr>
            <a:ln w="12700">
              <a:solidFill>
                <a:srgbClr val="FFFF00"/>
              </a:solidFill>
              <a:prstDash val="solid"/>
            </a:ln>
          </c:spPr>
          <c:marker>
            <c:symbol val="none"/>
          </c:marker>
          <c:xVal>
            <c:numRef>
              <c:f>MAIN!$Z$5</c:f>
              <c:numCache>
                <c:formatCode>General</c:formatCode>
                <c:ptCount val="1"/>
                <c:pt idx="0">
                  <c:v>1200</c:v>
                </c:pt>
              </c:numCache>
            </c:numRef>
          </c:xVal>
          <c:yVal>
            <c:numRef>
              <c:f>MAIN!$AA$5</c:f>
              <c:numCache>
                <c:formatCode>General</c:formatCode>
                <c:ptCount val="1"/>
                <c:pt idx="0">
                  <c:v>300</c:v>
                </c:pt>
              </c:numCache>
            </c:numRef>
          </c:yVal>
          <c:smooth val="0"/>
          <c:extLst>
            <c:ext xmlns:c16="http://schemas.microsoft.com/office/drawing/2014/chart" uri="{C3380CC4-5D6E-409C-BE32-E72D297353CC}">
              <c16:uniqueId val="{00000001-C35B-4E24-BB14-1317D2A99E10}"/>
            </c:ext>
          </c:extLst>
        </c:ser>
        <c:ser>
          <c:idx val="3"/>
          <c:order val="2"/>
          <c:tx>
            <c:v>link</c:v>
          </c:tx>
          <c:spPr>
            <a:ln w="12700">
              <a:solidFill>
                <a:srgbClr val="007854"/>
              </a:solidFill>
              <a:prstDash val="solid"/>
            </a:ln>
          </c:spPr>
          <c:marker>
            <c:symbol val="none"/>
          </c:marker>
          <c:xVal>
            <c:numRef>
              <c:f>MAIN!$Q$11:$U$11</c:f>
              <c:numCache>
                <c:formatCode>General</c:formatCode>
                <c:ptCount val="5"/>
                <c:pt idx="0">
                  <c:v>520</c:v>
                </c:pt>
                <c:pt idx="1">
                  <c:v>520</c:v>
                </c:pt>
                <c:pt idx="2">
                  <c:v>740</c:v>
                </c:pt>
                <c:pt idx="3">
                  <c:v>740</c:v>
                </c:pt>
                <c:pt idx="4">
                  <c:v>520</c:v>
                </c:pt>
              </c:numCache>
            </c:numRef>
          </c:xVal>
          <c:yVal>
            <c:numRef>
              <c:f>MAIN!$Q$12:$U$12</c:f>
              <c:numCache>
                <c:formatCode>General</c:formatCode>
                <c:ptCount val="5"/>
                <c:pt idx="0">
                  <c:v>40</c:v>
                </c:pt>
                <c:pt idx="1">
                  <c:v>1160</c:v>
                </c:pt>
                <c:pt idx="2">
                  <c:v>1160</c:v>
                </c:pt>
                <c:pt idx="3">
                  <c:v>40</c:v>
                </c:pt>
                <c:pt idx="4">
                  <c:v>40</c:v>
                </c:pt>
              </c:numCache>
            </c:numRef>
          </c:yVal>
          <c:smooth val="0"/>
          <c:extLst>
            <c:ext xmlns:c16="http://schemas.microsoft.com/office/drawing/2014/chart" uri="{C3380CC4-5D6E-409C-BE32-E72D297353CC}">
              <c16:uniqueId val="{00000002-C35B-4E24-BB14-1317D2A99E10}"/>
            </c:ext>
          </c:extLst>
        </c:ser>
        <c:ser>
          <c:idx val="1"/>
          <c:order val="3"/>
          <c:tx>
            <c:v>bars</c:v>
          </c:tx>
          <c:spPr>
            <a:ln w="28575">
              <a:noFill/>
            </a:ln>
          </c:spPr>
          <c:marker>
            <c:symbol val="circle"/>
            <c:size val="5"/>
            <c:spPr>
              <a:solidFill>
                <a:srgbClr val="BC0000"/>
              </a:solidFill>
              <a:ln>
                <a:solidFill>
                  <a:srgbClr val="BC0000"/>
                </a:solidFill>
                <a:prstDash val="solid"/>
              </a:ln>
            </c:spPr>
          </c:marker>
          <c:xVal>
            <c:numRef>
              <c:f>MAIN!$P$6:$BF$6</c:f>
              <c:numCache>
                <c:formatCode>General</c:formatCode>
                <c:ptCount val="43"/>
                <c:pt idx="0">
                  <c:v>0</c:v>
                </c:pt>
                <c:pt idx="1">
                  <c:v>536</c:v>
                </c:pt>
                <c:pt idx="2">
                  <c:v>536</c:v>
                </c:pt>
                <c:pt idx="3">
                  <c:v>536</c:v>
                </c:pt>
                <c:pt idx="4">
                  <c:v>536</c:v>
                </c:pt>
                <c:pt idx="5">
                  <c:v>536</c:v>
                </c:pt>
                <c:pt idx="6">
                  <c:v>536</c:v>
                </c:pt>
                <c:pt idx="7">
                  <c:v>536</c:v>
                </c:pt>
                <c:pt idx="8">
                  <c:v>536</c:v>
                </c:pt>
                <c:pt idx="9">
                  <c:v>536</c:v>
                </c:pt>
                <c:pt idx="10">
                  <c:v>536</c:v>
                </c:pt>
                <c:pt idx="11">
                  <c:v>720</c:v>
                </c:pt>
                <c:pt idx="12">
                  <c:v>720</c:v>
                </c:pt>
                <c:pt idx="13">
                  <c:v>720</c:v>
                </c:pt>
                <c:pt idx="14">
                  <c:v>720</c:v>
                </c:pt>
                <c:pt idx="15">
                  <c:v>720</c:v>
                </c:pt>
                <c:pt idx="16">
                  <c:v>720</c:v>
                </c:pt>
                <c:pt idx="17">
                  <c:v>720</c:v>
                </c:pt>
                <c:pt idx="18">
                  <c:v>720</c:v>
                </c:pt>
                <c:pt idx="19">
                  <c:v>720</c:v>
                </c:pt>
                <c:pt idx="20">
                  <c:v>720</c:v>
                </c:pt>
                <c:pt idx="21">
                  <c:v>720</c:v>
                </c:pt>
                <c:pt idx="22">
                  <c:v>720</c:v>
                </c:pt>
                <c:pt idx="23">
                  <c:v>720</c:v>
                </c:pt>
                <c:pt idx="24">
                  <c:v>720</c:v>
                </c:pt>
                <c:pt idx="25">
                  <c:v>720</c:v>
                </c:pt>
                <c:pt idx="26">
                  <c:v>720</c:v>
                </c:pt>
                <c:pt idx="27">
                  <c:v>720</c:v>
                </c:pt>
                <c:pt idx="28">
                  <c:v>720</c:v>
                </c:pt>
                <c:pt idx="29">
                  <c:v>536</c:v>
                </c:pt>
                <c:pt idx="30">
                  <c:v>536</c:v>
                </c:pt>
                <c:pt idx="31">
                  <c:v>536</c:v>
                </c:pt>
                <c:pt idx="32">
                  <c:v>536</c:v>
                </c:pt>
                <c:pt idx="33">
                  <c:v>536</c:v>
                </c:pt>
                <c:pt idx="34">
                  <c:v>536</c:v>
                </c:pt>
                <c:pt idx="35">
                  <c:v>536</c:v>
                </c:pt>
                <c:pt idx="36">
                  <c:v>536</c:v>
                </c:pt>
                <c:pt idx="37">
                  <c:v>536</c:v>
                </c:pt>
              </c:numCache>
            </c:numRef>
          </c:xVal>
          <c:yVal>
            <c:numRef>
              <c:f>MAIN!$P$8:$BB$8</c:f>
              <c:numCache>
                <c:formatCode>General</c:formatCode>
                <c:ptCount val="39"/>
                <c:pt idx="1">
                  <c:v>56</c:v>
                </c:pt>
                <c:pt idx="2">
                  <c:v>418.66666666666669</c:v>
                </c:pt>
                <c:pt idx="3">
                  <c:v>781.33333333333337</c:v>
                </c:pt>
                <c:pt idx="4">
                  <c:v>1144</c:v>
                </c:pt>
                <c:pt idx="5">
                  <c:v>1144</c:v>
                </c:pt>
                <c:pt idx="6">
                  <c:v>1144</c:v>
                </c:pt>
                <c:pt idx="7">
                  <c:v>1144</c:v>
                </c:pt>
                <c:pt idx="8">
                  <c:v>1144</c:v>
                </c:pt>
                <c:pt idx="9">
                  <c:v>1144</c:v>
                </c:pt>
                <c:pt idx="10">
                  <c:v>1144</c:v>
                </c:pt>
                <c:pt idx="11">
                  <c:v>1144</c:v>
                </c:pt>
                <c:pt idx="12">
                  <c:v>1144</c:v>
                </c:pt>
                <c:pt idx="13">
                  <c:v>1144</c:v>
                </c:pt>
                <c:pt idx="14">
                  <c:v>1144</c:v>
                </c:pt>
                <c:pt idx="15">
                  <c:v>1144</c:v>
                </c:pt>
                <c:pt idx="16">
                  <c:v>1144</c:v>
                </c:pt>
                <c:pt idx="17">
                  <c:v>1144</c:v>
                </c:pt>
                <c:pt idx="18">
                  <c:v>1144</c:v>
                </c:pt>
                <c:pt idx="19">
                  <c:v>1144</c:v>
                </c:pt>
                <c:pt idx="20">
                  <c:v>781.33333333333326</c:v>
                </c:pt>
                <c:pt idx="21">
                  <c:v>418.66666666666657</c:v>
                </c:pt>
                <c:pt idx="22">
                  <c:v>56</c:v>
                </c:pt>
                <c:pt idx="23">
                  <c:v>56</c:v>
                </c:pt>
                <c:pt idx="24">
                  <c:v>56</c:v>
                </c:pt>
                <c:pt idx="25">
                  <c:v>56</c:v>
                </c:pt>
                <c:pt idx="26">
                  <c:v>56</c:v>
                </c:pt>
                <c:pt idx="27">
                  <c:v>56</c:v>
                </c:pt>
                <c:pt idx="28">
                  <c:v>56</c:v>
                </c:pt>
                <c:pt idx="29">
                  <c:v>56</c:v>
                </c:pt>
                <c:pt idx="30">
                  <c:v>56</c:v>
                </c:pt>
                <c:pt idx="31">
                  <c:v>56</c:v>
                </c:pt>
                <c:pt idx="32">
                  <c:v>56</c:v>
                </c:pt>
                <c:pt idx="33">
                  <c:v>56</c:v>
                </c:pt>
                <c:pt idx="34">
                  <c:v>56</c:v>
                </c:pt>
                <c:pt idx="35">
                  <c:v>56</c:v>
                </c:pt>
                <c:pt idx="36">
                  <c:v>56</c:v>
                </c:pt>
                <c:pt idx="37">
                  <c:v>56</c:v>
                </c:pt>
              </c:numCache>
            </c:numRef>
          </c:yVal>
          <c:smooth val="0"/>
          <c:extLst>
            <c:ext xmlns:c16="http://schemas.microsoft.com/office/drawing/2014/chart" uri="{C3380CC4-5D6E-409C-BE32-E72D297353CC}">
              <c16:uniqueId val="{00000003-C35B-4E24-BB14-1317D2A99E10}"/>
            </c:ext>
          </c:extLst>
        </c:ser>
        <c:dLbls>
          <c:showLegendKey val="0"/>
          <c:showVal val="0"/>
          <c:showCatName val="0"/>
          <c:showSerName val="0"/>
          <c:showPercent val="0"/>
          <c:showBubbleSize val="0"/>
        </c:dLbls>
        <c:axId val="461883952"/>
        <c:axId val="461879248"/>
      </c:scatterChart>
      <c:valAx>
        <c:axId val="461883952"/>
        <c:scaling>
          <c:orientation val="minMax"/>
          <c:min val="-5"/>
        </c:scaling>
        <c:delete val="1"/>
        <c:axPos val="b"/>
        <c:numFmt formatCode="General" sourceLinked="1"/>
        <c:majorTickMark val="out"/>
        <c:minorTickMark val="none"/>
        <c:tickLblPos val="nextTo"/>
        <c:crossAx val="461879248"/>
        <c:crosses val="autoZero"/>
        <c:crossBetween val="midCat"/>
        <c:majorUnit val="10"/>
      </c:valAx>
      <c:valAx>
        <c:axId val="461879248"/>
        <c:scaling>
          <c:orientation val="minMax"/>
          <c:min val="-5"/>
        </c:scaling>
        <c:delete val="1"/>
        <c:axPos val="l"/>
        <c:numFmt formatCode="General" sourceLinked="1"/>
        <c:majorTickMark val="out"/>
        <c:minorTickMark val="none"/>
        <c:tickLblPos val="nextTo"/>
        <c:crossAx val="461883952"/>
        <c:crosses val="autoZero"/>
        <c:crossBetween val="midCat"/>
        <c:majorUnit val="10"/>
      </c:valAx>
      <c:spPr>
        <a:solidFill>
          <a:srgbClr val="E5E9F0"/>
        </a:solidFill>
        <a:ln w="25400">
          <a:noFill/>
        </a:ln>
      </c:spPr>
    </c:plotArea>
    <c:plotVisOnly val="1"/>
    <c:dispBlanksAs val="gap"/>
    <c:showDLblsOverMax val="0"/>
  </c:chart>
  <c:spPr>
    <a:solidFill>
      <a:srgbClr val="E5E9F0"/>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224977877693543E-2"/>
          <c:y val="6.0240963855421686E-2"/>
          <c:w val="0.89388467701432572"/>
          <c:h val="0.89156626506024095"/>
        </c:manualLayout>
      </c:layout>
      <c:scatterChart>
        <c:scatterStyle val="lineMarker"/>
        <c:varyColors val="0"/>
        <c:ser>
          <c:idx val="0"/>
          <c:order val="0"/>
          <c:tx>
            <c:v>outline</c:v>
          </c:tx>
          <c:spPr>
            <a:ln w="25400">
              <a:solidFill>
                <a:srgbClr val="000000"/>
              </a:solidFill>
              <a:prstDash val="solid"/>
            </a:ln>
          </c:spPr>
          <c:marker>
            <c:symbol val="none"/>
          </c:marker>
          <c:xVal>
            <c:numRef>
              <c:f>MAIN!$Q$9:$U$9</c:f>
              <c:numCache>
                <c:formatCode>General</c:formatCode>
                <c:ptCount val="5"/>
                <c:pt idx="0">
                  <c:v>480</c:v>
                </c:pt>
                <c:pt idx="1">
                  <c:v>480</c:v>
                </c:pt>
                <c:pt idx="2">
                  <c:v>780</c:v>
                </c:pt>
                <c:pt idx="3">
                  <c:v>780</c:v>
                </c:pt>
                <c:pt idx="4">
                  <c:v>480</c:v>
                </c:pt>
              </c:numCache>
            </c:numRef>
          </c:xVal>
          <c:yVal>
            <c:numRef>
              <c:f>MAIN!$Q$10:$U$10</c:f>
              <c:numCache>
                <c:formatCode>General</c:formatCode>
                <c:ptCount val="5"/>
                <c:pt idx="0">
                  <c:v>0</c:v>
                </c:pt>
                <c:pt idx="1">
                  <c:v>1200</c:v>
                </c:pt>
                <c:pt idx="2">
                  <c:v>1200</c:v>
                </c:pt>
                <c:pt idx="3">
                  <c:v>0</c:v>
                </c:pt>
                <c:pt idx="4">
                  <c:v>0</c:v>
                </c:pt>
              </c:numCache>
            </c:numRef>
          </c:yVal>
          <c:smooth val="0"/>
          <c:extLst>
            <c:ext xmlns:c16="http://schemas.microsoft.com/office/drawing/2014/chart" uri="{C3380CC4-5D6E-409C-BE32-E72D297353CC}">
              <c16:uniqueId val="{00000000-1F0B-413A-BF58-0296A980E1BD}"/>
            </c:ext>
          </c:extLst>
        </c:ser>
        <c:ser>
          <c:idx val="2"/>
          <c:order val="1"/>
          <c:tx>
            <c:v>scaledot</c:v>
          </c:tx>
          <c:spPr>
            <a:ln w="12700">
              <a:solidFill>
                <a:srgbClr val="FFFF00"/>
              </a:solidFill>
              <a:prstDash val="solid"/>
            </a:ln>
          </c:spPr>
          <c:marker>
            <c:symbol val="none"/>
          </c:marker>
          <c:xVal>
            <c:numRef>
              <c:f>MAIN!$Z$5</c:f>
              <c:numCache>
                <c:formatCode>General</c:formatCode>
                <c:ptCount val="1"/>
                <c:pt idx="0">
                  <c:v>1200</c:v>
                </c:pt>
              </c:numCache>
            </c:numRef>
          </c:xVal>
          <c:yVal>
            <c:numRef>
              <c:f>MAIN!$AA$5</c:f>
              <c:numCache>
                <c:formatCode>General</c:formatCode>
                <c:ptCount val="1"/>
                <c:pt idx="0">
                  <c:v>300</c:v>
                </c:pt>
              </c:numCache>
            </c:numRef>
          </c:yVal>
          <c:smooth val="0"/>
          <c:extLst>
            <c:ext xmlns:c16="http://schemas.microsoft.com/office/drawing/2014/chart" uri="{C3380CC4-5D6E-409C-BE32-E72D297353CC}">
              <c16:uniqueId val="{00000001-1F0B-413A-BF58-0296A980E1BD}"/>
            </c:ext>
          </c:extLst>
        </c:ser>
        <c:ser>
          <c:idx val="3"/>
          <c:order val="2"/>
          <c:tx>
            <c:v>link</c:v>
          </c:tx>
          <c:spPr>
            <a:ln w="12700">
              <a:solidFill>
                <a:srgbClr val="007854"/>
              </a:solidFill>
              <a:prstDash val="solid"/>
            </a:ln>
          </c:spPr>
          <c:marker>
            <c:symbol val="none"/>
          </c:marker>
          <c:xVal>
            <c:numRef>
              <c:f>MAIN!$Q$11:$U$11</c:f>
              <c:numCache>
                <c:formatCode>General</c:formatCode>
                <c:ptCount val="5"/>
                <c:pt idx="0">
                  <c:v>520</c:v>
                </c:pt>
                <c:pt idx="1">
                  <c:v>520</c:v>
                </c:pt>
                <c:pt idx="2">
                  <c:v>740</c:v>
                </c:pt>
                <c:pt idx="3">
                  <c:v>740</c:v>
                </c:pt>
                <c:pt idx="4">
                  <c:v>520</c:v>
                </c:pt>
              </c:numCache>
            </c:numRef>
          </c:xVal>
          <c:yVal>
            <c:numRef>
              <c:f>MAIN!$Q$12:$U$12</c:f>
              <c:numCache>
                <c:formatCode>General</c:formatCode>
                <c:ptCount val="5"/>
                <c:pt idx="0">
                  <c:v>40</c:v>
                </c:pt>
                <c:pt idx="1">
                  <c:v>1160</c:v>
                </c:pt>
                <c:pt idx="2">
                  <c:v>1160</c:v>
                </c:pt>
                <c:pt idx="3">
                  <c:v>40</c:v>
                </c:pt>
                <c:pt idx="4">
                  <c:v>40</c:v>
                </c:pt>
              </c:numCache>
            </c:numRef>
          </c:yVal>
          <c:smooth val="0"/>
          <c:extLst>
            <c:ext xmlns:c16="http://schemas.microsoft.com/office/drawing/2014/chart" uri="{C3380CC4-5D6E-409C-BE32-E72D297353CC}">
              <c16:uniqueId val="{00000002-1F0B-413A-BF58-0296A980E1BD}"/>
            </c:ext>
          </c:extLst>
        </c:ser>
        <c:ser>
          <c:idx val="1"/>
          <c:order val="3"/>
          <c:tx>
            <c:v>bars</c:v>
          </c:tx>
          <c:spPr>
            <a:ln w="28575">
              <a:noFill/>
            </a:ln>
          </c:spPr>
          <c:marker>
            <c:symbol val="circle"/>
            <c:size val="5"/>
            <c:spPr>
              <a:solidFill>
                <a:srgbClr val="BC0000"/>
              </a:solidFill>
              <a:ln>
                <a:solidFill>
                  <a:srgbClr val="BC0000"/>
                </a:solidFill>
                <a:prstDash val="solid"/>
              </a:ln>
            </c:spPr>
          </c:marker>
          <c:xVal>
            <c:numRef>
              <c:f>MAIN!$P$6:$BF$6</c:f>
              <c:numCache>
                <c:formatCode>General</c:formatCode>
                <c:ptCount val="43"/>
                <c:pt idx="0">
                  <c:v>0</c:v>
                </c:pt>
                <c:pt idx="1">
                  <c:v>536</c:v>
                </c:pt>
                <c:pt idx="2">
                  <c:v>536</c:v>
                </c:pt>
                <c:pt idx="3">
                  <c:v>536</c:v>
                </c:pt>
                <c:pt idx="4">
                  <c:v>536</c:v>
                </c:pt>
                <c:pt idx="5">
                  <c:v>536</c:v>
                </c:pt>
                <c:pt idx="6">
                  <c:v>536</c:v>
                </c:pt>
                <c:pt idx="7">
                  <c:v>536</c:v>
                </c:pt>
                <c:pt idx="8">
                  <c:v>536</c:v>
                </c:pt>
                <c:pt idx="9">
                  <c:v>536</c:v>
                </c:pt>
                <c:pt idx="10">
                  <c:v>536</c:v>
                </c:pt>
                <c:pt idx="11">
                  <c:v>720</c:v>
                </c:pt>
                <c:pt idx="12">
                  <c:v>720</c:v>
                </c:pt>
                <c:pt idx="13">
                  <c:v>720</c:v>
                </c:pt>
                <c:pt idx="14">
                  <c:v>720</c:v>
                </c:pt>
                <c:pt idx="15">
                  <c:v>720</c:v>
                </c:pt>
                <c:pt idx="16">
                  <c:v>720</c:v>
                </c:pt>
                <c:pt idx="17">
                  <c:v>720</c:v>
                </c:pt>
                <c:pt idx="18">
                  <c:v>720</c:v>
                </c:pt>
                <c:pt idx="19">
                  <c:v>720</c:v>
                </c:pt>
                <c:pt idx="20">
                  <c:v>720</c:v>
                </c:pt>
                <c:pt idx="21">
                  <c:v>720</c:v>
                </c:pt>
                <c:pt idx="22">
                  <c:v>720</c:v>
                </c:pt>
                <c:pt idx="23">
                  <c:v>720</c:v>
                </c:pt>
                <c:pt idx="24">
                  <c:v>720</c:v>
                </c:pt>
                <c:pt idx="25">
                  <c:v>720</c:v>
                </c:pt>
                <c:pt idx="26">
                  <c:v>720</c:v>
                </c:pt>
                <c:pt idx="27">
                  <c:v>720</c:v>
                </c:pt>
                <c:pt idx="28">
                  <c:v>720</c:v>
                </c:pt>
                <c:pt idx="29">
                  <c:v>536</c:v>
                </c:pt>
                <c:pt idx="30">
                  <c:v>536</c:v>
                </c:pt>
                <c:pt idx="31">
                  <c:v>536</c:v>
                </c:pt>
                <c:pt idx="32">
                  <c:v>536</c:v>
                </c:pt>
                <c:pt idx="33">
                  <c:v>536</c:v>
                </c:pt>
                <c:pt idx="34">
                  <c:v>536</c:v>
                </c:pt>
                <c:pt idx="35">
                  <c:v>536</c:v>
                </c:pt>
                <c:pt idx="36">
                  <c:v>536</c:v>
                </c:pt>
                <c:pt idx="37">
                  <c:v>536</c:v>
                </c:pt>
              </c:numCache>
            </c:numRef>
          </c:xVal>
          <c:yVal>
            <c:numRef>
              <c:f>MAIN!$P$8:$BB$8</c:f>
              <c:numCache>
                <c:formatCode>General</c:formatCode>
                <c:ptCount val="39"/>
                <c:pt idx="1">
                  <c:v>56</c:v>
                </c:pt>
                <c:pt idx="2">
                  <c:v>418.66666666666669</c:v>
                </c:pt>
                <c:pt idx="3">
                  <c:v>781.33333333333337</c:v>
                </c:pt>
                <c:pt idx="4">
                  <c:v>1144</c:v>
                </c:pt>
                <c:pt idx="5">
                  <c:v>1144</c:v>
                </c:pt>
                <c:pt idx="6">
                  <c:v>1144</c:v>
                </c:pt>
                <c:pt idx="7">
                  <c:v>1144</c:v>
                </c:pt>
                <c:pt idx="8">
                  <c:v>1144</c:v>
                </c:pt>
                <c:pt idx="9">
                  <c:v>1144</c:v>
                </c:pt>
                <c:pt idx="10">
                  <c:v>1144</c:v>
                </c:pt>
                <c:pt idx="11">
                  <c:v>1144</c:v>
                </c:pt>
                <c:pt idx="12">
                  <c:v>1144</c:v>
                </c:pt>
                <c:pt idx="13">
                  <c:v>1144</c:v>
                </c:pt>
                <c:pt idx="14">
                  <c:v>1144</c:v>
                </c:pt>
                <c:pt idx="15">
                  <c:v>1144</c:v>
                </c:pt>
                <c:pt idx="16">
                  <c:v>1144</c:v>
                </c:pt>
                <c:pt idx="17">
                  <c:v>1144</c:v>
                </c:pt>
                <c:pt idx="18">
                  <c:v>1144</c:v>
                </c:pt>
                <c:pt idx="19">
                  <c:v>1144</c:v>
                </c:pt>
                <c:pt idx="20">
                  <c:v>781.33333333333326</c:v>
                </c:pt>
                <c:pt idx="21">
                  <c:v>418.66666666666657</c:v>
                </c:pt>
                <c:pt idx="22">
                  <c:v>56</c:v>
                </c:pt>
                <c:pt idx="23">
                  <c:v>56</c:v>
                </c:pt>
                <c:pt idx="24">
                  <c:v>56</c:v>
                </c:pt>
                <c:pt idx="25">
                  <c:v>56</c:v>
                </c:pt>
                <c:pt idx="26">
                  <c:v>56</c:v>
                </c:pt>
                <c:pt idx="27">
                  <c:v>56</c:v>
                </c:pt>
                <c:pt idx="28">
                  <c:v>56</c:v>
                </c:pt>
                <c:pt idx="29">
                  <c:v>56</c:v>
                </c:pt>
                <c:pt idx="30">
                  <c:v>56</c:v>
                </c:pt>
                <c:pt idx="31">
                  <c:v>56</c:v>
                </c:pt>
                <c:pt idx="32">
                  <c:v>56</c:v>
                </c:pt>
                <c:pt idx="33">
                  <c:v>56</c:v>
                </c:pt>
                <c:pt idx="34">
                  <c:v>56</c:v>
                </c:pt>
                <c:pt idx="35">
                  <c:v>56</c:v>
                </c:pt>
                <c:pt idx="36">
                  <c:v>56</c:v>
                </c:pt>
                <c:pt idx="37">
                  <c:v>56</c:v>
                </c:pt>
              </c:numCache>
            </c:numRef>
          </c:yVal>
          <c:smooth val="0"/>
          <c:extLst>
            <c:ext xmlns:c16="http://schemas.microsoft.com/office/drawing/2014/chart" uri="{C3380CC4-5D6E-409C-BE32-E72D297353CC}">
              <c16:uniqueId val="{00000003-1F0B-413A-BF58-0296A980E1BD}"/>
            </c:ext>
          </c:extLst>
        </c:ser>
        <c:dLbls>
          <c:showLegendKey val="0"/>
          <c:showVal val="0"/>
          <c:showCatName val="0"/>
          <c:showSerName val="0"/>
          <c:showPercent val="0"/>
          <c:showBubbleSize val="0"/>
        </c:dLbls>
        <c:axId val="461881208"/>
        <c:axId val="461881600"/>
      </c:scatterChart>
      <c:valAx>
        <c:axId val="461881208"/>
        <c:scaling>
          <c:orientation val="minMax"/>
          <c:min val="-5"/>
        </c:scaling>
        <c:delete val="1"/>
        <c:axPos val="b"/>
        <c:numFmt formatCode="General" sourceLinked="1"/>
        <c:majorTickMark val="out"/>
        <c:minorTickMark val="none"/>
        <c:tickLblPos val="nextTo"/>
        <c:crossAx val="461881600"/>
        <c:crosses val="autoZero"/>
        <c:crossBetween val="midCat"/>
        <c:majorUnit val="10"/>
      </c:valAx>
      <c:valAx>
        <c:axId val="461881600"/>
        <c:scaling>
          <c:orientation val="minMax"/>
          <c:min val="-5"/>
        </c:scaling>
        <c:delete val="1"/>
        <c:axPos val="l"/>
        <c:numFmt formatCode="General" sourceLinked="1"/>
        <c:majorTickMark val="out"/>
        <c:minorTickMark val="none"/>
        <c:tickLblPos val="nextTo"/>
        <c:crossAx val="461881208"/>
        <c:crosses val="autoZero"/>
        <c:crossBetween val="midCat"/>
        <c:majorUnit val="10"/>
      </c:valAx>
      <c:spPr>
        <a:solidFill>
          <a:srgbClr val="E5E9F0"/>
        </a:solidFill>
        <a:ln w="25400">
          <a:noFill/>
        </a:ln>
      </c:spPr>
    </c:plotArea>
    <c:plotVisOnly val="1"/>
    <c:dispBlanksAs val="gap"/>
    <c:showDLblsOverMax val="0"/>
  </c:chart>
  <c:spPr>
    <a:solidFill>
      <a:srgbClr val="E5E9F0"/>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Trebuchet MS" panose="020B0603020202020204" pitchFamily="34" charset="0"/>
                <a:ea typeface="+mn-ea"/>
                <a:cs typeface="+mn-cs"/>
              </a:defRPr>
            </a:pPr>
            <a:r>
              <a:rPr lang="en-GB">
                <a:latin typeface="Trebuchet MS" panose="020B0603020202020204" pitchFamily="34" charset="0"/>
              </a:rPr>
              <a:t>Biaxial check: </a:t>
            </a:r>
          </a:p>
          <a:p>
            <a:pPr algn="l">
              <a:defRPr>
                <a:latin typeface="Trebuchet MS" panose="020B0603020202020204" pitchFamily="34" charset="0"/>
              </a:defRPr>
            </a:pPr>
            <a:r>
              <a:rPr lang="en-GB">
                <a:latin typeface="Trebuchet MS" panose="020B0603020202020204" pitchFamily="34" charset="0"/>
              </a:rPr>
              <a:t>(M</a:t>
            </a:r>
            <a:r>
              <a:rPr lang="en-GB" baseline="-25000">
                <a:latin typeface="Trebuchet MS" panose="020B0603020202020204" pitchFamily="34" charset="0"/>
              </a:rPr>
              <a:t>Edz</a:t>
            </a:r>
            <a:r>
              <a:rPr lang="en-GB">
                <a:latin typeface="Trebuchet MS" panose="020B0603020202020204" pitchFamily="34" charset="0"/>
              </a:rPr>
              <a:t>/M</a:t>
            </a:r>
            <a:r>
              <a:rPr lang="en-GB" baseline="-25000">
                <a:latin typeface="Trebuchet MS" panose="020B0603020202020204" pitchFamily="34" charset="0"/>
              </a:rPr>
              <a:t>Rdz</a:t>
            </a:r>
            <a:r>
              <a:rPr lang="en-GB">
                <a:latin typeface="Trebuchet MS" panose="020B0603020202020204" pitchFamily="34" charset="0"/>
              </a:rPr>
              <a:t>)</a:t>
            </a:r>
            <a:r>
              <a:rPr lang="en-GB" baseline="30000">
                <a:latin typeface="Trebuchet MS" panose="020B0603020202020204" pitchFamily="34" charset="0"/>
              </a:rPr>
              <a:t>a</a:t>
            </a:r>
            <a:r>
              <a:rPr lang="en-GB">
                <a:latin typeface="Trebuchet MS" panose="020B0603020202020204" pitchFamily="34" charset="0"/>
              </a:rPr>
              <a:t> + </a:t>
            </a:r>
            <a:r>
              <a:rPr lang="en-GB" sz="1400" b="0" i="0" u="none" strike="noStrike" baseline="0">
                <a:effectLst/>
                <a:latin typeface="Trebuchet MS" panose="020B0603020202020204" pitchFamily="34" charset="0"/>
              </a:rPr>
              <a:t>M</a:t>
            </a:r>
            <a:r>
              <a:rPr lang="en-GB" sz="1400" b="0" i="0" u="none" strike="noStrike" baseline="-25000">
                <a:effectLst/>
                <a:latin typeface="Trebuchet MS" panose="020B0603020202020204" pitchFamily="34" charset="0"/>
              </a:rPr>
              <a:t>Edy</a:t>
            </a:r>
            <a:r>
              <a:rPr lang="en-GB" sz="1400" b="0" i="0" u="none" strike="noStrike" baseline="0">
                <a:effectLst/>
                <a:latin typeface="Trebuchet MS" panose="020B0603020202020204" pitchFamily="34" charset="0"/>
              </a:rPr>
              <a:t>/M</a:t>
            </a:r>
            <a:r>
              <a:rPr lang="en-GB" sz="1400" b="0" i="0" u="none" strike="noStrike" baseline="-25000">
                <a:effectLst/>
                <a:latin typeface="Trebuchet MS" panose="020B0603020202020204" pitchFamily="34" charset="0"/>
              </a:rPr>
              <a:t>Rdy</a:t>
            </a:r>
            <a:r>
              <a:rPr lang="en-GB" sz="1400" b="0" i="0" u="none" strike="noStrike" baseline="0">
                <a:effectLst/>
                <a:latin typeface="Trebuchet MS" panose="020B0603020202020204" pitchFamily="34" charset="0"/>
              </a:rPr>
              <a:t>)</a:t>
            </a:r>
            <a:r>
              <a:rPr lang="en-GB" sz="1400" b="0" i="0" u="none" strike="noStrike" baseline="30000">
                <a:effectLst/>
                <a:latin typeface="Trebuchet MS" panose="020B0603020202020204" pitchFamily="34" charset="0"/>
              </a:rPr>
              <a:t>a</a:t>
            </a:r>
            <a:r>
              <a:rPr lang="en-GB" sz="1400" b="0" i="0" u="none" strike="noStrike" baseline="0">
                <a:effectLst/>
                <a:latin typeface="Trebuchet MS" panose="020B0603020202020204" pitchFamily="34" charset="0"/>
              </a:rPr>
              <a:t> </a:t>
            </a:r>
          </a:p>
        </c:rich>
      </c:tx>
      <c:layout>
        <c:manualLayout>
          <c:xMode val="edge"/>
          <c:yMode val="edge"/>
          <c:x val="4.9887708269891681E-2"/>
          <c:y val="4.9846625766871162E-2"/>
        </c:manualLayout>
      </c:layout>
      <c:overlay val="0"/>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Trebuchet MS" panose="020B0603020202020204" pitchFamily="34" charset="0"/>
              <a:ea typeface="+mn-ea"/>
              <a:cs typeface="+mn-cs"/>
            </a:defRPr>
          </a:pPr>
          <a:endParaRPr lang="en-US"/>
        </a:p>
      </c:txPr>
    </c:title>
    <c:autoTitleDeleted val="0"/>
    <c:plotArea>
      <c:layout>
        <c:manualLayout>
          <c:layoutTarget val="inner"/>
          <c:xMode val="edge"/>
          <c:yMode val="edge"/>
          <c:x val="0.16382656501500847"/>
          <c:y val="0.25139033138495726"/>
          <c:w val="0.78849621525209901"/>
          <c:h val="0.66061784454857253"/>
        </c:manualLayout>
      </c:layout>
      <c:barChart>
        <c:barDir val="bar"/>
        <c:grouping val="stacked"/>
        <c:varyColors val="0"/>
        <c:ser>
          <c:idx val="0"/>
          <c:order val="0"/>
          <c:spPr>
            <a:solidFill>
              <a:schemeClr val="accent1"/>
            </a:solidFill>
            <a:ln>
              <a:noFill/>
            </a:ln>
            <a:effectLst/>
          </c:spPr>
          <c:invertIfNegative val="0"/>
          <c:cat>
            <c:strRef>
              <c:f>CHARTS!$L$50:$L$55</c:f>
              <c:strCache>
                <c:ptCount val="6"/>
                <c:pt idx="0">
                  <c:v>6: No Fit</c:v>
                </c:pt>
                <c:pt idx="1">
                  <c:v>5: No Fit</c:v>
                </c:pt>
                <c:pt idx="2">
                  <c:v>4: No Fit</c:v>
                </c:pt>
                <c:pt idx="3">
                  <c:v>3: 8 H16</c:v>
                </c:pt>
                <c:pt idx="4">
                  <c:v>2: 8 H16</c:v>
                </c:pt>
                <c:pt idx="5">
                  <c:v>1: 8 H16</c:v>
                </c:pt>
              </c:strCache>
            </c:strRef>
          </c:cat>
          <c:val>
            <c:numRef>
              <c:f>CHARTS!$M$50:$M$55</c:f>
              <c:numCache>
                <c:formatCode>0.000</c:formatCode>
                <c:ptCount val="6"/>
                <c:pt idx="0">
                  <c:v>0</c:v>
                </c:pt>
                <c:pt idx="1">
                  <c:v>0</c:v>
                </c:pt>
                <c:pt idx="2">
                  <c:v>0</c:v>
                </c:pt>
                <c:pt idx="3">
                  <c:v>0.24766290012059552</c:v>
                </c:pt>
                <c:pt idx="4">
                  <c:v>0.24766290012059552</c:v>
                </c:pt>
                <c:pt idx="5">
                  <c:v>0.24652718688355438</c:v>
                </c:pt>
              </c:numCache>
            </c:numRef>
          </c:val>
          <c:extLst>
            <c:ext xmlns:c16="http://schemas.microsoft.com/office/drawing/2014/chart" uri="{C3380CC4-5D6E-409C-BE32-E72D297353CC}">
              <c16:uniqueId val="{00000000-9488-4796-A044-C2463414351A}"/>
            </c:ext>
          </c:extLst>
        </c:ser>
        <c:ser>
          <c:idx val="1"/>
          <c:order val="1"/>
          <c:spPr>
            <a:solidFill>
              <a:schemeClr val="accent2"/>
            </a:solidFill>
            <a:ln>
              <a:noFill/>
            </a:ln>
            <a:effectLst/>
          </c:spPr>
          <c:invertIfNegative val="0"/>
          <c:cat>
            <c:strRef>
              <c:f>CHARTS!$L$50:$L$55</c:f>
              <c:strCache>
                <c:ptCount val="6"/>
                <c:pt idx="0">
                  <c:v>6: No Fit</c:v>
                </c:pt>
                <c:pt idx="1">
                  <c:v>5: No Fit</c:v>
                </c:pt>
                <c:pt idx="2">
                  <c:v>4: No Fit</c:v>
                </c:pt>
                <c:pt idx="3">
                  <c:v>3: 8 H16</c:v>
                </c:pt>
                <c:pt idx="4">
                  <c:v>2: 8 H16</c:v>
                </c:pt>
                <c:pt idx="5">
                  <c:v>1: 8 H16</c:v>
                </c:pt>
              </c:strCache>
            </c:strRef>
          </c:cat>
          <c:val>
            <c:numRef>
              <c:f>CHARTS!$N$50:$N$55</c:f>
              <c:numCache>
                <c:formatCode>0.000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9488-4796-A044-C2463414351A}"/>
            </c:ext>
          </c:extLst>
        </c:ser>
        <c:dLbls>
          <c:showLegendKey val="0"/>
          <c:showVal val="0"/>
          <c:showCatName val="0"/>
          <c:showSerName val="0"/>
          <c:showPercent val="0"/>
          <c:showBubbleSize val="0"/>
        </c:dLbls>
        <c:gapWidth val="160"/>
        <c:overlap val="100"/>
        <c:axId val="461880032"/>
        <c:axId val="461882776"/>
      </c:barChart>
      <c:catAx>
        <c:axId val="461880032"/>
        <c:scaling>
          <c:orientation val="minMax"/>
        </c:scaling>
        <c:delete val="0"/>
        <c:axPos val="l"/>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Trebuchet MS" panose="020B0603020202020204" pitchFamily="34" charset="0"/>
                <a:ea typeface="+mn-ea"/>
                <a:cs typeface="+mn-cs"/>
              </a:defRPr>
            </a:pPr>
            <a:endParaRPr lang="en-US"/>
          </a:p>
        </c:txPr>
        <c:crossAx val="461882776"/>
        <c:crosses val="autoZero"/>
        <c:auto val="1"/>
        <c:lblAlgn val="ctr"/>
        <c:lblOffset val="100"/>
        <c:noMultiLvlLbl val="0"/>
      </c:catAx>
      <c:valAx>
        <c:axId val="461882776"/>
        <c:scaling>
          <c:orientation val="minMax"/>
          <c:min val="0.5"/>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Trebuchet MS" panose="020B0603020202020204" pitchFamily="34" charset="0"/>
                <a:ea typeface="+mn-ea"/>
                <a:cs typeface="+mn-cs"/>
              </a:defRPr>
            </a:pPr>
            <a:endParaRPr lang="en-US"/>
          </a:p>
        </c:txPr>
        <c:crossAx val="461880032"/>
        <c:crosses val="autoZero"/>
        <c:crossBetween val="between"/>
      </c:valAx>
      <c:spPr>
        <a:noFill/>
        <a:ln>
          <a:solidFill>
            <a:srgbClr val="000000">
              <a:alpha val="97000"/>
            </a:srgbClr>
          </a:solidFill>
        </a:ln>
        <a:effectLst/>
      </c:spPr>
    </c:plotArea>
    <c:plotVisOnly val="1"/>
    <c:dispBlanksAs val="gap"/>
    <c:showDLblsOverMax val="0"/>
  </c:chart>
  <c:spPr>
    <a:solidFill>
      <a:schemeClr val="bg1"/>
    </a:solidFill>
    <a:ln w="158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1.4283674116683907E-2"/>
          <c:w val="1"/>
          <c:h val="0.83436258056812374"/>
        </c:manualLayout>
      </c:layout>
      <c:scatterChart>
        <c:scatterStyle val="lineMarker"/>
        <c:varyColors val="0"/>
        <c:ser>
          <c:idx val="0"/>
          <c:order val="0"/>
          <c:tx>
            <c:v>My1</c:v>
          </c:tx>
          <c:spPr>
            <a:ln w="12700" cap="rnd">
              <a:solidFill>
                <a:schemeClr val="accent1"/>
              </a:solidFill>
              <a:round/>
            </a:ln>
            <a:effectLst/>
          </c:spPr>
          <c:marker>
            <c:symbol val="none"/>
          </c:marker>
          <c:xVal>
            <c:numRef>
              <c:f>Calc!$AB$25:$AE$25</c:f>
              <c:numCache>
                <c:formatCode>0.0</c:formatCode>
                <c:ptCount val="4"/>
                <c:pt idx="0">
                  <c:v>0</c:v>
                </c:pt>
                <c:pt idx="1">
                  <c:v>-0.49079479057940895</c:v>
                </c:pt>
                <c:pt idx="2">
                  <c:v>1</c:v>
                </c:pt>
              </c:numCache>
            </c:numRef>
          </c:xVal>
          <c:yVal>
            <c:numRef>
              <c:f>Calc!$AB$24:$AE$24</c:f>
              <c:numCache>
                <c:formatCode>General</c:formatCode>
                <c:ptCount val="4"/>
                <c:pt idx="0">
                  <c:v>0</c:v>
                </c:pt>
                <c:pt idx="1">
                  <c:v>0</c:v>
                </c:pt>
                <c:pt idx="2" formatCode="0.0">
                  <c:v>1</c:v>
                </c:pt>
              </c:numCache>
            </c:numRef>
          </c:yVal>
          <c:smooth val="0"/>
          <c:extLst>
            <c:ext xmlns:c16="http://schemas.microsoft.com/office/drawing/2014/chart" uri="{C3380CC4-5D6E-409C-BE32-E72D297353CC}">
              <c16:uniqueId val="{00000000-782D-4A75-B492-642A7F4FFCE3}"/>
            </c:ext>
          </c:extLst>
        </c:ser>
        <c:ser>
          <c:idx val="2"/>
          <c:order val="1"/>
          <c:tx>
            <c:v>My2</c:v>
          </c:tx>
          <c:spPr>
            <a:ln w="19050" cap="rnd">
              <a:solidFill>
                <a:schemeClr val="accent1"/>
              </a:solidFill>
              <a:round/>
            </a:ln>
            <a:effectLst/>
          </c:spPr>
          <c:marker>
            <c:symbol val="none"/>
          </c:marker>
          <c:xVal>
            <c:numRef>
              <c:f>Calc!$AG$25:$AI$25</c:f>
              <c:numCache>
                <c:formatCode>0.0</c:formatCode>
                <c:ptCount val="3"/>
                <c:pt idx="0">
                  <c:v>0</c:v>
                </c:pt>
                <c:pt idx="1">
                  <c:v>0</c:v>
                </c:pt>
                <c:pt idx="2">
                  <c:v>1</c:v>
                </c:pt>
              </c:numCache>
            </c:numRef>
          </c:xVal>
          <c:yVal>
            <c:numRef>
              <c:f>Calc!$AG$24:$AI$24</c:f>
              <c:numCache>
                <c:formatCode>0.0</c:formatCode>
                <c:ptCount val="3"/>
                <c:pt idx="0">
                  <c:v>0</c:v>
                </c:pt>
                <c:pt idx="1">
                  <c:v>1</c:v>
                </c:pt>
                <c:pt idx="2">
                  <c:v>1</c:v>
                </c:pt>
              </c:numCache>
            </c:numRef>
          </c:yVal>
          <c:smooth val="0"/>
          <c:extLst>
            <c:ext xmlns:c16="http://schemas.microsoft.com/office/drawing/2014/chart" uri="{C3380CC4-5D6E-409C-BE32-E72D297353CC}">
              <c16:uniqueId val="{00000001-782D-4A75-B492-642A7F4FFCE3}"/>
            </c:ext>
          </c:extLst>
        </c:ser>
        <c:dLbls>
          <c:showLegendKey val="0"/>
          <c:showVal val="0"/>
          <c:showCatName val="0"/>
          <c:showSerName val="0"/>
          <c:showPercent val="0"/>
          <c:showBubbleSize val="0"/>
        </c:dLbls>
        <c:axId val="243993896"/>
        <c:axId val="243991936"/>
      </c:scatterChart>
      <c:valAx>
        <c:axId val="243993896"/>
        <c:scaling>
          <c:orientation val="minMax"/>
          <c:max val="1.1000000000000001"/>
          <c:min val="-1.1000000000000001"/>
        </c:scaling>
        <c:delete val="0"/>
        <c:axPos val="b"/>
        <c:majorGridlines>
          <c:spPr>
            <a:ln w="9525" cap="flat" cmpd="sng" algn="ctr">
              <a:solidFill>
                <a:schemeClr val="bg1"/>
              </a:solidFill>
              <a:round/>
            </a:ln>
            <a:effectLst/>
          </c:spPr>
        </c:majorGridlines>
        <c:numFmt formatCode="0.0" sourceLinked="1"/>
        <c:majorTickMark val="none"/>
        <c:minorTickMark val="none"/>
        <c:tickLblPos val="none"/>
        <c:spPr>
          <a:noFill/>
          <a:ln w="12700" cap="flat" cmpd="sng" algn="ctr">
            <a:solidFill>
              <a:schemeClr val="bg1"/>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43991936"/>
        <c:crossesAt val="0"/>
        <c:crossBetween val="midCat"/>
        <c:majorUnit val="0.1"/>
        <c:minorUnit val="0.1"/>
      </c:valAx>
      <c:valAx>
        <c:axId val="243991936"/>
        <c:scaling>
          <c:orientation val="minMax"/>
          <c:max val="1.1000000000000001"/>
          <c:min val="-0.1"/>
        </c:scaling>
        <c:delete val="0"/>
        <c:axPos val="l"/>
        <c:majorGridlines>
          <c:spPr>
            <a:ln w="0" cap="flat" cmpd="sng" algn="ctr">
              <a:solidFill>
                <a:schemeClr val="bg1"/>
              </a:solidFill>
              <a:round/>
            </a:ln>
            <a:effectLst/>
          </c:spPr>
        </c:majorGridlines>
        <c:numFmt formatCode="General" sourceLinked="0"/>
        <c:majorTickMark val="none"/>
        <c:minorTickMark val="none"/>
        <c:tickLblPos val="none"/>
        <c:spPr>
          <a:noFill/>
          <a:ln w="0" cap="flat" cmpd="sng" algn="ctr">
            <a:solidFill>
              <a:schemeClr val="bg1"/>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43993896"/>
        <c:crosses val="autoZero"/>
        <c:crossBetween val="midCat"/>
      </c:valAx>
      <c:spPr>
        <a:noFill/>
        <a:ln>
          <a:noFill/>
        </a:ln>
        <a:effectLst/>
      </c:spPr>
    </c:plotArea>
    <c:plotVisOnly val="1"/>
    <c:dispBlanksAs val="gap"/>
    <c:showDLblsOverMax val="0"/>
  </c:chart>
  <c:spPr>
    <a:solidFill>
      <a:schemeClr val="bg1"/>
    </a:solidFill>
    <a:ln w="6350" cap="flat" cmpd="sng" algn="ctr">
      <a:solidFill>
        <a:schemeClr val="tx1"/>
      </a:solidFill>
      <a:round/>
    </a:ln>
    <a:effectLst/>
  </c:spPr>
  <c:txPr>
    <a:bodyPr/>
    <a:lstStyle/>
    <a:p>
      <a:pPr>
        <a:defRPr sz="800"/>
      </a:pPr>
      <a:endParaRPr lang="en-U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264853316688826E-2"/>
          <c:y val="0"/>
          <c:w val="0.98173514668331119"/>
          <c:h val="0.84748849016823713"/>
        </c:manualLayout>
      </c:layout>
      <c:scatterChart>
        <c:scatterStyle val="lineMarker"/>
        <c:varyColors val="0"/>
        <c:ser>
          <c:idx val="0"/>
          <c:order val="0"/>
          <c:tx>
            <c:v>Mz1</c:v>
          </c:tx>
          <c:spPr>
            <a:ln w="12700" cap="rnd">
              <a:solidFill>
                <a:schemeClr val="accent1"/>
              </a:solidFill>
              <a:round/>
            </a:ln>
            <a:effectLst/>
          </c:spPr>
          <c:marker>
            <c:symbol val="none"/>
          </c:marker>
          <c:xVal>
            <c:numRef>
              <c:f>Calc!$AB$32:$AE$32</c:f>
              <c:numCache>
                <c:formatCode>0.0</c:formatCode>
                <c:ptCount val="4"/>
                <c:pt idx="0">
                  <c:v>0</c:v>
                </c:pt>
                <c:pt idx="1">
                  <c:v>0</c:v>
                </c:pt>
                <c:pt idx="2">
                  <c:v>1.841107075039706E-17</c:v>
                </c:pt>
              </c:numCache>
            </c:numRef>
          </c:xVal>
          <c:yVal>
            <c:numRef>
              <c:f>Calc!$AB$31:$AE$31</c:f>
              <c:numCache>
                <c:formatCode>General</c:formatCode>
                <c:ptCount val="4"/>
                <c:pt idx="0">
                  <c:v>0</c:v>
                </c:pt>
                <c:pt idx="1">
                  <c:v>0</c:v>
                </c:pt>
                <c:pt idx="2" formatCode="0.0">
                  <c:v>1</c:v>
                </c:pt>
              </c:numCache>
            </c:numRef>
          </c:yVal>
          <c:smooth val="0"/>
          <c:extLst>
            <c:ext xmlns:c16="http://schemas.microsoft.com/office/drawing/2014/chart" uri="{C3380CC4-5D6E-409C-BE32-E72D297353CC}">
              <c16:uniqueId val="{00000000-55A3-4640-8669-FC131C45956D}"/>
            </c:ext>
          </c:extLst>
        </c:ser>
        <c:ser>
          <c:idx val="2"/>
          <c:order val="1"/>
          <c:tx>
            <c:v>Mz2</c:v>
          </c:tx>
          <c:spPr>
            <a:ln w="19050" cap="rnd">
              <a:solidFill>
                <a:schemeClr val="accent1"/>
              </a:solidFill>
              <a:round/>
            </a:ln>
            <a:effectLst/>
          </c:spPr>
          <c:marker>
            <c:symbol val="none"/>
          </c:marker>
          <c:xVal>
            <c:numRef>
              <c:f>Calc!$AG$32:$AI$32</c:f>
              <c:numCache>
                <c:formatCode>0.0</c:formatCode>
                <c:ptCount val="3"/>
                <c:pt idx="0">
                  <c:v>0</c:v>
                </c:pt>
                <c:pt idx="1">
                  <c:v>0</c:v>
                </c:pt>
                <c:pt idx="2">
                  <c:v>1.841107075039706E-17</c:v>
                </c:pt>
              </c:numCache>
            </c:numRef>
          </c:xVal>
          <c:yVal>
            <c:numRef>
              <c:f>Calc!$AG$31:$AI$31</c:f>
              <c:numCache>
                <c:formatCode>0.0</c:formatCode>
                <c:ptCount val="3"/>
                <c:pt idx="0">
                  <c:v>0</c:v>
                </c:pt>
                <c:pt idx="1">
                  <c:v>1</c:v>
                </c:pt>
                <c:pt idx="2">
                  <c:v>1</c:v>
                </c:pt>
              </c:numCache>
            </c:numRef>
          </c:yVal>
          <c:smooth val="0"/>
          <c:extLst>
            <c:ext xmlns:c16="http://schemas.microsoft.com/office/drawing/2014/chart" uri="{C3380CC4-5D6E-409C-BE32-E72D297353CC}">
              <c16:uniqueId val="{00000001-55A3-4640-8669-FC131C45956D}"/>
            </c:ext>
          </c:extLst>
        </c:ser>
        <c:dLbls>
          <c:showLegendKey val="0"/>
          <c:showVal val="0"/>
          <c:showCatName val="0"/>
          <c:showSerName val="0"/>
          <c:showPercent val="0"/>
          <c:showBubbleSize val="0"/>
        </c:dLbls>
        <c:axId val="243995464"/>
        <c:axId val="243995856"/>
      </c:scatterChart>
      <c:valAx>
        <c:axId val="243995464"/>
        <c:scaling>
          <c:orientation val="minMax"/>
          <c:max val="1.1000000000000001"/>
          <c:min val="-1.1000000000000001"/>
        </c:scaling>
        <c:delete val="0"/>
        <c:axPos val="b"/>
        <c:majorGridlines>
          <c:spPr>
            <a:ln w="9525" cap="flat" cmpd="sng" algn="ctr">
              <a:solidFill>
                <a:schemeClr val="bg1"/>
              </a:solidFill>
              <a:round/>
            </a:ln>
            <a:effectLst/>
          </c:spPr>
        </c:majorGridlines>
        <c:numFmt formatCode="0.0" sourceLinked="1"/>
        <c:majorTickMark val="none"/>
        <c:minorTickMark val="none"/>
        <c:tickLblPos val="none"/>
        <c:spPr>
          <a:noFill/>
          <a:ln w="12700" cap="flat" cmpd="sng" algn="ctr">
            <a:solidFill>
              <a:schemeClr val="bg1"/>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43995856"/>
        <c:crossesAt val="0"/>
        <c:crossBetween val="midCat"/>
        <c:majorUnit val="0.1"/>
        <c:minorUnit val="0.1"/>
      </c:valAx>
      <c:valAx>
        <c:axId val="243995856"/>
        <c:scaling>
          <c:orientation val="minMax"/>
          <c:max val="1.1000000000000001"/>
          <c:min val="-0.1"/>
        </c:scaling>
        <c:delete val="0"/>
        <c:axPos val="l"/>
        <c:majorGridlines>
          <c:spPr>
            <a:ln w="0" cap="flat" cmpd="sng" algn="ctr">
              <a:solidFill>
                <a:schemeClr val="bg1"/>
              </a:solidFill>
              <a:round/>
            </a:ln>
            <a:effectLst/>
          </c:spPr>
        </c:majorGridlines>
        <c:numFmt formatCode="General" sourceLinked="0"/>
        <c:majorTickMark val="none"/>
        <c:minorTickMark val="none"/>
        <c:tickLblPos val="none"/>
        <c:spPr>
          <a:noFill/>
          <a:ln w="0" cap="flat" cmpd="sng" algn="ctr">
            <a:solidFill>
              <a:schemeClr val="bg1"/>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43995464"/>
        <c:crosses val="autoZero"/>
        <c:crossBetween val="midCat"/>
      </c:valAx>
      <c:spPr>
        <a:noFill/>
        <a:ln>
          <a:noFill/>
        </a:ln>
        <a:effectLst/>
      </c:spPr>
    </c:plotArea>
    <c:plotVisOnly val="1"/>
    <c:dispBlanksAs val="gap"/>
    <c:showDLblsOverMax val="0"/>
  </c:chart>
  <c:spPr>
    <a:solidFill>
      <a:schemeClr val="bg1"/>
    </a:solidFill>
    <a:ln w="6350" cap="flat" cmpd="sng" algn="ctr">
      <a:solidFill>
        <a:schemeClr val="tx1"/>
      </a:solidFill>
      <a:round/>
    </a:ln>
    <a:effectLst/>
  </c:spPr>
  <c:txPr>
    <a:bodyPr/>
    <a:lstStyle/>
    <a:p>
      <a:pPr>
        <a:defRPr sz="800"/>
      </a:pPr>
      <a:endParaRPr lang="en-US"/>
    </a:p>
  </c:txPr>
  <c:printSettings>
    <c:headerFooter/>
    <c:pageMargins b="0.75" l="0.7" r="0.7" t="0.75" header="0.3" footer="0.3"/>
    <c:pageSetup orientation="portrait"/>
  </c:printSettings>
  <c:userShapes r:id="rId3"/>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945576048194225E-2"/>
          <c:y val="5.5772406515571117E-2"/>
          <c:w val="0.92179290498950739"/>
          <c:h val="0.89061634703166215"/>
        </c:manualLayout>
      </c:layout>
      <c:scatterChart>
        <c:scatterStyle val="lineMarker"/>
        <c:varyColors val="0"/>
        <c:ser>
          <c:idx val="2"/>
          <c:order val="0"/>
          <c:tx>
            <c:v>Outline</c:v>
          </c:tx>
          <c:spPr>
            <a:ln w="19050" cap="rnd">
              <a:noFill/>
              <a:round/>
            </a:ln>
            <a:effectLst/>
          </c:spPr>
          <c:marker>
            <c:symbol val="none"/>
          </c:marker>
          <c:xVal>
            <c:numRef>
              <c:f>Calc!$AW$4:$AW$8</c:f>
              <c:numCache>
                <c:formatCode>0.0</c:formatCode>
                <c:ptCount val="5"/>
                <c:pt idx="0">
                  <c:v>-61.199526109531803</c:v>
                </c:pt>
                <c:pt idx="1">
                  <c:v>124.694734508658</c:v>
                </c:pt>
                <c:pt idx="2">
                  <c:v>124.694734508658</c:v>
                </c:pt>
                <c:pt idx="3">
                  <c:v>-61.199526109531803</c:v>
                </c:pt>
                <c:pt idx="4">
                  <c:v>-61.199526109531803</c:v>
                </c:pt>
              </c:numCache>
            </c:numRef>
          </c:xVal>
          <c:yVal>
            <c:numRef>
              <c:f>Calc!$AV$4:$AV$8</c:f>
              <c:numCache>
                <c:formatCode>0.0</c:formatCode>
                <c:ptCount val="5"/>
                <c:pt idx="0">
                  <c:v>0</c:v>
                </c:pt>
                <c:pt idx="1">
                  <c:v>0</c:v>
                </c:pt>
                <c:pt idx="2">
                  <c:v>1</c:v>
                </c:pt>
                <c:pt idx="3">
                  <c:v>1</c:v>
                </c:pt>
                <c:pt idx="4">
                  <c:v>0</c:v>
                </c:pt>
              </c:numCache>
            </c:numRef>
          </c:yVal>
          <c:smooth val="0"/>
          <c:extLst>
            <c:ext xmlns:c16="http://schemas.microsoft.com/office/drawing/2014/chart" uri="{C3380CC4-5D6E-409C-BE32-E72D297353CC}">
              <c16:uniqueId val="{00000000-70E6-4317-B7E6-63277B955DA1}"/>
            </c:ext>
          </c:extLst>
        </c:ser>
        <c:ser>
          <c:idx val="0"/>
          <c:order val="1"/>
          <c:tx>
            <c:v>M2</c:v>
          </c:tx>
          <c:spPr>
            <a:ln w="22225" cap="rnd">
              <a:solidFill>
                <a:srgbClr val="FF0000"/>
              </a:solidFill>
              <a:round/>
            </a:ln>
            <a:effectLst/>
          </c:spPr>
          <c:marker>
            <c:symbol val="none"/>
          </c:marker>
          <c:dPt>
            <c:idx val="1"/>
            <c:marker>
              <c:symbol val="none"/>
            </c:marker>
            <c:bubble3D val="0"/>
            <c:spPr>
              <a:ln w="19050" cap="rnd">
                <a:solidFill>
                  <a:schemeClr val="tx1"/>
                </a:solidFill>
                <a:round/>
              </a:ln>
              <a:effectLst/>
            </c:spPr>
            <c:extLst>
              <c:ext xmlns:c16="http://schemas.microsoft.com/office/drawing/2014/chart" uri="{C3380CC4-5D6E-409C-BE32-E72D297353CC}">
                <c16:uniqueId val="{00000002-70E6-4317-B7E6-63277B955DA1}"/>
              </c:ext>
            </c:extLst>
          </c:dPt>
          <c:dPt>
            <c:idx val="12"/>
            <c:marker>
              <c:symbol val="none"/>
            </c:marker>
            <c:bubble3D val="0"/>
            <c:spPr>
              <a:ln w="19050" cap="rnd">
                <a:solidFill>
                  <a:schemeClr val="tx1"/>
                </a:solidFill>
                <a:round/>
              </a:ln>
              <a:effectLst/>
            </c:spPr>
            <c:extLst>
              <c:ext xmlns:c16="http://schemas.microsoft.com/office/drawing/2014/chart" uri="{C3380CC4-5D6E-409C-BE32-E72D297353CC}">
                <c16:uniqueId val="{00000004-70E6-4317-B7E6-63277B955DA1}"/>
              </c:ext>
            </c:extLst>
          </c:dPt>
          <c:dPt>
            <c:idx val="13"/>
            <c:marker>
              <c:symbol val="none"/>
            </c:marker>
            <c:bubble3D val="0"/>
            <c:spPr>
              <a:ln w="19050" cap="rnd">
                <a:solidFill>
                  <a:schemeClr val="tx1"/>
                </a:solidFill>
                <a:round/>
              </a:ln>
              <a:effectLst/>
            </c:spPr>
            <c:extLst>
              <c:ext xmlns:c16="http://schemas.microsoft.com/office/drawing/2014/chart" uri="{C3380CC4-5D6E-409C-BE32-E72D297353CC}">
                <c16:uniqueId val="{00000006-70E6-4317-B7E6-63277B955DA1}"/>
              </c:ext>
            </c:extLst>
          </c:dPt>
          <c:dLbls>
            <c:dLbl>
              <c:idx val="0"/>
              <c:delete val="1"/>
              <c:extLst>
                <c:ext xmlns:c15="http://schemas.microsoft.com/office/drawing/2012/chart" uri="{CE6537A1-D6FC-4f65-9D91-7224C49458BB}"/>
                <c:ext xmlns:c16="http://schemas.microsoft.com/office/drawing/2014/chart" uri="{C3380CC4-5D6E-409C-BE32-E72D297353CC}">
                  <c16:uniqueId val="{00000007-70E6-4317-B7E6-63277B955DA1}"/>
                </c:ext>
              </c:extLst>
            </c:dLbl>
            <c:dLbl>
              <c:idx val="1"/>
              <c:layout>
                <c:manualLayout>
                  <c:x val="-7.9632058915590206E-2"/>
                  <c:y val="-6.0482950491310444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0E6-4317-B7E6-63277B955DA1}"/>
                </c:ext>
              </c:extLst>
            </c:dLbl>
            <c:dLbl>
              <c:idx val="2"/>
              <c:delete val="1"/>
              <c:extLst>
                <c:ext xmlns:c15="http://schemas.microsoft.com/office/drawing/2012/chart" uri="{CE6537A1-D6FC-4f65-9D91-7224C49458BB}"/>
                <c:ext xmlns:c16="http://schemas.microsoft.com/office/drawing/2014/chart" uri="{C3380CC4-5D6E-409C-BE32-E72D297353CC}">
                  <c16:uniqueId val="{00000008-70E6-4317-B7E6-63277B955DA1}"/>
                </c:ext>
              </c:extLst>
            </c:dLbl>
            <c:dLbl>
              <c:idx val="3"/>
              <c:delete val="1"/>
              <c:extLst>
                <c:ext xmlns:c15="http://schemas.microsoft.com/office/drawing/2012/chart" uri="{CE6537A1-D6FC-4f65-9D91-7224C49458BB}"/>
                <c:ext xmlns:c16="http://schemas.microsoft.com/office/drawing/2014/chart" uri="{C3380CC4-5D6E-409C-BE32-E72D297353CC}">
                  <c16:uniqueId val="{00000009-70E6-4317-B7E6-63277B955DA1}"/>
                </c:ext>
              </c:extLst>
            </c:dLbl>
            <c:dLbl>
              <c:idx val="4"/>
              <c:delete val="1"/>
              <c:extLst>
                <c:ext xmlns:c15="http://schemas.microsoft.com/office/drawing/2012/chart" uri="{CE6537A1-D6FC-4f65-9D91-7224C49458BB}"/>
                <c:ext xmlns:c16="http://schemas.microsoft.com/office/drawing/2014/chart" uri="{C3380CC4-5D6E-409C-BE32-E72D297353CC}">
                  <c16:uniqueId val="{0000000A-70E6-4317-B7E6-63277B955DA1}"/>
                </c:ext>
              </c:extLst>
            </c:dLbl>
            <c:dLbl>
              <c:idx val="5"/>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0E6-4317-B7E6-63277B955DA1}"/>
                </c:ext>
              </c:extLst>
            </c:dLbl>
            <c:dLbl>
              <c:idx val="6"/>
              <c:delete val="1"/>
              <c:extLst>
                <c:ext xmlns:c15="http://schemas.microsoft.com/office/drawing/2012/chart" uri="{CE6537A1-D6FC-4f65-9D91-7224C49458BB}"/>
                <c:ext xmlns:c16="http://schemas.microsoft.com/office/drawing/2014/chart" uri="{C3380CC4-5D6E-409C-BE32-E72D297353CC}">
                  <c16:uniqueId val="{0000000C-70E6-4317-B7E6-63277B955DA1}"/>
                </c:ext>
              </c:extLst>
            </c:dLbl>
            <c:dLbl>
              <c:idx val="7"/>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D-70E6-4317-B7E6-63277B955DA1}"/>
                </c:ext>
              </c:extLst>
            </c:dLbl>
            <c:dLbl>
              <c:idx val="8"/>
              <c:delete val="1"/>
              <c:extLst>
                <c:ext xmlns:c15="http://schemas.microsoft.com/office/drawing/2012/chart" uri="{CE6537A1-D6FC-4f65-9D91-7224C49458BB}"/>
                <c:ext xmlns:c16="http://schemas.microsoft.com/office/drawing/2014/chart" uri="{C3380CC4-5D6E-409C-BE32-E72D297353CC}">
                  <c16:uniqueId val="{0000000E-70E6-4317-B7E6-63277B955DA1}"/>
                </c:ext>
              </c:extLst>
            </c:dLbl>
            <c:dLbl>
              <c:idx val="9"/>
              <c:delete val="1"/>
              <c:extLst>
                <c:ext xmlns:c15="http://schemas.microsoft.com/office/drawing/2012/chart" uri="{CE6537A1-D6FC-4f65-9D91-7224C49458BB}"/>
                <c:ext xmlns:c16="http://schemas.microsoft.com/office/drawing/2014/chart" uri="{C3380CC4-5D6E-409C-BE32-E72D297353CC}">
                  <c16:uniqueId val="{0000000F-70E6-4317-B7E6-63277B955DA1}"/>
                </c:ext>
              </c:extLst>
            </c:dLbl>
            <c:dLbl>
              <c:idx val="10"/>
              <c:delete val="1"/>
              <c:extLst>
                <c:ext xmlns:c15="http://schemas.microsoft.com/office/drawing/2012/chart" uri="{CE6537A1-D6FC-4f65-9D91-7224C49458BB}"/>
                <c:ext xmlns:c16="http://schemas.microsoft.com/office/drawing/2014/chart" uri="{C3380CC4-5D6E-409C-BE32-E72D297353CC}">
                  <c16:uniqueId val="{00000010-70E6-4317-B7E6-63277B955DA1}"/>
                </c:ext>
              </c:extLst>
            </c:dLbl>
            <c:dLbl>
              <c:idx val="11"/>
              <c:layout>
                <c:manualLayout>
                  <c:x val="-9.1139742818724598E-2"/>
                  <c:y val="5.1344650566608925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1-70E6-4317-B7E6-63277B955DA1}"/>
                </c:ext>
              </c:extLst>
            </c:dLbl>
            <c:dLbl>
              <c:idx val="12"/>
              <c:delete val="1"/>
              <c:extLst>
                <c:ext xmlns:c15="http://schemas.microsoft.com/office/drawing/2012/chart" uri="{CE6537A1-D6FC-4f65-9D91-7224C49458BB}"/>
                <c:ext xmlns:c16="http://schemas.microsoft.com/office/drawing/2014/chart" uri="{C3380CC4-5D6E-409C-BE32-E72D297353CC}">
                  <c16:uniqueId val="{00000004-70E6-4317-B7E6-63277B955DA1}"/>
                </c:ext>
              </c:extLst>
            </c:dLbl>
            <c:dLbl>
              <c:idx val="13"/>
              <c:delete val="1"/>
              <c:extLst>
                <c:ext xmlns:c15="http://schemas.microsoft.com/office/drawing/2012/chart" uri="{CE6537A1-D6FC-4f65-9D91-7224C49458BB}"/>
                <c:ext xmlns:c16="http://schemas.microsoft.com/office/drawing/2014/chart" uri="{C3380CC4-5D6E-409C-BE32-E72D297353CC}">
                  <c16:uniqueId val="{00000006-70E6-4317-B7E6-63277B955DA1}"/>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Calc!$AO$3:$AO$16</c:f>
              <c:numCache>
                <c:formatCode>0.0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Calc!$AH$3:$AH$16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12-70E6-4317-B7E6-63277B955DA1}"/>
            </c:ext>
          </c:extLst>
        </c:ser>
        <c:ser>
          <c:idx val="1"/>
          <c:order val="2"/>
          <c:tx>
            <c:v>-M2</c:v>
          </c:tx>
          <c:spPr>
            <a:ln w="25400" cap="rnd">
              <a:solidFill>
                <a:srgbClr val="FF0000"/>
              </a:solidFill>
              <a:round/>
            </a:ln>
            <a:effectLst/>
          </c:spPr>
          <c:marker>
            <c:symbol val="none"/>
          </c:marker>
          <c:dPt>
            <c:idx val="1"/>
            <c:marker>
              <c:symbol val="none"/>
            </c:marker>
            <c:bubble3D val="0"/>
            <c:spPr>
              <a:ln w="12700" cap="rnd">
                <a:solidFill>
                  <a:schemeClr val="tx1"/>
                </a:solidFill>
                <a:round/>
              </a:ln>
              <a:effectLst/>
            </c:spPr>
            <c:extLst>
              <c:ext xmlns:c16="http://schemas.microsoft.com/office/drawing/2014/chart" uri="{C3380CC4-5D6E-409C-BE32-E72D297353CC}">
                <c16:uniqueId val="{00000014-70E6-4317-B7E6-63277B955DA1}"/>
              </c:ext>
            </c:extLst>
          </c:dPt>
          <c:dPt>
            <c:idx val="11"/>
            <c:marker>
              <c:symbol val="none"/>
            </c:marker>
            <c:bubble3D val="0"/>
            <c:spPr>
              <a:ln w="12700" cap="rnd">
                <a:solidFill>
                  <a:srgbClr val="FF0000"/>
                </a:solidFill>
                <a:round/>
              </a:ln>
              <a:effectLst/>
            </c:spPr>
            <c:extLst>
              <c:ext xmlns:c16="http://schemas.microsoft.com/office/drawing/2014/chart" uri="{C3380CC4-5D6E-409C-BE32-E72D297353CC}">
                <c16:uniqueId val="{00000016-70E6-4317-B7E6-63277B955DA1}"/>
              </c:ext>
            </c:extLst>
          </c:dPt>
          <c:dPt>
            <c:idx val="12"/>
            <c:marker>
              <c:symbol val="none"/>
            </c:marker>
            <c:bubble3D val="0"/>
            <c:spPr>
              <a:ln w="12700" cap="rnd">
                <a:solidFill>
                  <a:schemeClr val="tx1"/>
                </a:solidFill>
                <a:round/>
              </a:ln>
              <a:effectLst/>
            </c:spPr>
            <c:extLst>
              <c:ext xmlns:c16="http://schemas.microsoft.com/office/drawing/2014/chart" uri="{C3380CC4-5D6E-409C-BE32-E72D297353CC}">
                <c16:uniqueId val="{00000018-70E6-4317-B7E6-63277B955DA1}"/>
              </c:ext>
            </c:extLst>
          </c:dPt>
          <c:dPt>
            <c:idx val="13"/>
            <c:marker>
              <c:symbol val="none"/>
            </c:marker>
            <c:bubble3D val="0"/>
            <c:spPr>
              <a:ln w="12700" cap="rnd">
                <a:solidFill>
                  <a:schemeClr val="tx1"/>
                </a:solidFill>
                <a:round/>
              </a:ln>
              <a:effectLst/>
            </c:spPr>
            <c:extLst>
              <c:ext xmlns:c16="http://schemas.microsoft.com/office/drawing/2014/chart" uri="{C3380CC4-5D6E-409C-BE32-E72D297353CC}">
                <c16:uniqueId val="{0000001A-70E6-4317-B7E6-63277B955DA1}"/>
              </c:ext>
            </c:extLst>
          </c:dPt>
          <c:xVal>
            <c:numRef>
              <c:f>Calc!$AO$3:$AO$16</c:f>
              <c:numCache>
                <c:formatCode>0.0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Calc!$AH$3:$AH$16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1B-70E6-4317-B7E6-63277B955DA1}"/>
            </c:ext>
          </c:extLst>
        </c:ser>
        <c:dLbls>
          <c:showLegendKey val="0"/>
          <c:showVal val="0"/>
          <c:showCatName val="0"/>
          <c:showSerName val="0"/>
          <c:showPercent val="0"/>
          <c:showBubbleSize val="0"/>
        </c:dLbls>
        <c:axId val="243996248"/>
        <c:axId val="243997032"/>
      </c:scatterChart>
      <c:valAx>
        <c:axId val="243996248"/>
        <c:scaling>
          <c:orientation val="minMax"/>
        </c:scaling>
        <c:delete val="0"/>
        <c:axPos val="b"/>
        <c:majorGridlines>
          <c:spPr>
            <a:ln w="9525" cap="flat" cmpd="sng" algn="ctr">
              <a:solidFill>
                <a:schemeClr val="bg1"/>
              </a:solidFill>
              <a:round/>
            </a:ln>
            <a:effectLst/>
          </c:spPr>
        </c:majorGridlines>
        <c:numFmt formatCode="0.0" sourceLinked="1"/>
        <c:majorTickMark val="none"/>
        <c:minorTickMark val="none"/>
        <c:tickLblPos val="none"/>
        <c:spPr>
          <a:noFill/>
          <a:ln w="1270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97032"/>
        <c:crossesAt val="0"/>
        <c:crossBetween val="midCat"/>
        <c:majorUnit val="1"/>
        <c:minorUnit val="1"/>
      </c:valAx>
      <c:valAx>
        <c:axId val="243997032"/>
        <c:scaling>
          <c:orientation val="minMax"/>
          <c:max val="1.1000000000000001"/>
          <c:min val="-0.1"/>
        </c:scaling>
        <c:delete val="0"/>
        <c:axPos val="l"/>
        <c:majorGridlines>
          <c:spPr>
            <a:ln w="0" cap="flat" cmpd="sng" algn="ctr">
              <a:solidFill>
                <a:schemeClr val="bg1"/>
              </a:solidFill>
              <a:round/>
            </a:ln>
            <a:effectLst/>
          </c:spPr>
        </c:majorGridlines>
        <c:numFmt formatCode="General" sourceLinked="0"/>
        <c:majorTickMark val="none"/>
        <c:minorTickMark val="none"/>
        <c:tickLblPos val="none"/>
        <c:spPr>
          <a:noFill/>
          <a:ln w="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96248"/>
        <c:crosses val="autoZero"/>
        <c:crossBetween val="midCat"/>
      </c:valAx>
      <c:spPr>
        <a:noFill/>
        <a:ln>
          <a:noFill/>
        </a:ln>
        <a:effectLst/>
      </c:spPr>
    </c:plotArea>
    <c:plotVisOnly val="1"/>
    <c:dispBlanksAs val="gap"/>
    <c:showDLblsOverMax val="0"/>
  </c:chart>
  <c:spPr>
    <a:solidFill>
      <a:schemeClr val="bg1"/>
    </a:solidFill>
    <a:ln w="635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3"/>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759069764982545E-2"/>
          <c:y val="4.0682018112892307E-2"/>
          <c:w val="0.91892267913818559"/>
          <c:h val="0.91770326591808371"/>
        </c:manualLayout>
      </c:layout>
      <c:scatterChart>
        <c:scatterStyle val="lineMarker"/>
        <c:varyColors val="0"/>
        <c:ser>
          <c:idx val="4"/>
          <c:order val="0"/>
          <c:tx>
            <c:v>Outline</c:v>
          </c:tx>
          <c:spPr>
            <a:ln w="19050" cap="rnd">
              <a:noFill/>
              <a:round/>
            </a:ln>
            <a:effectLst/>
          </c:spPr>
          <c:marker>
            <c:symbol val="none"/>
          </c:marker>
          <c:xVal>
            <c:numRef>
              <c:f>Calc!$AW$4:$AW$8</c:f>
              <c:numCache>
                <c:formatCode>0.0</c:formatCode>
                <c:ptCount val="5"/>
                <c:pt idx="0">
                  <c:v>-61.199526109531803</c:v>
                </c:pt>
                <c:pt idx="1">
                  <c:v>124.694734508658</c:v>
                </c:pt>
                <c:pt idx="2">
                  <c:v>124.694734508658</c:v>
                </c:pt>
                <c:pt idx="3">
                  <c:v>-61.199526109531803</c:v>
                </c:pt>
                <c:pt idx="4">
                  <c:v>-61.199526109531803</c:v>
                </c:pt>
              </c:numCache>
            </c:numRef>
          </c:xVal>
          <c:yVal>
            <c:numRef>
              <c:f>Calc!$AV$4:$AV$8</c:f>
              <c:numCache>
                <c:formatCode>0.0</c:formatCode>
                <c:ptCount val="5"/>
                <c:pt idx="0">
                  <c:v>0</c:v>
                </c:pt>
                <c:pt idx="1">
                  <c:v>0</c:v>
                </c:pt>
                <c:pt idx="2">
                  <c:v>1</c:v>
                </c:pt>
                <c:pt idx="3">
                  <c:v>1</c:v>
                </c:pt>
                <c:pt idx="4">
                  <c:v>0</c:v>
                </c:pt>
              </c:numCache>
            </c:numRef>
          </c:yVal>
          <c:smooth val="0"/>
          <c:extLst>
            <c:ext xmlns:c16="http://schemas.microsoft.com/office/drawing/2014/chart" uri="{C3380CC4-5D6E-409C-BE32-E72D297353CC}">
              <c16:uniqueId val="{00000000-C81B-45AB-8F86-8412AD388A7A}"/>
            </c:ext>
          </c:extLst>
        </c:ser>
        <c:ser>
          <c:idx val="0"/>
          <c:order val="1"/>
          <c:tx>
            <c:v>Min My</c:v>
          </c:tx>
          <c:spPr>
            <a:ln w="12700" cap="rnd">
              <a:solidFill>
                <a:srgbClr val="7030A0"/>
              </a:solidFill>
              <a:prstDash val="dash"/>
              <a:round/>
            </a:ln>
            <a:effectLst/>
          </c:spPr>
          <c:marker>
            <c:symbol val="none"/>
          </c:marker>
          <c:dPt>
            <c:idx val="1"/>
            <c:marker>
              <c:symbol val="none"/>
            </c:marker>
            <c:bubble3D val="0"/>
            <c:spPr>
              <a:ln w="12700" cap="rnd">
                <a:solidFill>
                  <a:schemeClr val="tx1"/>
                </a:solidFill>
                <a:prstDash val="solid"/>
                <a:round/>
              </a:ln>
              <a:effectLst/>
            </c:spPr>
            <c:extLst>
              <c:ext xmlns:c16="http://schemas.microsoft.com/office/drawing/2014/chart" uri="{C3380CC4-5D6E-409C-BE32-E72D297353CC}">
                <c16:uniqueId val="{00000002-C81B-45AB-8F86-8412AD388A7A}"/>
              </c:ext>
            </c:extLst>
          </c:dPt>
          <c:dPt>
            <c:idx val="12"/>
            <c:marker>
              <c:symbol val="none"/>
            </c:marker>
            <c:bubble3D val="0"/>
            <c:spPr>
              <a:ln w="12700" cap="rnd">
                <a:solidFill>
                  <a:schemeClr val="tx1"/>
                </a:solidFill>
                <a:prstDash val="solid"/>
                <a:round/>
              </a:ln>
              <a:effectLst/>
            </c:spPr>
            <c:extLst>
              <c:ext xmlns:c16="http://schemas.microsoft.com/office/drawing/2014/chart" uri="{C3380CC4-5D6E-409C-BE32-E72D297353CC}">
                <c16:uniqueId val="{00000004-C81B-45AB-8F86-8412AD388A7A}"/>
              </c:ext>
            </c:extLst>
          </c:dPt>
          <c:dLbls>
            <c:dLbl>
              <c:idx val="6"/>
              <c:layout>
                <c:manualLayout>
                  <c:x val="-7.0408157608214991E-2"/>
                  <c:y val="-5.9394572350024111E-17"/>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81B-45AB-8F86-8412AD388A7A}"/>
                </c:ext>
              </c:extLst>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strRef>
              <c:f>Calc!$AR$3:$AR$16</c:f>
              <c:strCache>
                <c:ptCount val="1"/>
                <c:pt idx="0">
                  <c:v>0.0</c:v>
                </c:pt>
              </c:strCache>
            </c:strRef>
          </c:xVal>
          <c:yVal>
            <c:numRef>
              <c:f>Calc!$AH$3:$AH$16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06-C81B-45AB-8F86-8412AD388A7A}"/>
            </c:ext>
          </c:extLst>
        </c:ser>
        <c:ser>
          <c:idx val="1"/>
          <c:order val="2"/>
          <c:tx>
            <c:v>-Min My</c:v>
          </c:tx>
          <c:spPr>
            <a:ln w="12700" cap="rnd">
              <a:solidFill>
                <a:srgbClr val="7030A0"/>
              </a:solidFill>
              <a:prstDash val="dash"/>
              <a:round/>
            </a:ln>
            <a:effectLst/>
          </c:spPr>
          <c:marker>
            <c:symbol val="none"/>
          </c:marker>
          <c:dPt>
            <c:idx val="1"/>
            <c:marker>
              <c:symbol val="none"/>
            </c:marker>
            <c:bubble3D val="0"/>
            <c:spPr>
              <a:ln w="12700" cap="rnd">
                <a:solidFill>
                  <a:schemeClr val="tx1"/>
                </a:solidFill>
                <a:prstDash val="solid"/>
                <a:round/>
              </a:ln>
              <a:effectLst/>
            </c:spPr>
            <c:extLst>
              <c:ext xmlns:c16="http://schemas.microsoft.com/office/drawing/2014/chart" uri="{C3380CC4-5D6E-409C-BE32-E72D297353CC}">
                <c16:uniqueId val="{00000008-C81B-45AB-8F86-8412AD388A7A}"/>
              </c:ext>
            </c:extLst>
          </c:dPt>
          <c:dPt>
            <c:idx val="12"/>
            <c:marker>
              <c:symbol val="none"/>
            </c:marker>
            <c:bubble3D val="0"/>
            <c:spPr>
              <a:ln w="12700" cap="rnd">
                <a:solidFill>
                  <a:schemeClr val="tx1"/>
                </a:solidFill>
                <a:prstDash val="solid"/>
                <a:round/>
              </a:ln>
              <a:effectLst/>
            </c:spPr>
            <c:extLst>
              <c:ext xmlns:c16="http://schemas.microsoft.com/office/drawing/2014/chart" uri="{C3380CC4-5D6E-409C-BE32-E72D297353CC}">
                <c16:uniqueId val="{0000000A-C81B-45AB-8F86-8412AD388A7A}"/>
              </c:ext>
            </c:extLst>
          </c:dPt>
          <c:dLbls>
            <c:dLbl>
              <c:idx val="6"/>
              <c:layout>
                <c:manualLayout>
                  <c:x val="-0.12542686256724586"/>
                  <c:y val="-3.2396952186625853E-3"/>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B-C81B-45AB-8F86-8412AD388A7A}"/>
                </c:ext>
              </c:extLst>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strRef>
              <c:f>Calc!$AS$3:$AS$16</c:f>
              <c:strCache>
                <c:ptCount val="1"/>
                <c:pt idx="0">
                  <c:v>0.0</c:v>
                </c:pt>
              </c:strCache>
            </c:strRef>
          </c:xVal>
          <c:yVal>
            <c:numRef>
              <c:f>Calc!$AH$3:$AH$16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0C-C81B-45AB-8F86-8412AD388A7A}"/>
            </c:ext>
          </c:extLst>
        </c:ser>
        <c:ser>
          <c:idx val="2"/>
          <c:order val="3"/>
          <c:tx>
            <c:v>MY 1st &amp; 2nd Order</c:v>
          </c:tx>
          <c:spPr>
            <a:ln w="15875" cap="rnd">
              <a:solidFill>
                <a:srgbClr val="0070C0"/>
              </a:solidFill>
              <a:round/>
            </a:ln>
            <a:effectLst/>
          </c:spPr>
          <c:marker>
            <c:symbol val="none"/>
          </c:marker>
          <c:dPt>
            <c:idx val="1"/>
            <c:marker>
              <c:symbol val="none"/>
            </c:marker>
            <c:bubble3D val="0"/>
            <c:spPr>
              <a:ln w="15875" cap="rnd">
                <a:solidFill>
                  <a:schemeClr val="tx1"/>
                </a:solidFill>
                <a:round/>
              </a:ln>
              <a:effectLst/>
            </c:spPr>
            <c:extLst>
              <c:ext xmlns:c16="http://schemas.microsoft.com/office/drawing/2014/chart" uri="{C3380CC4-5D6E-409C-BE32-E72D297353CC}">
                <c16:uniqueId val="{0000000E-C81B-45AB-8F86-8412AD388A7A}"/>
              </c:ext>
            </c:extLst>
          </c:dPt>
          <c:dPt>
            <c:idx val="12"/>
            <c:marker>
              <c:symbol val="none"/>
            </c:marker>
            <c:bubble3D val="0"/>
            <c:spPr>
              <a:ln w="15875" cap="rnd">
                <a:solidFill>
                  <a:schemeClr val="tx1"/>
                </a:solidFill>
                <a:round/>
              </a:ln>
              <a:effectLst/>
            </c:spPr>
            <c:extLst>
              <c:ext xmlns:c16="http://schemas.microsoft.com/office/drawing/2014/chart" uri="{C3380CC4-5D6E-409C-BE32-E72D297353CC}">
                <c16:uniqueId val="{00000010-C81B-45AB-8F86-8412AD388A7A}"/>
              </c:ext>
            </c:extLst>
          </c:dPt>
          <c:dPt>
            <c:idx val="13"/>
            <c:marker>
              <c:symbol val="none"/>
            </c:marker>
            <c:bubble3D val="0"/>
            <c:extLst>
              <c:ext xmlns:c16="http://schemas.microsoft.com/office/drawing/2014/chart" uri="{C3380CC4-5D6E-409C-BE32-E72D297353CC}">
                <c16:uniqueId val="{00000011-C81B-45AB-8F86-8412AD388A7A}"/>
              </c:ext>
            </c:extLst>
          </c:dPt>
          <c:dLbls>
            <c:dLbl>
              <c:idx val="1"/>
              <c:layout>
                <c:manualLayout>
                  <c:x val="-1.0263752720732003E-2"/>
                  <c:y val="-6.2151907759590688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E-C81B-45AB-8F86-8412AD388A7A}"/>
                </c:ext>
              </c:extLst>
            </c:dLbl>
            <c:dLbl>
              <c:idx val="5"/>
              <c:layout>
                <c:manualLayout>
                  <c:x val="-3.8691084649183795E-17"/>
                  <c:y val="5.3581049353208735E-3"/>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2-C81B-45AB-8F86-8412AD388A7A}"/>
                </c:ext>
              </c:extLst>
            </c:dLbl>
            <c:dLbl>
              <c:idx val="7"/>
              <c:layout>
                <c:manualLayout>
                  <c:x val="-3.7988049218951749E-2"/>
                  <c:y val="2.1432419741283692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3-C81B-45AB-8F86-8412AD388A7A}"/>
                </c:ext>
              </c:extLst>
            </c:dLbl>
            <c:dLbl>
              <c:idx val="11"/>
              <c:layout>
                <c:manualLayout>
                  <c:x val="0.15982300161424276"/>
                  <c:y val="6.0003603009145486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4-C81B-45AB-8F86-8412AD388A7A}"/>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strRef>
              <c:f>Calc!$AP$3:$AP$16</c:f>
              <c:strCache>
                <c:ptCount val="1"/>
                <c:pt idx="0">
                  <c:v>0.0</c:v>
                </c:pt>
              </c:strCache>
            </c:strRef>
          </c:xVal>
          <c:yVal>
            <c:numRef>
              <c:f>Calc!$AH$3:$AH$16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15-C81B-45AB-8F86-8412AD388A7A}"/>
            </c:ext>
          </c:extLst>
        </c:ser>
        <c:ser>
          <c:idx val="3"/>
          <c:order val="4"/>
          <c:tx>
            <c:v>-My 1st &amp; 2nd Order</c:v>
          </c:tx>
          <c:spPr>
            <a:ln w="15875" cap="rnd">
              <a:solidFill>
                <a:srgbClr val="00B050"/>
              </a:solidFill>
              <a:round/>
            </a:ln>
            <a:effectLst/>
          </c:spPr>
          <c:marker>
            <c:symbol val="none"/>
          </c:marker>
          <c:dPt>
            <c:idx val="1"/>
            <c:marker>
              <c:symbol val="none"/>
            </c:marker>
            <c:bubble3D val="0"/>
            <c:spPr>
              <a:ln w="15875" cap="rnd">
                <a:solidFill>
                  <a:schemeClr val="tx1"/>
                </a:solidFill>
                <a:round/>
              </a:ln>
              <a:effectLst/>
            </c:spPr>
            <c:extLst>
              <c:ext xmlns:c16="http://schemas.microsoft.com/office/drawing/2014/chart" uri="{C3380CC4-5D6E-409C-BE32-E72D297353CC}">
                <c16:uniqueId val="{00000017-C81B-45AB-8F86-8412AD388A7A}"/>
              </c:ext>
            </c:extLst>
          </c:dPt>
          <c:dPt>
            <c:idx val="12"/>
            <c:marker>
              <c:symbol val="none"/>
            </c:marker>
            <c:bubble3D val="0"/>
            <c:spPr>
              <a:ln w="15875" cap="rnd">
                <a:solidFill>
                  <a:schemeClr val="tx1"/>
                </a:solidFill>
                <a:round/>
              </a:ln>
              <a:effectLst/>
            </c:spPr>
            <c:extLst>
              <c:ext xmlns:c16="http://schemas.microsoft.com/office/drawing/2014/chart" uri="{C3380CC4-5D6E-409C-BE32-E72D297353CC}">
                <c16:uniqueId val="{00000019-C81B-45AB-8F86-8412AD388A7A}"/>
              </c:ext>
            </c:extLst>
          </c:dPt>
          <c:dPt>
            <c:idx val="13"/>
            <c:marker>
              <c:symbol val="none"/>
            </c:marker>
            <c:bubble3D val="0"/>
            <c:spPr>
              <a:ln w="15875" cap="rnd">
                <a:solidFill>
                  <a:schemeClr val="tx1"/>
                </a:solidFill>
                <a:round/>
              </a:ln>
              <a:effectLst/>
            </c:spPr>
            <c:extLst>
              <c:ext xmlns:c16="http://schemas.microsoft.com/office/drawing/2014/chart" uri="{C3380CC4-5D6E-409C-BE32-E72D297353CC}">
                <c16:uniqueId val="{0000001B-C81B-45AB-8F86-8412AD388A7A}"/>
              </c:ext>
            </c:extLst>
          </c:dPt>
          <c:dLbls>
            <c:dLbl>
              <c:idx val="1"/>
              <c:layout>
                <c:manualLayout>
                  <c:x val="-7.4266822386003184E-2"/>
                  <c:y val="-6.3688937315857286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7-C81B-45AB-8F86-8412AD388A7A}"/>
                </c:ext>
              </c:extLst>
            </c:dLbl>
            <c:dLbl>
              <c:idx val="5"/>
              <c:layout>
                <c:manualLayout>
                  <c:x val="-0.15829229002954442"/>
                  <c:y val="3.2397413717013355E-3"/>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C-C81B-45AB-8F86-8412AD388A7A}"/>
                </c:ext>
              </c:extLst>
            </c:dLbl>
            <c:dLbl>
              <c:idx val="7"/>
              <c:layout>
                <c:manualLayout>
                  <c:x val="-0.20572506157686632"/>
                  <c:y val="1.7876874123770536E-2"/>
                </c:manualLayout>
              </c:layout>
              <c:spPr>
                <a:noFill/>
                <a:ln>
                  <a:noFill/>
                </a:ln>
                <a:effectLst/>
              </c:spPr>
              <c:txPr>
                <a:bodyPr rot="0" spcFirstLastPara="1" vertOverflow="ellipsis" vert="horz" wrap="square" lIns="38100" tIns="19050" rIns="38100" bIns="19050" anchor="ctr" anchorCtr="1">
                  <a:no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15:layout>
                    <c:manualLayout>
                      <c:w val="0.1854571378620937"/>
                      <c:h val="0.12850370566351568"/>
                    </c:manualLayout>
                  </c15:layout>
                </c:ext>
                <c:ext xmlns:c16="http://schemas.microsoft.com/office/drawing/2014/chart" uri="{C3380CC4-5D6E-409C-BE32-E72D297353CC}">
                  <c16:uniqueId val="{0000001D-C81B-45AB-8F86-8412AD388A7A}"/>
                </c:ext>
              </c:extLst>
            </c:dLbl>
            <c:dLbl>
              <c:idx val="11"/>
              <c:layout>
                <c:manualLayout>
                  <c:x val="-0.17096122731760752"/>
                  <c:y val="6.0003576316761398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E-C81B-45AB-8F86-8412AD388A7A}"/>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Calc!$AQ$3:$AQ$16</c:f>
              <c:numCache>
                <c:formatCode>0.0</c:formatCode>
                <c:ptCount val="14"/>
                <c:pt idx="0">
                  <c:v>0</c:v>
                </c:pt>
                <c:pt idx="1">
                  <c:v>124.694734508658</c:v>
                </c:pt>
                <c:pt idx="2">
                  <c:v>106.10530844683902</c:v>
                </c:pt>
                <c:pt idx="3">
                  <c:v>87.515882385020035</c:v>
                </c:pt>
                <c:pt idx="4">
                  <c:v>68.926456323201066</c:v>
                </c:pt>
                <c:pt idx="5">
                  <c:v>50.337030261382083</c:v>
                </c:pt>
                <c:pt idx="6">
                  <c:v>31.747604199563099</c:v>
                </c:pt>
                <c:pt idx="7">
                  <c:v>13.15817813774412</c:v>
                </c:pt>
                <c:pt idx="8">
                  <c:v>-5.4312479240748601</c:v>
                </c:pt>
                <c:pt idx="9">
                  <c:v>-24.02067398589384</c:v>
                </c:pt>
                <c:pt idx="10">
                  <c:v>-42.61010004771282</c:v>
                </c:pt>
                <c:pt idx="11">
                  <c:v>-61.199526109531803</c:v>
                </c:pt>
                <c:pt idx="12">
                  <c:v>0</c:v>
                </c:pt>
                <c:pt idx="13">
                  <c:v>0</c:v>
                </c:pt>
              </c:numCache>
            </c:numRef>
          </c:xVal>
          <c:yVal>
            <c:numRef>
              <c:f>Calc!$AH$3:$AH$16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1F-C81B-45AB-8F86-8412AD388A7A}"/>
            </c:ext>
          </c:extLst>
        </c:ser>
        <c:dLbls>
          <c:showLegendKey val="0"/>
          <c:showVal val="0"/>
          <c:showCatName val="0"/>
          <c:showSerName val="0"/>
          <c:showPercent val="0"/>
          <c:showBubbleSize val="0"/>
        </c:dLbls>
        <c:axId val="243997816"/>
        <c:axId val="243994680"/>
      </c:scatterChart>
      <c:valAx>
        <c:axId val="243997816"/>
        <c:scaling>
          <c:orientation val="minMax"/>
        </c:scaling>
        <c:delete val="0"/>
        <c:axPos val="b"/>
        <c:majorGridlines>
          <c:spPr>
            <a:ln w="9525" cap="flat" cmpd="sng" algn="ctr">
              <a:solidFill>
                <a:schemeClr val="bg1"/>
              </a:solidFill>
              <a:round/>
            </a:ln>
            <a:effectLst/>
          </c:spPr>
        </c:majorGridlines>
        <c:numFmt formatCode="0.0" sourceLinked="1"/>
        <c:majorTickMark val="none"/>
        <c:minorTickMark val="none"/>
        <c:tickLblPos val="none"/>
        <c:spPr>
          <a:noFill/>
          <a:ln w="1270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94680"/>
        <c:crossesAt val="0"/>
        <c:crossBetween val="midCat"/>
        <c:majorUnit val="1"/>
        <c:minorUnit val="1"/>
      </c:valAx>
      <c:valAx>
        <c:axId val="243994680"/>
        <c:scaling>
          <c:orientation val="minMax"/>
          <c:max val="1.1000000000000001"/>
          <c:min val="-0.1"/>
        </c:scaling>
        <c:delete val="0"/>
        <c:axPos val="l"/>
        <c:majorGridlines>
          <c:spPr>
            <a:ln w="0" cap="flat" cmpd="sng" algn="ctr">
              <a:solidFill>
                <a:schemeClr val="bg1"/>
              </a:solidFill>
              <a:round/>
            </a:ln>
            <a:effectLst/>
          </c:spPr>
        </c:majorGridlines>
        <c:numFmt formatCode="General" sourceLinked="0"/>
        <c:majorTickMark val="none"/>
        <c:minorTickMark val="none"/>
        <c:tickLblPos val="none"/>
        <c:spPr>
          <a:noFill/>
          <a:ln w="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97816"/>
        <c:crosses val="autoZero"/>
        <c:crossBetween val="midCat"/>
      </c:valAx>
      <c:spPr>
        <a:noFill/>
        <a:ln>
          <a:noFill/>
        </a:ln>
        <a:effectLst/>
      </c:spPr>
    </c:plotArea>
    <c:plotVisOnly val="1"/>
    <c:dispBlanksAs val="gap"/>
    <c:showDLblsOverMax val="0"/>
  </c:chart>
  <c:spPr>
    <a:solidFill>
      <a:schemeClr val="bg1"/>
    </a:solidFill>
    <a:ln w="635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3"/>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577491334338301E-2"/>
          <c:y val="4.5883677233454295E-2"/>
          <c:w val="0.94084501733132342"/>
          <c:h val="0.90508037526273044"/>
        </c:manualLayout>
      </c:layout>
      <c:scatterChart>
        <c:scatterStyle val="lineMarker"/>
        <c:varyColors val="0"/>
        <c:ser>
          <c:idx val="2"/>
          <c:order val="0"/>
          <c:tx>
            <c:v>Outline</c:v>
          </c:tx>
          <c:spPr>
            <a:ln w="19050" cap="rnd">
              <a:noFill/>
              <a:round/>
            </a:ln>
            <a:effectLst/>
          </c:spPr>
          <c:marker>
            <c:symbol val="none"/>
          </c:marker>
          <c:xVal>
            <c:numRef>
              <c:f>Calc!$CD$4:$CD$8</c:f>
              <c:numCache>
                <c:formatCode>0.0</c:formatCode>
                <c:ptCount val="5"/>
                <c:pt idx="0">
                  <c:v>-61.199526109531803</c:v>
                </c:pt>
                <c:pt idx="1">
                  <c:v>124.694734508658</c:v>
                </c:pt>
                <c:pt idx="2">
                  <c:v>124.694734508658</c:v>
                </c:pt>
                <c:pt idx="3">
                  <c:v>-61.199526109531803</c:v>
                </c:pt>
                <c:pt idx="4">
                  <c:v>-61.199526109531803</c:v>
                </c:pt>
              </c:numCache>
            </c:numRef>
          </c:xVal>
          <c:yVal>
            <c:numRef>
              <c:f>Calc!$CC$4:$CC$8</c:f>
              <c:numCache>
                <c:formatCode>0.0</c:formatCode>
                <c:ptCount val="5"/>
                <c:pt idx="0">
                  <c:v>0</c:v>
                </c:pt>
                <c:pt idx="1">
                  <c:v>0</c:v>
                </c:pt>
                <c:pt idx="2">
                  <c:v>1</c:v>
                </c:pt>
                <c:pt idx="3">
                  <c:v>1</c:v>
                </c:pt>
                <c:pt idx="4">
                  <c:v>0</c:v>
                </c:pt>
              </c:numCache>
            </c:numRef>
          </c:yVal>
          <c:smooth val="0"/>
          <c:extLst>
            <c:ext xmlns:c16="http://schemas.microsoft.com/office/drawing/2014/chart" uri="{C3380CC4-5D6E-409C-BE32-E72D297353CC}">
              <c16:uniqueId val="{00000000-A0B2-4DE5-BEB9-0ED64DC0F4C8}"/>
            </c:ext>
          </c:extLst>
        </c:ser>
        <c:ser>
          <c:idx val="0"/>
          <c:order val="1"/>
          <c:tx>
            <c:v>1st Order</c:v>
          </c:tx>
          <c:spPr>
            <a:ln w="25400" cap="rnd">
              <a:solidFill>
                <a:srgbClr val="0070C0"/>
              </a:solidFill>
              <a:round/>
            </a:ln>
            <a:effectLst/>
          </c:spPr>
          <c:marker>
            <c:symbol val="none"/>
          </c:marker>
          <c:dPt>
            <c:idx val="1"/>
            <c:marker>
              <c:symbol val="none"/>
            </c:marker>
            <c:bubble3D val="0"/>
            <c:extLst>
              <c:ext xmlns:c16="http://schemas.microsoft.com/office/drawing/2014/chart" uri="{C3380CC4-5D6E-409C-BE32-E72D297353CC}">
                <c16:uniqueId val="{00000001-A0B2-4DE5-BEB9-0ED64DC0F4C8}"/>
              </c:ext>
            </c:extLst>
          </c:dPt>
          <c:dPt>
            <c:idx val="12"/>
            <c:marker>
              <c:symbol val="none"/>
            </c:marker>
            <c:bubble3D val="0"/>
            <c:spPr>
              <a:ln w="25400" cap="rnd">
                <a:solidFill>
                  <a:schemeClr val="tx1"/>
                </a:solidFill>
                <a:round/>
              </a:ln>
              <a:effectLst/>
            </c:spPr>
            <c:extLst>
              <c:ext xmlns:c16="http://schemas.microsoft.com/office/drawing/2014/chart" uri="{C3380CC4-5D6E-409C-BE32-E72D297353CC}">
                <c16:uniqueId val="{00000003-A0B2-4DE5-BEB9-0ED64DC0F4C8}"/>
              </c:ext>
            </c:extLst>
          </c:dPt>
          <c:dPt>
            <c:idx val="13"/>
            <c:marker>
              <c:symbol val="none"/>
            </c:marker>
            <c:bubble3D val="0"/>
            <c:extLst>
              <c:ext xmlns:c16="http://schemas.microsoft.com/office/drawing/2014/chart" uri="{C3380CC4-5D6E-409C-BE32-E72D297353CC}">
                <c16:uniqueId val="{00000004-A0B2-4DE5-BEB9-0ED64DC0F4C8}"/>
              </c:ext>
            </c:extLst>
          </c:dPt>
          <c:dLbls>
            <c:dLbl>
              <c:idx val="0"/>
              <c:delete val="1"/>
              <c:extLst>
                <c:ext xmlns:c15="http://schemas.microsoft.com/office/drawing/2012/chart" uri="{CE6537A1-D6FC-4f65-9D91-7224C49458BB}"/>
                <c:ext xmlns:c16="http://schemas.microsoft.com/office/drawing/2014/chart" uri="{C3380CC4-5D6E-409C-BE32-E72D297353CC}">
                  <c16:uniqueId val="{00000005-A0B2-4DE5-BEB9-0ED64DC0F4C8}"/>
                </c:ext>
              </c:extLst>
            </c:dLbl>
            <c:dLbl>
              <c:idx val="1"/>
              <c:layout>
                <c:manualLayout>
                  <c:x val="-9.3631800887017235E-3"/>
                  <c:y val="-5.755175018307622E-2"/>
                </c:manualLayout>
              </c:layout>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0B2-4DE5-BEB9-0ED64DC0F4C8}"/>
                </c:ext>
              </c:extLst>
            </c:dLbl>
            <c:dLbl>
              <c:idx val="2"/>
              <c:delete val="1"/>
              <c:extLst>
                <c:ext xmlns:c15="http://schemas.microsoft.com/office/drawing/2012/chart" uri="{CE6537A1-D6FC-4f65-9D91-7224C49458BB}"/>
                <c:ext xmlns:c16="http://schemas.microsoft.com/office/drawing/2014/chart" uri="{C3380CC4-5D6E-409C-BE32-E72D297353CC}">
                  <c16:uniqueId val="{00000006-A0B2-4DE5-BEB9-0ED64DC0F4C8}"/>
                </c:ext>
              </c:extLst>
            </c:dLbl>
            <c:dLbl>
              <c:idx val="3"/>
              <c:delete val="1"/>
              <c:extLst>
                <c:ext xmlns:c15="http://schemas.microsoft.com/office/drawing/2012/chart" uri="{CE6537A1-D6FC-4f65-9D91-7224C49458BB}"/>
                <c:ext xmlns:c16="http://schemas.microsoft.com/office/drawing/2014/chart" uri="{C3380CC4-5D6E-409C-BE32-E72D297353CC}">
                  <c16:uniqueId val="{00000007-A0B2-4DE5-BEB9-0ED64DC0F4C8}"/>
                </c:ext>
              </c:extLst>
            </c:dLbl>
            <c:dLbl>
              <c:idx val="4"/>
              <c:delete val="1"/>
              <c:extLst>
                <c:ext xmlns:c15="http://schemas.microsoft.com/office/drawing/2012/chart" uri="{CE6537A1-D6FC-4f65-9D91-7224C49458BB}"/>
                <c:ext xmlns:c16="http://schemas.microsoft.com/office/drawing/2014/chart" uri="{C3380CC4-5D6E-409C-BE32-E72D297353CC}">
                  <c16:uniqueId val="{00000008-A0B2-4DE5-BEB9-0ED64DC0F4C8}"/>
                </c:ext>
              </c:extLst>
            </c:dLbl>
            <c:dLbl>
              <c:idx val="5"/>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0B2-4DE5-BEB9-0ED64DC0F4C8}"/>
                </c:ext>
              </c:extLst>
            </c:dLbl>
            <c:dLbl>
              <c:idx val="6"/>
              <c:delete val="1"/>
              <c:extLst>
                <c:ext xmlns:c15="http://schemas.microsoft.com/office/drawing/2012/chart" uri="{CE6537A1-D6FC-4f65-9D91-7224C49458BB}"/>
                <c:ext xmlns:c16="http://schemas.microsoft.com/office/drawing/2014/chart" uri="{C3380CC4-5D6E-409C-BE32-E72D297353CC}">
                  <c16:uniqueId val="{0000000A-A0B2-4DE5-BEB9-0ED64DC0F4C8}"/>
                </c:ext>
              </c:extLst>
            </c:dLbl>
            <c:dLbl>
              <c:idx val="7"/>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0B2-4DE5-BEB9-0ED64DC0F4C8}"/>
                </c:ext>
              </c:extLst>
            </c:dLbl>
            <c:dLbl>
              <c:idx val="8"/>
              <c:delete val="1"/>
              <c:extLst>
                <c:ext xmlns:c15="http://schemas.microsoft.com/office/drawing/2012/chart" uri="{CE6537A1-D6FC-4f65-9D91-7224C49458BB}"/>
                <c:ext xmlns:c16="http://schemas.microsoft.com/office/drawing/2014/chart" uri="{C3380CC4-5D6E-409C-BE32-E72D297353CC}">
                  <c16:uniqueId val="{0000000C-A0B2-4DE5-BEB9-0ED64DC0F4C8}"/>
                </c:ext>
              </c:extLst>
            </c:dLbl>
            <c:dLbl>
              <c:idx val="9"/>
              <c:delete val="1"/>
              <c:extLst>
                <c:ext xmlns:c15="http://schemas.microsoft.com/office/drawing/2012/chart" uri="{CE6537A1-D6FC-4f65-9D91-7224C49458BB}"/>
                <c:ext xmlns:c16="http://schemas.microsoft.com/office/drawing/2014/chart" uri="{C3380CC4-5D6E-409C-BE32-E72D297353CC}">
                  <c16:uniqueId val="{0000000D-A0B2-4DE5-BEB9-0ED64DC0F4C8}"/>
                </c:ext>
              </c:extLst>
            </c:dLbl>
            <c:dLbl>
              <c:idx val="10"/>
              <c:delete val="1"/>
              <c:extLst>
                <c:ext xmlns:c15="http://schemas.microsoft.com/office/drawing/2012/chart" uri="{CE6537A1-D6FC-4f65-9D91-7224C49458BB}"/>
                <c:ext xmlns:c16="http://schemas.microsoft.com/office/drawing/2014/chart" uri="{C3380CC4-5D6E-409C-BE32-E72D297353CC}">
                  <c16:uniqueId val="{0000000E-A0B2-4DE5-BEB9-0ED64DC0F4C8}"/>
                </c:ext>
              </c:extLst>
            </c:dLbl>
            <c:dLbl>
              <c:idx val="11"/>
              <c:layout>
                <c:manualLayout>
                  <c:x val="-3.5035626508410432E-2"/>
                  <c:y val="5.1772548408163373E-2"/>
                </c:manualLayout>
              </c:layout>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0B2-4DE5-BEB9-0ED64DC0F4C8}"/>
                </c:ext>
              </c:extLst>
            </c:dLbl>
            <c:dLbl>
              <c:idx val="12"/>
              <c:delete val="1"/>
              <c:extLst>
                <c:ext xmlns:c15="http://schemas.microsoft.com/office/drawing/2012/chart" uri="{CE6537A1-D6FC-4f65-9D91-7224C49458BB}"/>
                <c:ext xmlns:c16="http://schemas.microsoft.com/office/drawing/2014/chart" uri="{C3380CC4-5D6E-409C-BE32-E72D297353CC}">
                  <c16:uniqueId val="{00000003-A0B2-4DE5-BEB9-0ED64DC0F4C8}"/>
                </c:ext>
              </c:extLst>
            </c:dLbl>
            <c:dLbl>
              <c:idx val="13"/>
              <c:delete val="1"/>
              <c:extLst>
                <c:ext xmlns:c15="http://schemas.microsoft.com/office/drawing/2012/chart" uri="{CE6537A1-D6FC-4f65-9D91-7224C49458BB}"/>
                <c:ext xmlns:c16="http://schemas.microsoft.com/office/drawing/2014/chart" uri="{C3380CC4-5D6E-409C-BE32-E72D297353CC}">
                  <c16:uniqueId val="{00000004-A0B2-4DE5-BEB9-0ED64DC0F4C8}"/>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Calc!$BS$3:$BS$16</c:f>
              <c:numCache>
                <c:formatCode>0.0</c:formatCode>
                <c:ptCount val="14"/>
                <c:pt idx="0">
                  <c:v>0</c:v>
                </c:pt>
                <c:pt idx="1">
                  <c:v>4.9767018505885616</c:v>
                </c:pt>
                <c:pt idx="2">
                  <c:v>4.9767018505885616</c:v>
                </c:pt>
                <c:pt idx="3">
                  <c:v>4.9767018505885616</c:v>
                </c:pt>
                <c:pt idx="4">
                  <c:v>4.9767018505885607</c:v>
                </c:pt>
                <c:pt idx="5">
                  <c:v>4.9767018505885607</c:v>
                </c:pt>
                <c:pt idx="6">
                  <c:v>4.9767018505885599</c:v>
                </c:pt>
                <c:pt idx="7">
                  <c:v>4.9767018505885599</c:v>
                </c:pt>
                <c:pt idx="8">
                  <c:v>4.9767018505885599</c:v>
                </c:pt>
                <c:pt idx="9">
                  <c:v>4.9767018505885599</c:v>
                </c:pt>
                <c:pt idx="10">
                  <c:v>4.976701850588559</c:v>
                </c:pt>
                <c:pt idx="11">
                  <c:v>4.976701850588559</c:v>
                </c:pt>
                <c:pt idx="12">
                  <c:v>0</c:v>
                </c:pt>
                <c:pt idx="13">
                  <c:v>0</c:v>
                </c:pt>
              </c:numCache>
            </c:numRef>
          </c:xVal>
          <c:yVal>
            <c:numRef>
              <c:f>Calc!$BO$3:$BO$16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10-A0B2-4DE5-BEB9-0ED64DC0F4C8}"/>
            </c:ext>
          </c:extLst>
        </c:ser>
        <c:ser>
          <c:idx val="1"/>
          <c:order val="2"/>
          <c:tx>
            <c:v>-1st Order</c:v>
          </c:tx>
          <c:spPr>
            <a:ln w="25400" cap="rnd">
              <a:solidFill>
                <a:srgbClr val="00B050"/>
              </a:solidFill>
              <a:round/>
            </a:ln>
            <a:effectLst/>
          </c:spPr>
          <c:marker>
            <c:symbol val="none"/>
          </c:marker>
          <c:dPt>
            <c:idx val="1"/>
            <c:marker>
              <c:symbol val="none"/>
            </c:marker>
            <c:bubble3D val="0"/>
            <c:spPr>
              <a:ln w="25400" cap="rnd">
                <a:solidFill>
                  <a:schemeClr val="tx1"/>
                </a:solidFill>
                <a:round/>
              </a:ln>
              <a:effectLst/>
            </c:spPr>
            <c:extLst>
              <c:ext xmlns:c16="http://schemas.microsoft.com/office/drawing/2014/chart" uri="{C3380CC4-5D6E-409C-BE32-E72D297353CC}">
                <c16:uniqueId val="{00000012-A0B2-4DE5-BEB9-0ED64DC0F4C8}"/>
              </c:ext>
            </c:extLst>
          </c:dPt>
          <c:dPt>
            <c:idx val="11"/>
            <c:marker>
              <c:symbol val="none"/>
            </c:marker>
            <c:bubble3D val="0"/>
            <c:extLst>
              <c:ext xmlns:c16="http://schemas.microsoft.com/office/drawing/2014/chart" uri="{C3380CC4-5D6E-409C-BE32-E72D297353CC}">
                <c16:uniqueId val="{00000013-A0B2-4DE5-BEB9-0ED64DC0F4C8}"/>
              </c:ext>
            </c:extLst>
          </c:dPt>
          <c:dPt>
            <c:idx val="12"/>
            <c:marker>
              <c:symbol val="none"/>
            </c:marker>
            <c:bubble3D val="0"/>
            <c:extLst>
              <c:ext xmlns:c16="http://schemas.microsoft.com/office/drawing/2014/chart" uri="{C3380CC4-5D6E-409C-BE32-E72D297353CC}">
                <c16:uniqueId val="{00000014-A0B2-4DE5-BEB9-0ED64DC0F4C8}"/>
              </c:ext>
            </c:extLst>
          </c:dPt>
          <c:dPt>
            <c:idx val="13"/>
            <c:marker>
              <c:symbol val="none"/>
            </c:marker>
            <c:bubble3D val="0"/>
            <c:spPr>
              <a:ln w="12700" cap="rnd">
                <a:solidFill>
                  <a:schemeClr val="tx1"/>
                </a:solidFill>
                <a:round/>
              </a:ln>
              <a:effectLst/>
            </c:spPr>
            <c:extLst>
              <c:ext xmlns:c16="http://schemas.microsoft.com/office/drawing/2014/chart" uri="{C3380CC4-5D6E-409C-BE32-E72D297353CC}">
                <c16:uniqueId val="{00000016-A0B2-4DE5-BEB9-0ED64DC0F4C8}"/>
              </c:ext>
            </c:extLst>
          </c:dPt>
          <c:dLbls>
            <c:dLbl>
              <c:idx val="0"/>
              <c:delete val="1"/>
              <c:extLst>
                <c:ext xmlns:c15="http://schemas.microsoft.com/office/drawing/2012/chart" uri="{CE6537A1-D6FC-4f65-9D91-7224C49458BB}"/>
                <c:ext xmlns:c16="http://schemas.microsoft.com/office/drawing/2014/chart" uri="{C3380CC4-5D6E-409C-BE32-E72D297353CC}">
                  <c16:uniqueId val="{00000017-A0B2-4DE5-BEB9-0ED64DC0F4C8}"/>
                </c:ext>
              </c:extLst>
            </c:dLbl>
            <c:dLbl>
              <c:idx val="1"/>
              <c:layout>
                <c:manualLayout>
                  <c:x val="-9.871464173610163E-2"/>
                  <c:y val="-6.4570630357295766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0B2-4DE5-BEB9-0ED64DC0F4C8}"/>
                </c:ext>
              </c:extLst>
            </c:dLbl>
            <c:dLbl>
              <c:idx val="2"/>
              <c:delete val="1"/>
              <c:extLst>
                <c:ext xmlns:c15="http://schemas.microsoft.com/office/drawing/2012/chart" uri="{CE6537A1-D6FC-4f65-9D91-7224C49458BB}"/>
                <c:ext xmlns:c16="http://schemas.microsoft.com/office/drawing/2014/chart" uri="{C3380CC4-5D6E-409C-BE32-E72D297353CC}">
                  <c16:uniqueId val="{00000018-A0B2-4DE5-BEB9-0ED64DC0F4C8}"/>
                </c:ext>
              </c:extLst>
            </c:dLbl>
            <c:dLbl>
              <c:idx val="3"/>
              <c:delete val="1"/>
              <c:extLst>
                <c:ext xmlns:c15="http://schemas.microsoft.com/office/drawing/2012/chart" uri="{CE6537A1-D6FC-4f65-9D91-7224C49458BB}"/>
                <c:ext xmlns:c16="http://schemas.microsoft.com/office/drawing/2014/chart" uri="{C3380CC4-5D6E-409C-BE32-E72D297353CC}">
                  <c16:uniqueId val="{00000019-A0B2-4DE5-BEB9-0ED64DC0F4C8}"/>
                </c:ext>
              </c:extLst>
            </c:dLbl>
            <c:dLbl>
              <c:idx val="4"/>
              <c:delete val="1"/>
              <c:extLst>
                <c:ext xmlns:c15="http://schemas.microsoft.com/office/drawing/2012/chart" uri="{CE6537A1-D6FC-4f65-9D91-7224C49458BB}"/>
                <c:ext xmlns:c16="http://schemas.microsoft.com/office/drawing/2014/chart" uri="{C3380CC4-5D6E-409C-BE32-E72D297353CC}">
                  <c16:uniqueId val="{0000001A-A0B2-4DE5-BEB9-0ED64DC0F4C8}"/>
                </c:ext>
              </c:extLst>
            </c:dLbl>
            <c:dLbl>
              <c:idx val="5"/>
              <c:layout>
                <c:manualLayout>
                  <c:x val="-0.22779374766909907"/>
                  <c:y val="3.2467540767854783E-3"/>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B-A0B2-4DE5-BEB9-0ED64DC0F4C8}"/>
                </c:ext>
              </c:extLst>
            </c:dLbl>
            <c:dLbl>
              <c:idx val="6"/>
              <c:delete val="1"/>
              <c:extLst>
                <c:ext xmlns:c15="http://schemas.microsoft.com/office/drawing/2012/chart" uri="{CE6537A1-D6FC-4f65-9D91-7224C49458BB}"/>
                <c:ext xmlns:c16="http://schemas.microsoft.com/office/drawing/2014/chart" uri="{C3380CC4-5D6E-409C-BE32-E72D297353CC}">
                  <c16:uniqueId val="{0000001C-A0B2-4DE5-BEB9-0ED64DC0F4C8}"/>
                </c:ext>
              </c:extLst>
            </c:dLbl>
            <c:dLbl>
              <c:idx val="7"/>
              <c:layout>
                <c:manualLayout>
                  <c:x val="-0.22349575243005948"/>
                  <c:y val="0"/>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D-A0B2-4DE5-BEB9-0ED64DC0F4C8}"/>
                </c:ext>
              </c:extLst>
            </c:dLbl>
            <c:dLbl>
              <c:idx val="8"/>
              <c:delete val="1"/>
              <c:extLst>
                <c:ext xmlns:c15="http://schemas.microsoft.com/office/drawing/2012/chart" uri="{CE6537A1-D6FC-4f65-9D91-7224C49458BB}"/>
                <c:ext xmlns:c16="http://schemas.microsoft.com/office/drawing/2014/chart" uri="{C3380CC4-5D6E-409C-BE32-E72D297353CC}">
                  <c16:uniqueId val="{0000001E-A0B2-4DE5-BEB9-0ED64DC0F4C8}"/>
                </c:ext>
              </c:extLst>
            </c:dLbl>
            <c:dLbl>
              <c:idx val="9"/>
              <c:delete val="1"/>
              <c:extLst>
                <c:ext xmlns:c15="http://schemas.microsoft.com/office/drawing/2012/chart" uri="{CE6537A1-D6FC-4f65-9D91-7224C49458BB}"/>
                <c:ext xmlns:c16="http://schemas.microsoft.com/office/drawing/2014/chart" uri="{C3380CC4-5D6E-409C-BE32-E72D297353CC}">
                  <c16:uniqueId val="{0000001F-A0B2-4DE5-BEB9-0ED64DC0F4C8}"/>
                </c:ext>
              </c:extLst>
            </c:dLbl>
            <c:dLbl>
              <c:idx val="10"/>
              <c:delete val="1"/>
              <c:extLst>
                <c:ext xmlns:c15="http://schemas.microsoft.com/office/drawing/2012/chart" uri="{CE6537A1-D6FC-4f65-9D91-7224C49458BB}"/>
                <c:ext xmlns:c16="http://schemas.microsoft.com/office/drawing/2014/chart" uri="{C3380CC4-5D6E-409C-BE32-E72D297353CC}">
                  <c16:uniqueId val="{00000020-A0B2-4DE5-BEB9-0ED64DC0F4C8}"/>
                </c:ext>
              </c:extLst>
            </c:dLbl>
            <c:dLbl>
              <c:idx val="11"/>
              <c:layout>
                <c:manualLayout>
                  <c:x val="-0.17498569087056048"/>
                  <c:y val="5.2371939304323253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0B2-4DE5-BEB9-0ED64DC0F4C8}"/>
                </c:ext>
              </c:extLst>
            </c:dLbl>
            <c:dLbl>
              <c:idx val="12"/>
              <c:delete val="1"/>
              <c:extLst>
                <c:ext xmlns:c15="http://schemas.microsoft.com/office/drawing/2012/chart" uri="{CE6537A1-D6FC-4f65-9D91-7224C49458BB}"/>
                <c:ext xmlns:c16="http://schemas.microsoft.com/office/drawing/2014/chart" uri="{C3380CC4-5D6E-409C-BE32-E72D297353CC}">
                  <c16:uniqueId val="{00000014-A0B2-4DE5-BEB9-0ED64DC0F4C8}"/>
                </c:ext>
              </c:extLst>
            </c:dLbl>
            <c:dLbl>
              <c:idx val="13"/>
              <c:delete val="1"/>
              <c:extLst>
                <c:ext xmlns:c15="http://schemas.microsoft.com/office/drawing/2012/chart" uri="{CE6537A1-D6FC-4f65-9D91-7224C49458BB}"/>
                <c:ext xmlns:c16="http://schemas.microsoft.com/office/drawing/2014/chart" uri="{C3380CC4-5D6E-409C-BE32-E72D297353CC}">
                  <c16:uniqueId val="{00000016-A0B2-4DE5-BEB9-0ED64DC0F4C8}"/>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Calc!$BT$3:$BT$16</c:f>
              <c:numCache>
                <c:formatCode>0.0</c:formatCode>
                <c:ptCount val="14"/>
                <c:pt idx="0">
                  <c:v>0</c:v>
                </c:pt>
                <c:pt idx="1">
                  <c:v>-4.9767018505885563</c:v>
                </c:pt>
                <c:pt idx="2">
                  <c:v>-4.9767018505885563</c:v>
                </c:pt>
                <c:pt idx="3">
                  <c:v>-4.9767018505885563</c:v>
                </c:pt>
                <c:pt idx="4">
                  <c:v>-4.9767018505885572</c:v>
                </c:pt>
                <c:pt idx="5">
                  <c:v>-4.9767018505885572</c:v>
                </c:pt>
                <c:pt idx="6">
                  <c:v>-4.9767018505885581</c:v>
                </c:pt>
                <c:pt idx="7">
                  <c:v>-4.9767018505885581</c:v>
                </c:pt>
                <c:pt idx="8">
                  <c:v>-4.9767018505885581</c:v>
                </c:pt>
                <c:pt idx="9">
                  <c:v>-4.9767018505885581</c:v>
                </c:pt>
                <c:pt idx="10">
                  <c:v>-4.976701850588559</c:v>
                </c:pt>
                <c:pt idx="11">
                  <c:v>-4.976701850588559</c:v>
                </c:pt>
                <c:pt idx="12">
                  <c:v>0</c:v>
                </c:pt>
                <c:pt idx="13">
                  <c:v>0</c:v>
                </c:pt>
              </c:numCache>
            </c:numRef>
          </c:xVal>
          <c:yVal>
            <c:numRef>
              <c:f>Calc!$BO$3:$BO$16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21-A0B2-4DE5-BEB9-0ED64DC0F4C8}"/>
            </c:ext>
          </c:extLst>
        </c:ser>
        <c:ser>
          <c:idx val="3"/>
          <c:order val="3"/>
          <c:tx>
            <c:v>Initial</c:v>
          </c:tx>
          <c:spPr>
            <a:ln w="22225" cap="rnd">
              <a:solidFill>
                <a:schemeClr val="tx1"/>
              </a:solidFill>
              <a:prstDash val="dash"/>
              <a:round/>
            </a:ln>
            <a:effectLst/>
          </c:spPr>
          <c:marker>
            <c:symbol val="none"/>
          </c:marker>
          <c:dPt>
            <c:idx val="1"/>
            <c:marker>
              <c:symbol val="none"/>
            </c:marker>
            <c:bubble3D val="0"/>
            <c:spPr>
              <a:ln w="12700" cap="rnd">
                <a:solidFill>
                  <a:schemeClr val="tx1"/>
                </a:solidFill>
                <a:prstDash val="solid"/>
                <a:round/>
              </a:ln>
              <a:effectLst/>
            </c:spPr>
            <c:extLst>
              <c:ext xmlns:c16="http://schemas.microsoft.com/office/drawing/2014/chart" uri="{C3380CC4-5D6E-409C-BE32-E72D297353CC}">
                <c16:uniqueId val="{00000023-A0B2-4DE5-BEB9-0ED64DC0F4C8}"/>
              </c:ext>
            </c:extLst>
          </c:dPt>
          <c:dPt>
            <c:idx val="12"/>
            <c:marker>
              <c:symbol val="none"/>
            </c:marker>
            <c:bubble3D val="0"/>
            <c:spPr>
              <a:ln w="12700" cap="rnd">
                <a:solidFill>
                  <a:schemeClr val="tx1"/>
                </a:solidFill>
                <a:prstDash val="solid"/>
                <a:round/>
              </a:ln>
              <a:effectLst/>
            </c:spPr>
            <c:extLst>
              <c:ext xmlns:c16="http://schemas.microsoft.com/office/drawing/2014/chart" uri="{C3380CC4-5D6E-409C-BE32-E72D297353CC}">
                <c16:uniqueId val="{00000025-A0B2-4DE5-BEB9-0ED64DC0F4C8}"/>
              </c:ext>
            </c:extLst>
          </c:dPt>
          <c:xVal>
            <c:numRef>
              <c:f>Calc!$BP$3:$BP$15</c:f>
              <c:numCache>
                <c:formatCode>0.0</c:formatCode>
                <c:ptCount val="13"/>
                <c:pt idx="0">
                  <c:v>0</c:v>
                </c:pt>
                <c:pt idx="1">
                  <c:v>2.2957635792408801E-15</c:v>
                </c:pt>
                <c:pt idx="2">
                  <c:v>2.0661872213167921E-15</c:v>
                </c:pt>
                <c:pt idx="3">
                  <c:v>1.8366108633927041E-15</c:v>
                </c:pt>
                <c:pt idx="4">
                  <c:v>1.6070345054686161E-15</c:v>
                </c:pt>
                <c:pt idx="5">
                  <c:v>1.3774581475445281E-15</c:v>
                </c:pt>
                <c:pt idx="6">
                  <c:v>1.1478817896204401E-15</c:v>
                </c:pt>
                <c:pt idx="7">
                  <c:v>9.1830543169635206E-16</c:v>
                </c:pt>
                <c:pt idx="8">
                  <c:v>6.8872907377226404E-16</c:v>
                </c:pt>
                <c:pt idx="9">
                  <c:v>4.5915271584817603E-16</c:v>
                </c:pt>
                <c:pt idx="10">
                  <c:v>2.2957635792408801E-16</c:v>
                </c:pt>
                <c:pt idx="11">
                  <c:v>0</c:v>
                </c:pt>
                <c:pt idx="12">
                  <c:v>0</c:v>
                </c:pt>
              </c:numCache>
              <c:extLst xmlns:c15="http://schemas.microsoft.com/office/drawing/2012/chart"/>
            </c:numRef>
          </c:xVal>
          <c:yVal>
            <c:numRef>
              <c:f>Calc!$BO$3:$BO$15</c:f>
              <c:numCache>
                <c:formatCode>0.0</c:formatCode>
                <c:ptCount val="13"/>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numCache>
              <c:extLst xmlns:c15="http://schemas.microsoft.com/office/drawing/2012/chart"/>
            </c:numRef>
          </c:yVal>
          <c:smooth val="0"/>
          <c:extLst>
            <c:ext xmlns:c16="http://schemas.microsoft.com/office/drawing/2014/chart" uri="{C3380CC4-5D6E-409C-BE32-E72D297353CC}">
              <c16:uniqueId val="{00000026-A0B2-4DE5-BEB9-0ED64DC0F4C8}"/>
            </c:ext>
          </c:extLst>
        </c:ser>
        <c:dLbls>
          <c:showLegendKey val="0"/>
          <c:showVal val="0"/>
          <c:showCatName val="0"/>
          <c:showSerName val="0"/>
          <c:showPercent val="0"/>
          <c:showBubbleSize val="0"/>
        </c:dLbls>
        <c:axId val="243992720"/>
        <c:axId val="243993504"/>
        <c:extLst/>
      </c:scatterChart>
      <c:valAx>
        <c:axId val="243992720"/>
        <c:scaling>
          <c:orientation val="minMax"/>
        </c:scaling>
        <c:delete val="0"/>
        <c:axPos val="b"/>
        <c:majorGridlines>
          <c:spPr>
            <a:ln w="9525" cap="flat" cmpd="sng" algn="ctr">
              <a:solidFill>
                <a:schemeClr val="bg1"/>
              </a:solidFill>
              <a:round/>
            </a:ln>
            <a:effectLst/>
          </c:spPr>
        </c:majorGridlines>
        <c:numFmt formatCode="0.0" sourceLinked="1"/>
        <c:majorTickMark val="none"/>
        <c:minorTickMark val="none"/>
        <c:tickLblPos val="none"/>
        <c:spPr>
          <a:noFill/>
          <a:ln w="1270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93504"/>
        <c:crossesAt val="0"/>
        <c:crossBetween val="midCat"/>
        <c:majorUnit val="1"/>
        <c:minorUnit val="1"/>
      </c:valAx>
      <c:valAx>
        <c:axId val="243993504"/>
        <c:scaling>
          <c:orientation val="minMax"/>
          <c:max val="1.1000000000000001"/>
          <c:min val="-0.1"/>
        </c:scaling>
        <c:delete val="0"/>
        <c:axPos val="l"/>
        <c:majorGridlines>
          <c:spPr>
            <a:ln w="0" cap="flat" cmpd="sng" algn="ctr">
              <a:solidFill>
                <a:schemeClr val="bg1"/>
              </a:solidFill>
              <a:round/>
            </a:ln>
            <a:effectLst/>
          </c:spPr>
        </c:majorGridlines>
        <c:numFmt formatCode="General" sourceLinked="0"/>
        <c:majorTickMark val="none"/>
        <c:minorTickMark val="none"/>
        <c:tickLblPos val="none"/>
        <c:spPr>
          <a:noFill/>
          <a:ln w="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92720"/>
        <c:crosses val="autoZero"/>
        <c:crossBetween val="midCat"/>
      </c:valAx>
      <c:spPr>
        <a:noFill/>
        <a:ln>
          <a:noFill/>
        </a:ln>
        <a:effectLst/>
      </c:spPr>
    </c:plotArea>
    <c:plotVisOnly val="1"/>
    <c:dispBlanksAs val="gap"/>
    <c:showDLblsOverMax val="0"/>
  </c:chart>
  <c:spPr>
    <a:solidFill>
      <a:schemeClr val="bg1"/>
    </a:solidFill>
    <a:ln w="635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3"/>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6297664109822568E-2"/>
          <c:y val="5.2315811782299167E-2"/>
          <c:w val="0.92330196764099814"/>
          <c:h val="0.90587056868414029"/>
        </c:manualLayout>
      </c:layout>
      <c:scatterChart>
        <c:scatterStyle val="lineMarker"/>
        <c:varyColors val="0"/>
        <c:ser>
          <c:idx val="2"/>
          <c:order val="0"/>
          <c:tx>
            <c:v>Outline</c:v>
          </c:tx>
          <c:spPr>
            <a:ln w="19050" cap="rnd">
              <a:noFill/>
              <a:round/>
            </a:ln>
            <a:effectLst/>
          </c:spPr>
          <c:marker>
            <c:symbol val="none"/>
          </c:marker>
          <c:xVal>
            <c:numRef>
              <c:f>Calc!$CD$4:$CD$8</c:f>
              <c:numCache>
                <c:formatCode>0.0</c:formatCode>
                <c:ptCount val="5"/>
                <c:pt idx="0">
                  <c:v>-61.199526109531803</c:v>
                </c:pt>
                <c:pt idx="1">
                  <c:v>124.694734508658</c:v>
                </c:pt>
                <c:pt idx="2">
                  <c:v>124.694734508658</c:v>
                </c:pt>
                <c:pt idx="3">
                  <c:v>-61.199526109531803</c:v>
                </c:pt>
                <c:pt idx="4">
                  <c:v>-61.199526109531803</c:v>
                </c:pt>
              </c:numCache>
            </c:numRef>
          </c:xVal>
          <c:yVal>
            <c:numRef>
              <c:f>Calc!$CC$4:$CC$8</c:f>
              <c:numCache>
                <c:formatCode>0.0</c:formatCode>
                <c:ptCount val="5"/>
                <c:pt idx="0">
                  <c:v>0</c:v>
                </c:pt>
                <c:pt idx="1">
                  <c:v>0</c:v>
                </c:pt>
                <c:pt idx="2">
                  <c:v>1</c:v>
                </c:pt>
                <c:pt idx="3">
                  <c:v>1</c:v>
                </c:pt>
                <c:pt idx="4">
                  <c:v>0</c:v>
                </c:pt>
              </c:numCache>
            </c:numRef>
          </c:yVal>
          <c:smooth val="0"/>
          <c:extLst>
            <c:ext xmlns:c16="http://schemas.microsoft.com/office/drawing/2014/chart" uri="{C3380CC4-5D6E-409C-BE32-E72D297353CC}">
              <c16:uniqueId val="{00000000-C454-4CFF-8BBD-219934B703B8}"/>
            </c:ext>
          </c:extLst>
        </c:ser>
        <c:ser>
          <c:idx val="0"/>
          <c:order val="1"/>
          <c:tx>
            <c:v>M2</c:v>
          </c:tx>
          <c:spPr>
            <a:ln w="22225" cap="rnd">
              <a:solidFill>
                <a:srgbClr val="FF0000"/>
              </a:solidFill>
              <a:round/>
            </a:ln>
            <a:effectLst/>
          </c:spPr>
          <c:marker>
            <c:symbol val="none"/>
          </c:marker>
          <c:dPt>
            <c:idx val="1"/>
            <c:marker>
              <c:symbol val="none"/>
            </c:marker>
            <c:bubble3D val="0"/>
            <c:spPr>
              <a:ln w="19050" cap="rnd">
                <a:solidFill>
                  <a:schemeClr val="tx1"/>
                </a:solidFill>
                <a:round/>
              </a:ln>
              <a:effectLst/>
            </c:spPr>
            <c:extLst>
              <c:ext xmlns:c16="http://schemas.microsoft.com/office/drawing/2014/chart" uri="{C3380CC4-5D6E-409C-BE32-E72D297353CC}">
                <c16:uniqueId val="{00000002-C454-4CFF-8BBD-219934B703B8}"/>
              </c:ext>
            </c:extLst>
          </c:dPt>
          <c:dPt>
            <c:idx val="12"/>
            <c:marker>
              <c:symbol val="none"/>
            </c:marker>
            <c:bubble3D val="0"/>
            <c:spPr>
              <a:ln w="19050" cap="rnd">
                <a:solidFill>
                  <a:schemeClr val="tx1"/>
                </a:solidFill>
                <a:round/>
              </a:ln>
              <a:effectLst/>
            </c:spPr>
            <c:extLst>
              <c:ext xmlns:c16="http://schemas.microsoft.com/office/drawing/2014/chart" uri="{C3380CC4-5D6E-409C-BE32-E72D297353CC}">
                <c16:uniqueId val="{00000004-C454-4CFF-8BBD-219934B703B8}"/>
              </c:ext>
            </c:extLst>
          </c:dPt>
          <c:dPt>
            <c:idx val="13"/>
            <c:marker>
              <c:symbol val="none"/>
            </c:marker>
            <c:bubble3D val="0"/>
            <c:spPr>
              <a:ln w="19050" cap="rnd">
                <a:solidFill>
                  <a:schemeClr val="tx1"/>
                </a:solidFill>
                <a:round/>
              </a:ln>
              <a:effectLst/>
            </c:spPr>
            <c:extLst>
              <c:ext xmlns:c16="http://schemas.microsoft.com/office/drawing/2014/chart" uri="{C3380CC4-5D6E-409C-BE32-E72D297353CC}">
                <c16:uniqueId val="{00000006-C454-4CFF-8BBD-219934B703B8}"/>
              </c:ext>
            </c:extLst>
          </c:dPt>
          <c:xVal>
            <c:numRef>
              <c:f>Calc!$BV$3:$BV$16</c:f>
              <c:numCache>
                <c:formatCode>0.0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Calc!$BO$3:$BO$16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07-C454-4CFF-8BBD-219934B703B8}"/>
            </c:ext>
          </c:extLst>
        </c:ser>
        <c:ser>
          <c:idx val="1"/>
          <c:order val="2"/>
          <c:tx>
            <c:v>-M2</c:v>
          </c:tx>
          <c:spPr>
            <a:ln w="25400" cap="rnd">
              <a:solidFill>
                <a:srgbClr val="FF0000"/>
              </a:solidFill>
              <a:round/>
            </a:ln>
            <a:effectLst/>
          </c:spPr>
          <c:marker>
            <c:symbol val="none"/>
          </c:marker>
          <c:dPt>
            <c:idx val="1"/>
            <c:marker>
              <c:symbol val="none"/>
            </c:marker>
            <c:bubble3D val="0"/>
            <c:spPr>
              <a:ln w="12700" cap="rnd">
                <a:solidFill>
                  <a:schemeClr val="tx1"/>
                </a:solidFill>
                <a:round/>
              </a:ln>
              <a:effectLst/>
            </c:spPr>
            <c:extLst>
              <c:ext xmlns:c16="http://schemas.microsoft.com/office/drawing/2014/chart" uri="{C3380CC4-5D6E-409C-BE32-E72D297353CC}">
                <c16:uniqueId val="{00000009-C454-4CFF-8BBD-219934B703B8}"/>
              </c:ext>
            </c:extLst>
          </c:dPt>
          <c:dPt>
            <c:idx val="12"/>
            <c:marker>
              <c:symbol val="none"/>
            </c:marker>
            <c:bubble3D val="0"/>
            <c:spPr>
              <a:ln w="12700" cap="rnd">
                <a:solidFill>
                  <a:schemeClr val="tx1"/>
                </a:solidFill>
                <a:round/>
              </a:ln>
              <a:effectLst/>
            </c:spPr>
            <c:extLst>
              <c:ext xmlns:c16="http://schemas.microsoft.com/office/drawing/2014/chart" uri="{C3380CC4-5D6E-409C-BE32-E72D297353CC}">
                <c16:uniqueId val="{0000000B-C454-4CFF-8BBD-219934B703B8}"/>
              </c:ext>
            </c:extLst>
          </c:dPt>
          <c:dPt>
            <c:idx val="13"/>
            <c:marker>
              <c:symbol val="none"/>
            </c:marker>
            <c:bubble3D val="0"/>
            <c:spPr>
              <a:ln w="19050" cap="rnd">
                <a:solidFill>
                  <a:schemeClr val="tx1"/>
                </a:solidFill>
                <a:round/>
              </a:ln>
              <a:effectLst/>
            </c:spPr>
            <c:extLst>
              <c:ext xmlns:c16="http://schemas.microsoft.com/office/drawing/2014/chart" uri="{C3380CC4-5D6E-409C-BE32-E72D297353CC}">
                <c16:uniqueId val="{0000000D-C454-4CFF-8BBD-219934B703B8}"/>
              </c:ext>
            </c:extLst>
          </c:dPt>
          <c:dLbls>
            <c:dLbl>
              <c:idx val="1"/>
              <c:layout>
                <c:manualLayout>
                  <c:x val="-7.3770464639528771E-2"/>
                  <c:y val="-6.2599576027166454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454-4CFF-8BBD-219934B703B8}"/>
                </c:ext>
              </c:extLst>
            </c:dLbl>
            <c:dLbl>
              <c:idx val="5"/>
              <c:layout>
                <c:manualLayout>
                  <c:x val="-1.3434864766521887E-3"/>
                  <c:y val="-4.984541896836766E-17"/>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E-C454-4CFF-8BBD-219934B703B8}"/>
                </c:ext>
              </c:extLst>
            </c:dLbl>
            <c:dLbl>
              <c:idx val="7"/>
              <c:layout>
                <c:manualLayout>
                  <c:x val="-5.8750193039189113E-3"/>
                  <c:y val="1.1903095104445278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F-C454-4CFF-8BBD-219934B703B8}"/>
                </c:ext>
              </c:extLst>
            </c:dLbl>
            <c:dLbl>
              <c:idx val="11"/>
              <c:layout>
                <c:manualLayout>
                  <c:x val="-6.3231861777252485E-2"/>
                  <c:y val="5.4956901214779155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0-C454-4CFF-8BBD-219934B703B8}"/>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Calc!$BV$3:$BV$16</c:f>
              <c:numCache>
                <c:formatCode>0.0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Calc!$BO$3:$BO$16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11-C454-4CFF-8BBD-219934B703B8}"/>
            </c:ext>
          </c:extLst>
        </c:ser>
        <c:dLbls>
          <c:showLegendKey val="0"/>
          <c:showVal val="0"/>
          <c:showCatName val="0"/>
          <c:showSerName val="0"/>
          <c:showPercent val="0"/>
          <c:showBubbleSize val="0"/>
        </c:dLbls>
        <c:axId val="243994288"/>
        <c:axId val="243996640"/>
      </c:scatterChart>
      <c:valAx>
        <c:axId val="243994288"/>
        <c:scaling>
          <c:orientation val="minMax"/>
        </c:scaling>
        <c:delete val="0"/>
        <c:axPos val="b"/>
        <c:majorGridlines>
          <c:spPr>
            <a:ln w="9525" cap="flat" cmpd="sng" algn="ctr">
              <a:solidFill>
                <a:schemeClr val="bg1"/>
              </a:solidFill>
              <a:round/>
            </a:ln>
            <a:effectLst/>
          </c:spPr>
        </c:majorGridlines>
        <c:numFmt formatCode="0.0" sourceLinked="1"/>
        <c:majorTickMark val="none"/>
        <c:minorTickMark val="none"/>
        <c:tickLblPos val="none"/>
        <c:spPr>
          <a:noFill/>
          <a:ln w="1270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96640"/>
        <c:crossesAt val="0"/>
        <c:crossBetween val="midCat"/>
        <c:majorUnit val="1"/>
        <c:minorUnit val="1"/>
      </c:valAx>
      <c:valAx>
        <c:axId val="243996640"/>
        <c:scaling>
          <c:orientation val="minMax"/>
          <c:max val="1.1000000000000001"/>
          <c:min val="-0.1"/>
        </c:scaling>
        <c:delete val="0"/>
        <c:axPos val="l"/>
        <c:majorGridlines>
          <c:spPr>
            <a:ln w="0" cap="flat" cmpd="sng" algn="ctr">
              <a:solidFill>
                <a:schemeClr val="bg1"/>
              </a:solidFill>
              <a:round/>
            </a:ln>
            <a:effectLst/>
          </c:spPr>
        </c:majorGridlines>
        <c:numFmt formatCode="General" sourceLinked="0"/>
        <c:majorTickMark val="none"/>
        <c:minorTickMark val="none"/>
        <c:tickLblPos val="none"/>
        <c:spPr>
          <a:noFill/>
          <a:ln w="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94288"/>
        <c:crosses val="autoZero"/>
        <c:crossBetween val="midCat"/>
      </c:valAx>
      <c:spPr>
        <a:noFill/>
        <a:ln>
          <a:noFill/>
        </a:ln>
        <a:effectLst/>
      </c:spPr>
    </c:plotArea>
    <c:plotVisOnly val="1"/>
    <c:dispBlanksAs val="gap"/>
    <c:showDLblsOverMax val="0"/>
  </c:chart>
  <c:spPr>
    <a:solidFill>
      <a:schemeClr val="bg1"/>
    </a:solidFill>
    <a:ln w="635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3"/>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4873785539922889E-2"/>
          <c:y val="4.0702162705086996E-2"/>
          <c:w val="0.92457793774129815"/>
          <c:h val="0.91480892909628009"/>
        </c:manualLayout>
      </c:layout>
      <c:scatterChart>
        <c:scatterStyle val="lineMarker"/>
        <c:varyColors val="0"/>
        <c:ser>
          <c:idx val="4"/>
          <c:order val="0"/>
          <c:tx>
            <c:v>Outline</c:v>
          </c:tx>
          <c:spPr>
            <a:ln w="19050" cap="rnd">
              <a:noFill/>
              <a:round/>
            </a:ln>
            <a:effectLst/>
          </c:spPr>
          <c:marker>
            <c:symbol val="none"/>
          </c:marker>
          <c:xVal>
            <c:numRef>
              <c:f>Calc!$CD$4:$CD$8</c:f>
              <c:numCache>
                <c:formatCode>0.0</c:formatCode>
                <c:ptCount val="5"/>
                <c:pt idx="0">
                  <c:v>-61.199526109531803</c:v>
                </c:pt>
                <c:pt idx="1">
                  <c:v>124.694734508658</c:v>
                </c:pt>
                <c:pt idx="2">
                  <c:v>124.694734508658</c:v>
                </c:pt>
                <c:pt idx="3">
                  <c:v>-61.199526109531803</c:v>
                </c:pt>
                <c:pt idx="4">
                  <c:v>-61.199526109531803</c:v>
                </c:pt>
              </c:numCache>
            </c:numRef>
          </c:xVal>
          <c:yVal>
            <c:numRef>
              <c:f>Calc!$CC$4:$CC$8</c:f>
              <c:numCache>
                <c:formatCode>0.0</c:formatCode>
                <c:ptCount val="5"/>
                <c:pt idx="0">
                  <c:v>0</c:v>
                </c:pt>
                <c:pt idx="1">
                  <c:v>0</c:v>
                </c:pt>
                <c:pt idx="2">
                  <c:v>1</c:v>
                </c:pt>
                <c:pt idx="3">
                  <c:v>1</c:v>
                </c:pt>
                <c:pt idx="4">
                  <c:v>0</c:v>
                </c:pt>
              </c:numCache>
            </c:numRef>
          </c:yVal>
          <c:smooth val="0"/>
          <c:extLst>
            <c:ext xmlns:c16="http://schemas.microsoft.com/office/drawing/2014/chart" uri="{C3380CC4-5D6E-409C-BE32-E72D297353CC}">
              <c16:uniqueId val="{00000000-1C33-4734-BD04-7F33FA071821}"/>
            </c:ext>
          </c:extLst>
        </c:ser>
        <c:ser>
          <c:idx val="0"/>
          <c:order val="1"/>
          <c:tx>
            <c:v>Min My</c:v>
          </c:tx>
          <c:spPr>
            <a:ln w="12700" cap="rnd">
              <a:solidFill>
                <a:srgbClr val="7030A0"/>
              </a:solidFill>
              <a:prstDash val="dash"/>
              <a:round/>
            </a:ln>
            <a:effectLst/>
          </c:spPr>
          <c:marker>
            <c:symbol val="none"/>
          </c:marker>
          <c:dPt>
            <c:idx val="1"/>
            <c:marker>
              <c:symbol val="none"/>
            </c:marker>
            <c:bubble3D val="0"/>
            <c:spPr>
              <a:ln w="12700" cap="rnd">
                <a:solidFill>
                  <a:schemeClr val="tx1"/>
                </a:solidFill>
                <a:prstDash val="solid"/>
                <a:round/>
              </a:ln>
              <a:effectLst/>
            </c:spPr>
            <c:extLst>
              <c:ext xmlns:c16="http://schemas.microsoft.com/office/drawing/2014/chart" uri="{C3380CC4-5D6E-409C-BE32-E72D297353CC}">
                <c16:uniqueId val="{00000002-1C33-4734-BD04-7F33FA071821}"/>
              </c:ext>
            </c:extLst>
          </c:dPt>
          <c:dPt>
            <c:idx val="12"/>
            <c:marker>
              <c:symbol val="none"/>
            </c:marker>
            <c:bubble3D val="0"/>
            <c:spPr>
              <a:ln w="12700" cap="rnd">
                <a:solidFill>
                  <a:schemeClr val="tx1"/>
                </a:solidFill>
                <a:prstDash val="solid"/>
                <a:round/>
              </a:ln>
              <a:effectLst/>
            </c:spPr>
            <c:extLst>
              <c:ext xmlns:c16="http://schemas.microsoft.com/office/drawing/2014/chart" uri="{C3380CC4-5D6E-409C-BE32-E72D297353CC}">
                <c16:uniqueId val="{00000004-1C33-4734-BD04-7F33FA071821}"/>
              </c:ext>
            </c:extLst>
          </c:dPt>
          <c:dLbls>
            <c:dLbl>
              <c:idx val="6"/>
              <c:layout>
                <c:manualLayout>
                  <c:x val="-6.5913235724447322E-2"/>
                  <c:y val="3.2397413717013355E-3"/>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C33-4734-BD04-7F33FA071821}"/>
                </c:ext>
              </c:extLst>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Calc!$BY$3:$BY$16</c:f>
              <c:numCache>
                <c:formatCode>0.0</c:formatCode>
                <c:ptCount val="14"/>
                <c:pt idx="0">
                  <c:v>0</c:v>
                </c:pt>
                <c:pt idx="1">
                  <c:v>15.42623314118196</c:v>
                </c:pt>
                <c:pt idx="2">
                  <c:v>15.42623314118196</c:v>
                </c:pt>
                <c:pt idx="3">
                  <c:v>15.42623314118196</c:v>
                </c:pt>
                <c:pt idx="4">
                  <c:v>15.42623314118196</c:v>
                </c:pt>
                <c:pt idx="5">
                  <c:v>15.42623314118196</c:v>
                </c:pt>
                <c:pt idx="6">
                  <c:v>15.42623314118196</c:v>
                </c:pt>
                <c:pt idx="7">
                  <c:v>15.42623314118196</c:v>
                </c:pt>
                <c:pt idx="8">
                  <c:v>15.42623314118196</c:v>
                </c:pt>
                <c:pt idx="9">
                  <c:v>15.42623314118196</c:v>
                </c:pt>
                <c:pt idx="10">
                  <c:v>15.42623314118196</c:v>
                </c:pt>
                <c:pt idx="11">
                  <c:v>15.42623314118196</c:v>
                </c:pt>
                <c:pt idx="12">
                  <c:v>0</c:v>
                </c:pt>
                <c:pt idx="13">
                  <c:v>0</c:v>
                </c:pt>
              </c:numCache>
            </c:numRef>
          </c:xVal>
          <c:yVal>
            <c:numRef>
              <c:f>Calc!$BO$3:$BO$16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06-1C33-4734-BD04-7F33FA071821}"/>
            </c:ext>
          </c:extLst>
        </c:ser>
        <c:ser>
          <c:idx val="1"/>
          <c:order val="2"/>
          <c:tx>
            <c:v>Min -My</c:v>
          </c:tx>
          <c:spPr>
            <a:ln w="12700" cap="rnd">
              <a:solidFill>
                <a:srgbClr val="7030A0"/>
              </a:solidFill>
              <a:prstDash val="dash"/>
              <a:round/>
            </a:ln>
            <a:effectLst/>
          </c:spPr>
          <c:marker>
            <c:symbol val="none"/>
          </c:marker>
          <c:dPt>
            <c:idx val="1"/>
            <c:marker>
              <c:symbol val="none"/>
            </c:marker>
            <c:bubble3D val="0"/>
            <c:spPr>
              <a:ln w="12700" cap="rnd">
                <a:solidFill>
                  <a:schemeClr val="tx1"/>
                </a:solidFill>
                <a:prstDash val="solid"/>
                <a:round/>
              </a:ln>
              <a:effectLst/>
            </c:spPr>
            <c:extLst>
              <c:ext xmlns:c16="http://schemas.microsoft.com/office/drawing/2014/chart" uri="{C3380CC4-5D6E-409C-BE32-E72D297353CC}">
                <c16:uniqueId val="{00000008-1C33-4734-BD04-7F33FA071821}"/>
              </c:ext>
            </c:extLst>
          </c:dPt>
          <c:dPt>
            <c:idx val="12"/>
            <c:marker>
              <c:symbol val="none"/>
            </c:marker>
            <c:bubble3D val="0"/>
            <c:spPr>
              <a:ln w="12700" cap="rnd">
                <a:solidFill>
                  <a:schemeClr val="tx1"/>
                </a:solidFill>
                <a:prstDash val="solid"/>
                <a:round/>
              </a:ln>
              <a:effectLst/>
            </c:spPr>
            <c:extLst>
              <c:ext xmlns:c16="http://schemas.microsoft.com/office/drawing/2014/chart" uri="{C3380CC4-5D6E-409C-BE32-E72D297353CC}">
                <c16:uniqueId val="{0000000A-1C33-4734-BD04-7F33FA071821}"/>
              </c:ext>
            </c:extLst>
          </c:dPt>
          <c:dLbls>
            <c:dLbl>
              <c:idx val="6"/>
              <c:layout>
                <c:manualLayout>
                  <c:x val="-0.12446361402276948"/>
                  <c:y val="3.2396089049438544E-3"/>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B-1C33-4734-BD04-7F33FA071821}"/>
                </c:ext>
              </c:extLst>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Calc!$BZ$3:$BZ$16</c:f>
              <c:numCache>
                <c:formatCode>0.0</c:formatCode>
                <c:ptCount val="14"/>
                <c:pt idx="0">
                  <c:v>0</c:v>
                </c:pt>
                <c:pt idx="1">
                  <c:v>-15.42623314118196</c:v>
                </c:pt>
                <c:pt idx="2">
                  <c:v>-15.42623314118196</c:v>
                </c:pt>
                <c:pt idx="3">
                  <c:v>-15.42623314118196</c:v>
                </c:pt>
                <c:pt idx="4">
                  <c:v>-15.42623314118196</c:v>
                </c:pt>
                <c:pt idx="5">
                  <c:v>-15.42623314118196</c:v>
                </c:pt>
                <c:pt idx="6">
                  <c:v>-15.42623314118196</c:v>
                </c:pt>
                <c:pt idx="7">
                  <c:v>-15.42623314118196</c:v>
                </c:pt>
                <c:pt idx="8">
                  <c:v>-15.42623314118196</c:v>
                </c:pt>
                <c:pt idx="9">
                  <c:v>-15.42623314118196</c:v>
                </c:pt>
                <c:pt idx="10">
                  <c:v>-15.42623314118196</c:v>
                </c:pt>
                <c:pt idx="11">
                  <c:v>-15.42623314118196</c:v>
                </c:pt>
                <c:pt idx="12">
                  <c:v>0</c:v>
                </c:pt>
                <c:pt idx="13">
                  <c:v>0</c:v>
                </c:pt>
              </c:numCache>
            </c:numRef>
          </c:xVal>
          <c:yVal>
            <c:numRef>
              <c:f>Calc!$BO$3:$BO$16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0C-1C33-4734-BD04-7F33FA071821}"/>
            </c:ext>
          </c:extLst>
        </c:ser>
        <c:ser>
          <c:idx val="2"/>
          <c:order val="3"/>
          <c:tx>
            <c:v>MY 1st &amp; 2nd Order</c:v>
          </c:tx>
          <c:spPr>
            <a:ln w="15875" cap="rnd">
              <a:solidFill>
                <a:srgbClr val="0070C0"/>
              </a:solidFill>
              <a:round/>
            </a:ln>
            <a:effectLst/>
          </c:spPr>
          <c:marker>
            <c:symbol val="none"/>
          </c:marker>
          <c:dPt>
            <c:idx val="1"/>
            <c:marker>
              <c:symbol val="none"/>
            </c:marker>
            <c:bubble3D val="0"/>
            <c:extLst>
              <c:ext xmlns:c16="http://schemas.microsoft.com/office/drawing/2014/chart" uri="{C3380CC4-5D6E-409C-BE32-E72D297353CC}">
                <c16:uniqueId val="{0000000D-1C33-4734-BD04-7F33FA071821}"/>
              </c:ext>
            </c:extLst>
          </c:dPt>
          <c:dPt>
            <c:idx val="12"/>
            <c:marker>
              <c:symbol val="none"/>
            </c:marker>
            <c:bubble3D val="0"/>
            <c:spPr>
              <a:ln w="15875" cap="rnd">
                <a:solidFill>
                  <a:schemeClr val="tx1"/>
                </a:solidFill>
                <a:round/>
              </a:ln>
              <a:effectLst/>
            </c:spPr>
            <c:extLst>
              <c:ext xmlns:c16="http://schemas.microsoft.com/office/drawing/2014/chart" uri="{C3380CC4-5D6E-409C-BE32-E72D297353CC}">
                <c16:uniqueId val="{0000000F-1C33-4734-BD04-7F33FA071821}"/>
              </c:ext>
            </c:extLst>
          </c:dPt>
          <c:dPt>
            <c:idx val="13"/>
            <c:marker>
              <c:symbol val="none"/>
            </c:marker>
            <c:bubble3D val="0"/>
            <c:extLst>
              <c:ext xmlns:c16="http://schemas.microsoft.com/office/drawing/2014/chart" uri="{C3380CC4-5D6E-409C-BE32-E72D297353CC}">
                <c16:uniqueId val="{00000010-1C33-4734-BD04-7F33FA071821}"/>
              </c:ext>
            </c:extLst>
          </c:dPt>
          <c:dLbls>
            <c:dLbl>
              <c:idx val="1"/>
              <c:layout>
                <c:manualLayout>
                  <c:x val="1.3671364327866699E-2"/>
                  <c:y val="-6.2151966342775977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D-1C33-4734-BD04-7F33FA071821}"/>
                </c:ext>
              </c:extLst>
            </c:dLbl>
            <c:dLbl>
              <c:idx val="5"/>
              <c:layout>
                <c:manualLayout>
                  <c:x val="-7.5949351948700295E-3"/>
                  <c:y val="-5.9394572350024111E-17"/>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1-1C33-4734-BD04-7F33FA071821}"/>
                </c:ext>
              </c:extLst>
            </c:dLbl>
            <c:dLbl>
              <c:idx val="7"/>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2-1C33-4734-BD04-7F33FA071821}"/>
                </c:ext>
              </c:extLst>
            </c:dLbl>
            <c:dLbl>
              <c:idx val="11"/>
              <c:layout>
                <c:manualLayout>
                  <c:x val="4.0289269985319634E-2"/>
                  <c:y val="6.3217351295212401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3-1C33-4734-BD04-7F33FA071821}"/>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Calc!$BW$3:$BW$16</c:f>
              <c:numCache>
                <c:formatCode>0.0</c:formatCode>
                <c:ptCount val="14"/>
                <c:pt idx="0">
                  <c:v>0</c:v>
                </c:pt>
                <c:pt idx="1">
                  <c:v>4.9767018505885616</c:v>
                </c:pt>
                <c:pt idx="2">
                  <c:v>4.9767018505885616</c:v>
                </c:pt>
                <c:pt idx="3">
                  <c:v>4.9767018505885616</c:v>
                </c:pt>
                <c:pt idx="4">
                  <c:v>4.9767018505885607</c:v>
                </c:pt>
                <c:pt idx="5">
                  <c:v>4.9767018505885607</c:v>
                </c:pt>
                <c:pt idx="6">
                  <c:v>4.9767018505885599</c:v>
                </c:pt>
                <c:pt idx="7">
                  <c:v>4.9767018505885599</c:v>
                </c:pt>
                <c:pt idx="8">
                  <c:v>4.9767018505885599</c:v>
                </c:pt>
                <c:pt idx="9">
                  <c:v>4.9767018505885599</c:v>
                </c:pt>
                <c:pt idx="10">
                  <c:v>4.976701850588559</c:v>
                </c:pt>
                <c:pt idx="11">
                  <c:v>4.976701850588559</c:v>
                </c:pt>
                <c:pt idx="12">
                  <c:v>0</c:v>
                </c:pt>
                <c:pt idx="13">
                  <c:v>0</c:v>
                </c:pt>
              </c:numCache>
            </c:numRef>
          </c:xVal>
          <c:yVal>
            <c:numRef>
              <c:f>Calc!$BO$3:$BO$16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14-1C33-4734-BD04-7F33FA071821}"/>
            </c:ext>
          </c:extLst>
        </c:ser>
        <c:ser>
          <c:idx val="3"/>
          <c:order val="4"/>
          <c:tx>
            <c:v>-My 1st &amp; 2nd Order</c:v>
          </c:tx>
          <c:spPr>
            <a:ln w="15875" cap="rnd">
              <a:solidFill>
                <a:srgbClr val="00B050"/>
              </a:solidFill>
              <a:round/>
            </a:ln>
            <a:effectLst/>
          </c:spPr>
          <c:marker>
            <c:symbol val="none"/>
          </c:marker>
          <c:dPt>
            <c:idx val="1"/>
            <c:marker>
              <c:symbol val="none"/>
            </c:marker>
            <c:bubble3D val="0"/>
            <c:spPr>
              <a:ln w="15875" cap="rnd">
                <a:solidFill>
                  <a:schemeClr val="tx1"/>
                </a:solidFill>
                <a:round/>
              </a:ln>
              <a:effectLst/>
            </c:spPr>
            <c:extLst>
              <c:ext xmlns:c16="http://schemas.microsoft.com/office/drawing/2014/chart" uri="{C3380CC4-5D6E-409C-BE32-E72D297353CC}">
                <c16:uniqueId val="{00000016-1C33-4734-BD04-7F33FA071821}"/>
              </c:ext>
            </c:extLst>
          </c:dPt>
          <c:dPt>
            <c:idx val="12"/>
            <c:marker>
              <c:symbol val="none"/>
            </c:marker>
            <c:bubble3D val="0"/>
            <c:spPr>
              <a:ln w="15875" cap="rnd">
                <a:solidFill>
                  <a:schemeClr val="tx1"/>
                </a:solidFill>
                <a:round/>
              </a:ln>
              <a:effectLst/>
            </c:spPr>
            <c:extLst>
              <c:ext xmlns:c16="http://schemas.microsoft.com/office/drawing/2014/chart" uri="{C3380CC4-5D6E-409C-BE32-E72D297353CC}">
                <c16:uniqueId val="{00000018-1C33-4734-BD04-7F33FA071821}"/>
              </c:ext>
            </c:extLst>
          </c:dPt>
          <c:dPt>
            <c:idx val="13"/>
            <c:marker>
              <c:symbol val="none"/>
            </c:marker>
            <c:bubble3D val="0"/>
            <c:spPr>
              <a:ln w="15875" cap="rnd">
                <a:solidFill>
                  <a:schemeClr val="tx1"/>
                </a:solidFill>
                <a:round/>
              </a:ln>
              <a:effectLst/>
            </c:spPr>
            <c:extLst>
              <c:ext xmlns:c16="http://schemas.microsoft.com/office/drawing/2014/chart" uri="{C3380CC4-5D6E-409C-BE32-E72D297353CC}">
                <c16:uniqueId val="{0000001A-1C33-4734-BD04-7F33FA071821}"/>
              </c:ext>
            </c:extLst>
          </c:dPt>
          <c:dLbls>
            <c:dLbl>
              <c:idx val="1"/>
              <c:layout>
                <c:manualLayout>
                  <c:x val="-0.24319398104897905"/>
                  <c:y val="-5.9530259409231776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6-1C33-4734-BD04-7F33FA071821}"/>
                </c:ext>
              </c:extLst>
            </c:dLbl>
            <c:dLbl>
              <c:idx val="5"/>
              <c:layout>
                <c:manualLayout>
                  <c:x val="-0.14851786092204097"/>
                  <c:y val="-3.2397413717014543E-3"/>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B-1C33-4734-BD04-7F33FA071821}"/>
                </c:ext>
              </c:extLst>
            </c:dLbl>
            <c:dLbl>
              <c:idx val="7"/>
              <c:layout>
                <c:manualLayout>
                  <c:x val="-0.17465870906264114"/>
                  <c:y val="1.3509140132709416E-3"/>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C-1C33-4734-BD04-7F33FA071821}"/>
                </c:ext>
              </c:extLst>
            </c:dLbl>
            <c:dLbl>
              <c:idx val="11"/>
              <c:layout>
                <c:manualLayout>
                  <c:x val="-6.5786400640597889E-2"/>
                  <c:y val="6.6456840978690132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D-1C33-4734-BD04-7F33FA071821}"/>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Calc!$BX$3:$BX$16</c:f>
              <c:numCache>
                <c:formatCode>0.0</c:formatCode>
                <c:ptCount val="14"/>
                <c:pt idx="0">
                  <c:v>0</c:v>
                </c:pt>
                <c:pt idx="1">
                  <c:v>-4.9767018505885563</c:v>
                </c:pt>
                <c:pt idx="2">
                  <c:v>-4.9767018505885563</c:v>
                </c:pt>
                <c:pt idx="3">
                  <c:v>-4.9767018505885563</c:v>
                </c:pt>
                <c:pt idx="4">
                  <c:v>-4.9767018505885572</c:v>
                </c:pt>
                <c:pt idx="5">
                  <c:v>-4.9767018505885572</c:v>
                </c:pt>
                <c:pt idx="6">
                  <c:v>-4.9767018505885581</c:v>
                </c:pt>
                <c:pt idx="7">
                  <c:v>-4.9767018505885581</c:v>
                </c:pt>
                <c:pt idx="8">
                  <c:v>-4.9767018505885581</c:v>
                </c:pt>
                <c:pt idx="9">
                  <c:v>-4.9767018505885581</c:v>
                </c:pt>
                <c:pt idx="10">
                  <c:v>-4.976701850588559</c:v>
                </c:pt>
                <c:pt idx="11">
                  <c:v>-4.976701850588559</c:v>
                </c:pt>
                <c:pt idx="12">
                  <c:v>0</c:v>
                </c:pt>
                <c:pt idx="13">
                  <c:v>0</c:v>
                </c:pt>
              </c:numCache>
            </c:numRef>
          </c:xVal>
          <c:yVal>
            <c:numRef>
              <c:f>Calc!$BO$3:$BO$16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1E-1C33-4734-BD04-7F33FA071821}"/>
            </c:ext>
          </c:extLst>
        </c:ser>
        <c:dLbls>
          <c:showLegendKey val="0"/>
          <c:showVal val="0"/>
          <c:showCatName val="0"/>
          <c:showSerName val="0"/>
          <c:showPercent val="0"/>
          <c:showBubbleSize val="0"/>
        </c:dLbls>
        <c:axId val="243991152"/>
        <c:axId val="464549504"/>
      </c:scatterChart>
      <c:valAx>
        <c:axId val="243991152"/>
        <c:scaling>
          <c:orientation val="minMax"/>
        </c:scaling>
        <c:delete val="0"/>
        <c:axPos val="b"/>
        <c:majorGridlines>
          <c:spPr>
            <a:ln w="9525" cap="flat" cmpd="sng" algn="ctr">
              <a:solidFill>
                <a:schemeClr val="bg1"/>
              </a:solidFill>
              <a:round/>
            </a:ln>
            <a:effectLst/>
          </c:spPr>
        </c:majorGridlines>
        <c:numFmt formatCode="0.0" sourceLinked="1"/>
        <c:majorTickMark val="none"/>
        <c:minorTickMark val="none"/>
        <c:tickLblPos val="none"/>
        <c:spPr>
          <a:noFill/>
          <a:ln w="1270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549504"/>
        <c:crossesAt val="0"/>
        <c:crossBetween val="midCat"/>
        <c:majorUnit val="1"/>
        <c:minorUnit val="1"/>
      </c:valAx>
      <c:valAx>
        <c:axId val="464549504"/>
        <c:scaling>
          <c:orientation val="minMax"/>
          <c:max val="1.1000000000000001"/>
          <c:min val="-0.1"/>
        </c:scaling>
        <c:delete val="0"/>
        <c:axPos val="l"/>
        <c:majorGridlines>
          <c:spPr>
            <a:ln w="0" cap="flat" cmpd="sng" algn="ctr">
              <a:solidFill>
                <a:schemeClr val="bg1"/>
              </a:solidFill>
              <a:round/>
            </a:ln>
            <a:effectLst/>
          </c:spPr>
        </c:majorGridlines>
        <c:numFmt formatCode="General" sourceLinked="0"/>
        <c:majorTickMark val="none"/>
        <c:minorTickMark val="none"/>
        <c:tickLblPos val="none"/>
        <c:spPr>
          <a:noFill/>
          <a:ln w="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91152"/>
        <c:crosses val="autoZero"/>
        <c:crossBetween val="midCat"/>
      </c:valAx>
      <c:spPr>
        <a:noFill/>
        <a:ln>
          <a:noFill/>
        </a:ln>
        <a:effectLst/>
      </c:spPr>
    </c:plotArea>
    <c:plotVisOnly val="1"/>
    <c:dispBlanksAs val="gap"/>
    <c:showDLblsOverMax val="0"/>
  </c:chart>
  <c:spPr>
    <a:solidFill>
      <a:schemeClr val="bg1"/>
    </a:solidFill>
    <a:ln w="635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3"/>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584640533231923E-2"/>
          <c:y val="4.6016787715382874E-2"/>
          <c:w val="0.94502300143659945"/>
          <c:h val="0.89322799525831897"/>
        </c:manualLayout>
      </c:layout>
      <c:scatterChart>
        <c:scatterStyle val="lineMarker"/>
        <c:varyColors val="0"/>
        <c:ser>
          <c:idx val="2"/>
          <c:order val="0"/>
          <c:tx>
            <c:v>Outline</c:v>
          </c:tx>
          <c:spPr>
            <a:ln w="19050" cap="rnd">
              <a:noFill/>
              <a:round/>
            </a:ln>
            <a:effectLst/>
          </c:spPr>
          <c:marker>
            <c:symbol val="none"/>
          </c:marker>
          <c:xVal>
            <c:numRef>
              <c:f>Calc!$AW$4:$AW$8</c:f>
              <c:numCache>
                <c:formatCode>0.0</c:formatCode>
                <c:ptCount val="5"/>
                <c:pt idx="0">
                  <c:v>-61.199526109531803</c:v>
                </c:pt>
                <c:pt idx="1">
                  <c:v>124.694734508658</c:v>
                </c:pt>
                <c:pt idx="2">
                  <c:v>124.694734508658</c:v>
                </c:pt>
                <c:pt idx="3">
                  <c:v>-61.199526109531803</c:v>
                </c:pt>
                <c:pt idx="4">
                  <c:v>-61.199526109531803</c:v>
                </c:pt>
              </c:numCache>
            </c:numRef>
          </c:xVal>
          <c:yVal>
            <c:numRef>
              <c:f>Calc!$AV$4:$AV$8</c:f>
              <c:numCache>
                <c:formatCode>0.0</c:formatCode>
                <c:ptCount val="5"/>
                <c:pt idx="0">
                  <c:v>0</c:v>
                </c:pt>
                <c:pt idx="1">
                  <c:v>0</c:v>
                </c:pt>
                <c:pt idx="2">
                  <c:v>1</c:v>
                </c:pt>
                <c:pt idx="3">
                  <c:v>1</c:v>
                </c:pt>
                <c:pt idx="4">
                  <c:v>0</c:v>
                </c:pt>
              </c:numCache>
            </c:numRef>
          </c:yVal>
          <c:smooth val="0"/>
          <c:extLst>
            <c:ext xmlns:c16="http://schemas.microsoft.com/office/drawing/2014/chart" uri="{C3380CC4-5D6E-409C-BE32-E72D297353CC}">
              <c16:uniqueId val="{00000000-C007-4AB5-91D0-F446C04C9CB5}"/>
            </c:ext>
          </c:extLst>
        </c:ser>
        <c:ser>
          <c:idx val="0"/>
          <c:order val="1"/>
          <c:tx>
            <c:v>1st Order</c:v>
          </c:tx>
          <c:spPr>
            <a:ln w="25400" cap="rnd">
              <a:solidFill>
                <a:srgbClr val="0070C0"/>
              </a:solidFill>
              <a:round/>
            </a:ln>
            <a:effectLst/>
          </c:spPr>
          <c:marker>
            <c:symbol val="none"/>
          </c:marker>
          <c:dPt>
            <c:idx val="1"/>
            <c:marker>
              <c:symbol val="none"/>
            </c:marker>
            <c:bubble3D val="0"/>
            <c:spPr>
              <a:ln w="25400" cap="rnd">
                <a:solidFill>
                  <a:schemeClr val="tx1"/>
                </a:solidFill>
                <a:round/>
              </a:ln>
              <a:effectLst/>
            </c:spPr>
            <c:extLst>
              <c:ext xmlns:c16="http://schemas.microsoft.com/office/drawing/2014/chart" uri="{C3380CC4-5D6E-409C-BE32-E72D297353CC}">
                <c16:uniqueId val="{00000002-C007-4AB5-91D0-F446C04C9CB5}"/>
              </c:ext>
            </c:extLst>
          </c:dPt>
          <c:dPt>
            <c:idx val="12"/>
            <c:marker>
              <c:symbol val="none"/>
            </c:marker>
            <c:bubble3D val="0"/>
            <c:spPr>
              <a:ln w="25400" cap="rnd">
                <a:solidFill>
                  <a:schemeClr val="tx1"/>
                </a:solidFill>
                <a:round/>
              </a:ln>
              <a:effectLst/>
            </c:spPr>
            <c:extLst>
              <c:ext xmlns:c16="http://schemas.microsoft.com/office/drawing/2014/chart" uri="{C3380CC4-5D6E-409C-BE32-E72D297353CC}">
                <c16:uniqueId val="{00000004-C007-4AB5-91D0-F446C04C9CB5}"/>
              </c:ext>
            </c:extLst>
          </c:dPt>
          <c:dPt>
            <c:idx val="13"/>
            <c:marker>
              <c:symbol val="none"/>
            </c:marker>
            <c:bubble3D val="0"/>
            <c:extLst>
              <c:ext xmlns:c16="http://schemas.microsoft.com/office/drawing/2014/chart" uri="{C3380CC4-5D6E-409C-BE32-E72D297353CC}">
                <c16:uniqueId val="{00000005-C007-4AB5-91D0-F446C04C9CB5}"/>
              </c:ext>
            </c:extLst>
          </c:dPt>
          <c:dLbls>
            <c:dLbl>
              <c:idx val="0"/>
              <c:delete val="1"/>
              <c:extLst>
                <c:ext xmlns:c15="http://schemas.microsoft.com/office/drawing/2012/chart" uri="{CE6537A1-D6FC-4f65-9D91-7224C49458BB}"/>
                <c:ext xmlns:c16="http://schemas.microsoft.com/office/drawing/2014/chart" uri="{C3380CC4-5D6E-409C-BE32-E72D297353CC}">
                  <c16:uniqueId val="{00000006-C007-4AB5-91D0-F446C04C9CB5}"/>
                </c:ext>
              </c:extLst>
            </c:dLbl>
            <c:dLbl>
              <c:idx val="1"/>
              <c:layout>
                <c:manualLayout>
                  <c:x val="4.2659333179896682E-2"/>
                  <c:y val="-5.7522320681664449E-2"/>
                </c:manualLayout>
              </c:layout>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007-4AB5-91D0-F446C04C9CB5}"/>
                </c:ext>
              </c:extLst>
            </c:dLbl>
            <c:dLbl>
              <c:idx val="2"/>
              <c:delete val="1"/>
              <c:extLst>
                <c:ext xmlns:c15="http://schemas.microsoft.com/office/drawing/2012/chart" uri="{CE6537A1-D6FC-4f65-9D91-7224C49458BB}"/>
                <c:ext xmlns:c16="http://schemas.microsoft.com/office/drawing/2014/chart" uri="{C3380CC4-5D6E-409C-BE32-E72D297353CC}">
                  <c16:uniqueId val="{00000007-C007-4AB5-91D0-F446C04C9CB5}"/>
                </c:ext>
              </c:extLst>
            </c:dLbl>
            <c:dLbl>
              <c:idx val="3"/>
              <c:delete val="1"/>
              <c:extLst>
                <c:ext xmlns:c15="http://schemas.microsoft.com/office/drawing/2012/chart" uri="{CE6537A1-D6FC-4f65-9D91-7224C49458BB}"/>
                <c:ext xmlns:c16="http://schemas.microsoft.com/office/drawing/2014/chart" uri="{C3380CC4-5D6E-409C-BE32-E72D297353CC}">
                  <c16:uniqueId val="{00000008-C007-4AB5-91D0-F446C04C9CB5}"/>
                </c:ext>
              </c:extLst>
            </c:dLbl>
            <c:dLbl>
              <c:idx val="4"/>
              <c:delete val="1"/>
              <c:extLst>
                <c:ext xmlns:c15="http://schemas.microsoft.com/office/drawing/2012/chart" uri="{CE6537A1-D6FC-4f65-9D91-7224C49458BB}"/>
                <c:ext xmlns:c16="http://schemas.microsoft.com/office/drawing/2014/chart" uri="{C3380CC4-5D6E-409C-BE32-E72D297353CC}">
                  <c16:uniqueId val="{00000009-C007-4AB5-91D0-F446C04C9CB5}"/>
                </c:ext>
              </c:extLst>
            </c:dLbl>
            <c:dLbl>
              <c:idx val="5"/>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A-C007-4AB5-91D0-F446C04C9CB5}"/>
                </c:ext>
              </c:extLst>
            </c:dLbl>
            <c:dLbl>
              <c:idx val="6"/>
              <c:delete val="1"/>
              <c:extLst>
                <c:ext xmlns:c15="http://schemas.microsoft.com/office/drawing/2012/chart" uri="{CE6537A1-D6FC-4f65-9D91-7224C49458BB}"/>
                <c:ext xmlns:c16="http://schemas.microsoft.com/office/drawing/2014/chart" uri="{C3380CC4-5D6E-409C-BE32-E72D297353CC}">
                  <c16:uniqueId val="{0000000B-C007-4AB5-91D0-F446C04C9CB5}"/>
                </c:ext>
              </c:extLst>
            </c:dLbl>
            <c:dLbl>
              <c:idx val="7"/>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C-C007-4AB5-91D0-F446C04C9CB5}"/>
                </c:ext>
              </c:extLst>
            </c:dLbl>
            <c:dLbl>
              <c:idx val="8"/>
              <c:delete val="1"/>
              <c:extLst>
                <c:ext xmlns:c15="http://schemas.microsoft.com/office/drawing/2012/chart" uri="{CE6537A1-D6FC-4f65-9D91-7224C49458BB}"/>
                <c:ext xmlns:c16="http://schemas.microsoft.com/office/drawing/2014/chart" uri="{C3380CC4-5D6E-409C-BE32-E72D297353CC}">
                  <c16:uniqueId val="{0000000D-C007-4AB5-91D0-F446C04C9CB5}"/>
                </c:ext>
              </c:extLst>
            </c:dLbl>
            <c:dLbl>
              <c:idx val="9"/>
              <c:delete val="1"/>
              <c:extLst>
                <c:ext xmlns:c15="http://schemas.microsoft.com/office/drawing/2012/chart" uri="{CE6537A1-D6FC-4f65-9D91-7224C49458BB}"/>
                <c:ext xmlns:c16="http://schemas.microsoft.com/office/drawing/2014/chart" uri="{C3380CC4-5D6E-409C-BE32-E72D297353CC}">
                  <c16:uniqueId val="{0000000E-C007-4AB5-91D0-F446C04C9CB5}"/>
                </c:ext>
              </c:extLst>
            </c:dLbl>
            <c:dLbl>
              <c:idx val="10"/>
              <c:delete val="1"/>
              <c:extLst>
                <c:ext xmlns:c15="http://schemas.microsoft.com/office/drawing/2012/chart" uri="{CE6537A1-D6FC-4f65-9D91-7224C49458BB}"/>
                <c:ext xmlns:c16="http://schemas.microsoft.com/office/drawing/2014/chart" uri="{C3380CC4-5D6E-409C-BE32-E72D297353CC}">
                  <c16:uniqueId val="{0000000F-C007-4AB5-91D0-F446C04C9CB5}"/>
                </c:ext>
              </c:extLst>
            </c:dLbl>
            <c:dLbl>
              <c:idx val="11"/>
              <c:layout>
                <c:manualLayout>
                  <c:x val="-4.3744427493683929E-2"/>
                  <c:y val="5.7181013590253509E-2"/>
                </c:manualLayout>
              </c:layout>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0-C007-4AB5-91D0-F446C04C9CB5}"/>
                </c:ext>
              </c:extLst>
            </c:dLbl>
            <c:dLbl>
              <c:idx val="12"/>
              <c:delete val="1"/>
              <c:extLst>
                <c:ext xmlns:c15="http://schemas.microsoft.com/office/drawing/2012/chart" uri="{CE6537A1-D6FC-4f65-9D91-7224C49458BB}"/>
                <c:ext xmlns:c16="http://schemas.microsoft.com/office/drawing/2014/chart" uri="{C3380CC4-5D6E-409C-BE32-E72D297353CC}">
                  <c16:uniqueId val="{00000004-C007-4AB5-91D0-F446C04C9CB5}"/>
                </c:ext>
              </c:extLst>
            </c:dLbl>
            <c:dLbl>
              <c:idx val="13"/>
              <c:delete val="1"/>
              <c:extLst>
                <c:ext xmlns:c15="http://schemas.microsoft.com/office/drawing/2012/chart" uri="{CE6537A1-D6FC-4f65-9D91-7224C49458BB}"/>
                <c:ext xmlns:c16="http://schemas.microsoft.com/office/drawing/2014/chart" uri="{C3380CC4-5D6E-409C-BE32-E72D297353CC}">
                  <c16:uniqueId val="{00000005-C007-4AB5-91D0-F446C04C9CB5}"/>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strRef>
              <c:f>Calc!$AL$3:$AL$16</c:f>
              <c:strCache>
                <c:ptCount val="1"/>
                <c:pt idx="0">
                  <c:v>0.0</c:v>
                </c:pt>
              </c:strCache>
            </c:strRef>
          </c:xVal>
          <c:yVal>
            <c:numRef>
              <c:f>Calc!$AH$3:$AH$16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11-C007-4AB5-91D0-F446C04C9CB5}"/>
            </c:ext>
          </c:extLst>
        </c:ser>
        <c:ser>
          <c:idx val="1"/>
          <c:order val="2"/>
          <c:tx>
            <c:v>-1st Order</c:v>
          </c:tx>
          <c:spPr>
            <a:ln w="25400" cap="rnd">
              <a:solidFill>
                <a:srgbClr val="00B050"/>
              </a:solidFill>
              <a:round/>
            </a:ln>
            <a:effectLst/>
          </c:spPr>
          <c:marker>
            <c:symbol val="none"/>
          </c:marker>
          <c:dPt>
            <c:idx val="1"/>
            <c:marker>
              <c:symbol val="none"/>
            </c:marker>
            <c:bubble3D val="0"/>
            <c:spPr>
              <a:ln w="25400" cap="rnd">
                <a:solidFill>
                  <a:schemeClr val="tx1"/>
                </a:solidFill>
                <a:round/>
              </a:ln>
              <a:effectLst/>
            </c:spPr>
            <c:extLst>
              <c:ext xmlns:c16="http://schemas.microsoft.com/office/drawing/2014/chart" uri="{C3380CC4-5D6E-409C-BE32-E72D297353CC}">
                <c16:uniqueId val="{00000013-C007-4AB5-91D0-F446C04C9CB5}"/>
              </c:ext>
            </c:extLst>
          </c:dPt>
          <c:dPt>
            <c:idx val="11"/>
            <c:marker>
              <c:symbol val="none"/>
            </c:marker>
            <c:bubble3D val="0"/>
            <c:extLst>
              <c:ext xmlns:c16="http://schemas.microsoft.com/office/drawing/2014/chart" uri="{C3380CC4-5D6E-409C-BE32-E72D297353CC}">
                <c16:uniqueId val="{00000014-C007-4AB5-91D0-F446C04C9CB5}"/>
              </c:ext>
            </c:extLst>
          </c:dPt>
          <c:dPt>
            <c:idx val="12"/>
            <c:marker>
              <c:symbol val="none"/>
            </c:marker>
            <c:bubble3D val="0"/>
            <c:spPr>
              <a:ln w="25400" cap="rnd">
                <a:solidFill>
                  <a:schemeClr val="tx1"/>
                </a:solidFill>
                <a:round/>
              </a:ln>
              <a:effectLst/>
            </c:spPr>
            <c:extLst>
              <c:ext xmlns:c16="http://schemas.microsoft.com/office/drawing/2014/chart" uri="{C3380CC4-5D6E-409C-BE32-E72D297353CC}">
                <c16:uniqueId val="{00000016-C007-4AB5-91D0-F446C04C9CB5}"/>
              </c:ext>
            </c:extLst>
          </c:dPt>
          <c:dPt>
            <c:idx val="13"/>
            <c:marker>
              <c:symbol val="none"/>
            </c:marker>
            <c:bubble3D val="0"/>
            <c:spPr>
              <a:ln w="12700" cap="rnd">
                <a:solidFill>
                  <a:schemeClr val="tx1"/>
                </a:solidFill>
                <a:round/>
              </a:ln>
              <a:effectLst/>
            </c:spPr>
            <c:extLst>
              <c:ext xmlns:c16="http://schemas.microsoft.com/office/drawing/2014/chart" uri="{C3380CC4-5D6E-409C-BE32-E72D297353CC}">
                <c16:uniqueId val="{00000018-C007-4AB5-91D0-F446C04C9CB5}"/>
              </c:ext>
            </c:extLst>
          </c:dPt>
          <c:dLbls>
            <c:dLbl>
              <c:idx val="0"/>
              <c:delete val="1"/>
              <c:extLst>
                <c:ext xmlns:c15="http://schemas.microsoft.com/office/drawing/2012/chart" uri="{CE6537A1-D6FC-4f65-9D91-7224C49458BB}"/>
                <c:ext xmlns:c16="http://schemas.microsoft.com/office/drawing/2014/chart" uri="{C3380CC4-5D6E-409C-BE32-E72D297353CC}">
                  <c16:uniqueId val="{00000019-C007-4AB5-91D0-F446C04C9CB5}"/>
                </c:ext>
              </c:extLst>
            </c:dLbl>
            <c:dLbl>
              <c:idx val="1"/>
              <c:layout>
                <c:manualLayout>
                  <c:x val="-0.15238820268592887"/>
                  <c:y val="-5.5882286915266755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3-C007-4AB5-91D0-F446C04C9CB5}"/>
                </c:ext>
              </c:extLst>
            </c:dLbl>
            <c:dLbl>
              <c:idx val="2"/>
              <c:delete val="1"/>
              <c:extLst>
                <c:ext xmlns:c15="http://schemas.microsoft.com/office/drawing/2012/chart" uri="{CE6537A1-D6FC-4f65-9D91-7224C49458BB}"/>
                <c:ext xmlns:c16="http://schemas.microsoft.com/office/drawing/2014/chart" uri="{C3380CC4-5D6E-409C-BE32-E72D297353CC}">
                  <c16:uniqueId val="{0000001A-C007-4AB5-91D0-F446C04C9CB5}"/>
                </c:ext>
              </c:extLst>
            </c:dLbl>
            <c:dLbl>
              <c:idx val="3"/>
              <c:delete val="1"/>
              <c:extLst>
                <c:ext xmlns:c15="http://schemas.microsoft.com/office/drawing/2012/chart" uri="{CE6537A1-D6FC-4f65-9D91-7224C49458BB}"/>
                <c:ext xmlns:c16="http://schemas.microsoft.com/office/drawing/2014/chart" uri="{C3380CC4-5D6E-409C-BE32-E72D297353CC}">
                  <c16:uniqueId val="{0000001B-C007-4AB5-91D0-F446C04C9CB5}"/>
                </c:ext>
              </c:extLst>
            </c:dLbl>
            <c:dLbl>
              <c:idx val="4"/>
              <c:delete val="1"/>
              <c:extLst>
                <c:ext xmlns:c15="http://schemas.microsoft.com/office/drawing/2012/chart" uri="{CE6537A1-D6FC-4f65-9D91-7224C49458BB}"/>
                <c:ext xmlns:c16="http://schemas.microsoft.com/office/drawing/2014/chart" uri="{C3380CC4-5D6E-409C-BE32-E72D297353CC}">
                  <c16:uniqueId val="{0000001C-C007-4AB5-91D0-F446C04C9CB5}"/>
                </c:ext>
              </c:extLst>
            </c:dLbl>
            <c:dLbl>
              <c:idx val="5"/>
              <c:layout>
                <c:manualLayout>
                  <c:x val="-0.21919775719101983"/>
                  <c:y val="1.2987016307141913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D-C007-4AB5-91D0-F446C04C9CB5}"/>
                </c:ext>
              </c:extLst>
            </c:dLbl>
            <c:dLbl>
              <c:idx val="6"/>
              <c:delete val="1"/>
              <c:extLst>
                <c:ext xmlns:c15="http://schemas.microsoft.com/office/drawing/2012/chart" uri="{CE6537A1-D6FC-4f65-9D91-7224C49458BB}"/>
                <c:ext xmlns:c16="http://schemas.microsoft.com/office/drawing/2014/chart" uri="{C3380CC4-5D6E-409C-BE32-E72D297353CC}">
                  <c16:uniqueId val="{0000001E-C007-4AB5-91D0-F446C04C9CB5}"/>
                </c:ext>
              </c:extLst>
            </c:dLbl>
            <c:dLbl>
              <c:idx val="7"/>
              <c:layout>
                <c:manualLayout>
                  <c:x val="-0.21919775719101986"/>
                  <c:y val="6.4935081535709566E-3"/>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F-C007-4AB5-91D0-F446C04C9CB5}"/>
                </c:ext>
              </c:extLst>
            </c:dLbl>
            <c:dLbl>
              <c:idx val="8"/>
              <c:delete val="1"/>
              <c:extLst>
                <c:ext xmlns:c15="http://schemas.microsoft.com/office/drawing/2012/chart" uri="{CE6537A1-D6FC-4f65-9D91-7224C49458BB}"/>
                <c:ext xmlns:c16="http://schemas.microsoft.com/office/drawing/2014/chart" uri="{C3380CC4-5D6E-409C-BE32-E72D297353CC}">
                  <c16:uniqueId val="{00000020-C007-4AB5-91D0-F446C04C9CB5}"/>
                </c:ext>
              </c:extLst>
            </c:dLbl>
            <c:dLbl>
              <c:idx val="9"/>
              <c:delete val="1"/>
              <c:extLst>
                <c:ext xmlns:c15="http://schemas.microsoft.com/office/drawing/2012/chart" uri="{CE6537A1-D6FC-4f65-9D91-7224C49458BB}"/>
                <c:ext xmlns:c16="http://schemas.microsoft.com/office/drawing/2014/chart" uri="{C3380CC4-5D6E-409C-BE32-E72D297353CC}">
                  <c16:uniqueId val="{00000021-C007-4AB5-91D0-F446C04C9CB5}"/>
                </c:ext>
              </c:extLst>
            </c:dLbl>
            <c:dLbl>
              <c:idx val="10"/>
              <c:delete val="1"/>
              <c:extLst>
                <c:ext xmlns:c15="http://schemas.microsoft.com/office/drawing/2012/chart" uri="{CE6537A1-D6FC-4f65-9D91-7224C49458BB}"/>
                <c:ext xmlns:c16="http://schemas.microsoft.com/office/drawing/2014/chart" uri="{C3380CC4-5D6E-409C-BE32-E72D297353CC}">
                  <c16:uniqueId val="{00000022-C007-4AB5-91D0-F446C04C9CB5}"/>
                </c:ext>
              </c:extLst>
            </c:dLbl>
            <c:dLbl>
              <c:idx val="11"/>
              <c:layout>
                <c:manualLayout>
                  <c:x val="-0.17138052938923926"/>
                  <c:y val="5.778238801962101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4-C007-4AB5-91D0-F446C04C9CB5}"/>
                </c:ext>
              </c:extLst>
            </c:dLbl>
            <c:dLbl>
              <c:idx val="12"/>
              <c:delete val="1"/>
              <c:extLst>
                <c:ext xmlns:c15="http://schemas.microsoft.com/office/drawing/2012/chart" uri="{CE6537A1-D6FC-4f65-9D91-7224C49458BB}"/>
                <c:ext xmlns:c16="http://schemas.microsoft.com/office/drawing/2014/chart" uri="{C3380CC4-5D6E-409C-BE32-E72D297353CC}">
                  <c16:uniqueId val="{00000016-C007-4AB5-91D0-F446C04C9CB5}"/>
                </c:ext>
              </c:extLst>
            </c:dLbl>
            <c:dLbl>
              <c:idx val="13"/>
              <c:delete val="1"/>
              <c:extLst>
                <c:ext xmlns:c15="http://schemas.microsoft.com/office/drawing/2012/chart" uri="{CE6537A1-D6FC-4f65-9D91-7224C49458BB}"/>
                <c:ext xmlns:c16="http://schemas.microsoft.com/office/drawing/2014/chart" uri="{C3380CC4-5D6E-409C-BE32-E72D297353CC}">
                  <c16:uniqueId val="{00000018-C007-4AB5-91D0-F446C04C9CB5}"/>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Calc!$AM$3:$AM$16</c:f>
              <c:numCache>
                <c:formatCode>0.0</c:formatCode>
                <c:ptCount val="14"/>
                <c:pt idx="0">
                  <c:v>0</c:v>
                </c:pt>
                <c:pt idx="1">
                  <c:v>124.694734508658</c:v>
                </c:pt>
                <c:pt idx="2">
                  <c:v>106.10530844683902</c:v>
                </c:pt>
                <c:pt idx="3">
                  <c:v>87.515882385020035</c:v>
                </c:pt>
                <c:pt idx="4">
                  <c:v>68.926456323201066</c:v>
                </c:pt>
                <c:pt idx="5">
                  <c:v>50.337030261382083</c:v>
                </c:pt>
                <c:pt idx="6">
                  <c:v>31.747604199563099</c:v>
                </c:pt>
                <c:pt idx="7">
                  <c:v>13.15817813774412</c:v>
                </c:pt>
                <c:pt idx="8">
                  <c:v>-5.4312479240748601</c:v>
                </c:pt>
                <c:pt idx="9">
                  <c:v>-24.02067398589384</c:v>
                </c:pt>
                <c:pt idx="10">
                  <c:v>-42.61010004771282</c:v>
                </c:pt>
                <c:pt idx="11">
                  <c:v>-61.199526109531803</c:v>
                </c:pt>
                <c:pt idx="12">
                  <c:v>0</c:v>
                </c:pt>
                <c:pt idx="13">
                  <c:v>0</c:v>
                </c:pt>
              </c:numCache>
            </c:numRef>
          </c:xVal>
          <c:yVal>
            <c:numRef>
              <c:f>Calc!$AH$3:$AH$16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23-C007-4AB5-91D0-F446C04C9CB5}"/>
            </c:ext>
          </c:extLst>
        </c:ser>
        <c:ser>
          <c:idx val="3"/>
          <c:order val="3"/>
          <c:tx>
            <c:v> Initial</c:v>
          </c:tx>
          <c:spPr>
            <a:ln w="19050" cap="rnd">
              <a:solidFill>
                <a:schemeClr val="tx1"/>
              </a:solidFill>
              <a:prstDash val="dash"/>
              <a:round/>
            </a:ln>
            <a:effectLst/>
          </c:spPr>
          <c:marker>
            <c:symbol val="none"/>
          </c:marker>
          <c:dPt>
            <c:idx val="1"/>
            <c:marker>
              <c:symbol val="none"/>
            </c:marker>
            <c:bubble3D val="0"/>
            <c:spPr>
              <a:ln w="25400" cap="rnd">
                <a:solidFill>
                  <a:schemeClr val="tx1"/>
                </a:solidFill>
                <a:prstDash val="solid"/>
                <a:round/>
              </a:ln>
              <a:effectLst/>
            </c:spPr>
            <c:extLst>
              <c:ext xmlns:c16="http://schemas.microsoft.com/office/drawing/2014/chart" uri="{C3380CC4-5D6E-409C-BE32-E72D297353CC}">
                <c16:uniqueId val="{00000025-C007-4AB5-91D0-F446C04C9CB5}"/>
              </c:ext>
            </c:extLst>
          </c:dPt>
          <c:dPt>
            <c:idx val="12"/>
            <c:marker>
              <c:symbol val="none"/>
            </c:marker>
            <c:bubble3D val="0"/>
            <c:spPr>
              <a:ln w="12700" cap="rnd">
                <a:solidFill>
                  <a:schemeClr val="tx1"/>
                </a:solidFill>
                <a:prstDash val="solid"/>
                <a:round/>
              </a:ln>
              <a:effectLst/>
            </c:spPr>
            <c:extLst>
              <c:ext xmlns:c16="http://schemas.microsoft.com/office/drawing/2014/chart" uri="{C3380CC4-5D6E-409C-BE32-E72D297353CC}">
                <c16:uniqueId val="{00000027-C007-4AB5-91D0-F446C04C9CB5}"/>
              </c:ext>
            </c:extLst>
          </c:dPt>
          <c:xVal>
            <c:numRef>
              <c:f>Calc!$AI$3:$AI$15</c:f>
              <c:numCache>
                <c:formatCode>0.0</c:formatCode>
                <c:ptCount val="13"/>
                <c:pt idx="0">
                  <c:v>0</c:v>
                </c:pt>
                <c:pt idx="1">
                  <c:v>124.694734508658</c:v>
                </c:pt>
                <c:pt idx="2">
                  <c:v>106.10530844683902</c:v>
                </c:pt>
                <c:pt idx="3">
                  <c:v>87.515882385020035</c:v>
                </c:pt>
                <c:pt idx="4">
                  <c:v>68.926456323201052</c:v>
                </c:pt>
                <c:pt idx="5">
                  <c:v>50.337030261382083</c:v>
                </c:pt>
                <c:pt idx="6">
                  <c:v>31.747604199563099</c:v>
                </c:pt>
                <c:pt idx="7">
                  <c:v>13.15817813774412</c:v>
                </c:pt>
                <c:pt idx="8">
                  <c:v>-5.4312479240748601</c:v>
                </c:pt>
                <c:pt idx="9">
                  <c:v>-24.020673985893843</c:v>
                </c:pt>
                <c:pt idx="10">
                  <c:v>-42.61010004771282</c:v>
                </c:pt>
                <c:pt idx="11">
                  <c:v>-61.199526109531803</c:v>
                </c:pt>
                <c:pt idx="12">
                  <c:v>0</c:v>
                </c:pt>
              </c:numCache>
            </c:numRef>
          </c:xVal>
          <c:yVal>
            <c:numRef>
              <c:f>Calc!$AH$3:$AH$15</c:f>
              <c:numCache>
                <c:formatCode>0.0</c:formatCode>
                <c:ptCount val="13"/>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numCache>
            </c:numRef>
          </c:yVal>
          <c:smooth val="0"/>
          <c:extLst>
            <c:ext xmlns:c16="http://schemas.microsoft.com/office/drawing/2014/chart" uri="{C3380CC4-5D6E-409C-BE32-E72D297353CC}">
              <c16:uniqueId val="{00000028-C007-4AB5-91D0-F446C04C9CB5}"/>
            </c:ext>
          </c:extLst>
        </c:ser>
        <c:dLbls>
          <c:showLegendKey val="0"/>
          <c:showVal val="0"/>
          <c:showCatName val="0"/>
          <c:showSerName val="0"/>
          <c:showPercent val="0"/>
          <c:showBubbleSize val="0"/>
        </c:dLbls>
        <c:axId val="464549896"/>
        <c:axId val="464553032"/>
      </c:scatterChart>
      <c:valAx>
        <c:axId val="464549896"/>
        <c:scaling>
          <c:orientation val="minMax"/>
        </c:scaling>
        <c:delete val="0"/>
        <c:axPos val="b"/>
        <c:majorGridlines>
          <c:spPr>
            <a:ln w="9525" cap="flat" cmpd="sng" algn="ctr">
              <a:solidFill>
                <a:schemeClr val="bg1"/>
              </a:solidFill>
              <a:round/>
            </a:ln>
            <a:effectLst/>
          </c:spPr>
        </c:majorGridlines>
        <c:numFmt formatCode="0.0" sourceLinked="1"/>
        <c:majorTickMark val="none"/>
        <c:minorTickMark val="none"/>
        <c:tickLblPos val="none"/>
        <c:spPr>
          <a:noFill/>
          <a:ln w="1270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553032"/>
        <c:crossesAt val="0"/>
        <c:crossBetween val="midCat"/>
        <c:majorUnit val="1"/>
        <c:minorUnit val="1"/>
      </c:valAx>
      <c:valAx>
        <c:axId val="464553032"/>
        <c:scaling>
          <c:orientation val="minMax"/>
          <c:max val="1.1000000000000001"/>
          <c:min val="-0.1"/>
        </c:scaling>
        <c:delete val="0"/>
        <c:axPos val="l"/>
        <c:majorGridlines>
          <c:spPr>
            <a:ln w="0" cap="flat" cmpd="sng" algn="ctr">
              <a:solidFill>
                <a:schemeClr val="bg1"/>
              </a:solidFill>
              <a:round/>
            </a:ln>
            <a:effectLst/>
          </c:spPr>
        </c:majorGridlines>
        <c:numFmt formatCode="General" sourceLinked="0"/>
        <c:majorTickMark val="none"/>
        <c:minorTickMark val="none"/>
        <c:tickLblPos val="none"/>
        <c:spPr>
          <a:noFill/>
          <a:ln w="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549896"/>
        <c:crosses val="autoZero"/>
        <c:crossBetween val="midCat"/>
      </c:valAx>
      <c:spPr>
        <a:noFill/>
        <a:ln>
          <a:noFill/>
        </a:ln>
        <a:effectLst/>
      </c:spPr>
    </c:plotArea>
    <c:plotVisOnly val="1"/>
    <c:dispBlanksAs val="gap"/>
    <c:showDLblsOverMax val="0"/>
  </c:chart>
  <c:spPr>
    <a:solidFill>
      <a:schemeClr val="bg1"/>
    </a:solidFill>
    <a:ln w="635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3"/>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759069764982545E-2"/>
          <c:y val="4.0682018112892307E-2"/>
          <c:w val="0.91892267913818559"/>
          <c:h val="0.91770326591808371"/>
        </c:manualLayout>
      </c:layout>
      <c:scatterChart>
        <c:scatterStyle val="lineMarker"/>
        <c:varyColors val="0"/>
        <c:ser>
          <c:idx val="4"/>
          <c:order val="0"/>
          <c:tx>
            <c:v>Outline</c:v>
          </c:tx>
          <c:spPr>
            <a:ln w="19050" cap="rnd">
              <a:noFill/>
              <a:round/>
            </a:ln>
            <a:effectLst/>
          </c:spPr>
          <c:marker>
            <c:symbol val="none"/>
          </c:marker>
          <c:xVal>
            <c:numRef>
              <c:f>Calc!$AW$4:$AW$8</c:f>
              <c:numCache>
                <c:formatCode>0.0</c:formatCode>
                <c:ptCount val="5"/>
                <c:pt idx="0">
                  <c:v>-61.199526109531803</c:v>
                </c:pt>
                <c:pt idx="1">
                  <c:v>124.694734508658</c:v>
                </c:pt>
                <c:pt idx="2">
                  <c:v>124.694734508658</c:v>
                </c:pt>
                <c:pt idx="3">
                  <c:v>-61.199526109531803</c:v>
                </c:pt>
                <c:pt idx="4">
                  <c:v>-61.199526109531803</c:v>
                </c:pt>
              </c:numCache>
            </c:numRef>
          </c:xVal>
          <c:yVal>
            <c:numRef>
              <c:f>Calc!$AV$4:$AV$8</c:f>
              <c:numCache>
                <c:formatCode>0.0</c:formatCode>
                <c:ptCount val="5"/>
                <c:pt idx="0">
                  <c:v>0</c:v>
                </c:pt>
                <c:pt idx="1">
                  <c:v>0</c:v>
                </c:pt>
                <c:pt idx="2">
                  <c:v>1</c:v>
                </c:pt>
                <c:pt idx="3">
                  <c:v>1</c:v>
                </c:pt>
                <c:pt idx="4">
                  <c:v>0</c:v>
                </c:pt>
              </c:numCache>
            </c:numRef>
          </c:yVal>
          <c:smooth val="0"/>
          <c:extLst>
            <c:ext xmlns:c16="http://schemas.microsoft.com/office/drawing/2014/chart" uri="{C3380CC4-5D6E-409C-BE32-E72D297353CC}">
              <c16:uniqueId val="{00000000-31B4-4DA7-AC43-15CCCCA3FE36}"/>
            </c:ext>
          </c:extLst>
        </c:ser>
        <c:ser>
          <c:idx val="0"/>
          <c:order val="1"/>
          <c:tx>
            <c:v>Min My</c:v>
          </c:tx>
          <c:spPr>
            <a:ln w="19050" cap="rnd">
              <a:solidFill>
                <a:srgbClr val="7030A0"/>
              </a:solidFill>
              <a:prstDash val="dash"/>
              <a:round/>
            </a:ln>
            <a:effectLst/>
          </c:spPr>
          <c:marker>
            <c:symbol val="none"/>
          </c:marker>
          <c:dPt>
            <c:idx val="1"/>
            <c:marker>
              <c:symbol val="none"/>
            </c:marker>
            <c:bubble3D val="0"/>
            <c:spPr>
              <a:ln w="19050" cap="rnd">
                <a:solidFill>
                  <a:schemeClr val="tx1"/>
                </a:solidFill>
                <a:prstDash val="solid"/>
                <a:round/>
              </a:ln>
              <a:effectLst/>
            </c:spPr>
            <c:extLst>
              <c:ext xmlns:c16="http://schemas.microsoft.com/office/drawing/2014/chart" uri="{C3380CC4-5D6E-409C-BE32-E72D297353CC}">
                <c16:uniqueId val="{00000002-31B4-4DA7-AC43-15CCCCA3FE36}"/>
              </c:ext>
            </c:extLst>
          </c:dPt>
          <c:dPt>
            <c:idx val="12"/>
            <c:marker>
              <c:symbol val="none"/>
            </c:marker>
            <c:bubble3D val="0"/>
            <c:spPr>
              <a:ln w="19050" cap="rnd">
                <a:solidFill>
                  <a:schemeClr val="tx1"/>
                </a:solidFill>
                <a:prstDash val="solid"/>
                <a:round/>
              </a:ln>
              <a:effectLst/>
            </c:spPr>
            <c:extLst>
              <c:ext xmlns:c16="http://schemas.microsoft.com/office/drawing/2014/chart" uri="{C3380CC4-5D6E-409C-BE32-E72D297353CC}">
                <c16:uniqueId val="{00000004-31B4-4DA7-AC43-15CCCCA3FE36}"/>
              </c:ext>
            </c:extLst>
          </c:dPt>
          <c:dLbls>
            <c:dLbl>
              <c:idx val="6"/>
              <c:layout>
                <c:manualLayout>
                  <c:x val="-6.6161771348689724E-2"/>
                  <c:y val="-5.3059839801063201E-3"/>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1B4-4DA7-AC43-15CCCCA3FE36}"/>
                </c:ext>
              </c:extLst>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strRef>
              <c:f>Calc!$AR$3:$AR$16</c:f>
              <c:strCache>
                <c:ptCount val="1"/>
                <c:pt idx="0">
                  <c:v>0.0</c:v>
                </c:pt>
              </c:strCache>
            </c:strRef>
          </c:xVal>
          <c:yVal>
            <c:numRef>
              <c:f>Calc!$AH$3:$AH$16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06-31B4-4DA7-AC43-15CCCCA3FE36}"/>
            </c:ext>
          </c:extLst>
        </c:ser>
        <c:ser>
          <c:idx val="1"/>
          <c:order val="2"/>
          <c:tx>
            <c:v>-Min My</c:v>
          </c:tx>
          <c:spPr>
            <a:ln w="19050" cap="rnd">
              <a:solidFill>
                <a:srgbClr val="7030A0"/>
              </a:solidFill>
              <a:prstDash val="dash"/>
              <a:round/>
            </a:ln>
            <a:effectLst/>
          </c:spPr>
          <c:marker>
            <c:symbol val="none"/>
          </c:marker>
          <c:dPt>
            <c:idx val="1"/>
            <c:marker>
              <c:symbol val="none"/>
            </c:marker>
            <c:bubble3D val="0"/>
            <c:spPr>
              <a:ln w="19050" cap="rnd">
                <a:solidFill>
                  <a:schemeClr val="tx1"/>
                </a:solidFill>
                <a:prstDash val="solid"/>
                <a:round/>
              </a:ln>
              <a:effectLst/>
            </c:spPr>
            <c:extLst>
              <c:ext xmlns:c16="http://schemas.microsoft.com/office/drawing/2014/chart" uri="{C3380CC4-5D6E-409C-BE32-E72D297353CC}">
                <c16:uniqueId val="{00000008-31B4-4DA7-AC43-15CCCCA3FE36}"/>
              </c:ext>
            </c:extLst>
          </c:dPt>
          <c:dPt>
            <c:idx val="12"/>
            <c:marker>
              <c:symbol val="none"/>
            </c:marker>
            <c:bubble3D val="0"/>
            <c:spPr>
              <a:ln w="19050" cap="rnd">
                <a:solidFill>
                  <a:schemeClr val="tx1"/>
                </a:solidFill>
                <a:prstDash val="solid"/>
                <a:round/>
              </a:ln>
              <a:effectLst/>
            </c:spPr>
            <c:extLst>
              <c:ext xmlns:c16="http://schemas.microsoft.com/office/drawing/2014/chart" uri="{C3380CC4-5D6E-409C-BE32-E72D297353CC}">
                <c16:uniqueId val="{0000000A-31B4-4DA7-AC43-15CCCCA3FE36}"/>
              </c:ext>
            </c:extLst>
          </c:dPt>
          <c:dLbls>
            <c:dLbl>
              <c:idx val="6"/>
              <c:layout>
                <c:manualLayout>
                  <c:x val="-0.11686205698645637"/>
                  <c:y val="-3.2395747859642237E-3"/>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B-31B4-4DA7-AC43-15CCCCA3FE36}"/>
                </c:ext>
              </c:extLst>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strRef>
              <c:f>Calc!$AS$3:$AS$16</c:f>
              <c:strCache>
                <c:ptCount val="1"/>
                <c:pt idx="0">
                  <c:v>0.0</c:v>
                </c:pt>
              </c:strCache>
            </c:strRef>
          </c:xVal>
          <c:yVal>
            <c:numRef>
              <c:f>Calc!$AH$3:$AH$16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0C-31B4-4DA7-AC43-15CCCCA3FE36}"/>
            </c:ext>
          </c:extLst>
        </c:ser>
        <c:ser>
          <c:idx val="3"/>
          <c:order val="3"/>
          <c:tx>
            <c:v>-My 1st &amp; 2nd Order</c:v>
          </c:tx>
          <c:spPr>
            <a:ln w="25400" cap="rnd">
              <a:solidFill>
                <a:srgbClr val="7030A0"/>
              </a:solidFill>
              <a:round/>
            </a:ln>
            <a:effectLst/>
          </c:spPr>
          <c:marker>
            <c:symbol val="none"/>
          </c:marker>
          <c:dPt>
            <c:idx val="1"/>
            <c:marker>
              <c:symbol val="none"/>
            </c:marker>
            <c:bubble3D val="0"/>
            <c:spPr>
              <a:ln w="12700" cap="rnd">
                <a:solidFill>
                  <a:schemeClr val="tx1"/>
                </a:solidFill>
                <a:round/>
              </a:ln>
              <a:effectLst/>
            </c:spPr>
            <c:extLst>
              <c:ext xmlns:c16="http://schemas.microsoft.com/office/drawing/2014/chart" uri="{C3380CC4-5D6E-409C-BE32-E72D297353CC}">
                <c16:uniqueId val="{0000000E-31B4-4DA7-AC43-15CCCCA3FE36}"/>
              </c:ext>
            </c:extLst>
          </c:dPt>
          <c:dPt>
            <c:idx val="12"/>
            <c:marker>
              <c:symbol val="none"/>
            </c:marker>
            <c:bubble3D val="0"/>
            <c:spPr>
              <a:ln w="12700" cap="rnd">
                <a:solidFill>
                  <a:schemeClr val="tx1"/>
                </a:solidFill>
                <a:round/>
              </a:ln>
              <a:effectLst/>
            </c:spPr>
            <c:extLst>
              <c:ext xmlns:c16="http://schemas.microsoft.com/office/drawing/2014/chart" uri="{C3380CC4-5D6E-409C-BE32-E72D297353CC}">
                <c16:uniqueId val="{00000010-31B4-4DA7-AC43-15CCCCA3FE36}"/>
              </c:ext>
            </c:extLst>
          </c:dPt>
          <c:dPt>
            <c:idx val="13"/>
            <c:marker>
              <c:symbol val="none"/>
            </c:marker>
            <c:bubble3D val="0"/>
            <c:spPr>
              <a:ln w="19050" cap="rnd">
                <a:solidFill>
                  <a:schemeClr val="tx1"/>
                </a:solidFill>
                <a:round/>
              </a:ln>
              <a:effectLst/>
            </c:spPr>
            <c:extLst>
              <c:ext xmlns:c16="http://schemas.microsoft.com/office/drawing/2014/chart" uri="{C3380CC4-5D6E-409C-BE32-E72D297353CC}">
                <c16:uniqueId val="{00000012-31B4-4DA7-AC43-15CCCCA3FE36}"/>
              </c:ext>
            </c:extLst>
          </c:dPt>
          <c:dLbls>
            <c:dLbl>
              <c:idx val="1"/>
              <c:layout>
                <c:manualLayout>
                  <c:x val="-6.5774139018629413E-2"/>
                  <c:y val="-4.2464846255139591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E-31B4-4DA7-AC43-15CCCCA3FE36}"/>
                </c:ext>
              </c:extLst>
            </c:dLbl>
            <c:dLbl>
              <c:idx val="5"/>
              <c:layout>
                <c:manualLayout>
                  <c:x val="-0.15829229002954442"/>
                  <c:y val="3.2397413717013355E-3"/>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3-31B4-4DA7-AC43-15CCCCA3FE36}"/>
                </c:ext>
              </c:extLst>
            </c:dLbl>
            <c:dLbl>
              <c:idx val="7"/>
              <c:layout>
                <c:manualLayout>
                  <c:x val="-0.20984530616391558"/>
                  <c:y val="2.1443931947957638E-3"/>
                </c:manualLayout>
              </c:layout>
              <c:spPr>
                <a:noFill/>
                <a:ln>
                  <a:noFill/>
                </a:ln>
                <a:effectLst/>
              </c:spPr>
              <c:txPr>
                <a:bodyPr rot="0" spcFirstLastPara="1" vertOverflow="ellipsis" vert="horz" wrap="square" lIns="38100" tIns="19050" rIns="38100" bIns="19050" anchor="ctr" anchorCtr="1">
                  <a:no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15:layout>
                    <c:manualLayout>
                      <c:w val="0.1854571378620937"/>
                      <c:h val="0.12850370566351568"/>
                    </c:manualLayout>
                  </c15:layout>
                </c:ext>
                <c:ext xmlns:c16="http://schemas.microsoft.com/office/drawing/2014/chart" uri="{C3380CC4-5D6E-409C-BE32-E72D297353CC}">
                  <c16:uniqueId val="{00000014-31B4-4DA7-AC43-15CCCCA3FE36}"/>
                </c:ext>
              </c:extLst>
            </c:dLbl>
            <c:dLbl>
              <c:idx val="11"/>
              <c:layout>
                <c:manualLayout>
                  <c:x val="-5.6938047811501864E-2"/>
                  <c:y val="4.9391770444681286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31B4-4DA7-AC43-15CCCCA3FE36}"/>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Calc!$AX$3:$AX$16</c:f>
              <c:numCache>
                <c:formatCode>0.0</c:formatCode>
                <c:ptCount val="14"/>
                <c:pt idx="0">
                  <c:v>0</c:v>
                </c:pt>
                <c:pt idx="1">
                  <c:v>124.694734508658</c:v>
                </c:pt>
                <c:pt idx="2">
                  <c:v>106.10530844683902</c:v>
                </c:pt>
                <c:pt idx="3">
                  <c:v>87.515882385020035</c:v>
                </c:pt>
                <c:pt idx="4">
                  <c:v>68.926456323201066</c:v>
                </c:pt>
                <c:pt idx="5">
                  <c:v>50.337030261382083</c:v>
                </c:pt>
                <c:pt idx="6">
                  <c:v>31.747604199563099</c:v>
                </c:pt>
                <c:pt idx="7">
                  <c:v>13.15817813774412</c:v>
                </c:pt>
                <c:pt idx="8">
                  <c:v>-5.4312479240748601</c:v>
                </c:pt>
                <c:pt idx="9">
                  <c:v>-24.02067398589384</c:v>
                </c:pt>
                <c:pt idx="10">
                  <c:v>-42.61010004771282</c:v>
                </c:pt>
                <c:pt idx="11">
                  <c:v>-61.199526109531803</c:v>
                </c:pt>
                <c:pt idx="12">
                  <c:v>0</c:v>
                </c:pt>
                <c:pt idx="13">
                  <c:v>0</c:v>
                </c:pt>
              </c:numCache>
            </c:numRef>
          </c:xVal>
          <c:yVal>
            <c:numRef>
              <c:f>Calc!$AH$3:$AH$16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16-31B4-4DA7-AC43-15CCCCA3FE36}"/>
            </c:ext>
          </c:extLst>
        </c:ser>
        <c:ser>
          <c:idx val="2"/>
          <c:order val="4"/>
          <c:tx>
            <c:v>DESIGN</c:v>
          </c:tx>
          <c:spPr>
            <a:ln w="25400" cap="rnd">
              <a:noFill/>
              <a:round/>
            </a:ln>
            <a:effectLst/>
          </c:spPr>
          <c:marker>
            <c:symbol val="none"/>
          </c:marker>
          <c:xVal>
            <c:numRef>
              <c:f>Calc!$AX$3:$AX$16</c:f>
              <c:numCache>
                <c:formatCode>0.0</c:formatCode>
                <c:ptCount val="14"/>
                <c:pt idx="0">
                  <c:v>0</c:v>
                </c:pt>
                <c:pt idx="1">
                  <c:v>124.694734508658</c:v>
                </c:pt>
                <c:pt idx="2">
                  <c:v>106.10530844683902</c:v>
                </c:pt>
                <c:pt idx="3">
                  <c:v>87.515882385020035</c:v>
                </c:pt>
                <c:pt idx="4">
                  <c:v>68.926456323201066</c:v>
                </c:pt>
                <c:pt idx="5">
                  <c:v>50.337030261382083</c:v>
                </c:pt>
                <c:pt idx="6">
                  <c:v>31.747604199563099</c:v>
                </c:pt>
                <c:pt idx="7">
                  <c:v>13.15817813774412</c:v>
                </c:pt>
                <c:pt idx="8">
                  <c:v>-5.4312479240748601</c:v>
                </c:pt>
                <c:pt idx="9">
                  <c:v>-24.02067398589384</c:v>
                </c:pt>
                <c:pt idx="10">
                  <c:v>-42.61010004771282</c:v>
                </c:pt>
                <c:pt idx="11">
                  <c:v>-61.199526109531803</c:v>
                </c:pt>
                <c:pt idx="12">
                  <c:v>0</c:v>
                </c:pt>
                <c:pt idx="13">
                  <c:v>0</c:v>
                </c:pt>
              </c:numCache>
            </c:numRef>
          </c:xVal>
          <c:yVal>
            <c:numRef>
              <c:f>Calc!$AH$3:$AH$16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17-31B4-4DA7-AC43-15CCCCA3FE36}"/>
            </c:ext>
          </c:extLst>
        </c:ser>
        <c:dLbls>
          <c:showLegendKey val="0"/>
          <c:showVal val="0"/>
          <c:showCatName val="0"/>
          <c:showSerName val="0"/>
          <c:showPercent val="0"/>
          <c:showBubbleSize val="0"/>
        </c:dLbls>
        <c:axId val="464553816"/>
        <c:axId val="464550288"/>
      </c:scatterChart>
      <c:valAx>
        <c:axId val="464553816"/>
        <c:scaling>
          <c:orientation val="minMax"/>
        </c:scaling>
        <c:delete val="0"/>
        <c:axPos val="b"/>
        <c:majorGridlines>
          <c:spPr>
            <a:ln w="9525" cap="flat" cmpd="sng" algn="ctr">
              <a:solidFill>
                <a:schemeClr val="bg1"/>
              </a:solidFill>
              <a:round/>
            </a:ln>
            <a:effectLst/>
          </c:spPr>
        </c:majorGridlines>
        <c:numFmt formatCode="0.0" sourceLinked="1"/>
        <c:majorTickMark val="none"/>
        <c:minorTickMark val="none"/>
        <c:tickLblPos val="none"/>
        <c:spPr>
          <a:noFill/>
          <a:ln w="1270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550288"/>
        <c:crossesAt val="0"/>
        <c:crossBetween val="midCat"/>
        <c:majorUnit val="1"/>
        <c:minorUnit val="1"/>
      </c:valAx>
      <c:valAx>
        <c:axId val="464550288"/>
        <c:scaling>
          <c:orientation val="minMax"/>
          <c:max val="1.1000000000000001"/>
          <c:min val="-0.1"/>
        </c:scaling>
        <c:delete val="0"/>
        <c:axPos val="l"/>
        <c:majorGridlines>
          <c:spPr>
            <a:ln w="0" cap="flat" cmpd="sng" algn="ctr">
              <a:solidFill>
                <a:schemeClr val="bg1"/>
              </a:solidFill>
              <a:round/>
            </a:ln>
            <a:effectLst/>
          </c:spPr>
        </c:majorGridlines>
        <c:numFmt formatCode="General" sourceLinked="0"/>
        <c:majorTickMark val="none"/>
        <c:minorTickMark val="none"/>
        <c:tickLblPos val="none"/>
        <c:spPr>
          <a:noFill/>
          <a:ln w="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553816"/>
        <c:crosses val="autoZero"/>
        <c:crossBetween val="midCat"/>
      </c:valAx>
      <c:spPr>
        <a:noFill/>
        <a:ln>
          <a:noFill/>
        </a:ln>
        <a:effectLst/>
      </c:spPr>
    </c:plotArea>
    <c:plotVisOnly val="1"/>
    <c:dispBlanksAs val="gap"/>
    <c:showDLblsOverMax val="0"/>
  </c:chart>
  <c:spPr>
    <a:solidFill>
      <a:schemeClr val="bg1"/>
    </a:solidFill>
    <a:ln w="635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3"/>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4873785539922889E-2"/>
          <c:y val="4.0702162705086996E-2"/>
          <c:w val="0.92457793774129815"/>
          <c:h val="0.91480892909628009"/>
        </c:manualLayout>
      </c:layout>
      <c:scatterChart>
        <c:scatterStyle val="lineMarker"/>
        <c:varyColors val="0"/>
        <c:ser>
          <c:idx val="4"/>
          <c:order val="0"/>
          <c:tx>
            <c:v>Outline</c:v>
          </c:tx>
          <c:spPr>
            <a:ln w="19050" cap="rnd">
              <a:noFill/>
              <a:round/>
            </a:ln>
            <a:effectLst/>
          </c:spPr>
          <c:marker>
            <c:symbol val="none"/>
          </c:marker>
          <c:xVal>
            <c:numRef>
              <c:f>Calc!$CD$4:$CD$8</c:f>
              <c:numCache>
                <c:formatCode>0.0</c:formatCode>
                <c:ptCount val="5"/>
                <c:pt idx="0">
                  <c:v>-61.199526109531803</c:v>
                </c:pt>
                <c:pt idx="1">
                  <c:v>124.694734508658</c:v>
                </c:pt>
                <c:pt idx="2">
                  <c:v>124.694734508658</c:v>
                </c:pt>
                <c:pt idx="3">
                  <c:v>-61.199526109531803</c:v>
                </c:pt>
                <c:pt idx="4">
                  <c:v>-61.199526109531803</c:v>
                </c:pt>
              </c:numCache>
            </c:numRef>
          </c:xVal>
          <c:yVal>
            <c:numRef>
              <c:f>Calc!$CC$4:$CC$8</c:f>
              <c:numCache>
                <c:formatCode>0.0</c:formatCode>
                <c:ptCount val="5"/>
                <c:pt idx="0">
                  <c:v>0</c:v>
                </c:pt>
                <c:pt idx="1">
                  <c:v>0</c:v>
                </c:pt>
                <c:pt idx="2">
                  <c:v>1</c:v>
                </c:pt>
                <c:pt idx="3">
                  <c:v>1</c:v>
                </c:pt>
                <c:pt idx="4">
                  <c:v>0</c:v>
                </c:pt>
              </c:numCache>
            </c:numRef>
          </c:yVal>
          <c:smooth val="0"/>
          <c:extLst>
            <c:ext xmlns:c16="http://schemas.microsoft.com/office/drawing/2014/chart" uri="{C3380CC4-5D6E-409C-BE32-E72D297353CC}">
              <c16:uniqueId val="{00000000-58B1-42B9-BC17-CD3B09D5046E}"/>
            </c:ext>
          </c:extLst>
        </c:ser>
        <c:ser>
          <c:idx val="0"/>
          <c:order val="1"/>
          <c:tx>
            <c:v>Min My</c:v>
          </c:tx>
          <c:spPr>
            <a:ln w="19050" cap="rnd">
              <a:solidFill>
                <a:srgbClr val="7030A0"/>
              </a:solidFill>
              <a:prstDash val="dash"/>
              <a:round/>
            </a:ln>
            <a:effectLst/>
          </c:spPr>
          <c:marker>
            <c:symbol val="none"/>
          </c:marker>
          <c:dPt>
            <c:idx val="1"/>
            <c:marker>
              <c:symbol val="none"/>
            </c:marker>
            <c:bubble3D val="0"/>
            <c:spPr>
              <a:ln w="19050" cap="rnd">
                <a:solidFill>
                  <a:schemeClr val="tx1"/>
                </a:solidFill>
                <a:prstDash val="solid"/>
                <a:round/>
              </a:ln>
              <a:effectLst/>
            </c:spPr>
            <c:extLst>
              <c:ext xmlns:c16="http://schemas.microsoft.com/office/drawing/2014/chart" uri="{C3380CC4-5D6E-409C-BE32-E72D297353CC}">
                <c16:uniqueId val="{00000002-58B1-42B9-BC17-CD3B09D5046E}"/>
              </c:ext>
            </c:extLst>
          </c:dPt>
          <c:dPt>
            <c:idx val="12"/>
            <c:marker>
              <c:symbol val="none"/>
            </c:marker>
            <c:bubble3D val="0"/>
            <c:spPr>
              <a:ln w="19050" cap="rnd">
                <a:solidFill>
                  <a:schemeClr val="tx1"/>
                </a:solidFill>
                <a:prstDash val="solid"/>
                <a:round/>
              </a:ln>
              <a:effectLst/>
            </c:spPr>
            <c:extLst>
              <c:ext xmlns:c16="http://schemas.microsoft.com/office/drawing/2014/chart" uri="{C3380CC4-5D6E-409C-BE32-E72D297353CC}">
                <c16:uniqueId val="{00000004-58B1-42B9-BC17-CD3B09D5046E}"/>
              </c:ext>
            </c:extLst>
          </c:dPt>
          <c:dLbls>
            <c:dLbl>
              <c:idx val="6"/>
              <c:layout>
                <c:manualLayout>
                  <c:x val="-5.7438609368744162E-2"/>
                  <c:y val="3.2399064453050115E-3"/>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8B1-42B9-BC17-CD3B09D5046E}"/>
                </c:ext>
              </c:extLst>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Calc!$BY$3:$BY$16</c:f>
              <c:numCache>
                <c:formatCode>0.0</c:formatCode>
                <c:ptCount val="14"/>
                <c:pt idx="0">
                  <c:v>0</c:v>
                </c:pt>
                <c:pt idx="1">
                  <c:v>15.42623314118196</c:v>
                </c:pt>
                <c:pt idx="2">
                  <c:v>15.42623314118196</c:v>
                </c:pt>
                <c:pt idx="3">
                  <c:v>15.42623314118196</c:v>
                </c:pt>
                <c:pt idx="4">
                  <c:v>15.42623314118196</c:v>
                </c:pt>
                <c:pt idx="5">
                  <c:v>15.42623314118196</c:v>
                </c:pt>
                <c:pt idx="6">
                  <c:v>15.42623314118196</c:v>
                </c:pt>
                <c:pt idx="7">
                  <c:v>15.42623314118196</c:v>
                </c:pt>
                <c:pt idx="8">
                  <c:v>15.42623314118196</c:v>
                </c:pt>
                <c:pt idx="9">
                  <c:v>15.42623314118196</c:v>
                </c:pt>
                <c:pt idx="10">
                  <c:v>15.42623314118196</c:v>
                </c:pt>
                <c:pt idx="11">
                  <c:v>15.42623314118196</c:v>
                </c:pt>
                <c:pt idx="12">
                  <c:v>0</c:v>
                </c:pt>
                <c:pt idx="13">
                  <c:v>0</c:v>
                </c:pt>
              </c:numCache>
            </c:numRef>
          </c:xVal>
          <c:yVal>
            <c:numRef>
              <c:f>Calc!$BO$3:$BO$16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06-58B1-42B9-BC17-CD3B09D5046E}"/>
            </c:ext>
          </c:extLst>
        </c:ser>
        <c:ser>
          <c:idx val="1"/>
          <c:order val="2"/>
          <c:tx>
            <c:v>Min -My</c:v>
          </c:tx>
          <c:spPr>
            <a:ln w="19050" cap="rnd">
              <a:solidFill>
                <a:srgbClr val="7030A0"/>
              </a:solidFill>
              <a:prstDash val="dash"/>
              <a:round/>
            </a:ln>
            <a:effectLst/>
          </c:spPr>
          <c:marker>
            <c:symbol val="none"/>
          </c:marker>
          <c:dPt>
            <c:idx val="1"/>
            <c:marker>
              <c:symbol val="none"/>
            </c:marker>
            <c:bubble3D val="0"/>
            <c:spPr>
              <a:ln w="19050" cap="rnd">
                <a:solidFill>
                  <a:schemeClr val="tx1"/>
                </a:solidFill>
                <a:prstDash val="solid"/>
                <a:round/>
              </a:ln>
              <a:effectLst/>
            </c:spPr>
            <c:extLst>
              <c:ext xmlns:c16="http://schemas.microsoft.com/office/drawing/2014/chart" uri="{C3380CC4-5D6E-409C-BE32-E72D297353CC}">
                <c16:uniqueId val="{00000008-58B1-42B9-BC17-CD3B09D5046E}"/>
              </c:ext>
            </c:extLst>
          </c:dPt>
          <c:dPt>
            <c:idx val="12"/>
            <c:marker>
              <c:symbol val="none"/>
            </c:marker>
            <c:bubble3D val="0"/>
            <c:spPr>
              <a:ln w="19050" cap="rnd">
                <a:solidFill>
                  <a:schemeClr val="tx1"/>
                </a:solidFill>
                <a:prstDash val="solid"/>
                <a:round/>
              </a:ln>
              <a:effectLst/>
            </c:spPr>
            <c:extLst>
              <c:ext xmlns:c16="http://schemas.microsoft.com/office/drawing/2014/chart" uri="{C3380CC4-5D6E-409C-BE32-E72D297353CC}">
                <c16:uniqueId val="{0000000A-58B1-42B9-BC17-CD3B09D5046E}"/>
              </c:ext>
            </c:extLst>
          </c:dPt>
          <c:dLbls>
            <c:dLbl>
              <c:idx val="6"/>
              <c:layout>
                <c:manualLayout>
                  <c:x val="-0.11588115574536241"/>
                  <c:y val="3.2399064453050115E-3"/>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B-58B1-42B9-BC17-CD3B09D5046E}"/>
                </c:ext>
              </c:extLst>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Calc!$BZ$3:$BZ$16</c:f>
              <c:numCache>
                <c:formatCode>0.0</c:formatCode>
                <c:ptCount val="14"/>
                <c:pt idx="0">
                  <c:v>0</c:v>
                </c:pt>
                <c:pt idx="1">
                  <c:v>-15.42623314118196</c:v>
                </c:pt>
                <c:pt idx="2">
                  <c:v>-15.42623314118196</c:v>
                </c:pt>
                <c:pt idx="3">
                  <c:v>-15.42623314118196</c:v>
                </c:pt>
                <c:pt idx="4">
                  <c:v>-15.42623314118196</c:v>
                </c:pt>
                <c:pt idx="5">
                  <c:v>-15.42623314118196</c:v>
                </c:pt>
                <c:pt idx="6">
                  <c:v>-15.42623314118196</c:v>
                </c:pt>
                <c:pt idx="7">
                  <c:v>-15.42623314118196</c:v>
                </c:pt>
                <c:pt idx="8">
                  <c:v>-15.42623314118196</c:v>
                </c:pt>
                <c:pt idx="9">
                  <c:v>-15.42623314118196</c:v>
                </c:pt>
                <c:pt idx="10">
                  <c:v>-15.42623314118196</c:v>
                </c:pt>
                <c:pt idx="11">
                  <c:v>-15.42623314118196</c:v>
                </c:pt>
                <c:pt idx="12">
                  <c:v>0</c:v>
                </c:pt>
                <c:pt idx="13">
                  <c:v>0</c:v>
                </c:pt>
              </c:numCache>
            </c:numRef>
          </c:xVal>
          <c:yVal>
            <c:numRef>
              <c:f>Calc!$BO$3:$BO$16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0C-58B1-42B9-BC17-CD3B09D5046E}"/>
            </c:ext>
          </c:extLst>
        </c:ser>
        <c:ser>
          <c:idx val="2"/>
          <c:order val="3"/>
          <c:tx>
            <c:v>DESIGN</c:v>
          </c:tx>
          <c:spPr>
            <a:ln w="25400" cap="rnd">
              <a:solidFill>
                <a:srgbClr val="7030A0"/>
              </a:solidFill>
              <a:round/>
            </a:ln>
            <a:effectLst/>
          </c:spPr>
          <c:marker>
            <c:symbol val="none"/>
          </c:marker>
          <c:dPt>
            <c:idx val="1"/>
            <c:marker>
              <c:symbol val="none"/>
            </c:marker>
            <c:bubble3D val="0"/>
            <c:spPr>
              <a:ln w="12700" cap="rnd">
                <a:solidFill>
                  <a:schemeClr val="tx1"/>
                </a:solidFill>
                <a:round/>
              </a:ln>
              <a:effectLst/>
            </c:spPr>
            <c:extLst>
              <c:ext xmlns:c16="http://schemas.microsoft.com/office/drawing/2014/chart" uri="{C3380CC4-5D6E-409C-BE32-E72D297353CC}">
                <c16:uniqueId val="{0000000E-58B1-42B9-BC17-CD3B09D5046E}"/>
              </c:ext>
            </c:extLst>
          </c:dPt>
          <c:dPt>
            <c:idx val="12"/>
            <c:marker>
              <c:symbol val="none"/>
            </c:marker>
            <c:bubble3D val="0"/>
            <c:spPr>
              <a:ln w="12700" cap="rnd">
                <a:solidFill>
                  <a:schemeClr val="tx1"/>
                </a:solidFill>
                <a:round/>
              </a:ln>
              <a:effectLst/>
            </c:spPr>
            <c:extLst>
              <c:ext xmlns:c16="http://schemas.microsoft.com/office/drawing/2014/chart" uri="{C3380CC4-5D6E-409C-BE32-E72D297353CC}">
                <c16:uniqueId val="{00000010-58B1-42B9-BC17-CD3B09D5046E}"/>
              </c:ext>
            </c:extLst>
          </c:dPt>
          <c:dPt>
            <c:idx val="13"/>
            <c:marker>
              <c:symbol val="none"/>
            </c:marker>
            <c:bubble3D val="0"/>
            <c:spPr>
              <a:ln w="19050" cap="rnd">
                <a:solidFill>
                  <a:schemeClr val="tx1"/>
                </a:solidFill>
                <a:round/>
              </a:ln>
              <a:effectLst/>
            </c:spPr>
            <c:extLst>
              <c:ext xmlns:c16="http://schemas.microsoft.com/office/drawing/2014/chart" uri="{C3380CC4-5D6E-409C-BE32-E72D297353CC}">
                <c16:uniqueId val="{00000012-58B1-42B9-BC17-CD3B09D5046E}"/>
              </c:ext>
            </c:extLst>
          </c:dPt>
          <c:dLbls>
            <c:dLbl>
              <c:idx val="1"/>
              <c:layout>
                <c:manualLayout>
                  <c:x val="-7.9746819546133774E-2"/>
                  <c:y val="-6.2151759689760326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E-58B1-42B9-BC17-CD3B09D5046E}"/>
                </c:ext>
              </c:extLst>
            </c:dLbl>
            <c:dLbl>
              <c:idx val="5"/>
              <c:layout>
                <c:manualLayout>
                  <c:x val="-7.5949351948700295E-3"/>
                  <c:y val="-5.9394572350024111E-17"/>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3-58B1-42B9-BC17-CD3B09D5046E}"/>
                </c:ext>
              </c:extLst>
            </c:dLbl>
            <c:dLbl>
              <c:idx val="7"/>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4-58B1-42B9-BC17-CD3B09D5046E}"/>
                </c:ext>
              </c:extLst>
            </c:dLbl>
            <c:dLbl>
              <c:idx val="11"/>
              <c:layout>
                <c:manualLayout>
                  <c:x val="-9.1066562131653123E-2"/>
                  <c:y val="5.2631511816382565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58B1-42B9-BC17-CD3B09D5046E}"/>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Calc!$CE$3:$CE$16</c:f>
              <c:numCache>
                <c:formatCode>0.0</c:formatCode>
                <c:ptCount val="14"/>
                <c:pt idx="0">
                  <c:v>0</c:v>
                </c:pt>
                <c:pt idx="1">
                  <c:v>-4.9767018505885563</c:v>
                </c:pt>
                <c:pt idx="2">
                  <c:v>-4.9767018505885563</c:v>
                </c:pt>
                <c:pt idx="3">
                  <c:v>-4.9767018505885563</c:v>
                </c:pt>
                <c:pt idx="4">
                  <c:v>-4.9767018505885572</c:v>
                </c:pt>
                <c:pt idx="5">
                  <c:v>-4.9767018505885572</c:v>
                </c:pt>
                <c:pt idx="6">
                  <c:v>-4.9767018505885581</c:v>
                </c:pt>
                <c:pt idx="7">
                  <c:v>-4.9767018505885581</c:v>
                </c:pt>
                <c:pt idx="8">
                  <c:v>-4.9767018505885581</c:v>
                </c:pt>
                <c:pt idx="9">
                  <c:v>-4.9767018505885581</c:v>
                </c:pt>
                <c:pt idx="10">
                  <c:v>-4.976701850588559</c:v>
                </c:pt>
                <c:pt idx="11">
                  <c:v>-4.976701850588559</c:v>
                </c:pt>
                <c:pt idx="12">
                  <c:v>0</c:v>
                </c:pt>
                <c:pt idx="13">
                  <c:v>0</c:v>
                </c:pt>
              </c:numCache>
            </c:numRef>
          </c:xVal>
          <c:yVal>
            <c:numRef>
              <c:f>Calc!$BO$3:$BO$16</c:f>
              <c:numCache>
                <c:formatCode>0.0</c:formatCode>
                <c:ptCount val="14"/>
                <c:pt idx="0">
                  <c:v>0.99999999999999989</c:v>
                </c:pt>
                <c:pt idx="1">
                  <c:v>0.99999999999999989</c:v>
                </c:pt>
                <c:pt idx="2">
                  <c:v>0.89999999999999991</c:v>
                </c:pt>
                <c:pt idx="3">
                  <c:v>0.79999999999999993</c:v>
                </c:pt>
                <c:pt idx="4">
                  <c:v>0.7</c:v>
                </c:pt>
                <c:pt idx="5">
                  <c:v>0.6</c:v>
                </c:pt>
                <c:pt idx="6">
                  <c:v>0.5</c:v>
                </c:pt>
                <c:pt idx="7">
                  <c:v>0.4</c:v>
                </c:pt>
                <c:pt idx="8">
                  <c:v>0.30000000000000004</c:v>
                </c:pt>
                <c:pt idx="9">
                  <c:v>0.2</c:v>
                </c:pt>
                <c:pt idx="10">
                  <c:v>0.1</c:v>
                </c:pt>
                <c:pt idx="11">
                  <c:v>0</c:v>
                </c:pt>
                <c:pt idx="12">
                  <c:v>0</c:v>
                </c:pt>
                <c:pt idx="13">
                  <c:v>1</c:v>
                </c:pt>
              </c:numCache>
            </c:numRef>
          </c:yVal>
          <c:smooth val="0"/>
          <c:extLst>
            <c:ext xmlns:c16="http://schemas.microsoft.com/office/drawing/2014/chart" uri="{C3380CC4-5D6E-409C-BE32-E72D297353CC}">
              <c16:uniqueId val="{00000016-58B1-42B9-BC17-CD3B09D5046E}"/>
            </c:ext>
          </c:extLst>
        </c:ser>
        <c:dLbls>
          <c:showLegendKey val="0"/>
          <c:showVal val="0"/>
          <c:showCatName val="0"/>
          <c:showSerName val="0"/>
          <c:showPercent val="0"/>
          <c:showBubbleSize val="0"/>
        </c:dLbls>
        <c:axId val="464547544"/>
        <c:axId val="464554600"/>
      </c:scatterChart>
      <c:valAx>
        <c:axId val="464547544"/>
        <c:scaling>
          <c:orientation val="minMax"/>
        </c:scaling>
        <c:delete val="0"/>
        <c:axPos val="b"/>
        <c:majorGridlines>
          <c:spPr>
            <a:ln w="9525" cap="flat" cmpd="sng" algn="ctr">
              <a:solidFill>
                <a:schemeClr val="bg1"/>
              </a:solidFill>
              <a:round/>
            </a:ln>
            <a:effectLst/>
          </c:spPr>
        </c:majorGridlines>
        <c:numFmt formatCode="0.0" sourceLinked="1"/>
        <c:majorTickMark val="none"/>
        <c:minorTickMark val="none"/>
        <c:tickLblPos val="none"/>
        <c:spPr>
          <a:noFill/>
          <a:ln w="1270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554600"/>
        <c:crossesAt val="0"/>
        <c:crossBetween val="midCat"/>
        <c:majorUnit val="1"/>
        <c:minorUnit val="1"/>
      </c:valAx>
      <c:valAx>
        <c:axId val="464554600"/>
        <c:scaling>
          <c:orientation val="minMax"/>
          <c:max val="1.1000000000000001"/>
          <c:min val="-0.1"/>
        </c:scaling>
        <c:delete val="0"/>
        <c:axPos val="l"/>
        <c:majorGridlines>
          <c:spPr>
            <a:ln w="0" cap="flat" cmpd="sng" algn="ctr">
              <a:solidFill>
                <a:schemeClr val="bg1"/>
              </a:solidFill>
              <a:round/>
            </a:ln>
            <a:effectLst/>
          </c:spPr>
        </c:majorGridlines>
        <c:numFmt formatCode="General" sourceLinked="0"/>
        <c:majorTickMark val="none"/>
        <c:minorTickMark val="none"/>
        <c:tickLblPos val="none"/>
        <c:spPr>
          <a:noFill/>
          <a:ln w="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547544"/>
        <c:crosses val="autoZero"/>
        <c:crossBetween val="midCat"/>
      </c:valAx>
      <c:spPr>
        <a:noFill/>
        <a:ln>
          <a:noFill/>
        </a:ln>
        <a:effectLst/>
      </c:spPr>
    </c:plotArea>
    <c:plotVisOnly val="1"/>
    <c:dispBlanksAs val="gap"/>
    <c:showDLblsOverMax val="0"/>
  </c:chart>
  <c:spPr>
    <a:solidFill>
      <a:schemeClr val="bg1"/>
    </a:solidFill>
    <a:ln w="635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3"/>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776728500053498E-2"/>
          <c:y val="2.6339870663754112E-2"/>
          <c:w val="0.93665977137719447"/>
          <c:h val="0.92952628473149024"/>
        </c:manualLayout>
      </c:layout>
      <c:scatterChart>
        <c:scatterStyle val="lineMarker"/>
        <c:varyColors val="0"/>
        <c:ser>
          <c:idx val="1"/>
          <c:order val="0"/>
          <c:tx>
            <c:v>Outline</c:v>
          </c:tx>
          <c:spPr>
            <a:ln w="19050" cap="rnd">
              <a:noFill/>
              <a:round/>
            </a:ln>
            <a:effectLst/>
          </c:spPr>
          <c:marker>
            <c:symbol val="none"/>
          </c:marker>
          <c:xVal>
            <c:numRef>
              <c:f>Calc!$AW$4:$AW$8</c:f>
              <c:numCache>
                <c:formatCode>0.0</c:formatCode>
                <c:ptCount val="5"/>
                <c:pt idx="0">
                  <c:v>-61.199526109531803</c:v>
                </c:pt>
                <c:pt idx="1">
                  <c:v>124.694734508658</c:v>
                </c:pt>
                <c:pt idx="2">
                  <c:v>124.694734508658</c:v>
                </c:pt>
                <c:pt idx="3">
                  <c:v>-61.199526109531803</c:v>
                </c:pt>
                <c:pt idx="4">
                  <c:v>-61.199526109531803</c:v>
                </c:pt>
              </c:numCache>
            </c:numRef>
          </c:xVal>
          <c:yVal>
            <c:numRef>
              <c:f>Calc!$AV$4:$AV$8</c:f>
              <c:numCache>
                <c:formatCode>0.0</c:formatCode>
                <c:ptCount val="5"/>
                <c:pt idx="0">
                  <c:v>0</c:v>
                </c:pt>
                <c:pt idx="1">
                  <c:v>0</c:v>
                </c:pt>
                <c:pt idx="2">
                  <c:v>1</c:v>
                </c:pt>
                <c:pt idx="3">
                  <c:v>1</c:v>
                </c:pt>
                <c:pt idx="4">
                  <c:v>0</c:v>
                </c:pt>
              </c:numCache>
            </c:numRef>
          </c:yVal>
          <c:smooth val="0"/>
          <c:extLst>
            <c:ext xmlns:c16="http://schemas.microsoft.com/office/drawing/2014/chart" uri="{C3380CC4-5D6E-409C-BE32-E72D297353CC}">
              <c16:uniqueId val="{00000000-66A6-4EC2-B4F4-F49A3FABEB39}"/>
            </c:ext>
          </c:extLst>
        </c:ser>
        <c:ser>
          <c:idx val="0"/>
          <c:order val="1"/>
          <c:tx>
            <c:v>My1</c:v>
          </c:tx>
          <c:spPr>
            <a:ln w="12700" cap="rnd">
              <a:solidFill>
                <a:schemeClr val="accent1"/>
              </a:solidFill>
              <a:round/>
            </a:ln>
            <a:effectLst/>
          </c:spPr>
          <c:marker>
            <c:symbol val="none"/>
          </c:marker>
          <c:dPt>
            <c:idx val="1"/>
            <c:marker>
              <c:symbol val="none"/>
            </c:marker>
            <c:bubble3D val="0"/>
            <c:spPr>
              <a:ln w="19050" cap="rnd">
                <a:solidFill>
                  <a:schemeClr val="tx1"/>
                </a:solidFill>
                <a:round/>
              </a:ln>
              <a:effectLst/>
            </c:spPr>
            <c:extLst>
              <c:ext xmlns:c16="http://schemas.microsoft.com/office/drawing/2014/chart" uri="{C3380CC4-5D6E-409C-BE32-E72D297353CC}">
                <c16:uniqueId val="{00000002-66A6-4EC2-B4F4-F49A3FABEB39}"/>
              </c:ext>
            </c:extLst>
          </c:dPt>
          <c:dPt>
            <c:idx val="2"/>
            <c:marker>
              <c:symbol val="none"/>
            </c:marker>
            <c:bubble3D val="0"/>
            <c:spPr>
              <a:ln w="22225" cap="rnd">
                <a:solidFill>
                  <a:srgbClr val="0000FF"/>
                </a:solidFill>
                <a:round/>
              </a:ln>
              <a:effectLst/>
            </c:spPr>
            <c:extLst>
              <c:ext xmlns:c16="http://schemas.microsoft.com/office/drawing/2014/chart" uri="{C3380CC4-5D6E-409C-BE32-E72D297353CC}">
                <c16:uniqueId val="{00000004-66A6-4EC2-B4F4-F49A3FABEB39}"/>
              </c:ext>
            </c:extLst>
          </c:dPt>
          <c:dLbls>
            <c:dLbl>
              <c:idx val="0"/>
              <c:delete val="1"/>
              <c:extLst>
                <c:ext xmlns:c15="http://schemas.microsoft.com/office/drawing/2012/chart" uri="{CE6537A1-D6FC-4f65-9D91-7224C49458BB}"/>
                <c:ext xmlns:c16="http://schemas.microsoft.com/office/drawing/2014/chart" uri="{C3380CC4-5D6E-409C-BE32-E72D297353CC}">
                  <c16:uniqueId val="{00000005-66A6-4EC2-B4F4-F49A3FABEB39}"/>
                </c:ext>
              </c:extLst>
            </c:dLbl>
            <c:dLbl>
              <c:idx val="1"/>
              <c:layout>
                <c:manualLayout>
                  <c:x val="-0.12284419908199201"/>
                  <c:y val="5.3371094742189484E-2"/>
                </c:manualLayout>
              </c:layout>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6A6-4EC2-B4F4-F49A3FABEB39}"/>
                </c:ext>
              </c:extLst>
            </c:dLbl>
            <c:dLbl>
              <c:idx val="2"/>
              <c:layout>
                <c:manualLayout>
                  <c:x val="-8.8535848593377611E-2"/>
                  <c:y val="-5.6596647193294387E-2"/>
                </c:manualLayout>
              </c:layout>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A6-4EC2-B4F4-F49A3FABEB39}"/>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Calc!$AB$26:$AE$26</c:f>
              <c:numCache>
                <c:formatCode>0.0</c:formatCode>
                <c:ptCount val="4"/>
                <c:pt idx="0">
                  <c:v>0</c:v>
                </c:pt>
                <c:pt idx="1">
                  <c:v>-61.199526109531803</c:v>
                </c:pt>
                <c:pt idx="2">
                  <c:v>124.694734508658</c:v>
                </c:pt>
              </c:numCache>
            </c:numRef>
          </c:xVal>
          <c:yVal>
            <c:numRef>
              <c:f>Calc!$AB$24:$AE$24</c:f>
              <c:numCache>
                <c:formatCode>General</c:formatCode>
                <c:ptCount val="4"/>
                <c:pt idx="0">
                  <c:v>0</c:v>
                </c:pt>
                <c:pt idx="1">
                  <c:v>0</c:v>
                </c:pt>
                <c:pt idx="2" formatCode="0.0">
                  <c:v>1</c:v>
                </c:pt>
              </c:numCache>
            </c:numRef>
          </c:yVal>
          <c:smooth val="0"/>
          <c:extLst>
            <c:ext xmlns:c16="http://schemas.microsoft.com/office/drawing/2014/chart" uri="{C3380CC4-5D6E-409C-BE32-E72D297353CC}">
              <c16:uniqueId val="{00000006-66A6-4EC2-B4F4-F49A3FABEB39}"/>
            </c:ext>
          </c:extLst>
        </c:ser>
        <c:ser>
          <c:idx val="2"/>
          <c:order val="2"/>
          <c:tx>
            <c:v>My2</c:v>
          </c:tx>
          <c:spPr>
            <a:ln w="19050" cap="rnd">
              <a:solidFill>
                <a:schemeClr val="tx1"/>
              </a:solidFill>
              <a:round/>
            </a:ln>
            <a:effectLst/>
          </c:spPr>
          <c:marker>
            <c:symbol val="none"/>
          </c:marker>
          <c:dPt>
            <c:idx val="2"/>
            <c:marker>
              <c:symbol val="none"/>
            </c:marker>
            <c:bubble3D val="0"/>
            <c:extLst>
              <c:ext xmlns:c16="http://schemas.microsoft.com/office/drawing/2014/chart" uri="{C3380CC4-5D6E-409C-BE32-E72D297353CC}">
                <c16:uniqueId val="{00000007-66A6-4EC2-B4F4-F49A3FABEB39}"/>
              </c:ext>
            </c:extLst>
          </c:dPt>
          <c:xVal>
            <c:numRef>
              <c:f>Calc!$AG$26:$AI$26</c:f>
              <c:numCache>
                <c:formatCode>0.0</c:formatCode>
                <c:ptCount val="3"/>
                <c:pt idx="0">
                  <c:v>0</c:v>
                </c:pt>
                <c:pt idx="1">
                  <c:v>0</c:v>
                </c:pt>
                <c:pt idx="2">
                  <c:v>124.694734508658</c:v>
                </c:pt>
              </c:numCache>
            </c:numRef>
          </c:xVal>
          <c:yVal>
            <c:numRef>
              <c:f>Calc!$AG$24:$AI$24</c:f>
              <c:numCache>
                <c:formatCode>0.0</c:formatCode>
                <c:ptCount val="3"/>
                <c:pt idx="0">
                  <c:v>0</c:v>
                </c:pt>
                <c:pt idx="1">
                  <c:v>1</c:v>
                </c:pt>
                <c:pt idx="2">
                  <c:v>1</c:v>
                </c:pt>
              </c:numCache>
            </c:numRef>
          </c:yVal>
          <c:smooth val="0"/>
          <c:extLst>
            <c:ext xmlns:c16="http://schemas.microsoft.com/office/drawing/2014/chart" uri="{C3380CC4-5D6E-409C-BE32-E72D297353CC}">
              <c16:uniqueId val="{00000008-66A6-4EC2-B4F4-F49A3FABEB39}"/>
            </c:ext>
          </c:extLst>
        </c:ser>
        <c:dLbls>
          <c:showLegendKey val="0"/>
          <c:showVal val="0"/>
          <c:showCatName val="0"/>
          <c:showSerName val="0"/>
          <c:showPercent val="0"/>
          <c:showBubbleSize val="0"/>
        </c:dLbls>
        <c:axId val="464552640"/>
        <c:axId val="464547936"/>
      </c:scatterChart>
      <c:valAx>
        <c:axId val="464552640"/>
        <c:scaling>
          <c:orientation val="minMax"/>
        </c:scaling>
        <c:delete val="0"/>
        <c:axPos val="b"/>
        <c:majorGridlines>
          <c:spPr>
            <a:ln w="9525" cap="flat" cmpd="sng" algn="ctr">
              <a:solidFill>
                <a:schemeClr val="bg1"/>
              </a:solidFill>
              <a:round/>
            </a:ln>
            <a:effectLst/>
          </c:spPr>
        </c:majorGridlines>
        <c:numFmt formatCode="0.0" sourceLinked="1"/>
        <c:majorTickMark val="none"/>
        <c:minorTickMark val="none"/>
        <c:tickLblPos val="none"/>
        <c:spPr>
          <a:noFill/>
          <a:ln w="1270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547936"/>
        <c:crossesAt val="0"/>
        <c:crossBetween val="midCat"/>
        <c:majorUnit val="1"/>
        <c:minorUnit val="1"/>
      </c:valAx>
      <c:valAx>
        <c:axId val="464547936"/>
        <c:scaling>
          <c:orientation val="minMax"/>
          <c:max val="1.1000000000000001"/>
          <c:min val="-0.1"/>
        </c:scaling>
        <c:delete val="0"/>
        <c:axPos val="l"/>
        <c:majorGridlines>
          <c:spPr>
            <a:ln w="0" cap="flat" cmpd="sng" algn="ctr">
              <a:solidFill>
                <a:schemeClr val="bg1"/>
              </a:solidFill>
              <a:round/>
            </a:ln>
            <a:effectLst/>
          </c:spPr>
        </c:majorGridlines>
        <c:numFmt formatCode="General" sourceLinked="0"/>
        <c:majorTickMark val="none"/>
        <c:minorTickMark val="none"/>
        <c:tickLblPos val="none"/>
        <c:spPr>
          <a:noFill/>
          <a:ln w="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552640"/>
        <c:crosses val="autoZero"/>
        <c:crossBetween val="midCat"/>
      </c:valAx>
      <c:spPr>
        <a:noFill/>
        <a:ln>
          <a:noFill/>
        </a:ln>
        <a:effectLst/>
      </c:spPr>
    </c:plotArea>
    <c:plotVisOnly val="1"/>
    <c:dispBlanksAs val="gap"/>
    <c:showDLblsOverMax val="0"/>
  </c:chart>
  <c:spPr>
    <a:solidFill>
      <a:schemeClr val="bg1"/>
    </a:solidFill>
    <a:ln w="635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3"/>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143100123826292E-2"/>
          <c:y val="4.9636682882124875E-2"/>
          <c:w val="0.93918983031278636"/>
          <c:h val="0.91995237723862811"/>
        </c:manualLayout>
      </c:layout>
      <c:scatterChart>
        <c:scatterStyle val="lineMarker"/>
        <c:varyColors val="0"/>
        <c:ser>
          <c:idx val="1"/>
          <c:order val="0"/>
          <c:tx>
            <c:v>Outline</c:v>
          </c:tx>
          <c:spPr>
            <a:ln w="19050" cap="rnd">
              <a:noFill/>
              <a:round/>
            </a:ln>
            <a:effectLst/>
          </c:spPr>
          <c:marker>
            <c:symbol val="none"/>
          </c:marker>
          <c:xVal>
            <c:numRef>
              <c:f>Calc!$CD$4:$CD$8</c:f>
              <c:numCache>
                <c:formatCode>0.0</c:formatCode>
                <c:ptCount val="5"/>
                <c:pt idx="0">
                  <c:v>-61.199526109531803</c:v>
                </c:pt>
                <c:pt idx="1">
                  <c:v>124.694734508658</c:v>
                </c:pt>
                <c:pt idx="2">
                  <c:v>124.694734508658</c:v>
                </c:pt>
                <c:pt idx="3">
                  <c:v>-61.199526109531803</c:v>
                </c:pt>
                <c:pt idx="4">
                  <c:v>-61.199526109531803</c:v>
                </c:pt>
              </c:numCache>
            </c:numRef>
          </c:xVal>
          <c:yVal>
            <c:numRef>
              <c:f>Calc!$CC$4:$CC$8</c:f>
              <c:numCache>
                <c:formatCode>0.0</c:formatCode>
                <c:ptCount val="5"/>
                <c:pt idx="0">
                  <c:v>0</c:v>
                </c:pt>
                <c:pt idx="1">
                  <c:v>0</c:v>
                </c:pt>
                <c:pt idx="2">
                  <c:v>1</c:v>
                </c:pt>
                <c:pt idx="3">
                  <c:v>1</c:v>
                </c:pt>
                <c:pt idx="4">
                  <c:v>0</c:v>
                </c:pt>
              </c:numCache>
            </c:numRef>
          </c:yVal>
          <c:smooth val="0"/>
          <c:extLst>
            <c:ext xmlns:c16="http://schemas.microsoft.com/office/drawing/2014/chart" uri="{C3380CC4-5D6E-409C-BE32-E72D297353CC}">
              <c16:uniqueId val="{00000000-F346-4973-8597-7495BA9E1141}"/>
            </c:ext>
          </c:extLst>
        </c:ser>
        <c:ser>
          <c:idx val="0"/>
          <c:order val="1"/>
          <c:tx>
            <c:v>Mz1</c:v>
          </c:tx>
          <c:spPr>
            <a:ln w="12700" cap="rnd">
              <a:solidFill>
                <a:schemeClr val="accent1"/>
              </a:solidFill>
              <a:round/>
            </a:ln>
            <a:effectLst/>
          </c:spPr>
          <c:marker>
            <c:symbol val="none"/>
          </c:marker>
          <c:dPt>
            <c:idx val="1"/>
            <c:marker>
              <c:symbol val="none"/>
            </c:marker>
            <c:bubble3D val="0"/>
            <c:spPr>
              <a:ln w="19050" cap="rnd">
                <a:solidFill>
                  <a:schemeClr val="tx1"/>
                </a:solidFill>
                <a:round/>
              </a:ln>
              <a:effectLst/>
            </c:spPr>
            <c:extLst>
              <c:ext xmlns:c16="http://schemas.microsoft.com/office/drawing/2014/chart" uri="{C3380CC4-5D6E-409C-BE32-E72D297353CC}">
                <c16:uniqueId val="{00000002-F346-4973-8597-7495BA9E1141}"/>
              </c:ext>
            </c:extLst>
          </c:dPt>
          <c:dPt>
            <c:idx val="2"/>
            <c:marker>
              <c:symbol val="none"/>
            </c:marker>
            <c:bubble3D val="0"/>
            <c:spPr>
              <a:ln w="22225" cap="rnd">
                <a:solidFill>
                  <a:srgbClr val="0000FF"/>
                </a:solidFill>
                <a:round/>
              </a:ln>
              <a:effectLst/>
            </c:spPr>
            <c:extLst>
              <c:ext xmlns:c16="http://schemas.microsoft.com/office/drawing/2014/chart" uri="{C3380CC4-5D6E-409C-BE32-E72D297353CC}">
                <c16:uniqueId val="{00000004-F346-4973-8597-7495BA9E1141}"/>
              </c:ext>
            </c:extLst>
          </c:dPt>
          <c:dLbls>
            <c:dLbl>
              <c:idx val="0"/>
              <c:delete val="1"/>
              <c:extLst>
                <c:ext xmlns:c15="http://schemas.microsoft.com/office/drawing/2012/chart" uri="{CE6537A1-D6FC-4f65-9D91-7224C49458BB}"/>
                <c:ext xmlns:c16="http://schemas.microsoft.com/office/drawing/2014/chart" uri="{C3380CC4-5D6E-409C-BE32-E72D297353CC}">
                  <c16:uniqueId val="{00000005-F346-4973-8597-7495BA9E1141}"/>
                </c:ext>
              </c:extLst>
            </c:dLbl>
            <c:dLbl>
              <c:idx val="1"/>
              <c:layout>
                <c:manualLayout>
                  <c:x val="-0.10364525073345601"/>
                  <c:y val="5.7212050626125097E-2"/>
                </c:manualLayout>
              </c:layout>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346-4973-8597-7495BA9E1141}"/>
                </c:ext>
              </c:extLst>
            </c:dLbl>
            <c:dLbl>
              <c:idx val="2"/>
              <c:layout>
                <c:manualLayout>
                  <c:x val="-7.6383708831946229E-2"/>
                  <c:y val="-5.069005864169715E-2"/>
                </c:manualLayout>
              </c:layout>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346-4973-8597-7495BA9E1141}"/>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Calc!$AB$33:$AE$33</c:f>
              <c:numCache>
                <c:formatCode>0.0</c:formatCode>
                <c:ptCount val="4"/>
                <c:pt idx="0">
                  <c:v>0</c:v>
                </c:pt>
                <c:pt idx="1">
                  <c:v>0</c:v>
                </c:pt>
                <c:pt idx="2">
                  <c:v>2.2957635792408801E-15</c:v>
                </c:pt>
              </c:numCache>
            </c:numRef>
          </c:xVal>
          <c:yVal>
            <c:numRef>
              <c:f>Calc!$AB$31:$AE$31</c:f>
              <c:numCache>
                <c:formatCode>General</c:formatCode>
                <c:ptCount val="4"/>
                <c:pt idx="0">
                  <c:v>0</c:v>
                </c:pt>
                <c:pt idx="1">
                  <c:v>0</c:v>
                </c:pt>
                <c:pt idx="2" formatCode="0.0">
                  <c:v>1</c:v>
                </c:pt>
              </c:numCache>
            </c:numRef>
          </c:yVal>
          <c:smooth val="0"/>
          <c:extLst>
            <c:ext xmlns:c16="http://schemas.microsoft.com/office/drawing/2014/chart" uri="{C3380CC4-5D6E-409C-BE32-E72D297353CC}">
              <c16:uniqueId val="{00000006-F346-4973-8597-7495BA9E1141}"/>
            </c:ext>
          </c:extLst>
        </c:ser>
        <c:ser>
          <c:idx val="2"/>
          <c:order val="2"/>
          <c:tx>
            <c:v>Mz2</c:v>
          </c:tx>
          <c:spPr>
            <a:ln w="19050" cap="rnd">
              <a:solidFill>
                <a:schemeClr val="accent1"/>
              </a:solidFill>
              <a:round/>
            </a:ln>
            <a:effectLst/>
          </c:spPr>
          <c:marker>
            <c:symbol val="none"/>
          </c:marker>
          <c:dPt>
            <c:idx val="1"/>
            <c:marker>
              <c:symbol val="none"/>
            </c:marker>
            <c:bubble3D val="0"/>
            <c:spPr>
              <a:ln w="19050" cap="rnd">
                <a:solidFill>
                  <a:schemeClr val="tx1"/>
                </a:solidFill>
                <a:round/>
              </a:ln>
              <a:effectLst/>
            </c:spPr>
            <c:extLst>
              <c:ext xmlns:c16="http://schemas.microsoft.com/office/drawing/2014/chart" uri="{C3380CC4-5D6E-409C-BE32-E72D297353CC}">
                <c16:uniqueId val="{00000008-F346-4973-8597-7495BA9E1141}"/>
              </c:ext>
            </c:extLst>
          </c:dPt>
          <c:dPt>
            <c:idx val="2"/>
            <c:marker>
              <c:symbol val="none"/>
            </c:marker>
            <c:bubble3D val="0"/>
            <c:spPr>
              <a:ln w="19050" cap="rnd">
                <a:solidFill>
                  <a:schemeClr val="tx1"/>
                </a:solidFill>
                <a:round/>
              </a:ln>
              <a:effectLst/>
            </c:spPr>
            <c:extLst>
              <c:ext xmlns:c16="http://schemas.microsoft.com/office/drawing/2014/chart" uri="{C3380CC4-5D6E-409C-BE32-E72D297353CC}">
                <c16:uniqueId val="{0000000A-F346-4973-8597-7495BA9E1141}"/>
              </c:ext>
            </c:extLst>
          </c:dPt>
          <c:xVal>
            <c:numRef>
              <c:f>Calc!$AG$33:$AI$33</c:f>
              <c:numCache>
                <c:formatCode>0.0</c:formatCode>
                <c:ptCount val="3"/>
                <c:pt idx="0">
                  <c:v>0</c:v>
                </c:pt>
                <c:pt idx="1">
                  <c:v>0</c:v>
                </c:pt>
                <c:pt idx="2">
                  <c:v>2.2957635792408801E-15</c:v>
                </c:pt>
              </c:numCache>
            </c:numRef>
          </c:xVal>
          <c:yVal>
            <c:numRef>
              <c:f>Calc!$AG$31:$AI$31</c:f>
              <c:numCache>
                <c:formatCode>0.0</c:formatCode>
                <c:ptCount val="3"/>
                <c:pt idx="0">
                  <c:v>0</c:v>
                </c:pt>
                <c:pt idx="1">
                  <c:v>1</c:v>
                </c:pt>
                <c:pt idx="2">
                  <c:v>1</c:v>
                </c:pt>
              </c:numCache>
            </c:numRef>
          </c:yVal>
          <c:smooth val="0"/>
          <c:extLst>
            <c:ext xmlns:c16="http://schemas.microsoft.com/office/drawing/2014/chart" uri="{C3380CC4-5D6E-409C-BE32-E72D297353CC}">
              <c16:uniqueId val="{0000000B-F346-4973-8597-7495BA9E1141}"/>
            </c:ext>
          </c:extLst>
        </c:ser>
        <c:dLbls>
          <c:showLegendKey val="0"/>
          <c:showVal val="0"/>
          <c:showCatName val="0"/>
          <c:showSerName val="0"/>
          <c:showPercent val="0"/>
          <c:showBubbleSize val="0"/>
        </c:dLbls>
        <c:axId val="464548720"/>
        <c:axId val="464552248"/>
      </c:scatterChart>
      <c:valAx>
        <c:axId val="464548720"/>
        <c:scaling>
          <c:orientation val="minMax"/>
        </c:scaling>
        <c:delete val="0"/>
        <c:axPos val="b"/>
        <c:majorGridlines>
          <c:spPr>
            <a:ln w="9525" cap="flat" cmpd="sng" algn="ctr">
              <a:solidFill>
                <a:schemeClr val="bg1"/>
              </a:solidFill>
              <a:round/>
            </a:ln>
            <a:effectLst/>
          </c:spPr>
        </c:majorGridlines>
        <c:numFmt formatCode="0.0" sourceLinked="1"/>
        <c:majorTickMark val="none"/>
        <c:minorTickMark val="none"/>
        <c:tickLblPos val="none"/>
        <c:spPr>
          <a:noFill/>
          <a:ln w="1270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552248"/>
        <c:crossesAt val="0"/>
        <c:crossBetween val="midCat"/>
        <c:majorUnit val="1"/>
        <c:minorUnit val="1"/>
      </c:valAx>
      <c:valAx>
        <c:axId val="464552248"/>
        <c:scaling>
          <c:orientation val="minMax"/>
          <c:max val="1.1000000000000001"/>
          <c:min val="-0.1"/>
        </c:scaling>
        <c:delete val="0"/>
        <c:axPos val="l"/>
        <c:majorGridlines>
          <c:spPr>
            <a:ln w="0" cap="flat" cmpd="sng" algn="ctr">
              <a:solidFill>
                <a:schemeClr val="bg1"/>
              </a:solidFill>
              <a:round/>
            </a:ln>
            <a:effectLst/>
          </c:spPr>
        </c:majorGridlines>
        <c:numFmt formatCode="General" sourceLinked="0"/>
        <c:majorTickMark val="none"/>
        <c:minorTickMark val="none"/>
        <c:tickLblPos val="none"/>
        <c:spPr>
          <a:noFill/>
          <a:ln w="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548720"/>
        <c:crosses val="autoZero"/>
        <c:crossBetween val="midCat"/>
      </c:valAx>
      <c:spPr>
        <a:noFill/>
        <a:ln>
          <a:noFill/>
        </a:ln>
        <a:effectLst/>
      </c:spPr>
    </c:plotArea>
    <c:plotVisOnly val="1"/>
    <c:dispBlanksAs val="gap"/>
    <c:showDLblsOverMax val="0"/>
  </c:chart>
  <c:spPr>
    <a:solidFill>
      <a:schemeClr val="bg1"/>
    </a:solidFill>
    <a:ln w="635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chart" Target="../charts/chart11.xml"/><Relationship Id="rId3" Type="http://schemas.openxmlformats.org/officeDocument/2006/relationships/image" Target="../media/image3.emf"/><Relationship Id="rId7" Type="http://schemas.openxmlformats.org/officeDocument/2006/relationships/chart" Target="../charts/chart5.xml"/><Relationship Id="rId12" Type="http://schemas.openxmlformats.org/officeDocument/2006/relationships/chart" Target="../charts/chart10.xml"/><Relationship Id="rId2" Type="http://schemas.openxmlformats.org/officeDocument/2006/relationships/image" Target="../media/image2.png"/><Relationship Id="rId1" Type="http://schemas.openxmlformats.org/officeDocument/2006/relationships/chart" Target="../charts/chart1.xml"/><Relationship Id="rId6" Type="http://schemas.openxmlformats.org/officeDocument/2006/relationships/chart" Target="../charts/chart4.xml"/><Relationship Id="rId11" Type="http://schemas.openxmlformats.org/officeDocument/2006/relationships/chart" Target="../charts/chart9.xml"/><Relationship Id="rId5" Type="http://schemas.openxmlformats.org/officeDocument/2006/relationships/chart" Target="../charts/chart3.xml"/><Relationship Id="rId10" Type="http://schemas.openxmlformats.org/officeDocument/2006/relationships/chart" Target="../charts/chart8.xml"/><Relationship Id="rId4" Type="http://schemas.openxmlformats.org/officeDocument/2006/relationships/chart" Target="../charts/chart2.xml"/><Relationship Id="rId9"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chart" Target="../charts/chart16.xml"/><Relationship Id="rId5" Type="http://schemas.openxmlformats.org/officeDocument/2006/relationships/image" Target="../media/image3.emf"/><Relationship Id="rId4" Type="http://schemas.openxmlformats.org/officeDocument/2006/relationships/chart" Target="../charts/chart15.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3.xml"/><Relationship Id="rId13" Type="http://schemas.openxmlformats.org/officeDocument/2006/relationships/chart" Target="../charts/chart28.xml"/><Relationship Id="rId3" Type="http://schemas.openxmlformats.org/officeDocument/2006/relationships/chart" Target="../charts/chart18.xml"/><Relationship Id="rId7" Type="http://schemas.openxmlformats.org/officeDocument/2006/relationships/chart" Target="../charts/chart22.xml"/><Relationship Id="rId12" Type="http://schemas.openxmlformats.org/officeDocument/2006/relationships/chart" Target="../charts/chart27.xml"/><Relationship Id="rId2" Type="http://schemas.openxmlformats.org/officeDocument/2006/relationships/chart" Target="../charts/chart17.xml"/><Relationship Id="rId1" Type="http://schemas.openxmlformats.org/officeDocument/2006/relationships/image" Target="../media/image3.emf"/><Relationship Id="rId6" Type="http://schemas.openxmlformats.org/officeDocument/2006/relationships/chart" Target="../charts/chart21.xml"/><Relationship Id="rId11" Type="http://schemas.openxmlformats.org/officeDocument/2006/relationships/chart" Target="../charts/chart26.xml"/><Relationship Id="rId5" Type="http://schemas.openxmlformats.org/officeDocument/2006/relationships/chart" Target="../charts/chart20.xml"/><Relationship Id="rId10" Type="http://schemas.openxmlformats.org/officeDocument/2006/relationships/chart" Target="../charts/chart25.xml"/><Relationship Id="rId4" Type="http://schemas.openxmlformats.org/officeDocument/2006/relationships/chart" Target="../charts/chart19.xml"/><Relationship Id="rId9" Type="http://schemas.openxmlformats.org/officeDocument/2006/relationships/chart" Target="../charts/chart24.xml"/></Relationships>
</file>

<file path=xl/drawings/_rels/drawing23.xml.rels><?xml version="1.0" encoding="UTF-8" standalone="yes"?>
<Relationships xmlns="http://schemas.openxmlformats.org/package/2006/relationships"><Relationship Id="rId1" Type="http://schemas.openxmlformats.org/officeDocument/2006/relationships/image" Target="../media/image3.emf"/></Relationships>
</file>

<file path=xl/drawings/_rels/drawing24.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5.emf"/></Relationships>
</file>

<file path=xl/drawings/_rels/drawing25.xml.rels><?xml version="1.0" encoding="UTF-8" standalone="yes"?>
<Relationships xmlns="http://schemas.openxmlformats.org/package/2006/relationships"><Relationship Id="rId1" Type="http://schemas.openxmlformats.org/officeDocument/2006/relationships/image" Target="../media/image5.emf"/></Relationships>
</file>

<file path=xl/drawings/_rels/drawing26.xml.rels><?xml version="1.0" encoding="UTF-8" standalone="yes"?>
<Relationships xmlns="http://schemas.openxmlformats.org/package/2006/relationships"><Relationship Id="rId1" Type="http://schemas.openxmlformats.org/officeDocument/2006/relationships/image" Target="../media/image3.emf"/></Relationships>
</file>

<file path=xl/drawings/_rels/drawing27.xml.rels><?xml version="1.0" encoding="UTF-8" standalone="yes"?>
<Relationships xmlns="http://schemas.openxmlformats.org/package/2006/relationships"><Relationship Id="rId1" Type="http://schemas.openxmlformats.org/officeDocument/2006/relationships/image" Target="../media/image3.emf"/></Relationships>
</file>

<file path=xl/drawings/_rels/drawing28.x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7</xdr:col>
      <xdr:colOff>626533</xdr:colOff>
      <xdr:row>11</xdr:row>
      <xdr:rowOff>8468</xdr:rowOff>
    </xdr:from>
    <xdr:to>
      <xdr:col>9</xdr:col>
      <xdr:colOff>237066</xdr:colOff>
      <xdr:row>17</xdr:row>
      <xdr:rowOff>20109</xdr:rowOff>
    </xdr:to>
    <xdr:graphicFrame macro="">
      <xdr:nvGraphicFramePr>
        <xdr:cNvPr id="1174" name="Chart 4">
          <a:extLst>
            <a:ext uri="{FF2B5EF4-FFF2-40B4-BE49-F238E27FC236}">
              <a16:creationId xmlns:a16="http://schemas.microsoft.com/office/drawing/2014/main" id="{00000000-0008-0000-0000-000096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143934</xdr:colOff>
      <xdr:row>0</xdr:row>
      <xdr:rowOff>68789</xdr:rowOff>
    </xdr:from>
    <xdr:to>
      <xdr:col>12</xdr:col>
      <xdr:colOff>2819401</xdr:colOff>
      <xdr:row>5</xdr:row>
      <xdr:rowOff>118532</xdr:rowOff>
    </xdr:to>
    <xdr:sp macro="" textlink="">
      <xdr:nvSpPr>
        <xdr:cNvPr id="1080" name="Text Box 56">
          <a:extLst>
            <a:ext uri="{FF2B5EF4-FFF2-40B4-BE49-F238E27FC236}">
              <a16:creationId xmlns:a16="http://schemas.microsoft.com/office/drawing/2014/main" id="{00000000-0008-0000-0000-000038040000}"/>
            </a:ext>
          </a:extLst>
        </xdr:cNvPr>
        <xdr:cNvSpPr txBox="1">
          <a:spLocks noChangeArrowheads="1"/>
        </xdr:cNvSpPr>
      </xdr:nvSpPr>
      <xdr:spPr bwMode="auto">
        <a:xfrm>
          <a:off x="10295467" y="68789"/>
          <a:ext cx="2675467" cy="1353610"/>
        </a:xfrm>
        <a:prstGeom prst="rect">
          <a:avLst/>
        </a:prstGeom>
        <a:gradFill rotWithShape="1">
          <a:gsLst>
            <a:gs pos="0">
              <a:srgbClr val="FFFFFF"/>
            </a:gs>
            <a:gs pos="100000">
              <a:srgbClr val="E5E9F0"/>
            </a:gs>
          </a:gsLst>
          <a:lin ang="5400000" scaled="1"/>
        </a:gradFill>
        <a:ln w="19050">
          <a:solidFill>
            <a:srgbClr val="000000"/>
          </a:solidFill>
          <a:miter lim="800000"/>
          <a:headEnd/>
          <a:tailEnd/>
        </a:ln>
      </xdr:spPr>
      <xdr:txBody>
        <a:bodyPr vertOverflow="clip" wrap="square" lIns="36576" tIns="36576" rIns="0" bIns="0" anchor="t" upright="1"/>
        <a:lstStyle/>
        <a:p>
          <a:pPr algn="l" rtl="0">
            <a:defRPr sz="1000"/>
          </a:pPr>
          <a:r>
            <a:rPr lang="en-GB" sz="1100" b="1" i="0" u="none" strike="noStrike" baseline="0">
              <a:solidFill>
                <a:srgbClr val="000000"/>
              </a:solidFill>
              <a:latin typeface="Trebuchet MS"/>
            </a:rPr>
            <a:t>OPERATING INSTRUCTIONS</a:t>
          </a:r>
          <a:endParaRPr lang="en-GB" sz="1100" b="0" i="0" u="none" strike="noStrike" baseline="0">
            <a:solidFill>
              <a:srgbClr val="000000"/>
            </a:solidFill>
            <a:latin typeface="Trebuchet MS"/>
          </a:endParaRPr>
        </a:p>
        <a:p>
          <a:pPr algn="l" rtl="0">
            <a:defRPr sz="1000"/>
          </a:pPr>
          <a:endParaRPr lang="en-GB" sz="1100" b="0" i="0" u="none" strike="noStrike" baseline="0">
            <a:solidFill>
              <a:srgbClr val="000000"/>
            </a:solidFill>
            <a:latin typeface="Trebuchet MS"/>
          </a:endParaRPr>
        </a:p>
        <a:p>
          <a:pPr algn="l" rtl="0">
            <a:defRPr sz="1000"/>
          </a:pPr>
          <a:r>
            <a:rPr lang="en-GB" sz="1100" b="0" i="0" u="none" strike="noStrike" baseline="0">
              <a:solidFill>
                <a:srgbClr val="000000"/>
              </a:solidFill>
              <a:latin typeface="Trebuchet MS"/>
            </a:rPr>
            <a:t>ENTER DATA IN</a:t>
          </a:r>
          <a:r>
            <a:rPr lang="en-GB" sz="1100" b="1" i="0" u="none" strike="noStrike" baseline="0">
              <a:solidFill>
                <a:srgbClr val="0000FF"/>
              </a:solidFill>
              <a:latin typeface="Trebuchet MS"/>
            </a:rPr>
            <a:t> BLUE CELLS</a:t>
          </a:r>
          <a:r>
            <a:rPr lang="en-GB" sz="1100" b="0" i="0" u="none" strike="noStrike" baseline="0">
              <a:solidFill>
                <a:srgbClr val="000000"/>
              </a:solidFill>
              <a:latin typeface="Trebuchet MS"/>
            </a:rPr>
            <a:t> ONLY.</a:t>
          </a:r>
        </a:p>
        <a:p>
          <a:pPr algn="l" rtl="0">
            <a:defRPr sz="1000"/>
          </a:pPr>
          <a:r>
            <a:rPr lang="en-GB" sz="1100" b="1" i="0" u="none" strike="noStrike" baseline="0">
              <a:solidFill>
                <a:srgbClr val="FF0000"/>
              </a:solidFill>
              <a:latin typeface="Trebuchet MS"/>
            </a:rPr>
            <a:t>RED MESSAGES</a:t>
          </a:r>
          <a:r>
            <a:rPr lang="en-GB" sz="1100" b="0" i="0" u="none" strike="noStrike" baseline="0">
              <a:solidFill>
                <a:srgbClr val="000000"/>
              </a:solidFill>
              <a:latin typeface="Trebuchet MS"/>
            </a:rPr>
            <a:t> INDICATE ENTRY ERRORS.</a:t>
          </a:r>
        </a:p>
        <a:p>
          <a:pPr algn="l" rtl="0">
            <a:defRPr sz="1000"/>
          </a:pPr>
          <a:r>
            <a:rPr lang="en-GB" sz="1100" b="0" i="1" u="none" strike="noStrike" baseline="0">
              <a:solidFill>
                <a:srgbClr val="007854"/>
              </a:solidFill>
              <a:latin typeface="Trebuchet MS"/>
            </a:rPr>
            <a:t>MAX 10 BARS PER FACE.</a:t>
          </a:r>
        </a:p>
        <a:p>
          <a:pPr algn="l" rtl="0">
            <a:defRPr sz="1000"/>
          </a:pPr>
          <a:endParaRPr lang="en-GB" sz="1100" b="0" i="1" u="none" strike="noStrike" baseline="0">
            <a:solidFill>
              <a:srgbClr val="C00000"/>
            </a:solidFill>
            <a:latin typeface="Trebuchet MS"/>
          </a:endParaRPr>
        </a:p>
        <a:p>
          <a:pPr algn="l" rtl="0">
            <a:defRPr sz="1000"/>
          </a:pPr>
          <a:r>
            <a:rPr lang="en-GB" sz="1100" b="0" i="0" u="none" strike="noStrike" baseline="0">
              <a:solidFill>
                <a:srgbClr val="C00000"/>
              </a:solidFill>
              <a:latin typeface="Trebuchet MS"/>
            </a:rPr>
            <a:t>LOAD CASE REF MUST BE NUMERIC &amp; INCREASING FROM TOP TO BOTTOM </a:t>
          </a:r>
        </a:p>
      </xdr:txBody>
    </xdr:sp>
    <xdr:clientData/>
  </xdr:twoCellAnchor>
  <xdr:twoCellAnchor editAs="oneCell">
    <xdr:from>
      <xdr:col>1</xdr:col>
      <xdr:colOff>28575</xdr:colOff>
      <xdr:row>4</xdr:row>
      <xdr:rowOff>295275</xdr:rowOff>
    </xdr:from>
    <xdr:to>
      <xdr:col>1</xdr:col>
      <xdr:colOff>904875</xdr:colOff>
      <xdr:row>5</xdr:row>
      <xdr:rowOff>228600</xdr:rowOff>
    </xdr:to>
    <xdr:pic>
      <xdr:nvPicPr>
        <xdr:cNvPr id="1176" name="Picture 73" descr="eurocode">
          <a:extLst>
            <a:ext uri="{FF2B5EF4-FFF2-40B4-BE49-F238E27FC236}">
              <a16:creationId xmlns:a16="http://schemas.microsoft.com/office/drawing/2014/main" id="{00000000-0008-0000-0000-0000980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2900" y="1295400"/>
          <a:ext cx="87630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428625</xdr:colOff>
      <xdr:row>1</xdr:row>
      <xdr:rowOff>47625</xdr:rowOff>
    </xdr:from>
    <xdr:to>
      <xdr:col>7</xdr:col>
      <xdr:colOff>666750</xdr:colOff>
      <xdr:row>3</xdr:row>
      <xdr:rowOff>152400</xdr:rowOff>
    </xdr:to>
    <xdr:pic>
      <xdr:nvPicPr>
        <xdr:cNvPr id="1178" name="Picture 169">
          <a:extLst>
            <a:ext uri="{FF2B5EF4-FFF2-40B4-BE49-F238E27FC236}">
              <a16:creationId xmlns:a16="http://schemas.microsoft.com/office/drawing/2014/main" id="{00000000-0008-0000-0000-00009A04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14800" y="295275"/>
          <a:ext cx="1743075"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463550</xdr:colOff>
      <xdr:row>8</xdr:row>
      <xdr:rowOff>38100</xdr:rowOff>
    </xdr:from>
    <xdr:to>
      <xdr:col>10</xdr:col>
      <xdr:colOff>372534</xdr:colOff>
      <xdr:row>9</xdr:row>
      <xdr:rowOff>141817</xdr:rowOff>
    </xdr:to>
    <xdr:sp macro="" textlink="">
      <xdr:nvSpPr>
        <xdr:cNvPr id="1097" name="ComboBox1" hidden="1">
          <a:extLst>
            <a:ext uri="{63B3BB69-23CF-44E3-9099-C40C66FF867C}">
              <a14:compatExt xmlns:a14="http://schemas.microsoft.com/office/drawing/2010/main" spid="_x0000_s1097"/>
            </a:ext>
            <a:ext uri="{FF2B5EF4-FFF2-40B4-BE49-F238E27FC236}">
              <a16:creationId xmlns:a16="http://schemas.microsoft.com/office/drawing/2014/main" id="{00000000-0008-0000-0000-000049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7</xdr:col>
      <xdr:colOff>110066</xdr:colOff>
      <xdr:row>42</xdr:row>
      <xdr:rowOff>0</xdr:rowOff>
    </xdr:from>
    <xdr:to>
      <xdr:col>8</xdr:col>
      <xdr:colOff>719666</xdr:colOff>
      <xdr:row>46</xdr:row>
      <xdr:rowOff>190499</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33867</xdr:colOff>
      <xdr:row>42</xdr:row>
      <xdr:rowOff>3174</xdr:rowOff>
    </xdr:from>
    <xdr:to>
      <xdr:col>10</xdr:col>
      <xdr:colOff>618066</xdr:colOff>
      <xdr:row>46</xdr:row>
      <xdr:rowOff>190499</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143934</xdr:colOff>
      <xdr:row>18</xdr:row>
      <xdr:rowOff>76200</xdr:rowOff>
    </xdr:from>
    <xdr:to>
      <xdr:col>12</xdr:col>
      <xdr:colOff>1667935</xdr:colOff>
      <xdr:row>29</xdr:row>
      <xdr:rowOff>186267</xdr:rowOff>
    </xdr:to>
    <xdr:graphicFrame macro="">
      <xdr:nvGraphicFramePr>
        <xdr:cNvPr id="16" name="Chart 15">
          <a:extLst>
            <a:ext uri="{FF2B5EF4-FFF2-40B4-BE49-F238E27FC236}">
              <a16:creationId xmlns:a16="http://schemas.microsoft.com/office/drawing/2014/main" id="{00000000-0008-0000-00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1769535</xdr:colOff>
      <xdr:row>18</xdr:row>
      <xdr:rowOff>67732</xdr:rowOff>
    </xdr:from>
    <xdr:to>
      <xdr:col>12</xdr:col>
      <xdr:colOff>4309535</xdr:colOff>
      <xdr:row>29</xdr:row>
      <xdr:rowOff>177800</xdr:rowOff>
    </xdr:to>
    <xdr:graphicFrame macro="">
      <xdr:nvGraphicFramePr>
        <xdr:cNvPr id="18" name="Chart 17">
          <a:extLst>
            <a:ext uri="{FF2B5EF4-FFF2-40B4-BE49-F238E27FC236}">
              <a16:creationId xmlns:a16="http://schemas.microsoft.com/office/drawing/2014/main" id="{00000000-0008-0000-00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135466</xdr:colOff>
      <xdr:row>30</xdr:row>
      <xdr:rowOff>84668</xdr:rowOff>
    </xdr:from>
    <xdr:to>
      <xdr:col>12</xdr:col>
      <xdr:colOff>1667933</xdr:colOff>
      <xdr:row>40</xdr:row>
      <xdr:rowOff>177800</xdr:rowOff>
    </xdr:to>
    <xdr:graphicFrame macro="">
      <xdr:nvGraphicFramePr>
        <xdr:cNvPr id="19" name="Chart 18">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1761067</xdr:colOff>
      <xdr:row>30</xdr:row>
      <xdr:rowOff>84666</xdr:rowOff>
    </xdr:from>
    <xdr:to>
      <xdr:col>12</xdr:col>
      <xdr:colOff>4326467</xdr:colOff>
      <xdr:row>40</xdr:row>
      <xdr:rowOff>171449</xdr:rowOff>
    </xdr:to>
    <xdr:graphicFrame macro="">
      <xdr:nvGraphicFramePr>
        <xdr:cNvPr id="21" name="Chart 20">
          <a:extLst>
            <a:ext uri="{FF2B5EF4-FFF2-40B4-BE49-F238E27FC236}">
              <a16:creationId xmlns:a16="http://schemas.microsoft.com/office/drawing/2014/main" id="{00000000-0008-0000-00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1769534</xdr:colOff>
      <xdr:row>41</xdr:row>
      <xdr:rowOff>33867</xdr:rowOff>
    </xdr:from>
    <xdr:to>
      <xdr:col>12</xdr:col>
      <xdr:colOff>4351867</xdr:colOff>
      <xdr:row>50</xdr:row>
      <xdr:rowOff>143935</xdr:rowOff>
    </xdr:to>
    <xdr:graphicFrame macro="">
      <xdr:nvGraphicFramePr>
        <xdr:cNvPr id="23" name="Chart 22">
          <a:extLst>
            <a:ext uri="{FF2B5EF4-FFF2-40B4-BE49-F238E27FC236}">
              <a16:creationId xmlns:a16="http://schemas.microsoft.com/office/drawing/2014/main" id="{00000000-0008-0000-00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152400</xdr:colOff>
      <xdr:row>41</xdr:row>
      <xdr:rowOff>42334</xdr:rowOff>
    </xdr:from>
    <xdr:to>
      <xdr:col>12</xdr:col>
      <xdr:colOff>1676400</xdr:colOff>
      <xdr:row>50</xdr:row>
      <xdr:rowOff>143935</xdr:rowOff>
    </xdr:to>
    <xdr:graphicFrame macro="">
      <xdr:nvGraphicFramePr>
        <xdr:cNvPr id="25" name="Chart 24">
          <a:extLst>
            <a:ext uri="{FF2B5EF4-FFF2-40B4-BE49-F238E27FC236}">
              <a16:creationId xmlns:a16="http://schemas.microsoft.com/office/drawing/2014/main" id="{00000000-0008-0000-00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176741</xdr:colOff>
      <xdr:row>29</xdr:row>
      <xdr:rowOff>57150</xdr:rowOff>
    </xdr:from>
    <xdr:to>
      <xdr:col>11</xdr:col>
      <xdr:colOff>676276</xdr:colOff>
      <xdr:row>29</xdr:row>
      <xdr:rowOff>165098</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9219141" y="6261100"/>
          <a:ext cx="499535" cy="10794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rtlCol="0" anchor="ctr" anchorCtr="0"/>
        <a:lstStyle/>
        <a:p>
          <a:pPr algn="l"/>
          <a:r>
            <a:rPr lang="en-GB" sz="1100" b="1">
              <a:solidFill>
                <a:srgbClr val="800000"/>
              </a:solidFill>
            </a:rPr>
            <a:t>MoY</a:t>
          </a:r>
        </a:p>
      </xdr:txBody>
    </xdr:sp>
    <xdr:clientData/>
  </xdr:twoCellAnchor>
  <xdr:twoCellAnchor>
    <xdr:from>
      <xdr:col>12</xdr:col>
      <xdr:colOff>1778001</xdr:colOff>
      <xdr:row>6</xdr:row>
      <xdr:rowOff>118534</xdr:rowOff>
    </xdr:from>
    <xdr:to>
      <xdr:col>12</xdr:col>
      <xdr:colOff>4275669</xdr:colOff>
      <xdr:row>17</xdr:row>
      <xdr:rowOff>160867</xdr:rowOff>
    </xdr:to>
    <xdr:graphicFrame macro="">
      <xdr:nvGraphicFramePr>
        <xdr:cNvPr id="28" name="Chart 27">
          <a:extLst>
            <a:ext uri="{FF2B5EF4-FFF2-40B4-BE49-F238E27FC236}">
              <a16:creationId xmlns:a16="http://schemas.microsoft.com/office/drawing/2014/main" id="{00000000-0008-0000-00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11</xdr:col>
      <xdr:colOff>152400</xdr:colOff>
      <xdr:row>6</xdr:row>
      <xdr:rowOff>120650</xdr:rowOff>
    </xdr:from>
    <xdr:to>
      <xdr:col>12</xdr:col>
      <xdr:colOff>1670050</xdr:colOff>
      <xdr:row>17</xdr:row>
      <xdr:rowOff>161924</xdr:rowOff>
    </xdr:to>
    <xdr:graphicFrame macro="">
      <xdr:nvGraphicFramePr>
        <xdr:cNvPr id="29" name="Chart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mc:AlternateContent xmlns:mc="http://schemas.openxmlformats.org/markup-compatibility/2006">
    <mc:Choice xmlns:a14="http://schemas.microsoft.com/office/drawing/2010/main" Requires="a14">
      <xdr:twoCellAnchor>
        <xdr:from>
          <xdr:col>1</xdr:col>
          <xdr:colOff>638175</xdr:colOff>
          <xdr:row>62</xdr:row>
          <xdr:rowOff>76200</xdr:rowOff>
        </xdr:from>
        <xdr:to>
          <xdr:col>3</xdr:col>
          <xdr:colOff>257175</xdr:colOff>
          <xdr:row>64</xdr:row>
          <xdr:rowOff>180975</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0" i="0" u="none" strike="noStrike" baseline="0">
                  <a:solidFill>
                    <a:srgbClr val="000000"/>
                  </a:solidFill>
                  <a:latin typeface="Arial"/>
                  <a:cs typeface="Arial"/>
                </a:rPr>
                <a:t>Copy Data in</a:t>
              </a:r>
            </a:p>
          </xdr:txBody>
        </xdr:sp>
        <xdr:clientData fPrintsWithSheet="0"/>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0.12</cdr:x>
      <cdr:y>0.8147</cdr:y>
    </cdr:from>
    <cdr:to>
      <cdr:x>0.81037</cdr:x>
      <cdr:y>0.94569</cdr:y>
    </cdr:to>
    <cdr:sp macro="" textlink="">
      <cdr:nvSpPr>
        <cdr:cNvPr id="2" name="TextBox 1"/>
        <cdr:cNvSpPr txBox="1"/>
      </cdr:nvSpPr>
      <cdr:spPr>
        <a:xfrm xmlns:a="http://schemas.openxmlformats.org/drawingml/2006/main">
          <a:off x="342899" y="2158999"/>
          <a:ext cx="1972733" cy="34713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latin typeface="Tekton Pro" panose="020F0603020208020904" pitchFamily="34" charset="0"/>
          </a:endParaRPr>
        </a:p>
      </cdr:txBody>
    </cdr:sp>
  </cdr:relSizeAnchor>
  <cdr:relSizeAnchor xmlns:cdr="http://schemas.openxmlformats.org/drawingml/2006/chartDrawing">
    <cdr:from>
      <cdr:x>0.11704</cdr:x>
      <cdr:y>0.78275</cdr:y>
    </cdr:from>
    <cdr:to>
      <cdr:x>0.79852</cdr:x>
      <cdr:y>0.92971</cdr:y>
    </cdr:to>
    <cdr:sp macro="" textlink="">
      <cdr:nvSpPr>
        <cdr:cNvPr id="3" name="TextBox 2"/>
        <cdr:cNvSpPr txBox="1"/>
      </cdr:nvSpPr>
      <cdr:spPr>
        <a:xfrm xmlns:a="http://schemas.openxmlformats.org/drawingml/2006/main">
          <a:off x="334432" y="2074332"/>
          <a:ext cx="1947334" cy="38946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p>
      </cdr:txBody>
    </cdr:sp>
  </cdr:relSizeAnchor>
</c:userShapes>
</file>

<file path=xl/drawings/drawing3.xml><?xml version="1.0" encoding="utf-8"?>
<c:userShapes xmlns:c="http://schemas.openxmlformats.org/drawingml/2006/chart">
  <cdr:relSizeAnchor xmlns:cdr="http://schemas.openxmlformats.org/drawingml/2006/chartDrawing">
    <cdr:from>
      <cdr:x>0.12</cdr:x>
      <cdr:y>0.8147</cdr:y>
    </cdr:from>
    <cdr:to>
      <cdr:x>0.81037</cdr:x>
      <cdr:y>0.94569</cdr:y>
    </cdr:to>
    <cdr:sp macro="" textlink="">
      <cdr:nvSpPr>
        <cdr:cNvPr id="2" name="TextBox 1"/>
        <cdr:cNvSpPr txBox="1"/>
      </cdr:nvSpPr>
      <cdr:spPr>
        <a:xfrm xmlns:a="http://schemas.openxmlformats.org/drawingml/2006/main">
          <a:off x="342899" y="2158999"/>
          <a:ext cx="1972733" cy="34713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latin typeface="Tekton Pro" panose="020F0603020208020904" pitchFamily="34" charset="0"/>
          </a:endParaRPr>
        </a:p>
      </cdr:txBody>
    </cdr:sp>
  </cdr:relSizeAnchor>
  <cdr:relSizeAnchor xmlns:cdr="http://schemas.openxmlformats.org/drawingml/2006/chartDrawing">
    <cdr:from>
      <cdr:x>0.11704</cdr:x>
      <cdr:y>0.78275</cdr:y>
    </cdr:from>
    <cdr:to>
      <cdr:x>0.79852</cdr:x>
      <cdr:y>0.92971</cdr:y>
    </cdr:to>
    <cdr:sp macro="" textlink="">
      <cdr:nvSpPr>
        <cdr:cNvPr id="3" name="TextBox 2"/>
        <cdr:cNvSpPr txBox="1"/>
      </cdr:nvSpPr>
      <cdr:spPr>
        <a:xfrm xmlns:a="http://schemas.openxmlformats.org/drawingml/2006/main">
          <a:off x="334432" y="2074332"/>
          <a:ext cx="1947334" cy="38946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p>
      </cdr:txBody>
    </cdr:sp>
  </cdr:relSizeAnchor>
  <cdr:relSizeAnchor xmlns:cdr="http://schemas.openxmlformats.org/drawingml/2006/chartDrawing">
    <cdr:from>
      <cdr:x>0.01083</cdr:x>
      <cdr:y>0.94099</cdr:y>
    </cdr:from>
    <cdr:to>
      <cdr:x>0.20484</cdr:x>
      <cdr:y>0.993</cdr:y>
    </cdr:to>
    <cdr:sp macro="" textlink="">
      <cdr:nvSpPr>
        <cdr:cNvPr id="5" name="TextBox 1"/>
        <cdr:cNvSpPr txBox="1"/>
      </cdr:nvSpPr>
      <cdr:spPr>
        <a:xfrm xmlns:a="http://schemas.openxmlformats.org/drawingml/2006/main">
          <a:off x="27508" y="2176997"/>
          <a:ext cx="492786" cy="120326"/>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none" lIns="0" rtlCol="0" anchor="ctr" anchorCtr="0"/>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GB" sz="1100" b="1">
              <a:solidFill>
                <a:srgbClr val="800000"/>
              </a:solidFill>
            </a:rPr>
            <a:t>MoZ</a:t>
          </a:r>
        </a:p>
      </cdr:txBody>
    </cdr:sp>
  </cdr:relSizeAnchor>
</c:userShapes>
</file>

<file path=xl/drawings/drawing4.xml><?xml version="1.0" encoding="utf-8"?>
<c:userShapes xmlns:c="http://schemas.openxmlformats.org/drawingml/2006/chart">
  <cdr:relSizeAnchor xmlns:cdr="http://schemas.openxmlformats.org/drawingml/2006/chartDrawing">
    <cdr:from>
      <cdr:x>0.12</cdr:x>
      <cdr:y>0.8147</cdr:y>
    </cdr:from>
    <cdr:to>
      <cdr:x>0.81037</cdr:x>
      <cdr:y>0.94569</cdr:y>
    </cdr:to>
    <cdr:sp macro="" textlink="">
      <cdr:nvSpPr>
        <cdr:cNvPr id="2" name="TextBox 1"/>
        <cdr:cNvSpPr txBox="1"/>
      </cdr:nvSpPr>
      <cdr:spPr>
        <a:xfrm xmlns:a="http://schemas.openxmlformats.org/drawingml/2006/main">
          <a:off x="342899" y="2158999"/>
          <a:ext cx="1972733" cy="34713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latin typeface="Tekton Pro" panose="020F0603020208020904" pitchFamily="34" charset="0"/>
          </a:endParaRPr>
        </a:p>
      </cdr:txBody>
    </cdr:sp>
  </cdr:relSizeAnchor>
  <cdr:relSizeAnchor xmlns:cdr="http://schemas.openxmlformats.org/drawingml/2006/chartDrawing">
    <cdr:from>
      <cdr:x>0.11704</cdr:x>
      <cdr:y>0.78275</cdr:y>
    </cdr:from>
    <cdr:to>
      <cdr:x>0.79852</cdr:x>
      <cdr:y>0.92971</cdr:y>
    </cdr:to>
    <cdr:sp macro="" textlink="">
      <cdr:nvSpPr>
        <cdr:cNvPr id="3" name="TextBox 2"/>
        <cdr:cNvSpPr txBox="1"/>
      </cdr:nvSpPr>
      <cdr:spPr>
        <a:xfrm xmlns:a="http://schemas.openxmlformats.org/drawingml/2006/main">
          <a:off x="334432" y="2074332"/>
          <a:ext cx="1947334" cy="38946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p>
      </cdr:txBody>
    </cdr:sp>
  </cdr:relSizeAnchor>
  <cdr:relSizeAnchor xmlns:cdr="http://schemas.openxmlformats.org/drawingml/2006/chartDrawing">
    <cdr:from>
      <cdr:x>0.01162</cdr:x>
      <cdr:y>0.94129</cdr:y>
    </cdr:from>
    <cdr:to>
      <cdr:x>0.20072</cdr:x>
      <cdr:y>0.99069</cdr:y>
    </cdr:to>
    <cdr:sp macro="" textlink="">
      <cdr:nvSpPr>
        <cdr:cNvPr id="5" name="TextBox 1"/>
        <cdr:cNvSpPr txBox="1"/>
      </cdr:nvSpPr>
      <cdr:spPr>
        <a:xfrm xmlns:a="http://schemas.openxmlformats.org/drawingml/2006/main">
          <a:off x="30719" y="2036231"/>
          <a:ext cx="499935" cy="106861"/>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none" lIns="0" rtlCol="0" anchor="ctr" anchorCtr="0"/>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GB" sz="1100" b="1">
              <a:solidFill>
                <a:srgbClr val="800000"/>
              </a:solidFill>
            </a:rPr>
            <a:t>M2Y</a:t>
          </a:r>
        </a:p>
      </cdr:txBody>
    </cdr:sp>
  </cdr:relSizeAnchor>
</c:userShapes>
</file>

<file path=xl/drawings/drawing5.xml><?xml version="1.0" encoding="utf-8"?>
<c:userShapes xmlns:c="http://schemas.openxmlformats.org/drawingml/2006/chart">
  <cdr:relSizeAnchor xmlns:cdr="http://schemas.openxmlformats.org/drawingml/2006/chartDrawing">
    <cdr:from>
      <cdr:x>0.12</cdr:x>
      <cdr:y>0.8147</cdr:y>
    </cdr:from>
    <cdr:to>
      <cdr:x>0.81037</cdr:x>
      <cdr:y>0.94569</cdr:y>
    </cdr:to>
    <cdr:sp macro="" textlink="">
      <cdr:nvSpPr>
        <cdr:cNvPr id="2" name="TextBox 1"/>
        <cdr:cNvSpPr txBox="1"/>
      </cdr:nvSpPr>
      <cdr:spPr>
        <a:xfrm xmlns:a="http://schemas.openxmlformats.org/drawingml/2006/main">
          <a:off x="342899" y="2158999"/>
          <a:ext cx="1972733" cy="34713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latin typeface="Tekton Pro" panose="020F0603020208020904" pitchFamily="34" charset="0"/>
          </a:endParaRPr>
        </a:p>
      </cdr:txBody>
    </cdr:sp>
  </cdr:relSizeAnchor>
  <cdr:relSizeAnchor xmlns:cdr="http://schemas.openxmlformats.org/drawingml/2006/chartDrawing">
    <cdr:from>
      <cdr:x>0.11704</cdr:x>
      <cdr:y>0.78275</cdr:y>
    </cdr:from>
    <cdr:to>
      <cdr:x>0.79852</cdr:x>
      <cdr:y>0.92971</cdr:y>
    </cdr:to>
    <cdr:sp macro="" textlink="">
      <cdr:nvSpPr>
        <cdr:cNvPr id="3" name="TextBox 2"/>
        <cdr:cNvSpPr txBox="1"/>
      </cdr:nvSpPr>
      <cdr:spPr>
        <a:xfrm xmlns:a="http://schemas.openxmlformats.org/drawingml/2006/main">
          <a:off x="334432" y="2074332"/>
          <a:ext cx="1947334" cy="38946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p>
      </cdr:txBody>
    </cdr:sp>
  </cdr:relSizeAnchor>
  <cdr:relSizeAnchor xmlns:cdr="http://schemas.openxmlformats.org/drawingml/2006/chartDrawing">
    <cdr:from>
      <cdr:x>0.01347</cdr:x>
      <cdr:y>0.93688</cdr:y>
    </cdr:from>
    <cdr:to>
      <cdr:x>0.21212</cdr:x>
      <cdr:y>0.99588</cdr:y>
    </cdr:to>
    <cdr:sp macro="" textlink="">
      <cdr:nvSpPr>
        <cdr:cNvPr id="4" name="TextBox 1"/>
        <cdr:cNvSpPr txBox="1"/>
      </cdr:nvSpPr>
      <cdr:spPr>
        <a:xfrm xmlns:a="http://schemas.openxmlformats.org/drawingml/2006/main">
          <a:off x="34551" y="2010833"/>
          <a:ext cx="509626" cy="126634"/>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none" lIns="0" rtlCol="0" anchor="ctr" anchorCtr="0"/>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GB" sz="1100" b="1">
              <a:solidFill>
                <a:srgbClr val="800000"/>
              </a:solidFill>
            </a:rPr>
            <a:t>M2Z</a:t>
          </a:r>
        </a:p>
      </cdr:txBody>
    </cdr:sp>
  </cdr:relSizeAnchor>
</c:userShapes>
</file>

<file path=xl/drawings/drawing6.xml><?xml version="1.0" encoding="utf-8"?>
<c:userShapes xmlns:c="http://schemas.openxmlformats.org/drawingml/2006/chart">
  <cdr:relSizeAnchor xmlns:cdr="http://schemas.openxmlformats.org/drawingml/2006/chartDrawing">
    <cdr:from>
      <cdr:x>0.12</cdr:x>
      <cdr:y>0.8147</cdr:y>
    </cdr:from>
    <cdr:to>
      <cdr:x>0.81037</cdr:x>
      <cdr:y>0.94569</cdr:y>
    </cdr:to>
    <cdr:sp macro="" textlink="">
      <cdr:nvSpPr>
        <cdr:cNvPr id="2" name="TextBox 1"/>
        <cdr:cNvSpPr txBox="1"/>
      </cdr:nvSpPr>
      <cdr:spPr>
        <a:xfrm xmlns:a="http://schemas.openxmlformats.org/drawingml/2006/main">
          <a:off x="342899" y="2158999"/>
          <a:ext cx="1972733" cy="34713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latin typeface="Tekton Pro" panose="020F0603020208020904" pitchFamily="34" charset="0"/>
          </a:endParaRPr>
        </a:p>
      </cdr:txBody>
    </cdr:sp>
  </cdr:relSizeAnchor>
  <cdr:relSizeAnchor xmlns:cdr="http://schemas.openxmlformats.org/drawingml/2006/chartDrawing">
    <cdr:from>
      <cdr:x>0.11704</cdr:x>
      <cdr:y>0.78275</cdr:y>
    </cdr:from>
    <cdr:to>
      <cdr:x>0.79852</cdr:x>
      <cdr:y>0.92971</cdr:y>
    </cdr:to>
    <cdr:sp macro="" textlink="">
      <cdr:nvSpPr>
        <cdr:cNvPr id="3" name="TextBox 2"/>
        <cdr:cNvSpPr txBox="1"/>
      </cdr:nvSpPr>
      <cdr:spPr>
        <a:xfrm xmlns:a="http://schemas.openxmlformats.org/drawingml/2006/main">
          <a:off x="334432" y="2074332"/>
          <a:ext cx="1947334" cy="38946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p>
      </cdr:txBody>
    </cdr:sp>
  </cdr:relSizeAnchor>
  <cdr:relSizeAnchor xmlns:cdr="http://schemas.openxmlformats.org/drawingml/2006/chartDrawing">
    <cdr:from>
      <cdr:x>0.0079</cdr:x>
      <cdr:y>0.93525</cdr:y>
    </cdr:from>
    <cdr:to>
      <cdr:x>0.22123</cdr:x>
      <cdr:y>0.99681</cdr:y>
    </cdr:to>
    <cdr:sp macro="" textlink="">
      <cdr:nvSpPr>
        <cdr:cNvPr id="5" name="TextBox 1"/>
        <cdr:cNvSpPr txBox="1"/>
      </cdr:nvSpPr>
      <cdr:spPr>
        <a:xfrm xmlns:a="http://schemas.openxmlformats.org/drawingml/2006/main">
          <a:off x="20397" y="2033063"/>
          <a:ext cx="550889" cy="133821"/>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none" lIns="0" rtlCol="0" anchor="ctr" anchorCtr="0"/>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GB" sz="1100" b="1">
              <a:solidFill>
                <a:srgbClr val="800000"/>
              </a:solidFill>
            </a:rPr>
            <a:t>MEdZ</a:t>
          </a:r>
        </a:p>
      </cdr:txBody>
    </cdr:sp>
  </cdr:relSizeAnchor>
</c:userShapes>
</file>

<file path=xl/drawings/drawing7.xml><?xml version="1.0" encoding="utf-8"?>
<c:userShapes xmlns:c="http://schemas.openxmlformats.org/drawingml/2006/chart">
  <cdr:relSizeAnchor xmlns:cdr="http://schemas.openxmlformats.org/drawingml/2006/chartDrawing">
    <cdr:from>
      <cdr:x>0.12</cdr:x>
      <cdr:y>0.8147</cdr:y>
    </cdr:from>
    <cdr:to>
      <cdr:x>0.81037</cdr:x>
      <cdr:y>0.94569</cdr:y>
    </cdr:to>
    <cdr:sp macro="" textlink="">
      <cdr:nvSpPr>
        <cdr:cNvPr id="2" name="TextBox 1"/>
        <cdr:cNvSpPr txBox="1"/>
      </cdr:nvSpPr>
      <cdr:spPr>
        <a:xfrm xmlns:a="http://schemas.openxmlformats.org/drawingml/2006/main">
          <a:off x="342899" y="2158999"/>
          <a:ext cx="1972733" cy="34713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latin typeface="Tekton Pro" panose="020F0603020208020904" pitchFamily="34" charset="0"/>
          </a:endParaRPr>
        </a:p>
      </cdr:txBody>
    </cdr:sp>
  </cdr:relSizeAnchor>
  <cdr:relSizeAnchor xmlns:cdr="http://schemas.openxmlformats.org/drawingml/2006/chartDrawing">
    <cdr:from>
      <cdr:x>0.11704</cdr:x>
      <cdr:y>0.78275</cdr:y>
    </cdr:from>
    <cdr:to>
      <cdr:x>0.79852</cdr:x>
      <cdr:y>0.92971</cdr:y>
    </cdr:to>
    <cdr:sp macro="" textlink="">
      <cdr:nvSpPr>
        <cdr:cNvPr id="3" name="TextBox 2"/>
        <cdr:cNvSpPr txBox="1"/>
      </cdr:nvSpPr>
      <cdr:spPr>
        <a:xfrm xmlns:a="http://schemas.openxmlformats.org/drawingml/2006/main">
          <a:off x="334432" y="2074332"/>
          <a:ext cx="1947334" cy="38946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p>
      </cdr:txBody>
    </cdr:sp>
  </cdr:relSizeAnchor>
  <cdr:relSizeAnchor xmlns:cdr="http://schemas.openxmlformats.org/drawingml/2006/chartDrawing">
    <cdr:from>
      <cdr:x>0.00844</cdr:x>
      <cdr:y>0.94086</cdr:y>
    </cdr:from>
    <cdr:to>
      <cdr:x>0.21423</cdr:x>
      <cdr:y>0.99127</cdr:y>
    </cdr:to>
    <cdr:sp macro="" textlink="">
      <cdr:nvSpPr>
        <cdr:cNvPr id="5" name="TextBox 1"/>
        <cdr:cNvSpPr txBox="1"/>
      </cdr:nvSpPr>
      <cdr:spPr>
        <a:xfrm xmlns:a="http://schemas.openxmlformats.org/drawingml/2006/main">
          <a:off x="22252" y="2037292"/>
          <a:ext cx="542308" cy="109155"/>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none" lIns="0" rtlCol="0" anchor="ctr" anchorCtr="0"/>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GB" sz="1100" b="1">
              <a:solidFill>
                <a:srgbClr val="800000"/>
              </a:solidFill>
            </a:rPr>
            <a:t>MEdY</a:t>
          </a:r>
        </a:p>
      </cdr:txBody>
    </cdr:sp>
  </cdr:relSizeAnchor>
</c:userShapes>
</file>

<file path=xl/drawings/drawing8.xml><?xml version="1.0" encoding="utf-8"?>
<c:userShapes xmlns:c="http://schemas.openxmlformats.org/drawingml/2006/chart">
  <cdr:relSizeAnchor xmlns:cdr="http://schemas.openxmlformats.org/drawingml/2006/chartDrawing">
    <cdr:from>
      <cdr:x>0.12</cdr:x>
      <cdr:y>0.8147</cdr:y>
    </cdr:from>
    <cdr:to>
      <cdr:x>0.81037</cdr:x>
      <cdr:y>0.94569</cdr:y>
    </cdr:to>
    <cdr:sp macro="" textlink="">
      <cdr:nvSpPr>
        <cdr:cNvPr id="2" name="TextBox 1"/>
        <cdr:cNvSpPr txBox="1"/>
      </cdr:nvSpPr>
      <cdr:spPr>
        <a:xfrm xmlns:a="http://schemas.openxmlformats.org/drawingml/2006/main">
          <a:off x="342899" y="2158999"/>
          <a:ext cx="1972733" cy="34713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latin typeface="Tekton Pro" panose="020F0603020208020904" pitchFamily="34" charset="0"/>
          </a:endParaRPr>
        </a:p>
      </cdr:txBody>
    </cdr:sp>
  </cdr:relSizeAnchor>
  <cdr:relSizeAnchor xmlns:cdr="http://schemas.openxmlformats.org/drawingml/2006/chartDrawing">
    <cdr:from>
      <cdr:x>0.11704</cdr:x>
      <cdr:y>0.78275</cdr:y>
    </cdr:from>
    <cdr:to>
      <cdr:x>0.79852</cdr:x>
      <cdr:y>0.92971</cdr:y>
    </cdr:to>
    <cdr:sp macro="" textlink="">
      <cdr:nvSpPr>
        <cdr:cNvPr id="3" name="TextBox 2"/>
        <cdr:cNvSpPr txBox="1"/>
      </cdr:nvSpPr>
      <cdr:spPr>
        <a:xfrm xmlns:a="http://schemas.openxmlformats.org/drawingml/2006/main">
          <a:off x="334432" y="2074332"/>
          <a:ext cx="1947334" cy="38946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p>
      </cdr:txBody>
    </cdr:sp>
  </cdr:relSizeAnchor>
  <cdr:relSizeAnchor xmlns:cdr="http://schemas.openxmlformats.org/drawingml/2006/chartDrawing">
    <cdr:from>
      <cdr:x>0.03493</cdr:x>
      <cdr:y>0.91255</cdr:y>
    </cdr:from>
    <cdr:to>
      <cdr:x>0.14746</cdr:x>
      <cdr:y>0.97053</cdr:y>
    </cdr:to>
    <cdr:sp macro="" textlink="">
      <cdr:nvSpPr>
        <cdr:cNvPr id="4" name="TextBox 1"/>
        <cdr:cNvSpPr txBox="1"/>
      </cdr:nvSpPr>
      <cdr:spPr>
        <a:xfrm xmlns:a="http://schemas.openxmlformats.org/drawingml/2006/main">
          <a:off x="87253" y="2089948"/>
          <a:ext cx="281045" cy="132783"/>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none" lIns="0" rtlCol="0" anchor="ctr" anchorCtr="0"/>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GB" sz="1100" b="1">
              <a:solidFill>
                <a:srgbClr val="800000"/>
              </a:solidFill>
            </a:rPr>
            <a:t>Z - Z</a:t>
          </a:r>
        </a:p>
      </cdr:txBody>
    </cdr:sp>
  </cdr:relSizeAnchor>
  <cdr:relSizeAnchor xmlns:cdr="http://schemas.openxmlformats.org/drawingml/2006/chartDrawing">
    <cdr:from>
      <cdr:x>0.02881</cdr:x>
      <cdr:y>0.02131</cdr:y>
    </cdr:from>
    <cdr:to>
      <cdr:x>0.18686</cdr:x>
      <cdr:y>0.07904</cdr:y>
    </cdr:to>
    <cdr:sp macro="" textlink="">
      <cdr:nvSpPr>
        <cdr:cNvPr id="5" name="TextBox 1"/>
        <cdr:cNvSpPr txBox="1"/>
      </cdr:nvSpPr>
      <cdr:spPr>
        <a:xfrm xmlns:a="http://schemas.openxmlformats.org/drawingml/2006/main">
          <a:off x="71967" y="48794"/>
          <a:ext cx="394757" cy="132232"/>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none" lIns="0" rtlCol="0" anchor="ctr" anchorCtr="0"/>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GB" sz="1100" b="1">
              <a:solidFill>
                <a:srgbClr val="800000"/>
              </a:solidFill>
            </a:rPr>
            <a:t>WEST</a:t>
          </a:r>
        </a:p>
      </cdr:txBody>
    </cdr:sp>
  </cdr:relSizeAnchor>
  <cdr:relSizeAnchor xmlns:cdr="http://schemas.openxmlformats.org/drawingml/2006/chartDrawing">
    <cdr:from>
      <cdr:x>0.85551</cdr:x>
      <cdr:y>0.02223</cdr:y>
    </cdr:from>
    <cdr:to>
      <cdr:x>0.98771</cdr:x>
      <cdr:y>0.07997</cdr:y>
    </cdr:to>
    <cdr:sp macro="" textlink="">
      <cdr:nvSpPr>
        <cdr:cNvPr id="6" name="TextBox 1"/>
        <cdr:cNvSpPr txBox="1"/>
      </cdr:nvSpPr>
      <cdr:spPr>
        <a:xfrm xmlns:a="http://schemas.openxmlformats.org/drawingml/2006/main">
          <a:off x="2136783" y="50480"/>
          <a:ext cx="330192" cy="131138"/>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none" lIns="0" rtlCol="0" anchor="ctr" anchorCtr="0"/>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GB" sz="1100" b="1">
              <a:solidFill>
                <a:srgbClr val="800000"/>
              </a:solidFill>
            </a:rPr>
            <a:t>EAST</a:t>
          </a:r>
        </a:p>
      </cdr:txBody>
    </cdr:sp>
  </cdr:relSizeAnchor>
  <cdr:relSizeAnchor xmlns:cdr="http://schemas.openxmlformats.org/drawingml/2006/chartDrawing">
    <cdr:from>
      <cdr:x>0.33305</cdr:x>
      <cdr:y>0.85927</cdr:y>
    </cdr:from>
    <cdr:to>
      <cdr:x>0.71949</cdr:x>
      <cdr:y>0.97251</cdr:y>
    </cdr:to>
    <cdr:sp macro="" textlink="">
      <cdr:nvSpPr>
        <cdr:cNvPr id="7" name="TextBox 1"/>
        <cdr:cNvSpPr txBox="1"/>
      </cdr:nvSpPr>
      <cdr:spPr>
        <a:xfrm xmlns:a="http://schemas.openxmlformats.org/drawingml/2006/main">
          <a:off x="831856" y="1951566"/>
          <a:ext cx="965199" cy="257175"/>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none" lIns="0" rtlCol="0" anchor="ctr" anchorCtr="0"/>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GB" sz="1100" b="1">
              <a:solidFill>
                <a:srgbClr val="800000"/>
              </a:solidFill>
            </a:rPr>
            <a:t>CONNECTING</a:t>
          </a:r>
        </a:p>
        <a:p xmlns:a="http://schemas.openxmlformats.org/drawingml/2006/main">
          <a:pPr algn="ctr"/>
          <a:r>
            <a:rPr lang="en-GB" sz="1100" b="1">
              <a:solidFill>
                <a:srgbClr val="800000"/>
              </a:solidFill>
            </a:rPr>
            <a:t>BEAMS</a:t>
          </a:r>
          <a:r>
            <a:rPr lang="en-GB" sz="1100" b="1" baseline="0">
              <a:solidFill>
                <a:srgbClr val="800000"/>
              </a:solidFill>
            </a:rPr>
            <a:t> / SLABS</a:t>
          </a:r>
          <a:endParaRPr lang="en-GB" sz="1100" b="1">
            <a:solidFill>
              <a:srgbClr val="800000"/>
            </a:solidFill>
          </a:endParaRPr>
        </a:p>
      </cdr:txBody>
    </cdr:sp>
  </cdr:relSizeAnchor>
</c:userShapes>
</file>

<file path=xl/drawings/drawing9.xml><?xml version="1.0" encoding="utf-8"?>
<c:userShapes xmlns:c="http://schemas.openxmlformats.org/drawingml/2006/chart">
  <cdr:relSizeAnchor xmlns:cdr="http://schemas.openxmlformats.org/drawingml/2006/chartDrawing">
    <cdr:from>
      <cdr:x>0.12</cdr:x>
      <cdr:y>0.8147</cdr:y>
    </cdr:from>
    <cdr:to>
      <cdr:x>0.81037</cdr:x>
      <cdr:y>0.94569</cdr:y>
    </cdr:to>
    <cdr:sp macro="" textlink="">
      <cdr:nvSpPr>
        <cdr:cNvPr id="2" name="TextBox 1"/>
        <cdr:cNvSpPr txBox="1"/>
      </cdr:nvSpPr>
      <cdr:spPr>
        <a:xfrm xmlns:a="http://schemas.openxmlformats.org/drawingml/2006/main">
          <a:off x="342899" y="2158999"/>
          <a:ext cx="1972733" cy="34713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latin typeface="Tekton Pro" panose="020F0603020208020904" pitchFamily="34" charset="0"/>
          </a:endParaRPr>
        </a:p>
      </cdr:txBody>
    </cdr:sp>
  </cdr:relSizeAnchor>
  <cdr:relSizeAnchor xmlns:cdr="http://schemas.openxmlformats.org/drawingml/2006/chartDrawing">
    <cdr:from>
      <cdr:x>0.11704</cdr:x>
      <cdr:y>0.78275</cdr:y>
    </cdr:from>
    <cdr:to>
      <cdr:x>0.79852</cdr:x>
      <cdr:y>0.92971</cdr:y>
    </cdr:to>
    <cdr:sp macro="" textlink="">
      <cdr:nvSpPr>
        <cdr:cNvPr id="3" name="TextBox 2"/>
        <cdr:cNvSpPr txBox="1"/>
      </cdr:nvSpPr>
      <cdr:spPr>
        <a:xfrm xmlns:a="http://schemas.openxmlformats.org/drawingml/2006/main">
          <a:off x="334432" y="2074332"/>
          <a:ext cx="1947334" cy="38946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p>
      </cdr:txBody>
    </cdr:sp>
  </cdr:relSizeAnchor>
  <cdr:relSizeAnchor xmlns:cdr="http://schemas.openxmlformats.org/drawingml/2006/chartDrawing">
    <cdr:from>
      <cdr:x>0.03019</cdr:x>
      <cdr:y>0.91713</cdr:y>
    </cdr:from>
    <cdr:to>
      <cdr:x>0.15217</cdr:x>
      <cdr:y>0.97489</cdr:y>
    </cdr:to>
    <cdr:sp macro="" textlink="">
      <cdr:nvSpPr>
        <cdr:cNvPr id="5" name="TextBox 1"/>
        <cdr:cNvSpPr txBox="1"/>
      </cdr:nvSpPr>
      <cdr:spPr>
        <a:xfrm xmlns:a="http://schemas.openxmlformats.org/drawingml/2006/main">
          <a:off x="79374" y="2099465"/>
          <a:ext cx="320675" cy="132233"/>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none" lIns="0" rtlCol="0" anchor="ctr" anchorCtr="0"/>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GB" sz="1100" b="1">
              <a:solidFill>
                <a:srgbClr val="800000"/>
              </a:solidFill>
            </a:rPr>
            <a:t>Y - Y</a:t>
          </a:r>
        </a:p>
      </cdr:txBody>
    </cdr:sp>
  </cdr:relSizeAnchor>
  <cdr:relSizeAnchor xmlns:cdr="http://schemas.openxmlformats.org/drawingml/2006/chartDrawing">
    <cdr:from>
      <cdr:x>0.02417</cdr:x>
      <cdr:y>0.01726</cdr:y>
    </cdr:from>
    <cdr:to>
      <cdr:x>0.19444</cdr:x>
      <cdr:y>0.07502</cdr:y>
    </cdr:to>
    <cdr:sp macro="" textlink="">
      <cdr:nvSpPr>
        <cdr:cNvPr id="6" name="TextBox 1"/>
        <cdr:cNvSpPr txBox="1"/>
      </cdr:nvSpPr>
      <cdr:spPr>
        <a:xfrm xmlns:a="http://schemas.openxmlformats.org/drawingml/2006/main">
          <a:off x="63541" y="39510"/>
          <a:ext cx="447634" cy="132233"/>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none" lIns="0" rtlCol="0" anchor="ctr" anchorCtr="0"/>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GB" sz="1100" b="1">
              <a:solidFill>
                <a:srgbClr val="800000"/>
              </a:solidFill>
            </a:rPr>
            <a:t>NORTH</a:t>
          </a:r>
        </a:p>
      </cdr:txBody>
    </cdr:sp>
  </cdr:relSizeAnchor>
  <cdr:relSizeAnchor xmlns:cdr="http://schemas.openxmlformats.org/drawingml/2006/chartDrawing">
    <cdr:from>
      <cdr:x>0.81948</cdr:x>
      <cdr:y>0.01961</cdr:y>
    </cdr:from>
    <cdr:to>
      <cdr:x>0.99155</cdr:x>
      <cdr:y>0.07737</cdr:y>
    </cdr:to>
    <cdr:sp macro="" textlink="">
      <cdr:nvSpPr>
        <cdr:cNvPr id="8" name="TextBox 1"/>
        <cdr:cNvSpPr txBox="1"/>
      </cdr:nvSpPr>
      <cdr:spPr>
        <a:xfrm xmlns:a="http://schemas.openxmlformats.org/drawingml/2006/main">
          <a:off x="2154329" y="44881"/>
          <a:ext cx="452346" cy="132233"/>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none" lIns="0" rtlCol="0" anchor="ctr" anchorCtr="0"/>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GB" sz="1100" b="1">
              <a:solidFill>
                <a:srgbClr val="800000"/>
              </a:solidFill>
            </a:rPr>
            <a:t>SOUTH</a:t>
          </a:r>
        </a:p>
      </cdr:txBody>
    </cdr:sp>
  </cdr:relSizeAnchor>
  <cdr:relSizeAnchor xmlns:cdr="http://schemas.openxmlformats.org/drawingml/2006/chartDrawing">
    <cdr:from>
      <cdr:x>0.34299</cdr:x>
      <cdr:y>0.86573</cdr:y>
    </cdr:from>
    <cdr:to>
      <cdr:x>0.71014</cdr:x>
      <cdr:y>0.97245</cdr:y>
    </cdr:to>
    <cdr:sp macro="" textlink="">
      <cdr:nvSpPr>
        <cdr:cNvPr id="10" name="TextBox 1"/>
        <cdr:cNvSpPr txBox="1"/>
      </cdr:nvSpPr>
      <cdr:spPr>
        <a:xfrm xmlns:a="http://schemas.openxmlformats.org/drawingml/2006/main">
          <a:off x="901690" y="1965325"/>
          <a:ext cx="965201" cy="242257"/>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none" lIns="0" rtlCol="0" anchor="ctr" anchorCtr="0"/>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GB" sz="1100" b="1">
              <a:solidFill>
                <a:srgbClr val="800000"/>
              </a:solidFill>
            </a:rPr>
            <a:t>CONNECTING</a:t>
          </a:r>
        </a:p>
        <a:p xmlns:a="http://schemas.openxmlformats.org/drawingml/2006/main">
          <a:pPr algn="ctr"/>
          <a:r>
            <a:rPr lang="en-GB" sz="1100" b="1">
              <a:solidFill>
                <a:srgbClr val="800000"/>
              </a:solidFill>
            </a:rPr>
            <a:t>BEAMS</a:t>
          </a:r>
          <a:r>
            <a:rPr lang="en-GB" sz="1100" b="1" baseline="0">
              <a:solidFill>
                <a:srgbClr val="800000"/>
              </a:solidFill>
            </a:rPr>
            <a:t> / SLABS</a:t>
          </a:r>
          <a:endParaRPr lang="en-GB" sz="1100" b="1">
            <a:solidFill>
              <a:srgbClr val="800000"/>
            </a:solidFill>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1</xdr:col>
      <xdr:colOff>333375</xdr:colOff>
      <xdr:row>8</xdr:row>
      <xdr:rowOff>9525</xdr:rowOff>
    </xdr:from>
    <xdr:to>
      <xdr:col>6</xdr:col>
      <xdr:colOff>495300</xdr:colOff>
      <xdr:row>28</xdr:row>
      <xdr:rowOff>28575</xdr:rowOff>
    </xdr:to>
    <xdr:graphicFrame macro="">
      <xdr:nvGraphicFramePr>
        <xdr:cNvPr id="7247" name="Chart 1">
          <a:extLst>
            <a:ext uri="{FF2B5EF4-FFF2-40B4-BE49-F238E27FC236}">
              <a16:creationId xmlns:a16="http://schemas.microsoft.com/office/drawing/2014/main" id="{00000000-0008-0000-0100-00004F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333375</xdr:colOff>
      <xdr:row>31</xdr:row>
      <xdr:rowOff>28575</xdr:rowOff>
    </xdr:from>
    <xdr:to>
      <xdr:col>6</xdr:col>
      <xdr:colOff>495300</xdr:colOff>
      <xdr:row>54</xdr:row>
      <xdr:rowOff>28575</xdr:rowOff>
    </xdr:to>
    <xdr:graphicFrame macro="">
      <xdr:nvGraphicFramePr>
        <xdr:cNvPr id="7248" name="Chart 2">
          <a:extLst>
            <a:ext uri="{FF2B5EF4-FFF2-40B4-BE49-F238E27FC236}">
              <a16:creationId xmlns:a16="http://schemas.microsoft.com/office/drawing/2014/main" id="{00000000-0008-0000-0100-000050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152400</xdr:colOff>
      <xdr:row>9</xdr:row>
      <xdr:rowOff>180975</xdr:rowOff>
    </xdr:from>
    <xdr:to>
      <xdr:col>6</xdr:col>
      <xdr:colOff>133350</xdr:colOff>
      <xdr:row>13</xdr:row>
      <xdr:rowOff>9525</xdr:rowOff>
    </xdr:to>
    <xdr:graphicFrame macro="">
      <xdr:nvGraphicFramePr>
        <xdr:cNvPr id="7249" name="Chart 8">
          <a:extLst>
            <a:ext uri="{FF2B5EF4-FFF2-40B4-BE49-F238E27FC236}">
              <a16:creationId xmlns:a16="http://schemas.microsoft.com/office/drawing/2014/main" id="{00000000-0008-0000-0100-000051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228600</xdr:colOff>
      <xdr:row>33</xdr:row>
      <xdr:rowOff>38100</xdr:rowOff>
    </xdr:from>
    <xdr:to>
      <xdr:col>6</xdr:col>
      <xdr:colOff>190500</xdr:colOff>
      <xdr:row>36</xdr:row>
      <xdr:rowOff>161925</xdr:rowOff>
    </xdr:to>
    <xdr:graphicFrame macro="">
      <xdr:nvGraphicFramePr>
        <xdr:cNvPr id="7250" name="Chart 9">
          <a:extLst>
            <a:ext uri="{FF2B5EF4-FFF2-40B4-BE49-F238E27FC236}">
              <a16:creationId xmlns:a16="http://schemas.microsoft.com/office/drawing/2014/main" id="{00000000-0008-0000-0100-000052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219075</xdr:colOff>
      <xdr:row>1</xdr:row>
      <xdr:rowOff>314325</xdr:rowOff>
    </xdr:from>
    <xdr:to>
      <xdr:col>7</xdr:col>
      <xdr:colOff>3086100</xdr:colOff>
      <xdr:row>3</xdr:row>
      <xdr:rowOff>218955</xdr:rowOff>
    </xdr:to>
    <xdr:sp macro="" textlink="">
      <xdr:nvSpPr>
        <xdr:cNvPr id="7178" name="Text Box 10">
          <a:extLst>
            <a:ext uri="{FF2B5EF4-FFF2-40B4-BE49-F238E27FC236}">
              <a16:creationId xmlns:a16="http://schemas.microsoft.com/office/drawing/2014/main" id="{00000000-0008-0000-0100-00000A1C0000}"/>
            </a:ext>
          </a:extLst>
        </xdr:cNvPr>
        <xdr:cNvSpPr txBox="1">
          <a:spLocks noChangeArrowheads="1"/>
        </xdr:cNvSpPr>
      </xdr:nvSpPr>
      <xdr:spPr bwMode="auto">
        <a:xfrm>
          <a:off x="7677150" y="495300"/>
          <a:ext cx="2867025" cy="485775"/>
        </a:xfrm>
        <a:prstGeom prst="rect">
          <a:avLst/>
        </a:prstGeom>
        <a:gradFill rotWithShape="1">
          <a:gsLst>
            <a:gs pos="0">
              <a:srgbClr val="FFFFFF"/>
            </a:gs>
            <a:gs pos="100000">
              <a:srgbClr val="E5E9F0"/>
            </a:gs>
          </a:gsLst>
          <a:lin ang="5400000" scaled="1"/>
        </a:gradFill>
        <a:ln w="19050">
          <a:solidFill>
            <a:srgbClr val="000000"/>
          </a:solidFill>
          <a:miter lim="800000"/>
          <a:headEnd/>
          <a:tailEnd/>
        </a:ln>
      </xdr:spPr>
      <xdr:txBody>
        <a:bodyPr vertOverflow="clip" wrap="square" lIns="36576" tIns="36576" rIns="0" bIns="0" anchor="t" upright="1"/>
        <a:lstStyle/>
        <a:p>
          <a:pPr algn="l" rtl="0">
            <a:defRPr sz="1000"/>
          </a:pPr>
          <a:r>
            <a:rPr lang="en-GB" sz="1200" b="1" i="0" u="none" strike="noStrike" baseline="0">
              <a:solidFill>
                <a:srgbClr val="002469"/>
              </a:solidFill>
              <a:latin typeface="Trebuchet MS"/>
            </a:rPr>
            <a:t>Charts produced to Clause 3.4.4.1 and Figure 3.3</a:t>
          </a:r>
          <a:endParaRPr lang="en-GB"/>
        </a:p>
      </xdr:txBody>
    </xdr:sp>
    <xdr:clientData/>
  </xdr:twoCellAnchor>
  <mc:AlternateContent xmlns:mc="http://schemas.openxmlformats.org/markup-compatibility/2006">
    <mc:Choice xmlns:a14="http://schemas.microsoft.com/office/drawing/2010/main" Requires="a14">
      <xdr:twoCellAnchor editAs="oneCell">
        <xdr:from>
          <xdr:col>7</xdr:col>
          <xdr:colOff>552450</xdr:colOff>
          <xdr:row>7</xdr:row>
          <xdr:rowOff>19050</xdr:rowOff>
        </xdr:from>
        <xdr:to>
          <xdr:col>7</xdr:col>
          <xdr:colOff>1628775</xdr:colOff>
          <xdr:row>8</xdr:row>
          <xdr:rowOff>171450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1" i="0" u="none" strike="noStrike" baseline="0">
                  <a:solidFill>
                    <a:srgbClr val="000000"/>
                  </a:solidFill>
                  <a:latin typeface="Trebuchet MS"/>
                </a:rPr>
                <a:t>Print Sheet</a:t>
              </a:r>
            </a:p>
          </xdr:txBody>
        </xdr:sp>
        <xdr:clientData fPrintsWithSheet="0"/>
      </xdr:twoCellAnchor>
    </mc:Choice>
    <mc:Fallback/>
  </mc:AlternateContent>
  <xdr:twoCellAnchor>
    <xdr:from>
      <xdr:col>3</xdr:col>
      <xdr:colOff>1704975</xdr:colOff>
      <xdr:row>1</xdr:row>
      <xdr:rowOff>66675</xdr:rowOff>
    </xdr:from>
    <xdr:to>
      <xdr:col>3</xdr:col>
      <xdr:colOff>3448050</xdr:colOff>
      <xdr:row>3</xdr:row>
      <xdr:rowOff>95250</xdr:rowOff>
    </xdr:to>
    <xdr:pic>
      <xdr:nvPicPr>
        <xdr:cNvPr id="7253" name="Picture 169">
          <a:extLst>
            <a:ext uri="{FF2B5EF4-FFF2-40B4-BE49-F238E27FC236}">
              <a16:creationId xmlns:a16="http://schemas.microsoft.com/office/drawing/2014/main" id="{00000000-0008-0000-0100-0000551C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57575" y="285750"/>
          <a:ext cx="1743075"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314960</xdr:colOff>
      <xdr:row>56</xdr:row>
      <xdr:rowOff>121920</xdr:rowOff>
    </xdr:from>
    <xdr:to>
      <xdr:col>6</xdr:col>
      <xdr:colOff>670560</xdr:colOff>
      <xdr:row>73</xdr:row>
      <xdr:rowOff>71120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26455</xdr:colOff>
      <xdr:row>11</xdr:row>
      <xdr:rowOff>5293</xdr:rowOff>
    </xdr:from>
    <xdr:to>
      <xdr:col>12</xdr:col>
      <xdr:colOff>688974</xdr:colOff>
      <xdr:row>21</xdr:row>
      <xdr:rowOff>49741</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8706905" y="2684993"/>
          <a:ext cx="1545169" cy="215899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baseline="0">
              <a:latin typeface="Trebuchet MS" panose="020B0603020202020204" pitchFamily="34" charset="0"/>
            </a:rPr>
            <a:t>1st </a:t>
          </a:r>
          <a:r>
            <a:rPr lang="en-GB" sz="1400" b="1">
              <a:latin typeface="Trebuchet MS" panose="020B0603020202020204" pitchFamily="34" charset="0"/>
            </a:rPr>
            <a:t>Order</a:t>
          </a:r>
        </a:p>
        <a:p>
          <a:r>
            <a:rPr lang="en-GB" sz="1400" b="1">
              <a:latin typeface="Trebuchet MS" panose="020B0603020202020204" pitchFamily="34" charset="0"/>
            </a:rPr>
            <a:t>M</a:t>
          </a:r>
          <a:r>
            <a:rPr lang="en-GB" sz="1400" b="1" baseline="-25000">
              <a:latin typeface="Trebuchet MS" panose="020B0603020202020204" pitchFamily="34" charset="0"/>
            </a:rPr>
            <a:t>02</a:t>
          </a:r>
          <a:r>
            <a:rPr lang="en-GB" sz="1400" b="1" baseline="0">
              <a:latin typeface="Trebuchet MS" panose="020B0603020202020204" pitchFamily="34" charset="0"/>
            </a:rPr>
            <a:t> &amp; M</a:t>
          </a:r>
          <a:r>
            <a:rPr lang="en-GB" sz="1400" b="1" baseline="-25000">
              <a:latin typeface="Trebuchet MS" panose="020B0603020202020204" pitchFamily="34" charset="0"/>
            </a:rPr>
            <a:t>01 </a:t>
          </a:r>
          <a:r>
            <a:rPr lang="en-GB" sz="1400" b="1" baseline="0">
              <a:latin typeface="Trebuchet MS" panose="020B0603020202020204" pitchFamily="34" charset="0"/>
            </a:rPr>
            <a:t>&amp; M</a:t>
          </a:r>
          <a:r>
            <a:rPr lang="en-GB" sz="1400" b="1" baseline="-25000">
              <a:latin typeface="Trebuchet MS" panose="020B0603020202020204" pitchFamily="34" charset="0"/>
            </a:rPr>
            <a:t>0ED </a:t>
          </a:r>
        </a:p>
        <a:p>
          <a:r>
            <a:rPr lang="en-GB" sz="1400" b="1" baseline="0">
              <a:latin typeface="Trebuchet MS" panose="020B0603020202020204" pitchFamily="34" charset="0"/>
            </a:rPr>
            <a:t>Showing</a:t>
          </a:r>
        </a:p>
        <a:p>
          <a:pPr marL="0" marR="0" lvl="0" indent="0" defTabSz="914400" eaLnBrk="1" fontAlgn="auto" latinLnBrk="0" hangingPunct="1">
            <a:lnSpc>
              <a:spcPct val="100000"/>
            </a:lnSpc>
            <a:spcBef>
              <a:spcPts val="0"/>
            </a:spcBef>
            <a:spcAft>
              <a:spcPts val="0"/>
            </a:spcAft>
            <a:buClrTx/>
            <a:buSzTx/>
            <a:buFontTx/>
            <a:buNone/>
            <a:tabLst/>
            <a:defRPr/>
          </a:pPr>
          <a:r>
            <a:rPr lang="en-GB" sz="1400" b="1" baseline="0">
              <a:solidFill>
                <a:schemeClr val="dk1"/>
              </a:solidFill>
              <a:effectLst/>
              <a:latin typeface="Trebuchet MS" panose="020B0603020202020204" pitchFamily="34" charset="0"/>
              <a:ea typeface="+mn-ea"/>
              <a:cs typeface="+mn-cs"/>
            </a:rPr>
            <a:t>M</a:t>
          </a:r>
          <a:r>
            <a:rPr lang="en-GB" sz="1400" b="1" baseline="-25000">
              <a:solidFill>
                <a:schemeClr val="dk1"/>
              </a:solidFill>
              <a:effectLst/>
              <a:latin typeface="Trebuchet MS" panose="020B0603020202020204" pitchFamily="34" charset="0"/>
              <a:ea typeface="+mn-ea"/>
              <a:cs typeface="+mn-cs"/>
            </a:rPr>
            <a:t>i </a:t>
          </a:r>
          <a:r>
            <a:rPr lang="en-GB" sz="1400" b="1" baseline="0">
              <a:solidFill>
                <a:schemeClr val="dk1"/>
              </a:solidFill>
              <a:effectLst/>
              <a:latin typeface="Trebuchet MS" panose="020B0603020202020204" pitchFamily="34" charset="0"/>
              <a:ea typeface="+mn-ea"/>
              <a:cs typeface="+mn-cs"/>
            </a:rPr>
            <a:t>Only</a:t>
          </a:r>
        </a:p>
        <a:p>
          <a:pPr marL="0" marR="0" lvl="0" indent="0" defTabSz="914400" eaLnBrk="1" fontAlgn="auto" latinLnBrk="0" hangingPunct="1">
            <a:lnSpc>
              <a:spcPct val="100000"/>
            </a:lnSpc>
            <a:spcBef>
              <a:spcPts val="0"/>
            </a:spcBef>
            <a:spcAft>
              <a:spcPts val="0"/>
            </a:spcAft>
            <a:buClrTx/>
            <a:buSzTx/>
            <a:buFontTx/>
            <a:buNone/>
            <a:tabLst/>
            <a:defRPr/>
          </a:pPr>
          <a:endParaRPr lang="en-GB" sz="1400" b="1" baseline="0">
            <a:latin typeface="Trebuchet MS" panose="020B0603020202020204" pitchFamily="34" charset="0"/>
          </a:endParaRPr>
        </a:p>
        <a:p>
          <a:r>
            <a:rPr lang="en-GB" sz="1400" b="1" baseline="0">
              <a:latin typeface="Trebuchet MS" panose="020B0603020202020204" pitchFamily="34" charset="0"/>
            </a:rPr>
            <a:t>M</a:t>
          </a:r>
          <a:r>
            <a:rPr lang="en-GB" sz="1400" b="1" baseline="-25000">
              <a:latin typeface="Trebuchet MS" panose="020B0603020202020204" pitchFamily="34" charset="0"/>
            </a:rPr>
            <a:t>i</a:t>
          </a:r>
          <a:r>
            <a:rPr lang="en-GB" sz="1400" b="1" baseline="0">
              <a:latin typeface="Trebuchet MS" panose="020B0603020202020204" pitchFamily="34" charset="0"/>
            </a:rPr>
            <a:t> + M</a:t>
          </a:r>
          <a:r>
            <a:rPr lang="en-GB" sz="1400" b="1" baseline="-25000">
              <a:latin typeface="Trebuchet MS" panose="020B0603020202020204" pitchFamily="34" charset="0"/>
            </a:rPr>
            <a:t>imp</a:t>
          </a:r>
        </a:p>
        <a:p>
          <a:endParaRPr lang="en-GB" sz="1400" b="1" baseline="0">
            <a:latin typeface="Trebuchet MS" panose="020B0603020202020204" pitchFamily="34" charset="0"/>
          </a:endParaRPr>
        </a:p>
        <a:p>
          <a:r>
            <a:rPr lang="en-GB" sz="1400" b="1" baseline="0">
              <a:latin typeface="Trebuchet MS" panose="020B0603020202020204" pitchFamily="34" charset="0"/>
            </a:rPr>
            <a:t>M</a:t>
          </a:r>
          <a:r>
            <a:rPr lang="en-GB" sz="1400" b="1" baseline="-25000">
              <a:latin typeface="Trebuchet MS" panose="020B0603020202020204" pitchFamily="34" charset="0"/>
            </a:rPr>
            <a:t>i</a:t>
          </a:r>
          <a:r>
            <a:rPr lang="en-GB" sz="1400" b="1" baseline="0">
              <a:latin typeface="Trebuchet MS" panose="020B0603020202020204" pitchFamily="34" charset="0"/>
            </a:rPr>
            <a:t> - M</a:t>
          </a:r>
          <a:r>
            <a:rPr lang="en-GB" sz="1400" b="1" baseline="-25000">
              <a:latin typeface="Trebuchet MS" panose="020B0603020202020204" pitchFamily="34" charset="0"/>
            </a:rPr>
            <a:t>imp</a:t>
          </a:r>
          <a:r>
            <a:rPr lang="en-GB" sz="1400" b="1" baseline="0">
              <a:latin typeface="Trebuchet MS" panose="020B0603020202020204" pitchFamily="34" charset="0"/>
            </a:rPr>
            <a:t> </a:t>
          </a:r>
        </a:p>
      </xdr:txBody>
    </xdr:sp>
    <xdr:clientData/>
  </xdr:twoCellAnchor>
  <xdr:twoCellAnchor>
    <xdr:from>
      <xdr:col>5</xdr:col>
      <xdr:colOff>219075</xdr:colOff>
      <xdr:row>1</xdr:row>
      <xdr:rowOff>66675</xdr:rowOff>
    </xdr:from>
    <xdr:to>
      <xdr:col>6</xdr:col>
      <xdr:colOff>952500</xdr:colOff>
      <xdr:row>3</xdr:row>
      <xdr:rowOff>171450</xdr:rowOff>
    </xdr:to>
    <xdr:pic>
      <xdr:nvPicPr>
        <xdr:cNvPr id="17444" name="Picture 169">
          <a:extLst>
            <a:ext uri="{FF2B5EF4-FFF2-40B4-BE49-F238E27FC236}">
              <a16:creationId xmlns:a16="http://schemas.microsoft.com/office/drawing/2014/main" id="{00000000-0008-0000-0200-0000244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29050" y="342900"/>
          <a:ext cx="1743075"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59266</xdr:colOff>
      <xdr:row>8</xdr:row>
      <xdr:rowOff>9525</xdr:rowOff>
    </xdr:from>
    <xdr:to>
      <xdr:col>4</xdr:col>
      <xdr:colOff>457199</xdr:colOff>
      <xdr:row>13</xdr:row>
      <xdr:rowOff>104774</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572557</xdr:colOff>
      <xdr:row>8</xdr:row>
      <xdr:rowOff>9525</xdr:rowOff>
    </xdr:from>
    <xdr:to>
      <xdr:col>5</xdr:col>
      <xdr:colOff>901700</xdr:colOff>
      <xdr:row>13</xdr:row>
      <xdr:rowOff>104775</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739774</xdr:colOff>
      <xdr:row>22</xdr:row>
      <xdr:rowOff>99484</xdr:rowOff>
    </xdr:from>
    <xdr:to>
      <xdr:col>16</xdr:col>
      <xdr:colOff>267757</xdr:colOff>
      <xdr:row>33</xdr:row>
      <xdr:rowOff>97367</xdr:rowOff>
    </xdr:to>
    <xdr:graphicFrame macro="">
      <xdr:nvGraphicFramePr>
        <xdr:cNvPr id="15" name="Chart 14">
          <a:extLst>
            <a:ext uri="{FF2B5EF4-FFF2-40B4-BE49-F238E27FC236}">
              <a16:creationId xmlns:a16="http://schemas.microsoft.com/office/drawing/2014/main" id="{00000000-0008-0000-02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733424</xdr:colOff>
      <xdr:row>34</xdr:row>
      <xdr:rowOff>135681</xdr:rowOff>
    </xdr:from>
    <xdr:to>
      <xdr:col>16</xdr:col>
      <xdr:colOff>249765</xdr:colOff>
      <xdr:row>45</xdr:row>
      <xdr:rowOff>175472</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444925</xdr:colOff>
      <xdr:row>10</xdr:row>
      <xdr:rowOff>22225</xdr:rowOff>
    </xdr:from>
    <xdr:to>
      <xdr:col>19</xdr:col>
      <xdr:colOff>573618</xdr:colOff>
      <xdr:row>21</xdr:row>
      <xdr:rowOff>7408</xdr:rowOff>
    </xdr:to>
    <xdr:graphicFrame macro="">
      <xdr:nvGraphicFramePr>
        <xdr:cNvPr id="13" name="Chart 12">
          <a:extLst>
            <a:ext uri="{FF2B5EF4-FFF2-40B4-BE49-F238E27FC236}">
              <a16:creationId xmlns:a16="http://schemas.microsoft.com/office/drawing/2014/main" id="{00000000-0008-0000-0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435823</xdr:colOff>
      <xdr:row>22</xdr:row>
      <xdr:rowOff>97581</xdr:rowOff>
    </xdr:from>
    <xdr:to>
      <xdr:col>19</xdr:col>
      <xdr:colOff>557745</xdr:colOff>
      <xdr:row>33</xdr:row>
      <xdr:rowOff>79375</xdr:rowOff>
    </xdr:to>
    <xdr:graphicFrame macro="">
      <xdr:nvGraphicFramePr>
        <xdr:cNvPr id="17" name="Chart 16">
          <a:extLst>
            <a:ext uri="{FF2B5EF4-FFF2-40B4-BE49-F238E27FC236}">
              <a16:creationId xmlns:a16="http://schemas.microsoft.com/office/drawing/2014/main" id="{00000000-0008-0000-02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436034</xdr:colOff>
      <xdr:row>34</xdr:row>
      <xdr:rowOff>143512</xdr:rowOff>
    </xdr:from>
    <xdr:to>
      <xdr:col>19</xdr:col>
      <xdr:colOff>537634</xdr:colOff>
      <xdr:row>45</xdr:row>
      <xdr:rowOff>189231</xdr:rowOff>
    </xdr:to>
    <xdr:graphicFrame macro="">
      <xdr:nvGraphicFramePr>
        <xdr:cNvPr id="20" name="Chart 19">
          <a:extLst>
            <a:ext uri="{FF2B5EF4-FFF2-40B4-BE49-F238E27FC236}">
              <a16:creationId xmlns:a16="http://schemas.microsoft.com/office/drawing/2014/main" id="{00000000-0008-0000-02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219075</xdr:colOff>
      <xdr:row>1</xdr:row>
      <xdr:rowOff>66675</xdr:rowOff>
    </xdr:from>
    <xdr:to>
      <xdr:col>16</xdr:col>
      <xdr:colOff>952500</xdr:colOff>
      <xdr:row>3</xdr:row>
      <xdr:rowOff>171450</xdr:rowOff>
    </xdr:to>
    <xdr:pic>
      <xdr:nvPicPr>
        <xdr:cNvPr id="30" name="Picture 169">
          <a:extLst>
            <a:ext uri="{FF2B5EF4-FFF2-40B4-BE49-F238E27FC236}">
              <a16:creationId xmlns:a16="http://schemas.microsoft.com/office/drawing/2014/main" id="{00000000-0008-0000-02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6742" y="337608"/>
          <a:ext cx="1715558" cy="5704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71966</xdr:colOff>
      <xdr:row>25</xdr:row>
      <xdr:rowOff>143935</xdr:rowOff>
    </xdr:from>
    <xdr:to>
      <xdr:col>12</xdr:col>
      <xdr:colOff>374649</xdr:colOff>
      <xdr:row>29</xdr:row>
      <xdr:rowOff>135468</xdr:rowOff>
    </xdr:to>
    <xdr:sp macro="" textlink="">
      <xdr:nvSpPr>
        <xdr:cNvPr id="21" name="TextBox 20">
          <a:extLst>
            <a:ext uri="{FF2B5EF4-FFF2-40B4-BE49-F238E27FC236}">
              <a16:creationId xmlns:a16="http://schemas.microsoft.com/office/drawing/2014/main" id="{00000000-0008-0000-0200-000015000000}"/>
            </a:ext>
          </a:extLst>
        </xdr:cNvPr>
        <xdr:cNvSpPr txBox="1"/>
      </xdr:nvSpPr>
      <xdr:spPr>
        <a:xfrm>
          <a:off x="8752416" y="5776385"/>
          <a:ext cx="1185333" cy="8551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latin typeface="Trebuchet MS" panose="020B0603020202020204" pitchFamily="34" charset="0"/>
            </a:rPr>
            <a:t>2nd</a:t>
          </a:r>
          <a:r>
            <a:rPr lang="en-GB" sz="1400" b="1" baseline="0">
              <a:latin typeface="Trebuchet MS" panose="020B0603020202020204" pitchFamily="34" charset="0"/>
            </a:rPr>
            <a:t> </a:t>
          </a:r>
          <a:r>
            <a:rPr lang="en-GB" sz="1400" b="1">
              <a:latin typeface="Trebuchet MS" panose="020B0603020202020204" pitchFamily="34" charset="0"/>
            </a:rPr>
            <a:t>Order</a:t>
          </a:r>
        </a:p>
        <a:p>
          <a:r>
            <a:rPr lang="en-GB" sz="1400" b="1">
              <a:latin typeface="Trebuchet MS" panose="020B0603020202020204" pitchFamily="34" charset="0"/>
            </a:rPr>
            <a:t>M</a:t>
          </a:r>
          <a:r>
            <a:rPr lang="en-GB" sz="1400" b="1" baseline="-25000">
              <a:latin typeface="Trebuchet MS" panose="020B0603020202020204" pitchFamily="34" charset="0"/>
            </a:rPr>
            <a:t>2</a:t>
          </a:r>
        </a:p>
        <a:p>
          <a:endParaRPr lang="en-GB" sz="1400" b="1">
            <a:latin typeface="Trebuchet MS" panose="020B0603020202020204" pitchFamily="34" charset="0"/>
          </a:endParaRPr>
        </a:p>
      </xdr:txBody>
    </xdr:sp>
    <xdr:clientData/>
  </xdr:twoCellAnchor>
  <xdr:twoCellAnchor>
    <xdr:from>
      <xdr:col>11</xdr:col>
      <xdr:colOff>12700</xdr:colOff>
      <xdr:row>35</xdr:row>
      <xdr:rowOff>162983</xdr:rowOff>
    </xdr:from>
    <xdr:to>
      <xdr:col>12</xdr:col>
      <xdr:colOff>543984</xdr:colOff>
      <xdr:row>45</xdr:row>
      <xdr:rowOff>52917</xdr:rowOff>
    </xdr:to>
    <xdr:sp macro="" textlink="">
      <xdr:nvSpPr>
        <xdr:cNvPr id="22" name="TextBox 21">
          <a:extLst>
            <a:ext uri="{FF2B5EF4-FFF2-40B4-BE49-F238E27FC236}">
              <a16:creationId xmlns:a16="http://schemas.microsoft.com/office/drawing/2014/main" id="{00000000-0008-0000-0200-000016000000}"/>
            </a:ext>
          </a:extLst>
        </xdr:cNvPr>
        <xdr:cNvSpPr txBox="1"/>
      </xdr:nvSpPr>
      <xdr:spPr>
        <a:xfrm>
          <a:off x="8712200" y="7977716"/>
          <a:ext cx="1416051" cy="20320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latin typeface="Trebuchet MS" panose="020B0603020202020204" pitchFamily="34" charset="0"/>
            </a:rPr>
            <a:t>1st</a:t>
          </a:r>
          <a:r>
            <a:rPr lang="en-GB" sz="1400" b="1" baseline="0">
              <a:latin typeface="Trebuchet MS" panose="020B0603020202020204" pitchFamily="34" charset="0"/>
            </a:rPr>
            <a:t> &amp; 2nd</a:t>
          </a:r>
          <a:endParaRPr lang="en-GB" sz="1400" b="1">
            <a:latin typeface="Trebuchet MS" panose="020B0603020202020204" pitchFamily="34" charset="0"/>
          </a:endParaRPr>
        </a:p>
        <a:p>
          <a:r>
            <a:rPr lang="en-GB" sz="1400" b="1">
              <a:latin typeface="Trebuchet MS" panose="020B0603020202020204" pitchFamily="34" charset="0"/>
            </a:rPr>
            <a:t>Order</a:t>
          </a:r>
        </a:p>
        <a:p>
          <a:r>
            <a:rPr lang="en-GB" sz="1400" b="1">
              <a:latin typeface="Trebuchet MS" panose="020B0603020202020204" pitchFamily="34" charset="0"/>
            </a:rPr>
            <a:t>Showing</a:t>
          </a:r>
        </a:p>
        <a:p>
          <a:r>
            <a:rPr lang="en-GB" sz="1400" b="1">
              <a:latin typeface="Trebuchet MS" panose="020B0603020202020204" pitchFamily="34" charset="0"/>
            </a:rPr>
            <a:t>M</a:t>
          </a:r>
          <a:r>
            <a:rPr lang="en-GB" sz="1400" b="1" baseline="-25000">
              <a:latin typeface="Trebuchet MS" panose="020B0603020202020204" pitchFamily="34" charset="0"/>
            </a:rPr>
            <a:t>i</a:t>
          </a:r>
          <a:r>
            <a:rPr lang="en-GB" sz="1400" b="1" baseline="0">
              <a:latin typeface="Trebuchet MS" panose="020B0603020202020204" pitchFamily="34" charset="0"/>
            </a:rPr>
            <a:t> + M</a:t>
          </a:r>
          <a:r>
            <a:rPr lang="en-GB" sz="1400" b="1" baseline="-25000">
              <a:latin typeface="Trebuchet MS" panose="020B0603020202020204" pitchFamily="34" charset="0"/>
            </a:rPr>
            <a:t>imp </a:t>
          </a:r>
          <a:r>
            <a:rPr lang="en-GB" sz="1400" b="1" baseline="0">
              <a:latin typeface="Trebuchet MS" panose="020B0603020202020204" pitchFamily="34" charset="0"/>
            </a:rPr>
            <a:t>&amp; M</a:t>
          </a:r>
          <a:r>
            <a:rPr lang="en-GB" sz="1400" b="1" baseline="-25000">
              <a:latin typeface="Trebuchet MS" panose="020B0603020202020204" pitchFamily="34" charset="0"/>
            </a:rPr>
            <a:t>2</a:t>
          </a:r>
        </a:p>
        <a:p>
          <a:endParaRPr lang="en-GB" sz="1400" b="1">
            <a:latin typeface="Trebuchet MS" panose="020B0603020202020204" pitchFamily="34" charset="0"/>
          </a:endParaRPr>
        </a:p>
        <a:p>
          <a:r>
            <a:rPr lang="en-GB" sz="1400" b="1">
              <a:latin typeface="Trebuchet MS" panose="020B0603020202020204" pitchFamily="34" charset="0"/>
            </a:rPr>
            <a:t>M</a:t>
          </a:r>
          <a:r>
            <a:rPr lang="en-GB" sz="1400" b="1" baseline="-25000">
              <a:latin typeface="Trebuchet MS" panose="020B0603020202020204" pitchFamily="34" charset="0"/>
            </a:rPr>
            <a:t>i</a:t>
          </a:r>
          <a:r>
            <a:rPr lang="en-GB" sz="1400" b="1" baseline="0">
              <a:latin typeface="Trebuchet MS" panose="020B0603020202020204" pitchFamily="34" charset="0"/>
            </a:rPr>
            <a:t> - M</a:t>
          </a:r>
          <a:r>
            <a:rPr lang="en-GB" sz="1400" b="1" baseline="-25000">
              <a:latin typeface="Trebuchet MS" panose="020B0603020202020204" pitchFamily="34" charset="0"/>
            </a:rPr>
            <a:t>imp </a:t>
          </a:r>
          <a:r>
            <a:rPr lang="en-GB" sz="1400" b="1" baseline="0">
              <a:latin typeface="Trebuchet MS" panose="020B0603020202020204" pitchFamily="34" charset="0"/>
            </a:rPr>
            <a:t>&amp; M</a:t>
          </a:r>
          <a:r>
            <a:rPr lang="en-GB" sz="1400" b="1" baseline="-25000">
              <a:latin typeface="Trebuchet MS" panose="020B0603020202020204" pitchFamily="34" charset="0"/>
            </a:rPr>
            <a:t>2</a:t>
          </a:r>
        </a:p>
        <a:p>
          <a:endParaRPr lang="en-GB" sz="1400" b="1">
            <a:latin typeface="Trebuchet MS" panose="020B0603020202020204" pitchFamily="34" charset="0"/>
          </a:endParaRPr>
        </a:p>
        <a:p>
          <a:r>
            <a:rPr lang="en-GB" sz="1400" b="1">
              <a:latin typeface="Trebuchet MS" panose="020B0603020202020204" pitchFamily="34" charset="0"/>
            </a:rPr>
            <a:t>M</a:t>
          </a:r>
          <a:r>
            <a:rPr lang="en-GB" sz="1400" b="1" baseline="-25000">
              <a:latin typeface="Trebuchet MS" panose="020B0603020202020204" pitchFamily="34" charset="0"/>
            </a:rPr>
            <a:t>min</a:t>
          </a:r>
        </a:p>
      </xdr:txBody>
    </xdr:sp>
    <xdr:clientData/>
  </xdr:twoCellAnchor>
  <xdr:twoCellAnchor>
    <xdr:from>
      <xdr:col>15</xdr:col>
      <xdr:colOff>304800</xdr:colOff>
      <xdr:row>6</xdr:row>
      <xdr:rowOff>16935</xdr:rowOff>
    </xdr:from>
    <xdr:to>
      <xdr:col>19</xdr:col>
      <xdr:colOff>321734</xdr:colOff>
      <xdr:row>8</xdr:row>
      <xdr:rowOff>0</xdr:rowOff>
    </xdr:to>
    <xdr:sp macro="" textlink="">
      <xdr:nvSpPr>
        <xdr:cNvPr id="23" name="TextBox 22">
          <a:extLst>
            <a:ext uri="{FF2B5EF4-FFF2-40B4-BE49-F238E27FC236}">
              <a16:creationId xmlns:a16="http://schemas.microsoft.com/office/drawing/2014/main" id="{00000000-0008-0000-0200-000017000000}"/>
            </a:ext>
          </a:extLst>
        </xdr:cNvPr>
        <xdr:cNvSpPr txBox="1"/>
      </xdr:nvSpPr>
      <xdr:spPr>
        <a:xfrm>
          <a:off x="12211050" y="1496485"/>
          <a:ext cx="3890434" cy="5228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rgbClr val="007E39"/>
              </a:solidFill>
              <a:latin typeface="Trebuchet MS" panose="020B0603020202020204" pitchFamily="34" charset="0"/>
            </a:rPr>
            <a:t>Note.</a:t>
          </a:r>
          <a:r>
            <a:rPr lang="en-GB" sz="1400" b="1" baseline="0">
              <a:solidFill>
                <a:srgbClr val="007E39"/>
              </a:solidFill>
              <a:latin typeface="Trebuchet MS" panose="020B0603020202020204" pitchFamily="34" charset="0"/>
            </a:rPr>
            <a:t> Kink in First Order diagram occurs</a:t>
          </a:r>
        </a:p>
        <a:p>
          <a:r>
            <a:rPr lang="en-GB" sz="1400" b="1" baseline="0">
              <a:solidFill>
                <a:srgbClr val="007E39"/>
              </a:solidFill>
              <a:latin typeface="Trebuchet MS" panose="020B0603020202020204" pitchFamily="34" charset="0"/>
            </a:rPr>
            <a:t>where 0.4M</a:t>
          </a:r>
          <a:r>
            <a:rPr lang="en-GB" sz="1400" b="1" baseline="-25000">
              <a:solidFill>
                <a:srgbClr val="007E39"/>
              </a:solidFill>
              <a:latin typeface="Trebuchet MS" panose="020B0603020202020204" pitchFamily="34" charset="0"/>
            </a:rPr>
            <a:t>02</a:t>
          </a:r>
          <a:r>
            <a:rPr lang="en-GB" sz="1400" b="1" baseline="0">
              <a:solidFill>
                <a:srgbClr val="007E39"/>
              </a:solidFill>
              <a:latin typeface="Trebuchet MS" panose="020B0603020202020204" pitchFamily="34" charset="0"/>
            </a:rPr>
            <a:t> &gt; 0.6 M</a:t>
          </a:r>
          <a:r>
            <a:rPr lang="en-GB" sz="1400" b="1" baseline="-25000">
              <a:solidFill>
                <a:srgbClr val="007E39"/>
              </a:solidFill>
              <a:latin typeface="Trebuchet MS" panose="020B0603020202020204" pitchFamily="34" charset="0"/>
            </a:rPr>
            <a:t>02</a:t>
          </a:r>
          <a:r>
            <a:rPr lang="en-GB" sz="1400" b="1" baseline="0">
              <a:solidFill>
                <a:srgbClr val="007E39"/>
              </a:solidFill>
              <a:latin typeface="Trebuchet MS" panose="020B0603020202020204" pitchFamily="34" charset="0"/>
            </a:rPr>
            <a:t> + 0.4M</a:t>
          </a:r>
          <a:r>
            <a:rPr lang="en-GB" sz="1400" b="1" baseline="-25000">
              <a:solidFill>
                <a:srgbClr val="007E39"/>
              </a:solidFill>
              <a:latin typeface="Trebuchet MS" panose="020B0603020202020204" pitchFamily="34" charset="0"/>
            </a:rPr>
            <a:t>01</a:t>
          </a:r>
        </a:p>
      </xdr:txBody>
    </xdr:sp>
    <xdr:clientData/>
  </xdr:twoCellAnchor>
  <xdr:twoCellAnchor>
    <xdr:from>
      <xdr:col>12</xdr:col>
      <xdr:colOff>744007</xdr:colOff>
      <xdr:row>10</xdr:row>
      <xdr:rowOff>18207</xdr:rowOff>
    </xdr:from>
    <xdr:to>
      <xdr:col>16</xdr:col>
      <xdr:colOff>297391</xdr:colOff>
      <xdr:row>21</xdr:row>
      <xdr:rowOff>16934</xdr:rowOff>
    </xdr:to>
    <xdr:graphicFrame macro="">
      <xdr:nvGraphicFramePr>
        <xdr:cNvPr id="14" name="Chart 13">
          <a:extLst>
            <a:ext uri="{FF2B5EF4-FFF2-40B4-BE49-F238E27FC236}">
              <a16:creationId xmlns:a16="http://schemas.microsoft.com/office/drawing/2014/main" id="{00000000-0008-0000-02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719668</xdr:colOff>
      <xdr:row>47</xdr:row>
      <xdr:rowOff>50799</xdr:rowOff>
    </xdr:from>
    <xdr:to>
      <xdr:col>16</xdr:col>
      <xdr:colOff>239182</xdr:colOff>
      <xdr:row>57</xdr:row>
      <xdr:rowOff>124456</xdr:rowOff>
    </xdr:to>
    <xdr:graphicFrame macro="">
      <xdr:nvGraphicFramePr>
        <xdr:cNvPr id="24" name="Chart 23">
          <a:extLst>
            <a:ext uri="{FF2B5EF4-FFF2-40B4-BE49-F238E27FC236}">
              <a16:creationId xmlns:a16="http://schemas.microsoft.com/office/drawing/2014/main" id="{00000000-0008-0000-02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440267</xdr:colOff>
      <xdr:row>47</xdr:row>
      <xdr:rowOff>59267</xdr:rowOff>
    </xdr:from>
    <xdr:to>
      <xdr:col>19</xdr:col>
      <xdr:colOff>541867</xdr:colOff>
      <xdr:row>57</xdr:row>
      <xdr:rowOff>138852</xdr:rowOff>
    </xdr:to>
    <xdr:graphicFrame macro="">
      <xdr:nvGraphicFramePr>
        <xdr:cNvPr id="25" name="Chart 24">
          <a:extLst>
            <a:ext uri="{FF2B5EF4-FFF2-40B4-BE49-F238E27FC236}">
              <a16:creationId xmlns:a16="http://schemas.microsoft.com/office/drawing/2014/main" id="{00000000-0008-0000-02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23284</xdr:colOff>
      <xdr:row>48</xdr:row>
      <xdr:rowOff>61383</xdr:rowOff>
    </xdr:from>
    <xdr:to>
      <xdr:col>12</xdr:col>
      <xdr:colOff>243417</xdr:colOff>
      <xdr:row>55</xdr:row>
      <xdr:rowOff>2117</xdr:rowOff>
    </xdr:to>
    <xdr:sp macro="" textlink="">
      <xdr:nvSpPr>
        <xdr:cNvPr id="26" name="TextBox 25">
          <a:extLst>
            <a:ext uri="{FF2B5EF4-FFF2-40B4-BE49-F238E27FC236}">
              <a16:creationId xmlns:a16="http://schemas.microsoft.com/office/drawing/2014/main" id="{00000000-0008-0000-0200-00001A000000}"/>
            </a:ext>
          </a:extLst>
        </xdr:cNvPr>
        <xdr:cNvSpPr txBox="1"/>
      </xdr:nvSpPr>
      <xdr:spPr>
        <a:xfrm>
          <a:off x="8703734" y="10551583"/>
          <a:ext cx="1102783" cy="16234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baseline="0">
              <a:latin typeface="Trebuchet MS" panose="020B0603020202020204" pitchFamily="34" charset="0"/>
            </a:rPr>
            <a:t>Final</a:t>
          </a:r>
        </a:p>
        <a:p>
          <a:r>
            <a:rPr lang="en-GB" sz="1400" b="1" baseline="0">
              <a:latin typeface="Trebuchet MS" panose="020B0603020202020204" pitchFamily="34" charset="0"/>
            </a:rPr>
            <a:t>Design</a:t>
          </a:r>
        </a:p>
        <a:p>
          <a:r>
            <a:rPr lang="en-GB" sz="1400" b="1" baseline="0">
              <a:latin typeface="Trebuchet MS" panose="020B0603020202020204" pitchFamily="34" charset="0"/>
            </a:rPr>
            <a:t>Values</a:t>
          </a:r>
        </a:p>
        <a:p>
          <a:r>
            <a:rPr lang="en-GB" sz="1400" b="1" baseline="0">
              <a:latin typeface="Trebuchet MS" panose="020B0603020202020204" pitchFamily="34" charset="0"/>
            </a:rPr>
            <a:t>M</a:t>
          </a:r>
          <a:r>
            <a:rPr lang="en-GB" sz="1400" b="1" baseline="-25000">
              <a:latin typeface="Trebuchet MS" panose="020B0603020202020204" pitchFamily="34" charset="0"/>
            </a:rPr>
            <a:t>Ed</a:t>
          </a:r>
        </a:p>
        <a:p>
          <a:endParaRPr lang="en-GB" sz="1400" b="1" baseline="-25000">
            <a:latin typeface="Trebuchet MS" panose="020B0603020202020204" pitchFamily="34" charset="0"/>
          </a:endParaRPr>
        </a:p>
        <a:p>
          <a:r>
            <a:rPr lang="en-GB" sz="1400" b="1" baseline="0">
              <a:latin typeface="Trebuchet MS" panose="020B0603020202020204" pitchFamily="34" charset="0"/>
            </a:rPr>
            <a:t>M</a:t>
          </a:r>
          <a:r>
            <a:rPr lang="en-GB" sz="1400" b="1" baseline="-25000">
              <a:latin typeface="Trebuchet MS" panose="020B0603020202020204" pitchFamily="34" charset="0"/>
            </a:rPr>
            <a:t>min</a:t>
          </a:r>
        </a:p>
        <a:p>
          <a:endParaRPr lang="en-GB" sz="1400" b="1" baseline="0">
            <a:latin typeface="Trebuchet MS" panose="020B0603020202020204" pitchFamily="34" charset="0"/>
          </a:endParaRPr>
        </a:p>
      </xdr:txBody>
    </xdr:sp>
    <xdr:clientData/>
  </xdr:twoCellAnchor>
  <xdr:twoCellAnchor>
    <xdr:from>
      <xdr:col>11</xdr:col>
      <xdr:colOff>129116</xdr:colOff>
      <xdr:row>17</xdr:row>
      <xdr:rowOff>105834</xdr:rowOff>
    </xdr:from>
    <xdr:to>
      <xdr:col>12</xdr:col>
      <xdr:colOff>397933</xdr:colOff>
      <xdr:row>17</xdr:row>
      <xdr:rowOff>106891</xdr:rowOff>
    </xdr:to>
    <xdr:cxnSp macro="">
      <xdr:nvCxnSpPr>
        <xdr:cNvPr id="7" name="Straight Connector 6">
          <a:extLst>
            <a:ext uri="{FF2B5EF4-FFF2-40B4-BE49-F238E27FC236}">
              <a16:creationId xmlns:a16="http://schemas.microsoft.com/office/drawing/2014/main" id="{00000000-0008-0000-0200-000007000000}"/>
            </a:ext>
          </a:extLst>
        </xdr:cNvPr>
        <xdr:cNvCxnSpPr/>
      </xdr:nvCxnSpPr>
      <xdr:spPr bwMode="auto">
        <a:xfrm>
          <a:off x="8815916" y="4110567"/>
          <a:ext cx="1149350" cy="1057"/>
        </a:xfrm>
        <a:prstGeom prst="line">
          <a:avLst/>
        </a:prstGeom>
        <a:solidFill>
          <a:srgbClr val="FFFFFF"/>
        </a:solidFill>
        <a:ln w="25400" cap="flat" cmpd="sng" algn="ctr">
          <a:solidFill>
            <a:srgbClr val="0070C0"/>
          </a:solidFill>
          <a:prstDash val="solid"/>
          <a:round/>
          <a:headEnd type="none" w="med" len="med"/>
          <a:tailEnd type="none" w="med" len="med"/>
        </a:ln>
        <a:effectLst/>
      </xdr:spPr>
    </xdr:cxnSp>
    <xdr:clientData/>
  </xdr:twoCellAnchor>
  <xdr:twoCellAnchor>
    <xdr:from>
      <xdr:col>11</xdr:col>
      <xdr:colOff>125941</xdr:colOff>
      <xdr:row>19</xdr:row>
      <xdr:rowOff>162983</xdr:rowOff>
    </xdr:from>
    <xdr:to>
      <xdr:col>12</xdr:col>
      <xdr:colOff>397933</xdr:colOff>
      <xdr:row>19</xdr:row>
      <xdr:rowOff>164041</xdr:rowOff>
    </xdr:to>
    <xdr:cxnSp macro="">
      <xdr:nvCxnSpPr>
        <xdr:cNvPr id="28" name="Straight Connector 27">
          <a:extLst>
            <a:ext uri="{FF2B5EF4-FFF2-40B4-BE49-F238E27FC236}">
              <a16:creationId xmlns:a16="http://schemas.microsoft.com/office/drawing/2014/main" id="{00000000-0008-0000-0200-00001C000000}"/>
            </a:ext>
          </a:extLst>
        </xdr:cNvPr>
        <xdr:cNvCxnSpPr/>
      </xdr:nvCxnSpPr>
      <xdr:spPr bwMode="auto">
        <a:xfrm flipV="1">
          <a:off x="8812741" y="4557183"/>
          <a:ext cx="1152525" cy="1058"/>
        </a:xfrm>
        <a:prstGeom prst="line">
          <a:avLst/>
        </a:prstGeom>
        <a:solidFill>
          <a:srgbClr val="FFFFFF"/>
        </a:solidFill>
        <a:ln w="25400" cap="flat" cmpd="sng" algn="ctr">
          <a:solidFill>
            <a:srgbClr val="00B050"/>
          </a:solidFill>
          <a:prstDash val="solid"/>
          <a:round/>
          <a:headEnd type="none" w="med" len="med"/>
          <a:tailEnd type="none" w="med" len="med"/>
        </a:ln>
        <a:effectLst/>
      </xdr:spPr>
    </xdr:cxnSp>
    <xdr:clientData/>
  </xdr:twoCellAnchor>
  <xdr:twoCellAnchor>
    <xdr:from>
      <xdr:col>11</xdr:col>
      <xdr:colOff>137584</xdr:colOff>
      <xdr:row>15</xdr:row>
      <xdr:rowOff>147109</xdr:rowOff>
    </xdr:from>
    <xdr:to>
      <xdr:col>12</xdr:col>
      <xdr:colOff>397933</xdr:colOff>
      <xdr:row>15</xdr:row>
      <xdr:rowOff>148166</xdr:rowOff>
    </xdr:to>
    <xdr:cxnSp macro="">
      <xdr:nvCxnSpPr>
        <xdr:cNvPr id="35" name="Straight Connector 34">
          <a:extLst>
            <a:ext uri="{FF2B5EF4-FFF2-40B4-BE49-F238E27FC236}">
              <a16:creationId xmlns:a16="http://schemas.microsoft.com/office/drawing/2014/main" id="{00000000-0008-0000-0200-000023000000}"/>
            </a:ext>
          </a:extLst>
        </xdr:cNvPr>
        <xdr:cNvCxnSpPr/>
      </xdr:nvCxnSpPr>
      <xdr:spPr bwMode="auto">
        <a:xfrm>
          <a:off x="8824384" y="3677709"/>
          <a:ext cx="1140882" cy="1057"/>
        </a:xfrm>
        <a:prstGeom prst="line">
          <a:avLst/>
        </a:prstGeom>
        <a:solidFill>
          <a:srgbClr val="FFFFFF"/>
        </a:solidFill>
        <a:ln w="19050" cap="flat" cmpd="sng" algn="ctr">
          <a:solidFill>
            <a:schemeClr val="tx1"/>
          </a:solidFill>
          <a:prstDash val="dash"/>
          <a:round/>
          <a:headEnd type="none" w="med" len="med"/>
          <a:tailEnd type="none" w="med" len="med"/>
        </a:ln>
        <a:effectLst/>
      </xdr:spPr>
    </xdr:cxnSp>
    <xdr:clientData/>
  </xdr:twoCellAnchor>
  <xdr:twoCellAnchor>
    <xdr:from>
      <xdr:col>11</xdr:col>
      <xdr:colOff>134409</xdr:colOff>
      <xdr:row>44</xdr:row>
      <xdr:rowOff>63500</xdr:rowOff>
    </xdr:from>
    <xdr:to>
      <xdr:col>12</xdr:col>
      <xdr:colOff>359833</xdr:colOff>
      <xdr:row>44</xdr:row>
      <xdr:rowOff>68794</xdr:rowOff>
    </xdr:to>
    <xdr:cxnSp macro="">
      <xdr:nvCxnSpPr>
        <xdr:cNvPr id="37" name="Straight Connector 36">
          <a:extLst>
            <a:ext uri="{FF2B5EF4-FFF2-40B4-BE49-F238E27FC236}">
              <a16:creationId xmlns:a16="http://schemas.microsoft.com/office/drawing/2014/main" id="{00000000-0008-0000-0200-000025000000}"/>
            </a:ext>
          </a:extLst>
        </xdr:cNvPr>
        <xdr:cNvCxnSpPr/>
      </xdr:nvCxnSpPr>
      <xdr:spPr bwMode="auto">
        <a:xfrm flipV="1">
          <a:off x="8833909" y="9808633"/>
          <a:ext cx="1110191" cy="5294"/>
        </a:xfrm>
        <a:prstGeom prst="line">
          <a:avLst/>
        </a:prstGeom>
        <a:solidFill>
          <a:srgbClr val="FFFFFF"/>
        </a:solidFill>
        <a:ln w="19050" cap="flat" cmpd="sng" algn="ctr">
          <a:solidFill>
            <a:srgbClr val="7030A0"/>
          </a:solidFill>
          <a:prstDash val="dash"/>
          <a:round/>
          <a:headEnd type="none" w="med" len="med"/>
          <a:tailEnd type="none" w="med" len="med"/>
        </a:ln>
        <a:effectLst/>
      </xdr:spPr>
    </xdr:cxnSp>
    <xdr:clientData/>
  </xdr:twoCellAnchor>
  <xdr:twoCellAnchor>
    <xdr:from>
      <xdr:col>11</xdr:col>
      <xdr:colOff>138643</xdr:colOff>
      <xdr:row>40</xdr:row>
      <xdr:rowOff>79375</xdr:rowOff>
    </xdr:from>
    <xdr:to>
      <xdr:col>12</xdr:col>
      <xdr:colOff>376766</xdr:colOff>
      <xdr:row>40</xdr:row>
      <xdr:rowOff>80433</xdr:rowOff>
    </xdr:to>
    <xdr:cxnSp macro="">
      <xdr:nvCxnSpPr>
        <xdr:cNvPr id="41" name="Straight Connector 40">
          <a:extLst>
            <a:ext uri="{FF2B5EF4-FFF2-40B4-BE49-F238E27FC236}">
              <a16:creationId xmlns:a16="http://schemas.microsoft.com/office/drawing/2014/main" id="{00000000-0008-0000-0200-000029000000}"/>
            </a:ext>
          </a:extLst>
        </xdr:cNvPr>
        <xdr:cNvCxnSpPr/>
      </xdr:nvCxnSpPr>
      <xdr:spPr bwMode="auto">
        <a:xfrm>
          <a:off x="8838143" y="8977842"/>
          <a:ext cx="1122890" cy="1058"/>
        </a:xfrm>
        <a:prstGeom prst="line">
          <a:avLst/>
        </a:prstGeom>
        <a:solidFill>
          <a:srgbClr val="FFFFFF"/>
        </a:solidFill>
        <a:ln w="15875" cap="flat" cmpd="sng" algn="ctr">
          <a:solidFill>
            <a:srgbClr val="0070C0"/>
          </a:solidFill>
          <a:prstDash val="solid"/>
          <a:round/>
          <a:headEnd type="none" w="med" len="med"/>
          <a:tailEnd type="none" w="med" len="med"/>
        </a:ln>
        <a:effectLst/>
      </xdr:spPr>
    </xdr:cxnSp>
    <xdr:clientData/>
  </xdr:twoCellAnchor>
  <xdr:twoCellAnchor>
    <xdr:from>
      <xdr:col>11</xdr:col>
      <xdr:colOff>125943</xdr:colOff>
      <xdr:row>42</xdr:row>
      <xdr:rowOff>80433</xdr:rowOff>
    </xdr:from>
    <xdr:to>
      <xdr:col>12</xdr:col>
      <xdr:colOff>381000</xdr:colOff>
      <xdr:row>42</xdr:row>
      <xdr:rowOff>85725</xdr:rowOff>
    </xdr:to>
    <xdr:cxnSp macro="">
      <xdr:nvCxnSpPr>
        <xdr:cNvPr id="44" name="Straight Connector 43">
          <a:extLst>
            <a:ext uri="{FF2B5EF4-FFF2-40B4-BE49-F238E27FC236}">
              <a16:creationId xmlns:a16="http://schemas.microsoft.com/office/drawing/2014/main" id="{00000000-0008-0000-0200-00002C000000}"/>
            </a:ext>
          </a:extLst>
        </xdr:cNvPr>
        <xdr:cNvCxnSpPr/>
      </xdr:nvCxnSpPr>
      <xdr:spPr bwMode="auto">
        <a:xfrm flipV="1">
          <a:off x="8825443" y="9402233"/>
          <a:ext cx="1139824" cy="5292"/>
        </a:xfrm>
        <a:prstGeom prst="line">
          <a:avLst/>
        </a:prstGeom>
        <a:solidFill>
          <a:srgbClr val="FFFFFF"/>
        </a:solidFill>
        <a:ln w="15875" cap="flat" cmpd="sng" algn="ctr">
          <a:solidFill>
            <a:srgbClr val="00B050"/>
          </a:solidFill>
          <a:prstDash val="solid"/>
          <a:round/>
          <a:headEnd type="none" w="med" len="med"/>
          <a:tailEnd type="none" w="med" len="med"/>
        </a:ln>
        <a:effectLst/>
      </xdr:spPr>
    </xdr:cxnSp>
    <xdr:clientData/>
  </xdr:twoCellAnchor>
  <xdr:twoCellAnchor>
    <xdr:from>
      <xdr:col>11</xdr:col>
      <xdr:colOff>195792</xdr:colOff>
      <xdr:row>28</xdr:row>
      <xdr:rowOff>101599</xdr:rowOff>
    </xdr:from>
    <xdr:to>
      <xdr:col>12</xdr:col>
      <xdr:colOff>330200</xdr:colOff>
      <xdr:row>28</xdr:row>
      <xdr:rowOff>104775</xdr:rowOff>
    </xdr:to>
    <xdr:cxnSp macro="">
      <xdr:nvCxnSpPr>
        <xdr:cNvPr id="69" name="Straight Connector 68">
          <a:extLst>
            <a:ext uri="{FF2B5EF4-FFF2-40B4-BE49-F238E27FC236}">
              <a16:creationId xmlns:a16="http://schemas.microsoft.com/office/drawing/2014/main" id="{00000000-0008-0000-0200-000045000000}"/>
            </a:ext>
          </a:extLst>
        </xdr:cNvPr>
        <xdr:cNvCxnSpPr/>
      </xdr:nvCxnSpPr>
      <xdr:spPr bwMode="auto">
        <a:xfrm>
          <a:off x="8876242" y="6388099"/>
          <a:ext cx="1017058" cy="3176"/>
        </a:xfrm>
        <a:prstGeom prst="line">
          <a:avLst/>
        </a:prstGeom>
        <a:solidFill>
          <a:srgbClr val="FFFFFF"/>
        </a:solidFill>
        <a:ln w="25400" cap="flat" cmpd="sng" algn="ctr">
          <a:solidFill>
            <a:srgbClr val="FF0000"/>
          </a:solidFill>
          <a:prstDash val="solid"/>
          <a:round/>
          <a:headEnd type="none" w="med" len="med"/>
          <a:tailEnd type="none" w="med" len="med"/>
        </a:ln>
        <a:effectLst/>
      </xdr:spPr>
    </xdr:cxnSp>
    <xdr:clientData/>
  </xdr:twoCellAnchor>
  <xdr:twoCellAnchor>
    <xdr:from>
      <xdr:col>11</xdr:col>
      <xdr:colOff>116417</xdr:colOff>
      <xdr:row>52</xdr:row>
      <xdr:rowOff>256117</xdr:rowOff>
    </xdr:from>
    <xdr:to>
      <xdr:col>12</xdr:col>
      <xdr:colOff>240241</xdr:colOff>
      <xdr:row>52</xdr:row>
      <xdr:rowOff>257175</xdr:rowOff>
    </xdr:to>
    <xdr:cxnSp macro="">
      <xdr:nvCxnSpPr>
        <xdr:cNvPr id="70" name="Straight Connector 69">
          <a:extLst>
            <a:ext uri="{FF2B5EF4-FFF2-40B4-BE49-F238E27FC236}">
              <a16:creationId xmlns:a16="http://schemas.microsoft.com/office/drawing/2014/main" id="{00000000-0008-0000-0200-000046000000}"/>
            </a:ext>
          </a:extLst>
        </xdr:cNvPr>
        <xdr:cNvCxnSpPr/>
      </xdr:nvCxnSpPr>
      <xdr:spPr bwMode="auto">
        <a:xfrm>
          <a:off x="8796867" y="11559117"/>
          <a:ext cx="1006474" cy="1058"/>
        </a:xfrm>
        <a:prstGeom prst="line">
          <a:avLst/>
        </a:prstGeom>
        <a:solidFill>
          <a:srgbClr val="FFFFFF"/>
        </a:solidFill>
        <a:ln w="25400" cap="flat" cmpd="sng" algn="ctr">
          <a:solidFill>
            <a:srgbClr val="7030A0"/>
          </a:solidFill>
          <a:prstDash val="solid"/>
          <a:round/>
          <a:headEnd type="none" w="med" len="med"/>
          <a:tailEnd type="none" w="med" len="med"/>
        </a:ln>
        <a:effectLst/>
      </xdr:spPr>
    </xdr:cxnSp>
    <xdr:clientData/>
  </xdr:twoCellAnchor>
  <xdr:twoCellAnchor>
    <xdr:from>
      <xdr:col>11</xdr:col>
      <xdr:colOff>120650</xdr:colOff>
      <xdr:row>54</xdr:row>
      <xdr:rowOff>76200</xdr:rowOff>
    </xdr:from>
    <xdr:to>
      <xdr:col>12</xdr:col>
      <xdr:colOff>244474</xdr:colOff>
      <xdr:row>54</xdr:row>
      <xdr:rowOff>77258</xdr:rowOff>
    </xdr:to>
    <xdr:cxnSp macro="">
      <xdr:nvCxnSpPr>
        <xdr:cNvPr id="90" name="Straight Connector 89">
          <a:extLst>
            <a:ext uri="{FF2B5EF4-FFF2-40B4-BE49-F238E27FC236}">
              <a16:creationId xmlns:a16="http://schemas.microsoft.com/office/drawing/2014/main" id="{00000000-0008-0000-0200-00005A000000}"/>
            </a:ext>
          </a:extLst>
        </xdr:cNvPr>
        <xdr:cNvCxnSpPr/>
      </xdr:nvCxnSpPr>
      <xdr:spPr bwMode="auto">
        <a:xfrm>
          <a:off x="8801100" y="11963400"/>
          <a:ext cx="1006474" cy="1058"/>
        </a:xfrm>
        <a:prstGeom prst="line">
          <a:avLst/>
        </a:prstGeom>
        <a:solidFill>
          <a:srgbClr val="FFFFFF"/>
        </a:solidFill>
        <a:ln w="19050" cap="flat" cmpd="sng" algn="ctr">
          <a:solidFill>
            <a:srgbClr val="7030A0"/>
          </a:solidFill>
          <a:prstDash val="dash"/>
          <a:round/>
          <a:headEnd type="none" w="med" len="med"/>
          <a:tailEnd type="none" w="med" len="med"/>
        </a:ln>
        <a:effectLst/>
      </xdr:spPr>
    </xdr:cxnSp>
    <xdr:clientData/>
  </xdr:twoCellAnchor>
  <xdr:twoCellAnchor>
    <xdr:from>
      <xdr:col>89</xdr:col>
      <xdr:colOff>169332</xdr:colOff>
      <xdr:row>1</xdr:row>
      <xdr:rowOff>8466</xdr:rowOff>
    </xdr:from>
    <xdr:to>
      <xdr:col>94</xdr:col>
      <xdr:colOff>95249</xdr:colOff>
      <xdr:row>10</xdr:row>
      <xdr:rowOff>139700</xdr:rowOff>
    </xdr:to>
    <xdr:graphicFrame macro="">
      <xdr:nvGraphicFramePr>
        <xdr:cNvPr id="31" name="Chart 30">
          <a:extLst>
            <a:ext uri="{FF2B5EF4-FFF2-40B4-BE49-F238E27FC236}">
              <a16:creationId xmlns:a16="http://schemas.microsoft.com/office/drawing/2014/main" id="{00000000-0008-0000-02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310305</xdr:colOff>
      <xdr:row>1</xdr:row>
      <xdr:rowOff>16934</xdr:rowOff>
    </xdr:from>
    <xdr:to>
      <xdr:col>100</xdr:col>
      <xdr:colOff>271359</xdr:colOff>
      <xdr:row>10</xdr:row>
      <xdr:rowOff>148169</xdr:rowOff>
    </xdr:to>
    <xdr:graphicFrame macro="">
      <xdr:nvGraphicFramePr>
        <xdr:cNvPr id="32" name="Chart 31">
          <a:extLst>
            <a:ext uri="{FF2B5EF4-FFF2-40B4-BE49-F238E27FC236}">
              <a16:creationId xmlns:a16="http://schemas.microsoft.com/office/drawing/2014/main" id="{00000000-0008-0000-0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85</xdr:col>
      <xdr:colOff>433917</xdr:colOff>
      <xdr:row>1</xdr:row>
      <xdr:rowOff>254001</xdr:rowOff>
    </xdr:from>
    <xdr:to>
      <xdr:col>87</xdr:col>
      <xdr:colOff>162983</xdr:colOff>
      <xdr:row>8</xdr:row>
      <xdr:rowOff>118534</xdr:rowOff>
    </xdr:to>
    <xdr:sp macro="" textlink="">
      <xdr:nvSpPr>
        <xdr:cNvPr id="33" name="TextBox 32">
          <a:extLst>
            <a:ext uri="{FF2B5EF4-FFF2-40B4-BE49-F238E27FC236}">
              <a16:creationId xmlns:a16="http://schemas.microsoft.com/office/drawing/2014/main" id="{00000000-0008-0000-0200-000021000000}"/>
            </a:ext>
          </a:extLst>
        </xdr:cNvPr>
        <xdr:cNvSpPr txBox="1"/>
      </xdr:nvSpPr>
      <xdr:spPr>
        <a:xfrm>
          <a:off x="59184117" y="524934"/>
          <a:ext cx="948266" cy="16171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latin typeface="Trebuchet MS" panose="020B0603020202020204" pitchFamily="34" charset="0"/>
            </a:rPr>
            <a:t>From</a:t>
          </a:r>
        </a:p>
        <a:p>
          <a:r>
            <a:rPr lang="en-GB" sz="1400" b="1">
              <a:latin typeface="Trebuchet MS" panose="020B0603020202020204" pitchFamily="34" charset="0"/>
            </a:rPr>
            <a:t>Analysis</a:t>
          </a:r>
        </a:p>
        <a:p>
          <a:endParaRPr lang="en-GB" sz="1400" b="1">
            <a:latin typeface="Trebuchet MS" panose="020B0603020202020204" pitchFamily="34" charset="0"/>
          </a:endParaRPr>
        </a:p>
        <a:p>
          <a:r>
            <a:rPr lang="en-GB" sz="1400" b="1">
              <a:latin typeface="Trebuchet MS" panose="020B0603020202020204" pitchFamily="34" charset="0"/>
            </a:rPr>
            <a:t>Initial</a:t>
          </a:r>
        </a:p>
        <a:p>
          <a:r>
            <a:rPr lang="en-GB" sz="1400" b="1">
              <a:latin typeface="Trebuchet MS" panose="020B0603020202020204" pitchFamily="34" charset="0"/>
            </a:rPr>
            <a:t>Moments</a:t>
          </a:r>
        </a:p>
        <a:p>
          <a:r>
            <a:rPr lang="en-GB" sz="1400" b="1">
              <a:latin typeface="Trebuchet MS" panose="020B0603020202020204" pitchFamily="34" charset="0"/>
            </a:rPr>
            <a:t>M</a:t>
          </a:r>
          <a:r>
            <a:rPr lang="en-GB" sz="1400" b="1" baseline="-25000">
              <a:latin typeface="Trebuchet MS" panose="020B0603020202020204" pitchFamily="34" charset="0"/>
            </a:rPr>
            <a:t>i2</a:t>
          </a:r>
          <a:r>
            <a:rPr lang="en-GB" sz="1400" b="1">
              <a:latin typeface="Trebuchet MS" panose="020B0603020202020204" pitchFamily="34" charset="0"/>
            </a:rPr>
            <a:t> &amp; M</a:t>
          </a:r>
          <a:r>
            <a:rPr lang="en-GB" sz="1400" b="1" baseline="-25000">
              <a:latin typeface="Trebuchet MS" panose="020B0603020202020204" pitchFamily="34" charset="0"/>
            </a:rPr>
            <a:t>i1</a:t>
          </a:r>
        </a:p>
      </xdr:txBody>
    </xdr:sp>
    <xdr:clientData/>
  </xdr:twoCellAnchor>
</xdr:wsDr>
</file>

<file path=xl/drawings/drawing12.xml><?xml version="1.0" encoding="utf-8"?>
<c:userShapes xmlns:c="http://schemas.openxmlformats.org/drawingml/2006/chart">
  <cdr:relSizeAnchor xmlns:cdr="http://schemas.openxmlformats.org/drawingml/2006/chartDrawing">
    <cdr:from>
      <cdr:x>0.194</cdr:x>
      <cdr:y>0.83242</cdr:y>
    </cdr:from>
    <cdr:to>
      <cdr:x>0.83601</cdr:x>
      <cdr:y>0.98352</cdr:y>
    </cdr:to>
    <cdr:sp macro="" textlink="">
      <cdr:nvSpPr>
        <cdr:cNvPr id="2" name="TextBox 1"/>
        <cdr:cNvSpPr txBox="1"/>
      </cdr:nvSpPr>
      <cdr:spPr>
        <a:xfrm xmlns:a="http://schemas.openxmlformats.org/drawingml/2006/main">
          <a:off x="221327" y="962025"/>
          <a:ext cx="732460" cy="174625"/>
        </a:xfrm>
        <a:prstGeom xmlns:a="http://schemas.openxmlformats.org/drawingml/2006/main" prst="rect">
          <a:avLst/>
        </a:prstGeom>
      </cdr:spPr>
      <cdr:txBody>
        <a:bodyPr xmlns:a="http://schemas.openxmlformats.org/drawingml/2006/main" vertOverflow="clip" wrap="square" rtlCol="0" anchor="ctr" anchorCtr="0"/>
        <a:lstStyle xmlns:a="http://schemas.openxmlformats.org/drawingml/2006/main"/>
        <a:p xmlns:a="http://schemas.openxmlformats.org/drawingml/2006/main">
          <a:pPr algn="ctr"/>
          <a:r>
            <a:rPr lang="en-GB" sz="1100">
              <a:latin typeface="Tekton MS"/>
            </a:rPr>
            <a:t>M</a:t>
          </a:r>
          <a:r>
            <a:rPr lang="en-GB" sz="800">
              <a:latin typeface="Tekton MS"/>
            </a:rPr>
            <a:t>oy</a:t>
          </a:r>
        </a:p>
      </cdr:txBody>
    </cdr:sp>
  </cdr:relSizeAnchor>
</c:userShapes>
</file>

<file path=xl/drawings/drawing13.xml><?xml version="1.0" encoding="utf-8"?>
<c:userShapes xmlns:c="http://schemas.openxmlformats.org/drawingml/2006/chart">
  <cdr:relSizeAnchor xmlns:cdr="http://schemas.openxmlformats.org/drawingml/2006/chartDrawing">
    <cdr:from>
      <cdr:x>0.21304</cdr:x>
      <cdr:y>0.83108</cdr:y>
    </cdr:from>
    <cdr:to>
      <cdr:x>0.7821</cdr:x>
      <cdr:y>0.97788</cdr:y>
    </cdr:to>
    <cdr:sp macro="" textlink="">
      <cdr:nvSpPr>
        <cdr:cNvPr id="3" name="TextBox 1"/>
        <cdr:cNvSpPr txBox="1"/>
      </cdr:nvSpPr>
      <cdr:spPr>
        <a:xfrm xmlns:a="http://schemas.openxmlformats.org/drawingml/2006/main">
          <a:off x="243284" y="965758"/>
          <a:ext cx="649829" cy="170586"/>
        </a:xfrm>
        <a:prstGeom xmlns:a="http://schemas.openxmlformats.org/drawingml/2006/main" prst="rect">
          <a:avLst/>
        </a:prstGeom>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1100">
              <a:latin typeface="Tekton MS"/>
            </a:rPr>
            <a:t>M</a:t>
          </a:r>
          <a:r>
            <a:rPr lang="en-GB" sz="800">
              <a:latin typeface="Tekton MS"/>
            </a:rPr>
            <a:t>oz</a:t>
          </a:r>
        </a:p>
      </cdr:txBody>
    </cdr:sp>
  </cdr:relSizeAnchor>
</c:userShapes>
</file>

<file path=xl/drawings/drawing14.xml><?xml version="1.0" encoding="utf-8"?>
<c:userShapes xmlns:c="http://schemas.openxmlformats.org/drawingml/2006/chart">
  <cdr:relSizeAnchor xmlns:cdr="http://schemas.openxmlformats.org/drawingml/2006/chartDrawing">
    <cdr:from>
      <cdr:x>0.12</cdr:x>
      <cdr:y>0.8147</cdr:y>
    </cdr:from>
    <cdr:to>
      <cdr:x>0.81037</cdr:x>
      <cdr:y>0.94569</cdr:y>
    </cdr:to>
    <cdr:sp macro="" textlink="">
      <cdr:nvSpPr>
        <cdr:cNvPr id="2" name="TextBox 1"/>
        <cdr:cNvSpPr txBox="1"/>
      </cdr:nvSpPr>
      <cdr:spPr>
        <a:xfrm xmlns:a="http://schemas.openxmlformats.org/drawingml/2006/main">
          <a:off x="342899" y="2158999"/>
          <a:ext cx="1972733" cy="34713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latin typeface="Tekton Pro" panose="020F0603020208020904" pitchFamily="34" charset="0"/>
          </a:endParaRPr>
        </a:p>
      </cdr:txBody>
    </cdr:sp>
  </cdr:relSizeAnchor>
  <cdr:relSizeAnchor xmlns:cdr="http://schemas.openxmlformats.org/drawingml/2006/chartDrawing">
    <cdr:from>
      <cdr:x>0.11704</cdr:x>
      <cdr:y>0.78275</cdr:y>
    </cdr:from>
    <cdr:to>
      <cdr:x>0.79852</cdr:x>
      <cdr:y>0.92971</cdr:y>
    </cdr:to>
    <cdr:sp macro="" textlink="">
      <cdr:nvSpPr>
        <cdr:cNvPr id="3" name="TextBox 2"/>
        <cdr:cNvSpPr txBox="1"/>
      </cdr:nvSpPr>
      <cdr:spPr>
        <a:xfrm xmlns:a="http://schemas.openxmlformats.org/drawingml/2006/main">
          <a:off x="334432" y="2074332"/>
          <a:ext cx="1947334" cy="38946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p>
      </cdr:txBody>
    </cdr:sp>
  </cdr:relSizeAnchor>
</c:userShapes>
</file>

<file path=xl/drawings/drawing15.xml><?xml version="1.0" encoding="utf-8"?>
<c:userShapes xmlns:c="http://schemas.openxmlformats.org/drawingml/2006/chart">
  <cdr:relSizeAnchor xmlns:cdr="http://schemas.openxmlformats.org/drawingml/2006/chartDrawing">
    <cdr:from>
      <cdr:x>0.12</cdr:x>
      <cdr:y>0.8147</cdr:y>
    </cdr:from>
    <cdr:to>
      <cdr:x>0.81037</cdr:x>
      <cdr:y>0.94569</cdr:y>
    </cdr:to>
    <cdr:sp macro="" textlink="">
      <cdr:nvSpPr>
        <cdr:cNvPr id="2" name="TextBox 1"/>
        <cdr:cNvSpPr txBox="1"/>
      </cdr:nvSpPr>
      <cdr:spPr>
        <a:xfrm xmlns:a="http://schemas.openxmlformats.org/drawingml/2006/main">
          <a:off x="342899" y="2158999"/>
          <a:ext cx="1972733" cy="34713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latin typeface="Tekton Pro" panose="020F0603020208020904" pitchFamily="34" charset="0"/>
          </a:endParaRPr>
        </a:p>
      </cdr:txBody>
    </cdr:sp>
  </cdr:relSizeAnchor>
  <cdr:relSizeAnchor xmlns:cdr="http://schemas.openxmlformats.org/drawingml/2006/chartDrawing">
    <cdr:from>
      <cdr:x>0.11704</cdr:x>
      <cdr:y>0.78275</cdr:y>
    </cdr:from>
    <cdr:to>
      <cdr:x>0.79852</cdr:x>
      <cdr:y>0.92971</cdr:y>
    </cdr:to>
    <cdr:sp macro="" textlink="">
      <cdr:nvSpPr>
        <cdr:cNvPr id="3" name="TextBox 2"/>
        <cdr:cNvSpPr txBox="1"/>
      </cdr:nvSpPr>
      <cdr:spPr>
        <a:xfrm xmlns:a="http://schemas.openxmlformats.org/drawingml/2006/main">
          <a:off x="334432" y="2074332"/>
          <a:ext cx="1947334" cy="38946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p>
      </cdr:txBody>
    </cdr:sp>
  </cdr:relSizeAnchor>
</c:userShapes>
</file>

<file path=xl/drawings/drawing16.xml><?xml version="1.0" encoding="utf-8"?>
<c:userShapes xmlns:c="http://schemas.openxmlformats.org/drawingml/2006/chart">
  <cdr:relSizeAnchor xmlns:cdr="http://schemas.openxmlformats.org/drawingml/2006/chartDrawing">
    <cdr:from>
      <cdr:x>0.12</cdr:x>
      <cdr:y>0.8147</cdr:y>
    </cdr:from>
    <cdr:to>
      <cdr:x>0.81037</cdr:x>
      <cdr:y>0.94569</cdr:y>
    </cdr:to>
    <cdr:sp macro="" textlink="">
      <cdr:nvSpPr>
        <cdr:cNvPr id="2" name="TextBox 1"/>
        <cdr:cNvSpPr txBox="1"/>
      </cdr:nvSpPr>
      <cdr:spPr>
        <a:xfrm xmlns:a="http://schemas.openxmlformats.org/drawingml/2006/main">
          <a:off x="342899" y="2158999"/>
          <a:ext cx="1972733" cy="34713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latin typeface="Tekton Pro" panose="020F0603020208020904" pitchFamily="34" charset="0"/>
          </a:endParaRPr>
        </a:p>
      </cdr:txBody>
    </cdr:sp>
  </cdr:relSizeAnchor>
  <cdr:relSizeAnchor xmlns:cdr="http://schemas.openxmlformats.org/drawingml/2006/chartDrawing">
    <cdr:from>
      <cdr:x>0.11704</cdr:x>
      <cdr:y>0.78275</cdr:y>
    </cdr:from>
    <cdr:to>
      <cdr:x>0.79852</cdr:x>
      <cdr:y>0.92971</cdr:y>
    </cdr:to>
    <cdr:sp macro="" textlink="">
      <cdr:nvSpPr>
        <cdr:cNvPr id="3" name="TextBox 2"/>
        <cdr:cNvSpPr txBox="1"/>
      </cdr:nvSpPr>
      <cdr:spPr>
        <a:xfrm xmlns:a="http://schemas.openxmlformats.org/drawingml/2006/main">
          <a:off x="334432" y="2074332"/>
          <a:ext cx="1947334" cy="38946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p>
      </cdr:txBody>
    </cdr:sp>
  </cdr:relSizeAnchor>
</c:userShapes>
</file>

<file path=xl/drawings/drawing17.xml><?xml version="1.0" encoding="utf-8"?>
<c:userShapes xmlns:c="http://schemas.openxmlformats.org/drawingml/2006/chart">
  <cdr:relSizeAnchor xmlns:cdr="http://schemas.openxmlformats.org/drawingml/2006/chartDrawing">
    <cdr:from>
      <cdr:x>0.12</cdr:x>
      <cdr:y>0.8147</cdr:y>
    </cdr:from>
    <cdr:to>
      <cdr:x>0.81037</cdr:x>
      <cdr:y>0.94569</cdr:y>
    </cdr:to>
    <cdr:sp macro="" textlink="">
      <cdr:nvSpPr>
        <cdr:cNvPr id="2" name="TextBox 1"/>
        <cdr:cNvSpPr txBox="1"/>
      </cdr:nvSpPr>
      <cdr:spPr>
        <a:xfrm xmlns:a="http://schemas.openxmlformats.org/drawingml/2006/main">
          <a:off x="342899" y="2158999"/>
          <a:ext cx="1972733" cy="34713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latin typeface="Tekton Pro" panose="020F0603020208020904" pitchFamily="34" charset="0"/>
          </a:endParaRPr>
        </a:p>
      </cdr:txBody>
    </cdr:sp>
  </cdr:relSizeAnchor>
  <cdr:relSizeAnchor xmlns:cdr="http://schemas.openxmlformats.org/drawingml/2006/chartDrawing">
    <cdr:from>
      <cdr:x>0.11704</cdr:x>
      <cdr:y>0.78275</cdr:y>
    </cdr:from>
    <cdr:to>
      <cdr:x>0.79852</cdr:x>
      <cdr:y>0.92971</cdr:y>
    </cdr:to>
    <cdr:sp macro="" textlink="">
      <cdr:nvSpPr>
        <cdr:cNvPr id="3" name="TextBox 2"/>
        <cdr:cNvSpPr txBox="1"/>
      </cdr:nvSpPr>
      <cdr:spPr>
        <a:xfrm xmlns:a="http://schemas.openxmlformats.org/drawingml/2006/main">
          <a:off x="334432" y="2074332"/>
          <a:ext cx="1947334" cy="38946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p>
      </cdr:txBody>
    </cdr:sp>
  </cdr:relSizeAnchor>
</c:userShapes>
</file>

<file path=xl/drawings/drawing18.xml><?xml version="1.0" encoding="utf-8"?>
<c:userShapes xmlns:c="http://schemas.openxmlformats.org/drawingml/2006/chart">
  <cdr:relSizeAnchor xmlns:cdr="http://schemas.openxmlformats.org/drawingml/2006/chartDrawing">
    <cdr:from>
      <cdr:x>0.12</cdr:x>
      <cdr:y>0.8147</cdr:y>
    </cdr:from>
    <cdr:to>
      <cdr:x>0.81037</cdr:x>
      <cdr:y>0.94569</cdr:y>
    </cdr:to>
    <cdr:sp macro="" textlink="">
      <cdr:nvSpPr>
        <cdr:cNvPr id="2" name="TextBox 1"/>
        <cdr:cNvSpPr txBox="1"/>
      </cdr:nvSpPr>
      <cdr:spPr>
        <a:xfrm xmlns:a="http://schemas.openxmlformats.org/drawingml/2006/main">
          <a:off x="342899" y="2158999"/>
          <a:ext cx="1972733" cy="34713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latin typeface="Tekton Pro" panose="020F0603020208020904" pitchFamily="34" charset="0"/>
          </a:endParaRPr>
        </a:p>
      </cdr:txBody>
    </cdr:sp>
  </cdr:relSizeAnchor>
  <cdr:relSizeAnchor xmlns:cdr="http://schemas.openxmlformats.org/drawingml/2006/chartDrawing">
    <cdr:from>
      <cdr:x>0.11704</cdr:x>
      <cdr:y>0.78275</cdr:y>
    </cdr:from>
    <cdr:to>
      <cdr:x>0.79852</cdr:x>
      <cdr:y>0.92971</cdr:y>
    </cdr:to>
    <cdr:sp macro="" textlink="">
      <cdr:nvSpPr>
        <cdr:cNvPr id="3" name="TextBox 2"/>
        <cdr:cNvSpPr txBox="1"/>
      </cdr:nvSpPr>
      <cdr:spPr>
        <a:xfrm xmlns:a="http://schemas.openxmlformats.org/drawingml/2006/main">
          <a:off x="334432" y="2074332"/>
          <a:ext cx="1947334" cy="38946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p>
      </cdr:txBody>
    </cdr:sp>
  </cdr:relSizeAnchor>
</c:userShapes>
</file>

<file path=xl/drawings/drawing19.xml><?xml version="1.0" encoding="utf-8"?>
<c:userShapes xmlns:c="http://schemas.openxmlformats.org/drawingml/2006/chart">
  <cdr:relSizeAnchor xmlns:cdr="http://schemas.openxmlformats.org/drawingml/2006/chartDrawing">
    <cdr:from>
      <cdr:x>0.12</cdr:x>
      <cdr:y>0.8147</cdr:y>
    </cdr:from>
    <cdr:to>
      <cdr:x>0.81037</cdr:x>
      <cdr:y>0.94569</cdr:y>
    </cdr:to>
    <cdr:sp macro="" textlink="">
      <cdr:nvSpPr>
        <cdr:cNvPr id="2" name="TextBox 1"/>
        <cdr:cNvSpPr txBox="1"/>
      </cdr:nvSpPr>
      <cdr:spPr>
        <a:xfrm xmlns:a="http://schemas.openxmlformats.org/drawingml/2006/main">
          <a:off x="342899" y="2158999"/>
          <a:ext cx="1972733" cy="34713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latin typeface="Tekton Pro" panose="020F0603020208020904" pitchFamily="34" charset="0"/>
          </a:endParaRPr>
        </a:p>
      </cdr:txBody>
    </cdr:sp>
  </cdr:relSizeAnchor>
  <cdr:relSizeAnchor xmlns:cdr="http://schemas.openxmlformats.org/drawingml/2006/chartDrawing">
    <cdr:from>
      <cdr:x>0.11704</cdr:x>
      <cdr:y>0.78275</cdr:y>
    </cdr:from>
    <cdr:to>
      <cdr:x>0.79852</cdr:x>
      <cdr:y>0.92971</cdr:y>
    </cdr:to>
    <cdr:sp macro="" textlink="">
      <cdr:nvSpPr>
        <cdr:cNvPr id="3" name="TextBox 2"/>
        <cdr:cNvSpPr txBox="1"/>
      </cdr:nvSpPr>
      <cdr:spPr>
        <a:xfrm xmlns:a="http://schemas.openxmlformats.org/drawingml/2006/main">
          <a:off x="334432" y="2074332"/>
          <a:ext cx="1947334" cy="38946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p>
      </cdr:txBody>
    </cdr:sp>
  </cdr:relSizeAnchor>
</c:userShapes>
</file>

<file path=xl/drawings/drawing20.xml><?xml version="1.0" encoding="utf-8"?>
<c:userShapes xmlns:c="http://schemas.openxmlformats.org/drawingml/2006/chart">
  <cdr:relSizeAnchor xmlns:cdr="http://schemas.openxmlformats.org/drawingml/2006/chartDrawing">
    <cdr:from>
      <cdr:x>0.12</cdr:x>
      <cdr:y>0.8147</cdr:y>
    </cdr:from>
    <cdr:to>
      <cdr:x>0.81037</cdr:x>
      <cdr:y>0.94569</cdr:y>
    </cdr:to>
    <cdr:sp macro="" textlink="">
      <cdr:nvSpPr>
        <cdr:cNvPr id="2" name="TextBox 1"/>
        <cdr:cNvSpPr txBox="1"/>
      </cdr:nvSpPr>
      <cdr:spPr>
        <a:xfrm xmlns:a="http://schemas.openxmlformats.org/drawingml/2006/main">
          <a:off x="342899" y="2158999"/>
          <a:ext cx="1972733" cy="34713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latin typeface="Tekton Pro" panose="020F0603020208020904" pitchFamily="34" charset="0"/>
          </a:endParaRPr>
        </a:p>
      </cdr:txBody>
    </cdr:sp>
  </cdr:relSizeAnchor>
  <cdr:relSizeAnchor xmlns:cdr="http://schemas.openxmlformats.org/drawingml/2006/chartDrawing">
    <cdr:from>
      <cdr:x>0.11704</cdr:x>
      <cdr:y>0.78275</cdr:y>
    </cdr:from>
    <cdr:to>
      <cdr:x>0.79852</cdr:x>
      <cdr:y>0.92971</cdr:y>
    </cdr:to>
    <cdr:sp macro="" textlink="">
      <cdr:nvSpPr>
        <cdr:cNvPr id="3" name="TextBox 2"/>
        <cdr:cNvSpPr txBox="1"/>
      </cdr:nvSpPr>
      <cdr:spPr>
        <a:xfrm xmlns:a="http://schemas.openxmlformats.org/drawingml/2006/main">
          <a:off x="334432" y="2074332"/>
          <a:ext cx="1947334" cy="38946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p>
      </cdr:txBody>
    </cdr:sp>
  </cdr:relSizeAnchor>
</c:userShapes>
</file>

<file path=xl/drawings/drawing21.xml><?xml version="1.0" encoding="utf-8"?>
<c:userShapes xmlns:c="http://schemas.openxmlformats.org/drawingml/2006/chart">
  <cdr:relSizeAnchor xmlns:cdr="http://schemas.openxmlformats.org/drawingml/2006/chartDrawing">
    <cdr:from>
      <cdr:x>0.12</cdr:x>
      <cdr:y>0.8147</cdr:y>
    </cdr:from>
    <cdr:to>
      <cdr:x>0.81037</cdr:x>
      <cdr:y>0.94569</cdr:y>
    </cdr:to>
    <cdr:sp macro="" textlink="">
      <cdr:nvSpPr>
        <cdr:cNvPr id="2" name="TextBox 1"/>
        <cdr:cNvSpPr txBox="1"/>
      </cdr:nvSpPr>
      <cdr:spPr>
        <a:xfrm xmlns:a="http://schemas.openxmlformats.org/drawingml/2006/main">
          <a:off x="342899" y="2158999"/>
          <a:ext cx="1972733" cy="34713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latin typeface="Tekton Pro" panose="020F0603020208020904" pitchFamily="34" charset="0"/>
          </a:endParaRPr>
        </a:p>
      </cdr:txBody>
    </cdr:sp>
  </cdr:relSizeAnchor>
  <cdr:relSizeAnchor xmlns:cdr="http://schemas.openxmlformats.org/drawingml/2006/chartDrawing">
    <cdr:from>
      <cdr:x>0.11704</cdr:x>
      <cdr:y>0.78275</cdr:y>
    </cdr:from>
    <cdr:to>
      <cdr:x>0.79852</cdr:x>
      <cdr:y>0.92971</cdr:y>
    </cdr:to>
    <cdr:sp macro="" textlink="">
      <cdr:nvSpPr>
        <cdr:cNvPr id="3" name="TextBox 2"/>
        <cdr:cNvSpPr txBox="1"/>
      </cdr:nvSpPr>
      <cdr:spPr>
        <a:xfrm xmlns:a="http://schemas.openxmlformats.org/drawingml/2006/main">
          <a:off x="334432" y="2074332"/>
          <a:ext cx="1947334" cy="38946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p>
      </cdr:txBody>
    </cdr:sp>
  </cdr:relSizeAnchor>
</c:userShapes>
</file>

<file path=xl/drawings/drawing22.xml><?xml version="1.0" encoding="utf-8"?>
<c:userShapes xmlns:c="http://schemas.openxmlformats.org/drawingml/2006/chart">
  <cdr:relSizeAnchor xmlns:cdr="http://schemas.openxmlformats.org/drawingml/2006/chartDrawing">
    <cdr:from>
      <cdr:x>0.12</cdr:x>
      <cdr:y>0.8147</cdr:y>
    </cdr:from>
    <cdr:to>
      <cdr:x>0.81037</cdr:x>
      <cdr:y>0.94569</cdr:y>
    </cdr:to>
    <cdr:sp macro="" textlink="">
      <cdr:nvSpPr>
        <cdr:cNvPr id="2" name="TextBox 1"/>
        <cdr:cNvSpPr txBox="1"/>
      </cdr:nvSpPr>
      <cdr:spPr>
        <a:xfrm xmlns:a="http://schemas.openxmlformats.org/drawingml/2006/main">
          <a:off x="342899" y="2158999"/>
          <a:ext cx="1972733" cy="34713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latin typeface="Tekton Pro" panose="020F0603020208020904" pitchFamily="34" charset="0"/>
          </a:endParaRPr>
        </a:p>
      </cdr:txBody>
    </cdr:sp>
  </cdr:relSizeAnchor>
  <cdr:relSizeAnchor xmlns:cdr="http://schemas.openxmlformats.org/drawingml/2006/chartDrawing">
    <cdr:from>
      <cdr:x>0.11704</cdr:x>
      <cdr:y>0.78275</cdr:y>
    </cdr:from>
    <cdr:to>
      <cdr:x>0.79852</cdr:x>
      <cdr:y>0.92971</cdr:y>
    </cdr:to>
    <cdr:sp macro="" textlink="">
      <cdr:nvSpPr>
        <cdr:cNvPr id="3" name="TextBox 2"/>
        <cdr:cNvSpPr txBox="1"/>
      </cdr:nvSpPr>
      <cdr:spPr>
        <a:xfrm xmlns:a="http://schemas.openxmlformats.org/drawingml/2006/main">
          <a:off x="334432" y="2074332"/>
          <a:ext cx="1947334" cy="38946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p>
      </cdr:txBody>
    </cdr:sp>
  </cdr:relSizeAnchor>
</c:userShapes>
</file>

<file path=xl/drawings/drawing23.xml><?xml version="1.0" encoding="utf-8"?>
<xdr:wsDr xmlns:xdr="http://schemas.openxmlformats.org/drawingml/2006/spreadsheetDrawing" xmlns:a="http://schemas.openxmlformats.org/drawingml/2006/main">
  <xdr:twoCellAnchor>
    <xdr:from>
      <xdr:col>9</xdr:col>
      <xdr:colOff>228600</xdr:colOff>
      <xdr:row>1</xdr:row>
      <xdr:rowOff>66675</xdr:rowOff>
    </xdr:from>
    <xdr:to>
      <xdr:col>11</xdr:col>
      <xdr:colOff>609600</xdr:colOff>
      <xdr:row>3</xdr:row>
      <xdr:rowOff>180975</xdr:rowOff>
    </xdr:to>
    <xdr:pic>
      <xdr:nvPicPr>
        <xdr:cNvPr id="11403" name="Picture 169">
          <a:extLst>
            <a:ext uri="{FF2B5EF4-FFF2-40B4-BE49-F238E27FC236}">
              <a16:creationId xmlns:a16="http://schemas.microsoft.com/office/drawing/2014/main" id="{00000000-0008-0000-0300-00008B2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285750"/>
          <a:ext cx="1743075"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60</xdr:col>
      <xdr:colOff>0</xdr:colOff>
      <xdr:row>0</xdr:row>
      <xdr:rowOff>9525</xdr:rowOff>
    </xdr:from>
    <xdr:to>
      <xdr:col>63</xdr:col>
      <xdr:colOff>142875</xdr:colOff>
      <xdr:row>3</xdr:row>
      <xdr:rowOff>28575</xdr:rowOff>
    </xdr:to>
    <xdr:pic>
      <xdr:nvPicPr>
        <xdr:cNvPr id="12521" name="Picture 219">
          <a:extLst>
            <a:ext uri="{FF2B5EF4-FFF2-40B4-BE49-F238E27FC236}">
              <a16:creationId xmlns:a16="http://schemas.microsoft.com/office/drawing/2014/main" id="{00000000-0008-0000-0400-0000E93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900100" y="9525"/>
          <a:ext cx="205740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104775</xdr:colOff>
      <xdr:row>1</xdr:row>
      <xdr:rowOff>66675</xdr:rowOff>
    </xdr:from>
    <xdr:to>
      <xdr:col>12</xdr:col>
      <xdr:colOff>571500</xdr:colOff>
      <xdr:row>3</xdr:row>
      <xdr:rowOff>171450</xdr:rowOff>
    </xdr:to>
    <xdr:pic>
      <xdr:nvPicPr>
        <xdr:cNvPr id="12522" name="Picture 169">
          <a:extLst>
            <a:ext uri="{FF2B5EF4-FFF2-40B4-BE49-F238E27FC236}">
              <a16:creationId xmlns:a16="http://schemas.microsoft.com/office/drawing/2014/main" id="{00000000-0008-0000-0400-0000EA3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96125" y="285750"/>
          <a:ext cx="1743075"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7</xdr:col>
      <xdr:colOff>561975</xdr:colOff>
      <xdr:row>1</xdr:row>
      <xdr:rowOff>9525</xdr:rowOff>
    </xdr:from>
    <xdr:to>
      <xdr:col>10</xdr:col>
      <xdr:colOff>581025</xdr:colOff>
      <xdr:row>3</xdr:row>
      <xdr:rowOff>190500</xdr:rowOff>
    </xdr:to>
    <xdr:pic>
      <xdr:nvPicPr>
        <xdr:cNvPr id="13386" name="Picture 68">
          <a:extLst>
            <a:ext uri="{FF2B5EF4-FFF2-40B4-BE49-F238E27FC236}">
              <a16:creationId xmlns:a16="http://schemas.microsoft.com/office/drawing/2014/main" id="{00000000-0008-0000-0500-00004A3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67375" y="228600"/>
          <a:ext cx="184785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6.xml><?xml version="1.0" encoding="utf-8"?>
<xdr:wsDr xmlns:xdr="http://schemas.openxmlformats.org/drawingml/2006/spreadsheetDrawing" xmlns:a="http://schemas.openxmlformats.org/drawingml/2006/main">
  <xdr:twoCellAnchor>
    <xdr:from>
      <xdr:col>10</xdr:col>
      <xdr:colOff>542925</xdr:colOff>
      <xdr:row>1</xdr:row>
      <xdr:rowOff>76200</xdr:rowOff>
    </xdr:from>
    <xdr:to>
      <xdr:col>13</xdr:col>
      <xdr:colOff>495300</xdr:colOff>
      <xdr:row>4</xdr:row>
      <xdr:rowOff>32657</xdr:rowOff>
    </xdr:to>
    <xdr:pic>
      <xdr:nvPicPr>
        <xdr:cNvPr id="8762" name="Picture 169">
          <a:extLst>
            <a:ext uri="{FF2B5EF4-FFF2-40B4-BE49-F238E27FC236}">
              <a16:creationId xmlns:a16="http://schemas.microsoft.com/office/drawing/2014/main" id="{00000000-0008-0000-0600-00003A2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32839" y="250371"/>
          <a:ext cx="1802947" cy="6313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7.xml><?xml version="1.0" encoding="utf-8"?>
<xdr:wsDr xmlns:xdr="http://schemas.openxmlformats.org/drawingml/2006/spreadsheetDrawing" xmlns:a="http://schemas.openxmlformats.org/drawingml/2006/main">
  <xdr:twoCellAnchor>
    <xdr:from>
      <xdr:col>9</xdr:col>
      <xdr:colOff>504825</xdr:colOff>
      <xdr:row>1</xdr:row>
      <xdr:rowOff>66677</xdr:rowOff>
    </xdr:from>
    <xdr:to>
      <xdr:col>11</xdr:col>
      <xdr:colOff>552450</xdr:colOff>
      <xdr:row>3</xdr:row>
      <xdr:rowOff>59930</xdr:rowOff>
    </xdr:to>
    <xdr:pic>
      <xdr:nvPicPr>
        <xdr:cNvPr id="3" name="Picture 169">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304802"/>
          <a:ext cx="1266825" cy="4599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158750</xdr:colOff>
      <xdr:row>34</xdr:row>
      <xdr:rowOff>84669</xdr:rowOff>
    </xdr:from>
    <xdr:to>
      <xdr:col>22</xdr:col>
      <xdr:colOff>584200</xdr:colOff>
      <xdr:row>42</xdr:row>
      <xdr:rowOff>8468</xdr:rowOff>
    </xdr:to>
    <xdr:sp macro="" textlink="">
      <xdr:nvSpPr>
        <xdr:cNvPr id="49" name="TextBox 48">
          <a:extLst>
            <a:ext uri="{FF2B5EF4-FFF2-40B4-BE49-F238E27FC236}">
              <a16:creationId xmlns:a16="http://schemas.microsoft.com/office/drawing/2014/main" id="{00000000-0008-0000-0800-000031000000}"/>
            </a:ext>
          </a:extLst>
        </xdr:cNvPr>
        <xdr:cNvSpPr txBox="1"/>
      </xdr:nvSpPr>
      <xdr:spPr>
        <a:xfrm>
          <a:off x="8642350" y="8187269"/>
          <a:ext cx="7639050" cy="1210732"/>
        </a:xfrm>
        <a:prstGeom prst="rect">
          <a:avLst/>
        </a:prstGeom>
        <a:solidFill>
          <a:schemeClr val="bg2"/>
        </a:solidFill>
        <a:ln w="2540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1"/>
        <a:lstStyle/>
        <a:p>
          <a:pPr algn="ctr"/>
          <a:r>
            <a:rPr lang="en-GB" sz="1400" b="1" i="1">
              <a:solidFill>
                <a:schemeClr val="tx2"/>
              </a:solidFill>
              <a:latin typeface="Trebuchet MS" panose="020B0603020202020204" pitchFamily="34" charset="0"/>
            </a:rPr>
            <a:t>MOMENTS IN SLENDER COLUMNS</a:t>
          </a:r>
        </a:p>
        <a:p>
          <a:pPr algn="ctr"/>
          <a:r>
            <a:rPr lang="en-GB" sz="1400" i="1" baseline="0">
              <a:solidFill>
                <a:schemeClr val="tx2"/>
              </a:solidFill>
              <a:latin typeface="Trebuchet MS" panose="020B0603020202020204" pitchFamily="34" charset="0"/>
            </a:rPr>
            <a:t>The numerically larger initial end moment, M</a:t>
          </a:r>
          <a:r>
            <a:rPr lang="en-GB" sz="1400" i="1" baseline="-25000">
              <a:solidFill>
                <a:schemeClr val="tx2"/>
              </a:solidFill>
              <a:latin typeface="Trebuchet MS" panose="020B0603020202020204" pitchFamily="34" charset="0"/>
            </a:rPr>
            <a:t>i2</a:t>
          </a:r>
          <a:r>
            <a:rPr lang="en-GB" sz="1400" i="1" baseline="0">
              <a:solidFill>
                <a:schemeClr val="tx2"/>
              </a:solidFill>
              <a:latin typeface="Trebuchet MS" panose="020B0603020202020204" pitchFamily="34" charset="0"/>
            </a:rPr>
            <a:t> may also occur at the lower end of the column and may also have a negative sign. Note:- the diagram shows braced M</a:t>
          </a:r>
          <a:r>
            <a:rPr lang="en-GB" sz="1400" i="1" baseline="-25000">
              <a:solidFill>
                <a:schemeClr val="tx2"/>
              </a:solidFill>
              <a:latin typeface="Trebuchet MS" panose="020B0603020202020204" pitchFamily="34" charset="0"/>
            </a:rPr>
            <a:t>2</a:t>
          </a:r>
          <a:r>
            <a:rPr lang="en-GB" sz="1400" i="1" baseline="0">
              <a:solidFill>
                <a:schemeClr val="tx2"/>
              </a:solidFill>
              <a:latin typeface="Trebuchet MS" panose="020B0603020202020204" pitchFamily="34" charset="0"/>
            </a:rPr>
            <a:t>.  </a:t>
          </a:r>
        </a:p>
        <a:p>
          <a:pPr algn="ctr"/>
          <a:r>
            <a:rPr lang="en-GB" sz="1400" i="1" baseline="0">
              <a:solidFill>
                <a:schemeClr val="tx2"/>
              </a:solidFill>
              <a:latin typeface="Trebuchet MS" panose="020B0603020202020204" pitchFamily="34" charset="0"/>
            </a:rPr>
            <a:t>The top and bottom M</a:t>
          </a:r>
          <a:r>
            <a:rPr lang="en-GB" sz="1400" i="1" baseline="-25000">
              <a:solidFill>
                <a:schemeClr val="tx2"/>
              </a:solidFill>
              <a:latin typeface="Trebuchet MS" panose="020B0603020202020204" pitchFamily="34" charset="0"/>
            </a:rPr>
            <a:t>2</a:t>
          </a:r>
          <a:r>
            <a:rPr lang="en-GB" sz="1400" i="1" baseline="0">
              <a:solidFill>
                <a:schemeClr val="tx2"/>
              </a:solidFill>
              <a:latin typeface="Trebuchet MS" panose="020B0603020202020204" pitchFamily="34" charset="0"/>
            </a:rPr>
            <a:t> values are 0.5M</a:t>
          </a:r>
          <a:r>
            <a:rPr lang="en-GB" sz="1400" i="1" baseline="-25000">
              <a:solidFill>
                <a:schemeClr val="tx2"/>
              </a:solidFill>
              <a:latin typeface="Trebuchet MS" panose="020B0603020202020204" pitchFamily="34" charset="0"/>
            </a:rPr>
            <a:t>2</a:t>
          </a:r>
          <a:r>
            <a:rPr lang="en-GB" sz="1400" i="1" baseline="0">
              <a:solidFill>
                <a:schemeClr val="tx2"/>
              </a:solidFill>
              <a:latin typeface="Trebuchet MS" panose="020B0603020202020204" pitchFamily="34" charset="0"/>
            </a:rPr>
            <a:t> multiplied by a support rotational stiffness factor rst at the top and rsb at the bottom.  For a pinned end, these values would be 0.</a:t>
          </a:r>
        </a:p>
      </xdr:txBody>
    </xdr:sp>
    <xdr:clientData/>
  </xdr:twoCellAnchor>
  <xdr:twoCellAnchor>
    <xdr:from>
      <xdr:col>13</xdr:col>
      <xdr:colOff>133350</xdr:colOff>
      <xdr:row>44</xdr:row>
      <xdr:rowOff>143934</xdr:rowOff>
    </xdr:from>
    <xdr:to>
      <xdr:col>22</xdr:col>
      <xdr:colOff>609600</xdr:colOff>
      <xdr:row>53</xdr:row>
      <xdr:rowOff>122769</xdr:rowOff>
    </xdr:to>
    <xdr:sp macro="" textlink="">
      <xdr:nvSpPr>
        <xdr:cNvPr id="90" name="TextBox 89">
          <a:extLst>
            <a:ext uri="{FF2B5EF4-FFF2-40B4-BE49-F238E27FC236}">
              <a16:creationId xmlns:a16="http://schemas.microsoft.com/office/drawing/2014/main" id="{00000000-0008-0000-0800-00005A000000}"/>
            </a:ext>
          </a:extLst>
        </xdr:cNvPr>
        <xdr:cNvSpPr txBox="1"/>
      </xdr:nvSpPr>
      <xdr:spPr>
        <a:xfrm>
          <a:off x="8604250" y="9757834"/>
          <a:ext cx="7683500" cy="1407585"/>
        </a:xfrm>
        <a:prstGeom prst="rect">
          <a:avLst/>
        </a:prstGeom>
        <a:solidFill>
          <a:schemeClr val="bg2"/>
        </a:solidFill>
        <a:ln w="2540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1"/>
        <a:lstStyle/>
        <a:p>
          <a:pPr algn="ctr"/>
          <a:r>
            <a:rPr lang="en-GB" sz="1400" b="1" i="1" baseline="0">
              <a:solidFill>
                <a:schemeClr val="tx2"/>
              </a:solidFill>
              <a:latin typeface="Trebuchet MS" panose="020B0603020202020204" pitchFamily="34" charset="0"/>
            </a:rPr>
            <a:t>MOMENTS SIGN CONVENTION</a:t>
          </a:r>
        </a:p>
        <a:p>
          <a:pPr algn="ctr"/>
          <a:r>
            <a:rPr lang="en-GB" sz="1400" i="1" baseline="0">
              <a:solidFill>
                <a:schemeClr val="tx2"/>
              </a:solidFill>
              <a:latin typeface="Trebuchet MS" panose="020B0603020202020204" pitchFamily="34" charset="0"/>
            </a:rPr>
            <a:t>For the normal case of double curvature as shown in the diagram above, M</a:t>
          </a:r>
          <a:r>
            <a:rPr lang="en-GB" sz="1400" i="1" baseline="-25000">
              <a:solidFill>
                <a:schemeClr val="tx2"/>
              </a:solidFill>
              <a:latin typeface="Trebuchet MS" panose="020B0603020202020204" pitchFamily="34" charset="0"/>
            </a:rPr>
            <a:t>i2</a:t>
          </a:r>
          <a:r>
            <a:rPr lang="en-GB" sz="1400" i="1" baseline="0">
              <a:solidFill>
                <a:schemeClr val="tx2"/>
              </a:solidFill>
              <a:latin typeface="Trebuchet MS" panose="020B0603020202020204" pitchFamily="34" charset="0"/>
            </a:rPr>
            <a:t> and M</a:t>
          </a:r>
          <a:r>
            <a:rPr lang="en-GB" sz="1400" i="1" baseline="-25000">
              <a:solidFill>
                <a:schemeClr val="tx2"/>
              </a:solidFill>
              <a:latin typeface="Trebuchet MS" panose="020B0603020202020204" pitchFamily="34" charset="0"/>
            </a:rPr>
            <a:t>i1</a:t>
          </a:r>
          <a:r>
            <a:rPr lang="en-GB" sz="1400" i="1" baseline="0">
              <a:solidFill>
                <a:schemeClr val="tx2"/>
              </a:solidFill>
              <a:latin typeface="Trebuchet MS" panose="020B0603020202020204" pitchFamily="34" charset="0"/>
            </a:rPr>
            <a:t> must have different signs.  In the above example M</a:t>
          </a:r>
          <a:r>
            <a:rPr lang="en-GB" sz="1400" i="1" baseline="-25000">
              <a:solidFill>
                <a:schemeClr val="tx2"/>
              </a:solidFill>
              <a:latin typeface="Trebuchet MS" panose="020B0603020202020204" pitchFamily="34" charset="0"/>
            </a:rPr>
            <a:t>i2</a:t>
          </a:r>
          <a:r>
            <a:rPr lang="en-GB" sz="1400" i="1" baseline="0">
              <a:solidFill>
                <a:schemeClr val="tx2"/>
              </a:solidFill>
              <a:latin typeface="Trebuchet MS" panose="020B0603020202020204" pitchFamily="34" charset="0"/>
            </a:rPr>
            <a:t> and hence M</a:t>
          </a:r>
          <a:r>
            <a:rPr lang="en-GB" sz="1400" i="1" baseline="-25000">
              <a:solidFill>
                <a:schemeClr val="tx2"/>
              </a:solidFill>
              <a:latin typeface="Trebuchet MS" panose="020B0603020202020204" pitchFamily="34" charset="0"/>
            </a:rPr>
            <a:t>02</a:t>
          </a:r>
          <a:r>
            <a:rPr lang="en-GB" sz="1400" i="1" baseline="0">
              <a:solidFill>
                <a:schemeClr val="tx2"/>
              </a:solidFill>
              <a:latin typeface="Trebuchet MS" panose="020B0603020202020204" pitchFamily="34" charset="0"/>
            </a:rPr>
            <a:t> are +ve.  For single curvature, they must have the same sign.  M</a:t>
          </a:r>
          <a:r>
            <a:rPr lang="en-GB" sz="1400" i="1" baseline="-25000">
              <a:solidFill>
                <a:schemeClr val="tx2"/>
              </a:solidFill>
              <a:latin typeface="Trebuchet MS" panose="020B0603020202020204" pitchFamily="34" charset="0"/>
            </a:rPr>
            <a:t>i2</a:t>
          </a:r>
          <a:r>
            <a:rPr lang="en-GB" sz="1400" i="1" baseline="0">
              <a:solidFill>
                <a:schemeClr val="tx2"/>
              </a:solidFill>
              <a:latin typeface="Trebuchet MS" panose="020B0603020202020204" pitchFamily="34" charset="0"/>
            </a:rPr>
            <a:t> can be positive or negative.  The sign of the Imperfection Moment, M</a:t>
          </a:r>
          <a:r>
            <a:rPr lang="en-GB" sz="1400" i="1" baseline="-25000">
              <a:solidFill>
                <a:schemeClr val="tx2"/>
              </a:solidFill>
              <a:latin typeface="Trebuchet MS" panose="020B0603020202020204" pitchFamily="34" charset="0"/>
            </a:rPr>
            <a:t>imp</a:t>
          </a:r>
          <a:r>
            <a:rPr lang="en-GB" sz="1400" i="1" baseline="0">
              <a:solidFill>
                <a:schemeClr val="tx2"/>
              </a:solidFill>
              <a:latin typeface="Trebuchet MS" panose="020B0603020202020204" pitchFamily="34" charset="0"/>
            </a:rPr>
            <a:t> must match the sign of M</a:t>
          </a:r>
          <a:r>
            <a:rPr lang="en-GB" sz="1400" i="1" baseline="-25000">
              <a:solidFill>
                <a:schemeClr val="tx2"/>
              </a:solidFill>
              <a:latin typeface="Trebuchet MS" panose="020B0603020202020204" pitchFamily="34" charset="0"/>
            </a:rPr>
            <a:t>i2</a:t>
          </a:r>
          <a:r>
            <a:rPr lang="en-GB" sz="1400" i="1" baseline="0">
              <a:solidFill>
                <a:schemeClr val="tx2"/>
              </a:solidFill>
              <a:latin typeface="Trebuchet MS" panose="020B0603020202020204" pitchFamily="34" charset="0"/>
            </a:rPr>
            <a:t>.  M</a:t>
          </a:r>
          <a:r>
            <a:rPr lang="en-GB" sz="1400" i="1" baseline="-25000">
              <a:solidFill>
                <a:schemeClr val="tx2"/>
              </a:solidFill>
              <a:latin typeface="Trebuchet MS" panose="020B0603020202020204" pitchFamily="34" charset="0"/>
            </a:rPr>
            <a:t>02</a:t>
          </a:r>
          <a:r>
            <a:rPr lang="en-GB" sz="1400" i="1" baseline="0">
              <a:solidFill>
                <a:schemeClr val="tx2"/>
              </a:solidFill>
              <a:latin typeface="Trebuchet MS" panose="020B0603020202020204" pitchFamily="34" charset="0"/>
            </a:rPr>
            <a:t> = M</a:t>
          </a:r>
          <a:r>
            <a:rPr lang="en-GB" sz="1400" i="1" baseline="-25000">
              <a:solidFill>
                <a:schemeClr val="tx2"/>
              </a:solidFill>
              <a:latin typeface="Trebuchet MS" panose="020B0603020202020204" pitchFamily="34" charset="0"/>
            </a:rPr>
            <a:t>i2</a:t>
          </a:r>
          <a:r>
            <a:rPr lang="en-GB" sz="1400" i="1" baseline="0">
              <a:solidFill>
                <a:schemeClr val="tx2"/>
              </a:solidFill>
              <a:latin typeface="Trebuchet MS" panose="020B0603020202020204" pitchFamily="34" charset="0"/>
            </a:rPr>
            <a:t> + M</a:t>
          </a:r>
          <a:r>
            <a:rPr lang="en-GB" sz="1400" i="1" baseline="-25000">
              <a:solidFill>
                <a:schemeClr val="tx2"/>
              </a:solidFill>
              <a:latin typeface="Trebuchet MS" panose="020B0603020202020204" pitchFamily="34" charset="0"/>
            </a:rPr>
            <a:t>imp</a:t>
          </a:r>
          <a:r>
            <a:rPr lang="en-GB" sz="1400" i="1" baseline="0">
              <a:solidFill>
                <a:schemeClr val="tx2"/>
              </a:solidFill>
              <a:latin typeface="Trebuchet MS" panose="020B0603020202020204" pitchFamily="34" charset="0"/>
            </a:rPr>
            <a:t> &amp; M</a:t>
          </a:r>
          <a:r>
            <a:rPr lang="en-GB" sz="1400" i="1" baseline="-25000">
              <a:solidFill>
                <a:schemeClr val="tx2"/>
              </a:solidFill>
              <a:latin typeface="Trebuchet MS" panose="020B0603020202020204" pitchFamily="34" charset="0"/>
            </a:rPr>
            <a:t>01</a:t>
          </a:r>
          <a:r>
            <a:rPr lang="en-GB" sz="1400" i="1" baseline="0">
              <a:solidFill>
                <a:schemeClr val="tx2"/>
              </a:solidFill>
              <a:latin typeface="Trebuchet MS" panose="020B0603020202020204" pitchFamily="34" charset="0"/>
            </a:rPr>
            <a:t> = M</a:t>
          </a:r>
          <a:r>
            <a:rPr lang="en-GB" sz="1400" i="1" baseline="-25000">
              <a:solidFill>
                <a:schemeClr val="tx2"/>
              </a:solidFill>
              <a:latin typeface="Trebuchet MS" panose="020B0603020202020204" pitchFamily="34" charset="0"/>
            </a:rPr>
            <a:t>i1</a:t>
          </a:r>
          <a:r>
            <a:rPr lang="en-GB" sz="1400" i="1" baseline="0">
              <a:solidFill>
                <a:schemeClr val="tx2"/>
              </a:solidFill>
              <a:latin typeface="Trebuchet MS" panose="020B0603020202020204" pitchFamily="34" charset="0"/>
            </a:rPr>
            <a:t> + M</a:t>
          </a:r>
          <a:r>
            <a:rPr lang="en-GB" sz="1400" i="1" baseline="-25000">
              <a:solidFill>
                <a:schemeClr val="tx2"/>
              </a:solidFill>
              <a:latin typeface="Trebuchet MS" panose="020B0603020202020204" pitchFamily="34" charset="0"/>
            </a:rPr>
            <a:t>imp</a:t>
          </a:r>
          <a:r>
            <a:rPr lang="en-GB" sz="1400" i="1" baseline="0">
              <a:solidFill>
                <a:schemeClr val="tx2"/>
              </a:solidFill>
              <a:latin typeface="Trebuchet MS" panose="020B0603020202020204" pitchFamily="34" charset="0"/>
            </a:rPr>
            <a:t>.</a:t>
          </a:r>
          <a:endParaRPr lang="en-GB" sz="1400" i="1" baseline="-25000">
            <a:solidFill>
              <a:schemeClr val="tx2"/>
            </a:solidFill>
            <a:latin typeface="Trebuchet MS" panose="020B0603020202020204" pitchFamily="34" charset="0"/>
          </a:endParaRPr>
        </a:p>
      </xdr:txBody>
    </xdr:sp>
    <xdr:clientData/>
  </xdr:twoCellAnchor>
  <xdr:twoCellAnchor>
    <xdr:from>
      <xdr:col>4</xdr:col>
      <xdr:colOff>1176866</xdr:colOff>
      <xdr:row>1</xdr:row>
      <xdr:rowOff>93134</xdr:rowOff>
    </xdr:from>
    <xdr:to>
      <xdr:col>6</xdr:col>
      <xdr:colOff>699557</xdr:colOff>
      <xdr:row>4</xdr:row>
      <xdr:rowOff>3176</xdr:rowOff>
    </xdr:to>
    <xdr:pic>
      <xdr:nvPicPr>
        <xdr:cNvPr id="74" name="Picture 169">
          <a:extLst>
            <a:ext uri="{FF2B5EF4-FFF2-40B4-BE49-F238E27FC236}">
              <a16:creationId xmlns:a16="http://schemas.microsoft.com/office/drawing/2014/main" id="{00000000-0008-0000-0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48666" y="262467"/>
          <a:ext cx="1715558" cy="5704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1176866</xdr:colOff>
      <xdr:row>1</xdr:row>
      <xdr:rowOff>93134</xdr:rowOff>
    </xdr:from>
    <xdr:to>
      <xdr:col>18</xdr:col>
      <xdr:colOff>699557</xdr:colOff>
      <xdr:row>4</xdr:row>
      <xdr:rowOff>3176</xdr:rowOff>
    </xdr:to>
    <xdr:pic>
      <xdr:nvPicPr>
        <xdr:cNvPr id="69" name="Picture 169">
          <a:extLst>
            <a:ext uri="{FF2B5EF4-FFF2-40B4-BE49-F238E27FC236}">
              <a16:creationId xmlns:a16="http://schemas.microsoft.com/office/drawing/2014/main" id="{00000000-0008-0000-0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48666" y="262467"/>
          <a:ext cx="1715558" cy="5704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158600</xdr:colOff>
      <xdr:row>6</xdr:row>
      <xdr:rowOff>172694</xdr:rowOff>
    </xdr:from>
    <xdr:to>
      <xdr:col>22</xdr:col>
      <xdr:colOff>575734</xdr:colOff>
      <xdr:row>31</xdr:row>
      <xdr:rowOff>112093</xdr:rowOff>
    </xdr:to>
    <xdr:pic>
      <xdr:nvPicPr>
        <xdr:cNvPr id="8" name="Picture 7">
          <a:extLst>
            <a:ext uri="{FF2B5EF4-FFF2-40B4-BE49-F238E27FC236}">
              <a16:creationId xmlns:a16="http://schemas.microsoft.com/office/drawing/2014/main" id="{00000000-0008-0000-0800-000008000000}"/>
            </a:ext>
          </a:extLst>
        </xdr:cNvPr>
        <xdr:cNvPicPr>
          <a:picLocks noChangeAspect="1"/>
        </xdr:cNvPicPr>
      </xdr:nvPicPr>
      <xdr:blipFill rotWithShape="1">
        <a:blip xmlns:r="http://schemas.openxmlformats.org/officeDocument/2006/relationships" r:embed="rId2"/>
        <a:srcRect l="3722" t="4677" r="28579" b="33354"/>
        <a:stretch/>
      </xdr:blipFill>
      <xdr:spPr>
        <a:xfrm>
          <a:off x="8642200" y="1552761"/>
          <a:ext cx="7630734" cy="6179332"/>
        </a:xfrm>
        <a:prstGeom prst="rect">
          <a:avLst/>
        </a:prstGeom>
        <a:ln w="28575">
          <a:solidFill>
            <a:srgbClr val="002060"/>
          </a:solid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png"/><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ctrlProp" Target="../ctrlProps/ctrlProp2.xml"/><Relationship Id="rId5" Type="http://schemas.openxmlformats.org/officeDocument/2006/relationships/image" Target="../media/image1.png"/><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4.png"/><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4" Type="http://schemas.openxmlformats.org/officeDocument/2006/relationships/image" Target="../media/image1.png"/></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4.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4" Type="http://schemas.openxmlformats.org/officeDocument/2006/relationships/image" Target="../media/image1.png"/></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5.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comments" Target="../comments3.xml"/><Relationship Id="rId5" Type="http://schemas.openxmlformats.org/officeDocument/2006/relationships/image" Target="../media/image1.png"/><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26.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4" Type="http://schemas.openxmlformats.org/officeDocument/2006/relationships/image" Target="../media/image1.png"/></Relationships>
</file>

<file path=xl/worksheets/_rels/sheet8.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drawing" Target="../drawings/drawing27.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4" Type="http://schemas.openxmlformats.org/officeDocument/2006/relationships/image" Target="../media/image1.png"/></Relationships>
</file>

<file path=xl/worksheets/_rels/sheet1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16"/>
    <pageSetUpPr fitToPage="1"/>
  </sheetPr>
  <dimension ref="A1:BF86"/>
  <sheetViews>
    <sheetView zoomScaleNormal="100" zoomScaleSheetLayoutView="75" workbookViewId="0">
      <selection activeCell="C13" sqref="C13"/>
    </sheetView>
  </sheetViews>
  <sheetFormatPr defaultColWidth="7.7109375" defaultRowHeight="15"/>
  <cols>
    <col min="1" max="1" width="5.42578125" style="18" customWidth="1"/>
    <col min="2" max="2" width="15.42578125" style="18" customWidth="1"/>
    <col min="3" max="3" width="13.42578125" style="18" customWidth="1"/>
    <col min="4" max="5" width="11" style="18" customWidth="1"/>
    <col min="6" max="6" width="11.42578125" style="18" customWidth="1"/>
    <col min="7" max="7" width="11.42578125" style="26" customWidth="1"/>
    <col min="8" max="11" width="12.5703125" style="18" customWidth="1"/>
    <col min="12" max="12" width="15.7109375" style="18" customWidth="1"/>
    <col min="13" max="13" width="63.7109375" style="18" customWidth="1"/>
    <col min="14" max="14" width="15.7109375" style="18" customWidth="1"/>
    <col min="15" max="15" width="65.42578125" style="18" customWidth="1"/>
    <col min="16" max="16" width="12.7109375" style="18" customWidth="1"/>
    <col min="17" max="19" width="7.7109375" style="18" customWidth="1"/>
    <col min="20" max="21" width="10.7109375" style="18" customWidth="1"/>
    <col min="22" max="16384" width="7.7109375" style="18"/>
  </cols>
  <sheetData>
    <row r="1" spans="1:58" ht="20.25" thickBot="1">
      <c r="A1" s="1038" t="s">
        <v>933</v>
      </c>
      <c r="B1" s="529"/>
      <c r="C1" s="87"/>
      <c r="D1" s="87"/>
      <c r="E1" s="87"/>
      <c r="F1" s="87"/>
      <c r="G1" s="88"/>
      <c r="H1" s="87"/>
      <c r="I1" s="87"/>
      <c r="J1" s="87"/>
      <c r="K1" s="87"/>
      <c r="M1" s="89"/>
      <c r="N1" s="89"/>
      <c r="O1" s="89"/>
      <c r="P1" s="17" t="s">
        <v>0</v>
      </c>
      <c r="Q1" s="17">
        <f>2*(C15+C16)-4</f>
        <v>8</v>
      </c>
      <c r="R1" s="165" t="str">
        <f>IF(NOT(C10=500),"X",IF(F12="B","B",IF(F12="C","C","H")))</f>
        <v>H</v>
      </c>
    </row>
    <row r="2" spans="1:58" ht="21.75" thickBot="1">
      <c r="A2" s="529"/>
      <c r="B2" s="704" t="s">
        <v>1</v>
      </c>
      <c r="C2" s="1005" t="s">
        <v>297</v>
      </c>
      <c r="D2" s="705"/>
      <c r="E2" s="705"/>
      <c r="F2" s="705"/>
      <c r="G2" s="706"/>
      <c r="H2" s="707"/>
      <c r="I2" s="1232" t="s">
        <v>250</v>
      </c>
      <c r="J2" s="1233"/>
      <c r="K2" s="1234"/>
      <c r="M2" s="90"/>
      <c r="N2" s="90"/>
      <c r="O2" s="90"/>
    </row>
    <row r="3" spans="1:58" ht="18">
      <c r="A3" s="87"/>
      <c r="B3" s="708" t="s">
        <v>2</v>
      </c>
      <c r="C3" s="1006" t="s">
        <v>298</v>
      </c>
      <c r="D3" s="76"/>
      <c r="E3" s="77"/>
      <c r="F3" s="78"/>
      <c r="G3" s="78"/>
      <c r="H3" s="77"/>
      <c r="I3" s="80" t="s">
        <v>3</v>
      </c>
      <c r="J3" s="81" t="s">
        <v>4</v>
      </c>
      <c r="K3" s="709" t="s">
        <v>5</v>
      </c>
      <c r="M3" s="90"/>
      <c r="N3" s="90"/>
      <c r="O3" s="90"/>
      <c r="Q3" s="19"/>
      <c r="R3" s="19"/>
      <c r="S3" s="19"/>
      <c r="T3" s="19"/>
      <c r="U3" s="19"/>
      <c r="V3" s="19"/>
      <c r="W3" s="19"/>
      <c r="AF3" s="145"/>
      <c r="AG3" s="145"/>
      <c r="AH3" s="145"/>
      <c r="AI3" s="145"/>
      <c r="AJ3" s="145"/>
      <c r="AK3" s="145"/>
      <c r="AL3" s="145"/>
      <c r="AM3" s="145"/>
      <c r="AN3" s="145"/>
      <c r="AO3" s="145"/>
      <c r="AP3" s="145"/>
      <c r="AQ3" s="145"/>
    </row>
    <row r="4" spans="1:58" ht="19.5">
      <c r="A4" s="87"/>
      <c r="B4" s="708" t="s">
        <v>6</v>
      </c>
      <c r="C4" s="1006" t="s">
        <v>150</v>
      </c>
      <c r="D4" s="77"/>
      <c r="E4" s="77"/>
      <c r="F4" s="79"/>
      <c r="G4" s="79"/>
      <c r="H4" s="77"/>
      <c r="I4" s="1007" t="s">
        <v>485</v>
      </c>
      <c r="J4" s="1008">
        <f ca="1">TODAY()</f>
        <v>43629</v>
      </c>
      <c r="K4" s="1009">
        <v>279</v>
      </c>
      <c r="M4" s="90"/>
      <c r="N4" s="90"/>
      <c r="O4" s="90"/>
      <c r="P4" s="156" t="s">
        <v>7</v>
      </c>
      <c r="Q4" s="156"/>
      <c r="R4" s="156"/>
      <c r="S4" s="156"/>
      <c r="AF4" s="145"/>
      <c r="AG4" s="145"/>
      <c r="AH4" s="145"/>
      <c r="AI4" s="145"/>
      <c r="AJ4" s="87"/>
      <c r="AK4" s="87"/>
      <c r="AL4" s="87"/>
      <c r="AM4" s="87"/>
      <c r="AN4" s="87"/>
      <c r="AO4" s="87"/>
      <c r="AP4" s="87"/>
      <c r="AQ4" s="87"/>
    </row>
    <row r="5" spans="1:58" ht="27.75" customHeight="1">
      <c r="A5" s="87"/>
      <c r="B5" s="710"/>
      <c r="C5" s="1235" t="s">
        <v>200</v>
      </c>
      <c r="D5" s="1236"/>
      <c r="E5" s="1236"/>
      <c r="F5" s="1236"/>
      <c r="G5" s="1236"/>
      <c r="H5" s="86"/>
      <c r="I5" s="83" t="s">
        <v>8</v>
      </c>
      <c r="J5" s="84" t="s">
        <v>9</v>
      </c>
      <c r="K5" s="711" t="s">
        <v>10</v>
      </c>
      <c r="M5" s="91"/>
      <c r="N5" s="91"/>
      <c r="O5" s="91"/>
      <c r="P5" s="20"/>
      <c r="Q5" s="20"/>
      <c r="R5" s="19"/>
      <c r="S5" s="19"/>
      <c r="T5" s="19"/>
      <c r="U5" s="17" t="s">
        <v>11</v>
      </c>
      <c r="V5" s="21">
        <f>(AI6-Z6)/(C15-1)</f>
        <v>184</v>
      </c>
      <c r="W5" s="22">
        <f>(AI8-Q8)/(C16-1)</f>
        <v>362.66666666666669</v>
      </c>
      <c r="Z5" s="23">
        <f>C13</f>
        <v>1200</v>
      </c>
      <c r="AA5" s="23">
        <f>C14</f>
        <v>300</v>
      </c>
      <c r="AF5" s="145"/>
      <c r="AG5" s="145"/>
      <c r="AH5" s="145"/>
      <c r="AI5" s="145"/>
      <c r="AJ5" s="87"/>
      <c r="AK5" s="87"/>
      <c r="AL5" s="87"/>
      <c r="AM5" s="87"/>
      <c r="AN5" s="87"/>
      <c r="AO5" s="87"/>
      <c r="AP5" s="87"/>
      <c r="AQ5" s="87"/>
    </row>
    <row r="6" spans="1:58" ht="20.25" thickBot="1">
      <c r="A6" s="87"/>
      <c r="B6" s="1070"/>
      <c r="C6" s="845"/>
      <c r="D6" s="1071" t="s">
        <v>249</v>
      </c>
      <c r="E6" s="484" t="str">
        <f ca="1">" v"&amp;A1&amp;"                     © 2000-"&amp;RIGHT(YEAR(TODAY()),2)&amp;" TCC"</f>
        <v xml:space="preserve"> v4.45                     © 2000-19 TCC</v>
      </c>
      <c r="F6" s="79"/>
      <c r="G6" s="79"/>
      <c r="H6" s="77"/>
      <c r="I6" s="1072"/>
      <c r="J6" s="1073" t="s">
        <v>94</v>
      </c>
      <c r="K6" s="1074" t="s">
        <v>251</v>
      </c>
      <c r="M6" s="96"/>
      <c r="N6" s="96"/>
      <c r="O6" s="96"/>
      <c r="P6" s="23">
        <v>0</v>
      </c>
      <c r="Q6" s="23">
        <f>(I8+E33+32/2)+U14</f>
        <v>536</v>
      </c>
      <c r="R6" s="22">
        <f t="shared" ref="R6:Y6" si="0">Q6</f>
        <v>536</v>
      </c>
      <c r="S6" s="22">
        <f t="shared" si="0"/>
        <v>536</v>
      </c>
      <c r="T6" s="22">
        <f t="shared" si="0"/>
        <v>536</v>
      </c>
      <c r="U6" s="22">
        <f t="shared" si="0"/>
        <v>536</v>
      </c>
      <c r="V6" s="22">
        <f t="shared" si="0"/>
        <v>536</v>
      </c>
      <c r="W6" s="22">
        <f t="shared" si="0"/>
        <v>536</v>
      </c>
      <c r="X6" s="22">
        <f t="shared" si="0"/>
        <v>536</v>
      </c>
      <c r="Y6" s="22">
        <f t="shared" si="0"/>
        <v>536</v>
      </c>
      <c r="Z6" s="23">
        <f>Q6</f>
        <v>536</v>
      </c>
      <c r="AA6" s="21">
        <f t="shared" ref="AA6:AH6" si="1">MIN($AI6,Z6+$V5)</f>
        <v>720</v>
      </c>
      <c r="AB6" s="21">
        <f t="shared" si="1"/>
        <v>720</v>
      </c>
      <c r="AC6" s="21">
        <f t="shared" si="1"/>
        <v>720</v>
      </c>
      <c r="AD6" s="21">
        <f t="shared" si="1"/>
        <v>720</v>
      </c>
      <c r="AE6" s="21">
        <f t="shared" si="1"/>
        <v>720</v>
      </c>
      <c r="AF6" s="168">
        <f t="shared" si="1"/>
        <v>720</v>
      </c>
      <c r="AG6" s="168">
        <f t="shared" si="1"/>
        <v>720</v>
      </c>
      <c r="AH6" s="168">
        <f t="shared" si="1"/>
        <v>720</v>
      </c>
      <c r="AI6" s="166">
        <f>S9-(I8+E33+C33/2)</f>
        <v>720</v>
      </c>
      <c r="AJ6" s="167">
        <f t="shared" ref="AJ6:AQ6" si="2">AI6</f>
        <v>720</v>
      </c>
      <c r="AK6" s="167">
        <f t="shared" si="2"/>
        <v>720</v>
      </c>
      <c r="AL6" s="167">
        <f t="shared" si="2"/>
        <v>720</v>
      </c>
      <c r="AM6" s="167">
        <f t="shared" si="2"/>
        <v>720</v>
      </c>
      <c r="AN6" s="167">
        <f t="shared" si="2"/>
        <v>720</v>
      </c>
      <c r="AO6" s="167">
        <f t="shared" si="2"/>
        <v>720</v>
      </c>
      <c r="AP6" s="167">
        <f t="shared" si="2"/>
        <v>720</v>
      </c>
      <c r="AQ6" s="167">
        <f t="shared" si="2"/>
        <v>720</v>
      </c>
      <c r="AR6" s="23">
        <f>AI6</f>
        <v>720</v>
      </c>
      <c r="AS6" s="21">
        <f t="shared" ref="AS6:AZ6" si="3">MAX($BA6,AR6-$V5)</f>
        <v>536</v>
      </c>
      <c r="AT6" s="21">
        <f t="shared" si="3"/>
        <v>536</v>
      </c>
      <c r="AU6" s="21">
        <f t="shared" si="3"/>
        <v>536</v>
      </c>
      <c r="AV6" s="21">
        <f t="shared" si="3"/>
        <v>536</v>
      </c>
      <c r="AW6" s="21">
        <f t="shared" si="3"/>
        <v>536</v>
      </c>
      <c r="AX6" s="21">
        <f t="shared" si="3"/>
        <v>536</v>
      </c>
      <c r="AY6" s="21">
        <f t="shared" si="3"/>
        <v>536</v>
      </c>
      <c r="AZ6" s="21">
        <f t="shared" si="3"/>
        <v>536</v>
      </c>
      <c r="BA6" s="23">
        <f>Q6</f>
        <v>536</v>
      </c>
      <c r="BB6" s="19"/>
      <c r="BC6" s="19"/>
      <c r="BD6" s="19"/>
      <c r="BE6" s="19"/>
      <c r="BF6" s="19"/>
    </row>
    <row r="7" spans="1:58" ht="16.5">
      <c r="A7" s="87"/>
      <c r="B7" s="1075"/>
      <c r="C7" s="1076"/>
      <c r="D7" s="1076"/>
      <c r="E7" s="1076"/>
      <c r="F7" s="1076"/>
      <c r="G7" s="1076"/>
      <c r="H7" s="1077"/>
      <c r="I7" s="1076"/>
      <c r="J7" s="1076"/>
      <c r="K7" s="1131"/>
      <c r="L7" s="1152"/>
      <c r="M7" s="1116"/>
      <c r="N7" s="92"/>
      <c r="O7" s="92"/>
      <c r="P7" s="23"/>
      <c r="Q7" s="23"/>
      <c r="R7" s="22"/>
      <c r="S7" s="22"/>
      <c r="T7" s="22"/>
      <c r="U7" s="22"/>
      <c r="V7" s="22"/>
      <c r="W7" s="22"/>
      <c r="X7" s="22"/>
      <c r="Y7" s="22"/>
      <c r="Z7" s="23"/>
      <c r="AA7" s="21"/>
      <c r="AB7" s="21"/>
      <c r="AC7" s="21"/>
      <c r="AD7" s="21"/>
      <c r="AE7" s="21"/>
      <c r="AF7" s="168"/>
      <c r="AG7" s="168"/>
      <c r="AH7" s="168"/>
      <c r="AI7" s="166"/>
      <c r="AJ7" s="167"/>
      <c r="AK7" s="167"/>
      <c r="AL7" s="167"/>
      <c r="AM7" s="167"/>
      <c r="AN7" s="167"/>
      <c r="AO7" s="167"/>
      <c r="AP7" s="167"/>
      <c r="AQ7" s="167"/>
      <c r="AR7" s="23"/>
      <c r="AS7" s="21"/>
      <c r="AT7" s="21"/>
      <c r="AU7" s="21"/>
      <c r="AV7" s="21"/>
      <c r="AW7" s="21"/>
      <c r="AX7" s="21"/>
      <c r="AY7" s="21"/>
      <c r="AZ7" s="21"/>
      <c r="BA7" s="23"/>
      <c r="BB7" s="19"/>
      <c r="BC7" s="19"/>
      <c r="BD7" s="19"/>
      <c r="BE7" s="19"/>
      <c r="BF7" s="19"/>
    </row>
    <row r="8" spans="1:58" ht="19.5">
      <c r="A8" s="87"/>
      <c r="B8" s="712" t="s">
        <v>12</v>
      </c>
      <c r="C8" s="98"/>
      <c r="D8" s="98"/>
      <c r="E8" s="98"/>
      <c r="F8" s="98"/>
      <c r="G8" s="100"/>
      <c r="H8" s="97" t="s">
        <v>300</v>
      </c>
      <c r="I8" s="649">
        <v>30</v>
      </c>
      <c r="J8" s="102" t="s">
        <v>14</v>
      </c>
      <c r="K8" s="1132"/>
      <c r="L8" s="737"/>
      <c r="M8" s="1117"/>
      <c r="N8" s="92"/>
      <c r="O8" s="92"/>
      <c r="P8" s="23"/>
      <c r="Q8" s="23">
        <f>(I8+E33+32/2)</f>
        <v>56</v>
      </c>
      <c r="R8" s="22">
        <f t="shared" ref="R8:Y8" si="4">MIN($Z8,Q8+$W5)</f>
        <v>418.66666666666669</v>
      </c>
      <c r="S8" s="22">
        <f t="shared" si="4"/>
        <v>781.33333333333337</v>
      </c>
      <c r="T8" s="22">
        <f t="shared" si="4"/>
        <v>1144</v>
      </c>
      <c r="U8" s="22">
        <f t="shared" si="4"/>
        <v>1144</v>
      </c>
      <c r="V8" s="22">
        <f t="shared" si="4"/>
        <v>1144</v>
      </c>
      <c r="W8" s="22">
        <f t="shared" si="4"/>
        <v>1144</v>
      </c>
      <c r="X8" s="22">
        <f t="shared" si="4"/>
        <v>1144</v>
      </c>
      <c r="Y8" s="22">
        <f t="shared" si="4"/>
        <v>1144</v>
      </c>
      <c r="Z8" s="23">
        <f>R10-Q8</f>
        <v>1144</v>
      </c>
      <c r="AA8" s="21">
        <f t="shared" ref="AA8:AH8" si="5">Z8</f>
        <v>1144</v>
      </c>
      <c r="AB8" s="21">
        <f t="shared" si="5"/>
        <v>1144</v>
      </c>
      <c r="AC8" s="21">
        <f t="shared" si="5"/>
        <v>1144</v>
      </c>
      <c r="AD8" s="21">
        <f t="shared" si="5"/>
        <v>1144</v>
      </c>
      <c r="AE8" s="21">
        <f t="shared" si="5"/>
        <v>1144</v>
      </c>
      <c r="AF8" s="168">
        <f t="shared" si="5"/>
        <v>1144</v>
      </c>
      <c r="AG8" s="168">
        <f t="shared" si="5"/>
        <v>1144</v>
      </c>
      <c r="AH8" s="168">
        <f t="shared" si="5"/>
        <v>1144</v>
      </c>
      <c r="AI8" s="166">
        <f>Z8</f>
        <v>1144</v>
      </c>
      <c r="AJ8" s="167">
        <f t="shared" ref="AJ8:AQ8" si="6">MAX($AR8,AI8-$W5)</f>
        <v>781.33333333333326</v>
      </c>
      <c r="AK8" s="167">
        <f t="shared" si="6"/>
        <v>418.66666666666657</v>
      </c>
      <c r="AL8" s="167">
        <f t="shared" si="6"/>
        <v>56</v>
      </c>
      <c r="AM8" s="167">
        <f t="shared" si="6"/>
        <v>56</v>
      </c>
      <c r="AN8" s="167">
        <f t="shared" si="6"/>
        <v>56</v>
      </c>
      <c r="AO8" s="167">
        <f t="shared" si="6"/>
        <v>56</v>
      </c>
      <c r="AP8" s="167">
        <f t="shared" si="6"/>
        <v>56</v>
      </c>
      <c r="AQ8" s="167">
        <f t="shared" si="6"/>
        <v>56</v>
      </c>
      <c r="AR8" s="23">
        <f>Q8</f>
        <v>56</v>
      </c>
      <c r="AS8" s="21">
        <f t="shared" ref="AS8:AZ8" si="7">AR8</f>
        <v>56</v>
      </c>
      <c r="AT8" s="21">
        <f t="shared" si="7"/>
        <v>56</v>
      </c>
      <c r="AU8" s="21">
        <f t="shared" si="7"/>
        <v>56</v>
      </c>
      <c r="AV8" s="21">
        <f t="shared" si="7"/>
        <v>56</v>
      </c>
      <c r="AW8" s="21">
        <f t="shared" si="7"/>
        <v>56</v>
      </c>
      <c r="AX8" s="21">
        <f t="shared" si="7"/>
        <v>56</v>
      </c>
      <c r="AY8" s="21">
        <f t="shared" si="7"/>
        <v>56</v>
      </c>
      <c r="AZ8" s="21">
        <f t="shared" si="7"/>
        <v>56</v>
      </c>
      <c r="BA8" s="23">
        <f>Q8</f>
        <v>56</v>
      </c>
      <c r="BB8" s="19"/>
      <c r="BC8" s="19"/>
      <c r="BD8" s="19"/>
      <c r="BE8" s="19"/>
      <c r="BF8" s="19"/>
    </row>
    <row r="9" spans="1:58" ht="18">
      <c r="A9" s="87"/>
      <c r="B9" s="713" t="s">
        <v>96</v>
      </c>
      <c r="C9" s="649">
        <v>40</v>
      </c>
      <c r="D9" s="102" t="s">
        <v>13</v>
      </c>
      <c r="E9" s="97" t="s">
        <v>201</v>
      </c>
      <c r="F9" s="101">
        <f>Refs!D11</f>
        <v>1.1499999999999999</v>
      </c>
      <c r="G9" s="100"/>
      <c r="H9" s="97" t="s">
        <v>98</v>
      </c>
      <c r="I9" s="649">
        <v>20</v>
      </c>
      <c r="J9" s="102" t="s">
        <v>844</v>
      </c>
      <c r="K9" s="1132"/>
      <c r="L9" s="737"/>
      <c r="M9" s="1104"/>
      <c r="N9" s="141" t="str">
        <f>IF(OR(C9&gt;99,C9&lt;25),"Unreasonable fck","√")</f>
        <v>√</v>
      </c>
      <c r="P9" s="19" t="s">
        <v>87</v>
      </c>
      <c r="Q9" s="19">
        <f>0+U14</f>
        <v>480</v>
      </c>
      <c r="R9" s="19">
        <f>0+U14</f>
        <v>480</v>
      </c>
      <c r="S9" s="19">
        <f>C14+U14</f>
        <v>780</v>
      </c>
      <c r="T9" s="19">
        <f>S9</f>
        <v>780</v>
      </c>
      <c r="U9" s="19">
        <f>0+U14</f>
        <v>480</v>
      </c>
      <c r="V9" s="19"/>
      <c r="W9" s="19"/>
      <c r="X9" s="19"/>
      <c r="Y9" s="19"/>
      <c r="Z9" s="19"/>
      <c r="AA9" s="19"/>
      <c r="AB9" s="19"/>
      <c r="AC9" s="19"/>
      <c r="AD9" s="19"/>
      <c r="AE9" s="19"/>
      <c r="AF9" s="88"/>
      <c r="AG9" s="88"/>
      <c r="AH9" s="88"/>
      <c r="AI9" s="88"/>
      <c r="AJ9" s="88"/>
      <c r="AK9" s="88"/>
      <c r="AL9" s="88"/>
      <c r="AM9" s="88"/>
      <c r="AN9" s="88"/>
      <c r="AO9" s="88"/>
      <c r="AP9" s="88"/>
      <c r="AQ9" s="88"/>
      <c r="AR9" s="19"/>
      <c r="AS9" s="19"/>
      <c r="AT9" s="19"/>
    </row>
    <row r="10" spans="1:58" ht="19.5">
      <c r="A10" s="87"/>
      <c r="B10" s="713" t="s">
        <v>97</v>
      </c>
      <c r="C10" s="649">
        <v>500</v>
      </c>
      <c r="D10" s="102" t="s">
        <v>13</v>
      </c>
      <c r="E10" s="97" t="s">
        <v>202</v>
      </c>
      <c r="F10" s="101">
        <f>Refs!D9</f>
        <v>1.5</v>
      </c>
      <c r="G10" s="100"/>
      <c r="H10" s="97" t="s">
        <v>248</v>
      </c>
      <c r="I10" s="649">
        <v>10</v>
      </c>
      <c r="J10" s="102" t="s">
        <v>14</v>
      </c>
      <c r="K10" s="1133" t="s">
        <v>413</v>
      </c>
      <c r="L10" s="737"/>
      <c r="M10" s="1104"/>
      <c r="N10" s="141" t="str">
        <f>IF(OR(C10&gt;500,C10&lt;250),"Check fyk","√")</f>
        <v>√</v>
      </c>
      <c r="O10" s="429" t="str">
        <f>IF(OR(C16&gt;2,C15&gt;2),"Diagramatic link arrangement","√")</f>
        <v>Diagramatic link arrangement</v>
      </c>
      <c r="Q10" s="19">
        <v>0</v>
      </c>
      <c r="R10" s="19">
        <f>C13</f>
        <v>1200</v>
      </c>
      <c r="S10" s="19">
        <f>R10</f>
        <v>1200</v>
      </c>
      <c r="T10" s="19">
        <v>0</v>
      </c>
      <c r="U10" s="19">
        <v>0</v>
      </c>
      <c r="V10" s="19"/>
      <c r="AF10" s="145"/>
      <c r="AG10" s="145"/>
      <c r="AH10" s="145"/>
      <c r="AI10" s="145"/>
      <c r="AJ10" s="87"/>
      <c r="AK10" s="87"/>
      <c r="AL10" s="87"/>
      <c r="AM10" s="87"/>
      <c r="AN10" s="87"/>
      <c r="AO10" s="87"/>
      <c r="AP10" s="87"/>
      <c r="AQ10" s="87"/>
    </row>
    <row r="11" spans="1:58" ht="18">
      <c r="A11" s="87"/>
      <c r="B11" s="713" t="s">
        <v>245</v>
      </c>
      <c r="C11" s="650">
        <v>2.2000000000000002</v>
      </c>
      <c r="D11" s="100"/>
      <c r="E11" s="97" t="s">
        <v>246</v>
      </c>
      <c r="F11" s="462">
        <f>0.55*C11</f>
        <v>1.2100000000000002</v>
      </c>
      <c r="G11" s="100"/>
      <c r="H11" s="98"/>
      <c r="I11" s="1118" t="s">
        <v>560</v>
      </c>
      <c r="J11" s="98"/>
      <c r="K11" s="1132"/>
      <c r="L11" s="737"/>
      <c r="M11" s="1104"/>
      <c r="N11" s="141" t="str">
        <f>IF(I8&gt;40,"Cover &gt; 40 mm","√")</f>
        <v>√</v>
      </c>
      <c r="O11" s="429" t="str">
        <f>IF(OR(C15&gt;2,C16&gt;2),"Internal links may be required","√")</f>
        <v>Internal links may be required</v>
      </c>
      <c r="P11" s="19" t="s">
        <v>88</v>
      </c>
      <c r="Q11" s="19">
        <f>I8+E33+U14</f>
        <v>520</v>
      </c>
      <c r="R11" s="19">
        <f>Q11</f>
        <v>520</v>
      </c>
      <c r="S11" s="19">
        <f>AA5-(I8+E33)+U14</f>
        <v>740</v>
      </c>
      <c r="T11" s="19">
        <f>S11</f>
        <v>740</v>
      </c>
      <c r="U11" s="19">
        <f>Q11</f>
        <v>520</v>
      </c>
      <c r="V11" s="19"/>
      <c r="AF11" s="145"/>
      <c r="AG11" s="88"/>
      <c r="AH11" s="88"/>
      <c r="AI11" s="88"/>
      <c r="AJ11" s="87"/>
      <c r="AK11" s="696"/>
      <c r="AL11" s="685"/>
      <c r="AM11" s="685"/>
      <c r="AN11" s="685"/>
      <c r="AO11" s="685"/>
      <c r="AP11" s="685"/>
      <c r="AQ11" s="685"/>
      <c r="AR11" s="685"/>
      <c r="AS11" s="685"/>
      <c r="AT11" s="685"/>
      <c r="AU11" s="685"/>
      <c r="AV11" s="686"/>
    </row>
    <row r="12" spans="1:58" ht="18">
      <c r="A12" s="87"/>
      <c r="B12" s="714" t="s">
        <v>15</v>
      </c>
      <c r="C12" s="98"/>
      <c r="D12" s="103"/>
      <c r="E12" s="97" t="s">
        <v>247</v>
      </c>
      <c r="F12" s="649" t="s">
        <v>128</v>
      </c>
      <c r="G12" s="101"/>
      <c r="H12" s="98"/>
      <c r="I12" s="98"/>
      <c r="J12" s="98"/>
      <c r="K12" s="1132"/>
      <c r="L12" s="737"/>
      <c r="M12" s="1104"/>
      <c r="N12" s="93"/>
      <c r="O12" s="92"/>
      <c r="Q12" s="19">
        <f>I8+E33</f>
        <v>40</v>
      </c>
      <c r="R12" s="19">
        <f>Z5-Q12</f>
        <v>1160</v>
      </c>
      <c r="S12" s="19">
        <f>R12</f>
        <v>1160</v>
      </c>
      <c r="T12" s="19">
        <f>Q12</f>
        <v>40</v>
      </c>
      <c r="U12" s="19">
        <f>Q12</f>
        <v>40</v>
      </c>
      <c r="V12" s="19"/>
      <c r="AF12" s="145"/>
      <c r="AG12" s="88"/>
      <c r="AH12" s="88"/>
      <c r="AI12" s="88"/>
      <c r="AJ12" s="87"/>
      <c r="AK12" s="1120"/>
      <c r="AL12" s="1114" t="s">
        <v>912</v>
      </c>
      <c r="AM12" s="912"/>
      <c r="AN12" s="912"/>
      <c r="AO12" s="912"/>
      <c r="AP12" s="912"/>
      <c r="AQ12" s="912"/>
      <c r="AR12" s="912"/>
      <c r="AS12" s="912"/>
      <c r="AT12" s="912"/>
      <c r="AU12" s="912"/>
      <c r="AV12" s="1121"/>
    </row>
    <row r="13" spans="1:58" ht="18">
      <c r="A13" s="87"/>
      <c r="B13" s="713" t="s">
        <v>16</v>
      </c>
      <c r="C13" s="649">
        <v>1200</v>
      </c>
      <c r="D13" s="102" t="s">
        <v>822</v>
      </c>
      <c r="E13" s="104" t="str">
        <f>IF(C13/C14&gt;4,"NOT A COLUMN !",".")</f>
        <v>.</v>
      </c>
      <c r="F13" s="98"/>
      <c r="G13" s="98"/>
      <c r="H13" s="98"/>
      <c r="I13" s="98"/>
      <c r="J13" s="98"/>
      <c r="K13" s="1132"/>
      <c r="L13" s="737"/>
      <c r="M13" s="1104"/>
      <c r="N13" s="93"/>
      <c r="O13" s="92"/>
      <c r="AF13" s="145"/>
      <c r="AG13" s="145"/>
      <c r="AH13" s="145"/>
      <c r="AI13" s="145"/>
      <c r="AJ13" s="145"/>
      <c r="AK13" s="1122"/>
      <c r="AL13" s="689"/>
      <c r="AM13" s="689"/>
      <c r="AN13" s="689"/>
      <c r="AO13" s="689"/>
      <c r="AP13" s="689"/>
      <c r="AQ13" s="689"/>
      <c r="AR13" s="689"/>
      <c r="AS13" s="689"/>
      <c r="AT13" s="689"/>
      <c r="AU13" s="689"/>
      <c r="AV13" s="1123"/>
    </row>
    <row r="14" spans="1:58" ht="18">
      <c r="A14" s="87"/>
      <c r="B14" s="713" t="s">
        <v>17</v>
      </c>
      <c r="C14" s="649">
        <v>300</v>
      </c>
      <c r="D14" s="102" t="s">
        <v>823</v>
      </c>
      <c r="E14" s="104" t="str">
        <f>IF(C14&gt;C13,"h SHOULD BE ≥ b",".")</f>
        <v>.</v>
      </c>
      <c r="F14" s="98"/>
      <c r="G14" s="101"/>
      <c r="H14" s="98"/>
      <c r="I14" s="98"/>
      <c r="J14" s="98"/>
      <c r="K14" s="1132"/>
      <c r="L14" s="737"/>
      <c r="M14" s="1104"/>
      <c r="N14" s="93"/>
      <c r="O14" s="92"/>
      <c r="P14" s="17" t="s">
        <v>141</v>
      </c>
      <c r="Q14" s="24">
        <f>C13*C14/(C13+C14)</f>
        <v>240</v>
      </c>
      <c r="R14" s="19"/>
      <c r="S14" s="19" t="s">
        <v>914</v>
      </c>
      <c r="T14" s="19" t="s">
        <v>913</v>
      </c>
      <c r="U14" s="19">
        <f>0.5*(C13-C14)+0.025*C13</f>
        <v>480</v>
      </c>
      <c r="V14" s="19"/>
      <c r="W14" s="19"/>
      <c r="AF14" s="145"/>
      <c r="AG14" s="145"/>
      <c r="AH14" s="88"/>
      <c r="AI14" s="88"/>
      <c r="AJ14" s="88"/>
      <c r="AK14" s="1122"/>
      <c r="AL14" s="689"/>
      <c r="AM14" s="689"/>
      <c r="AN14" s="689"/>
      <c r="AO14" s="689"/>
      <c r="AP14" s="689"/>
      <c r="AQ14" s="689"/>
      <c r="AR14" s="689"/>
      <c r="AS14" s="689"/>
      <c r="AT14" s="689"/>
      <c r="AU14" s="689"/>
      <c r="AV14" s="1123"/>
    </row>
    <row r="15" spans="1:58" ht="18">
      <c r="A15" s="87"/>
      <c r="B15" s="713" t="s">
        <v>18</v>
      </c>
      <c r="C15" s="649">
        <v>2</v>
      </c>
      <c r="D15" s="102" t="str">
        <f>P1&amp;FIXED(C14,0)&amp;" face"</f>
        <v>bars per 300 face</v>
      </c>
      <c r="E15" s="28"/>
      <c r="F15" s="105"/>
      <c r="G15" s="97" t="s">
        <v>684</v>
      </c>
      <c r="H15" s="1126" t="s">
        <v>95</v>
      </c>
      <c r="I15" s="98"/>
      <c r="J15" s="1126" t="s">
        <v>903</v>
      </c>
      <c r="K15" s="1134" t="s">
        <v>685</v>
      </c>
      <c r="L15" s="737"/>
      <c r="M15" s="1104"/>
      <c r="N15" s="93"/>
      <c r="O15" s="92"/>
      <c r="P15" s="68"/>
      <c r="Q15" s="24"/>
      <c r="R15" s="19"/>
      <c r="S15" s="19"/>
      <c r="U15" s="19"/>
      <c r="V15" s="19"/>
      <c r="W15" s="19"/>
      <c r="AF15" s="145"/>
      <c r="AG15" s="145"/>
      <c r="AH15" s="88"/>
      <c r="AI15" s="88"/>
      <c r="AJ15" s="88"/>
      <c r="AK15" s="1122"/>
      <c r="AL15" s="689"/>
      <c r="AM15" s="1119" t="s">
        <v>560</v>
      </c>
      <c r="AN15" s="689"/>
      <c r="AO15" s="689"/>
      <c r="AP15" s="689"/>
      <c r="AQ15" s="689"/>
      <c r="AR15" s="689"/>
      <c r="AS15" s="689"/>
      <c r="AT15" s="689"/>
      <c r="AU15" s="689"/>
      <c r="AV15" s="1123"/>
    </row>
    <row r="16" spans="1:58" ht="18">
      <c r="A16" s="87"/>
      <c r="B16" s="713" t="s">
        <v>19</v>
      </c>
      <c r="C16" s="649">
        <v>4</v>
      </c>
      <c r="D16" s="102" t="str">
        <f>P1&amp;FIXED(C13,0)&amp;" face"</f>
        <v>bars per 1,200 face</v>
      </c>
      <c r="E16" s="28"/>
      <c r="F16" s="29"/>
      <c r="G16" s="28"/>
      <c r="H16" s="28"/>
      <c r="I16" s="28"/>
      <c r="J16" s="28"/>
      <c r="K16" s="1135"/>
      <c r="L16" s="737"/>
      <c r="M16" s="1104"/>
      <c r="O16" s="1212" t="s">
        <v>274</v>
      </c>
      <c r="P16" s="1212"/>
      <c r="Q16" s="19"/>
      <c r="R16" s="19"/>
      <c r="S16" s="88"/>
      <c r="T16" s="145"/>
      <c r="U16" s="88"/>
      <c r="V16" s="88"/>
      <c r="W16" s="88"/>
      <c r="AF16" s="145"/>
      <c r="AG16" s="145"/>
      <c r="AH16" s="88"/>
      <c r="AI16" s="88"/>
      <c r="AJ16" s="88"/>
      <c r="AK16" s="1122"/>
      <c r="AL16" s="1119"/>
      <c r="AM16" s="1119" t="s">
        <v>95</v>
      </c>
      <c r="AN16" s="1119" t="s">
        <v>608</v>
      </c>
      <c r="AO16" s="1119"/>
      <c r="AP16" s="1119" t="s">
        <v>95</v>
      </c>
      <c r="AQ16" s="1119" t="s">
        <v>608</v>
      </c>
      <c r="AR16" s="1119"/>
      <c r="AS16" s="1119"/>
      <c r="AT16" s="689"/>
      <c r="AU16" s="689"/>
      <c r="AV16" s="1123"/>
    </row>
    <row r="17" spans="1:48" ht="15.75">
      <c r="A17" s="87"/>
      <c r="B17" s="715"/>
      <c r="C17" s="98"/>
      <c r="D17" s="98"/>
      <c r="E17" s="98"/>
      <c r="F17" s="98"/>
      <c r="G17" s="122" t="str">
        <f>"ie. "&amp;FIXED(C13,0)&amp;" x "&amp;FIXED(C14,0)&amp;" columns with "&amp;FIXED(Q1,0)&amp;" bars            "</f>
        <v xml:space="preserve">ie. 1,200 x 300 columns with 8 bars            </v>
      </c>
      <c r="H17" s="28"/>
      <c r="I17" s="28"/>
      <c r="J17" s="28"/>
      <c r="K17" s="1135"/>
      <c r="L17" s="737"/>
      <c r="M17" s="1104"/>
      <c r="P17" s="154" t="s">
        <v>20</v>
      </c>
      <c r="Q17" s="155"/>
      <c r="S17" s="19"/>
      <c r="T17" s="19"/>
      <c r="U17" s="19"/>
      <c r="V17" s="19"/>
      <c r="W17" s="19"/>
      <c r="AF17" s="145"/>
      <c r="AG17" s="145"/>
      <c r="AH17" s="88"/>
      <c r="AI17" s="88"/>
      <c r="AJ17" s="88"/>
      <c r="AK17" s="1122"/>
      <c r="AL17" s="689"/>
      <c r="AM17" s="1119"/>
      <c r="AN17" s="1119"/>
      <c r="AO17" s="1119"/>
      <c r="AP17" s="1119"/>
      <c r="AQ17" s="1119"/>
      <c r="AR17" s="1119"/>
      <c r="AS17" s="1119"/>
      <c r="AT17" s="689"/>
      <c r="AU17" s="689"/>
      <c r="AV17" s="1123"/>
    </row>
    <row r="18" spans="1:48" ht="18">
      <c r="A18" s="87"/>
      <c r="B18" s="715"/>
      <c r="C18" s="98"/>
      <c r="D18" s="98"/>
      <c r="E18" s="98"/>
      <c r="F18" s="98"/>
      <c r="G18" s="101"/>
      <c r="H18" s="98"/>
      <c r="I18" s="1181" t="s">
        <v>560</v>
      </c>
      <c r="J18" s="106"/>
      <c r="K18" s="1135"/>
      <c r="L18" s="737"/>
      <c r="M18" s="1105"/>
      <c r="O18" s="1097" t="s">
        <v>867</v>
      </c>
      <c r="P18" s="157" t="s">
        <v>21</v>
      </c>
      <c r="Q18" s="157">
        <f>IF(AND(V25="F",W25="F"),0.75,0)</f>
        <v>0.75</v>
      </c>
      <c r="R18" s="157">
        <f>IF(AND(V25="F",W25="P"),0.8,0)</f>
        <v>0</v>
      </c>
      <c r="S18" s="157">
        <f>IF(AND(V25="F",W25="N"),0.9,0)</f>
        <v>0</v>
      </c>
      <c r="T18" s="157">
        <f>IF(AND(V25="P",W25="F"),0.8,0)</f>
        <v>0</v>
      </c>
      <c r="U18" s="157">
        <f>IF(AND(V25="P",W25="P"),0.85,0)</f>
        <v>0</v>
      </c>
      <c r="V18" s="157">
        <f>IF(AND(V25="P",W25="N"),0.95,0)</f>
        <v>0</v>
      </c>
      <c r="W18" s="157">
        <f>IF(AND(V25="N",W25="F"),0.9,0)</f>
        <v>0</v>
      </c>
      <c r="X18" s="157">
        <f>IF(AND(V25="N",W25="P"),0.95,0)</f>
        <v>0</v>
      </c>
      <c r="Y18" s="158">
        <f>IF(AND(V25="N",W25="N"),1,0)</f>
        <v>0</v>
      </c>
      <c r="AF18" s="145"/>
      <c r="AG18" s="145"/>
      <c r="AH18" s="88"/>
      <c r="AI18" s="88"/>
      <c r="AJ18" s="88"/>
      <c r="AK18" s="1122"/>
      <c r="AL18" s="1119"/>
      <c r="AM18" s="1119">
        <f>IF(MAIN!I30="N",1,2)*AM19</f>
        <v>6</v>
      </c>
      <c r="AN18" s="1119">
        <v>0</v>
      </c>
      <c r="AO18" s="1119"/>
      <c r="AP18" s="1119">
        <f t="shared" ref="AP18:AP27" si="8">AM18/$AM$32-$AM$34</f>
        <v>1</v>
      </c>
      <c r="AQ18" s="1119">
        <f t="shared" ref="AQ18:AQ27" si="9">$AU$33*AN18/$AN$33</f>
        <v>0</v>
      </c>
      <c r="AR18" s="1119"/>
      <c r="AS18" s="1119"/>
      <c r="AT18" s="689"/>
      <c r="AU18" s="689"/>
      <c r="AV18" s="1123"/>
    </row>
    <row r="19" spans="1:48" ht="18">
      <c r="A19" s="87"/>
      <c r="B19" s="714" t="s">
        <v>22</v>
      </c>
      <c r="C19" s="124" t="s">
        <v>107</v>
      </c>
      <c r="D19" s="98"/>
      <c r="E19" s="98"/>
      <c r="F19" s="1256" t="s">
        <v>846</v>
      </c>
      <c r="G19" s="1257"/>
      <c r="H19" s="1251" t="s">
        <v>179</v>
      </c>
      <c r="I19" s="1252"/>
      <c r="J19" s="1253"/>
      <c r="K19" s="1136" t="s">
        <v>863</v>
      </c>
      <c r="L19" s="737"/>
      <c r="M19" s="1104"/>
      <c r="P19" s="159" t="s">
        <v>25</v>
      </c>
      <c r="Q19" s="160">
        <f>IF(AND(V26="F",W26="F"),0.75,0)</f>
        <v>0.75</v>
      </c>
      <c r="R19" s="160">
        <f>IF(AND(V26="F",W26="P"),0.8,0)</f>
        <v>0</v>
      </c>
      <c r="S19" s="160">
        <f>IF(AND(V26="F",W26="N"),0.9,0)</f>
        <v>0</v>
      </c>
      <c r="T19" s="160">
        <f>IF(AND(V26="P",W26="F"),0.8,0)</f>
        <v>0</v>
      </c>
      <c r="U19" s="160">
        <f>IF(AND(V26="P",W26="P"),0.85,0)</f>
        <v>0</v>
      </c>
      <c r="V19" s="160">
        <f>IF(AND(V26="P",W26="N"),0.95,0)</f>
        <v>0</v>
      </c>
      <c r="W19" s="160">
        <f>IF(AND(V26="N",W26="F"),0.9,0)</f>
        <v>0</v>
      </c>
      <c r="X19" s="160">
        <f>IF(AND(V26="N",W26="P"),0.95,0)</f>
        <v>0</v>
      </c>
      <c r="Y19" s="161">
        <f>IF(AND(V26="N",W26="N"),1,0)</f>
        <v>0</v>
      </c>
      <c r="AF19" s="145"/>
      <c r="AG19" s="145"/>
      <c r="AH19" s="88"/>
      <c r="AI19" s="88"/>
      <c r="AJ19" s="88"/>
      <c r="AK19" s="1122"/>
      <c r="AL19" s="689"/>
      <c r="AM19" s="1119">
        <f>AM20</f>
        <v>3</v>
      </c>
      <c r="AN19" s="1119">
        <v>0</v>
      </c>
      <c r="AO19" s="1119"/>
      <c r="AP19" s="1119">
        <f t="shared" si="8"/>
        <v>0.5</v>
      </c>
      <c r="AQ19" s="1119">
        <f t="shared" si="9"/>
        <v>0</v>
      </c>
      <c r="AR19" s="1119"/>
      <c r="AS19" s="1119"/>
      <c r="AT19" s="689"/>
      <c r="AU19" s="689"/>
      <c r="AV19" s="1123"/>
    </row>
    <row r="20" spans="1:48" ht="18">
      <c r="A20" s="87"/>
      <c r="B20" s="715"/>
      <c r="C20" s="1153" t="s">
        <v>244</v>
      </c>
      <c r="D20" s="1048" t="s">
        <v>27</v>
      </c>
      <c r="E20" s="98"/>
      <c r="F20" s="1254" t="s">
        <v>845</v>
      </c>
      <c r="G20" s="1255"/>
      <c r="H20" s="1084" t="s">
        <v>203</v>
      </c>
      <c r="I20" s="126" t="s">
        <v>204</v>
      </c>
      <c r="J20" s="126" t="s">
        <v>205</v>
      </c>
      <c r="K20" s="1137" t="s">
        <v>178</v>
      </c>
      <c r="L20" s="737"/>
      <c r="M20" s="1104"/>
      <c r="N20" s="142"/>
      <c r="O20" s="142" t="s">
        <v>795</v>
      </c>
      <c r="P20" s="159" t="s">
        <v>28</v>
      </c>
      <c r="Q20" s="160">
        <f>IF(AND(V25="F",W25="F"),1.2,0)</f>
        <v>1.2</v>
      </c>
      <c r="R20" s="160">
        <f>IF(AND(V25="F",W25="P"),1.3,0)</f>
        <v>0</v>
      </c>
      <c r="S20" s="160">
        <f>IF(AND(V25="F",W25="N"),1.6,0)</f>
        <v>0</v>
      </c>
      <c r="T20" s="160">
        <f>IF(AND(V25="P",W25="F"),1.3,0)</f>
        <v>0</v>
      </c>
      <c r="U20" s="160">
        <f>IF(AND(V25="P",W25="P"),1.5,0)</f>
        <v>0</v>
      </c>
      <c r="V20" s="160">
        <f>IF(AND(V25="P",W25="N"),1.8,0)</f>
        <v>0</v>
      </c>
      <c r="W20" s="160">
        <f>IF(AND(V25="N",W25="F"),1.6,0)</f>
        <v>0</v>
      </c>
      <c r="X20" s="160">
        <f>IF(AND(V25="N",W25="P"),1.8,0)</f>
        <v>0</v>
      </c>
      <c r="Y20" s="161">
        <f>IF(AND(V25="C",W25="F"),2.2,0)</f>
        <v>0</v>
      </c>
      <c r="AF20" s="145"/>
      <c r="AG20" s="145"/>
      <c r="AH20" s="88"/>
      <c r="AI20" s="88"/>
      <c r="AJ20" s="88"/>
      <c r="AK20" s="1122"/>
      <c r="AL20" s="689"/>
      <c r="AM20" s="1119">
        <f>AM21</f>
        <v>3</v>
      </c>
      <c r="AN20" s="1119">
        <f>MAIN!J22</f>
        <v>8</v>
      </c>
      <c r="AO20" s="1119"/>
      <c r="AP20" s="1119">
        <f t="shared" si="8"/>
        <v>0.5</v>
      </c>
      <c r="AQ20" s="1119">
        <f t="shared" si="9"/>
        <v>0.5</v>
      </c>
      <c r="AR20" s="1119"/>
      <c r="AS20" s="1119"/>
      <c r="AT20" s="689"/>
      <c r="AU20" s="689"/>
      <c r="AV20" s="1123"/>
    </row>
    <row r="21" spans="1:48" ht="18">
      <c r="A21" s="87"/>
      <c r="B21" s="713" t="s">
        <v>401</v>
      </c>
      <c r="C21" s="647">
        <v>3000</v>
      </c>
      <c r="D21" s="647" t="s">
        <v>95</v>
      </c>
      <c r="E21" s="98"/>
      <c r="F21" s="1085"/>
      <c r="G21" s="1129" t="s">
        <v>918</v>
      </c>
      <c r="H21" s="647">
        <v>1000</v>
      </c>
      <c r="I21" s="647">
        <v>225</v>
      </c>
      <c r="J21" s="647">
        <v>8</v>
      </c>
      <c r="K21" s="1138" t="s">
        <v>501</v>
      </c>
      <c r="L21" s="737"/>
      <c r="M21" s="1104"/>
      <c r="N21" s="142"/>
      <c r="O21" s="142" t="s">
        <v>792</v>
      </c>
      <c r="P21" s="162" t="s">
        <v>29</v>
      </c>
      <c r="Q21" s="163">
        <f>IF(AND(V26="F",W26="F"),1.2,0)</f>
        <v>1.2</v>
      </c>
      <c r="R21" s="163">
        <f>IF(AND(V26="F",W26="P"),1.3,0)</f>
        <v>0</v>
      </c>
      <c r="S21" s="163">
        <f>IF(AND(V26="F",W26="N"),1.6,0)</f>
        <v>0</v>
      </c>
      <c r="T21" s="163">
        <f>IF(AND(V26="P",W26="F"),1.3,0)</f>
        <v>0</v>
      </c>
      <c r="U21" s="163">
        <f>IF(AND(V26="P",W26="P"),1.5,0)</f>
        <v>0</v>
      </c>
      <c r="V21" s="163">
        <f>IF(AND(V26="P",W26="N"),1.8,0)</f>
        <v>0</v>
      </c>
      <c r="W21" s="163">
        <f>IF(AND(V26="N",W26="F"),1.6,0)</f>
        <v>0</v>
      </c>
      <c r="X21" s="163">
        <f>IF(AND(V26="N",W26="P"),1.8,0)</f>
        <v>0</v>
      </c>
      <c r="Y21" s="164">
        <f>IF(AND(V26="C",W26="F"),2.2,0)</f>
        <v>0</v>
      </c>
      <c r="AH21" s="19"/>
      <c r="AI21" s="19"/>
      <c r="AJ21" s="19"/>
      <c r="AK21" s="1122"/>
      <c r="AL21" s="689"/>
      <c r="AM21" s="1119">
        <f>AM22</f>
        <v>3</v>
      </c>
      <c r="AN21" s="1119">
        <f>-MAIN!J21</f>
        <v>-8</v>
      </c>
      <c r="AO21" s="1119"/>
      <c r="AP21" s="1119">
        <f t="shared" si="8"/>
        <v>0.5</v>
      </c>
      <c r="AQ21" s="1119">
        <f t="shared" si="9"/>
        <v>-0.5</v>
      </c>
      <c r="AR21" s="1119"/>
      <c r="AS21" s="1119"/>
      <c r="AT21" s="689"/>
      <c r="AU21" s="689"/>
      <c r="AV21" s="1123"/>
    </row>
    <row r="22" spans="1:48" ht="18">
      <c r="A22" s="87"/>
      <c r="B22" s="713" t="s">
        <v>402</v>
      </c>
      <c r="C22" s="1161">
        <f>C21</f>
        <v>3000</v>
      </c>
      <c r="D22" s="1162" t="s">
        <v>95</v>
      </c>
      <c r="E22" s="98"/>
      <c r="F22" s="1078"/>
      <c r="G22" s="1079" t="s">
        <v>899</v>
      </c>
      <c r="H22" s="648">
        <v>1000</v>
      </c>
      <c r="I22" s="647">
        <v>225</v>
      </c>
      <c r="J22" s="648">
        <v>8</v>
      </c>
      <c r="K22" s="1139" t="s">
        <v>501</v>
      </c>
      <c r="L22" s="737"/>
      <c r="M22" s="1104"/>
      <c r="N22" s="142"/>
      <c r="O22" s="142" t="s">
        <v>907</v>
      </c>
      <c r="AH22" s="19"/>
      <c r="AI22" s="19"/>
      <c r="AJ22" s="19"/>
      <c r="AK22" s="1122"/>
      <c r="AL22" s="689"/>
      <c r="AM22" s="1119">
        <f>MAIN!C22/1000</f>
        <v>3</v>
      </c>
      <c r="AN22" s="1119">
        <v>0</v>
      </c>
      <c r="AO22" s="1119"/>
      <c r="AP22" s="1119">
        <f t="shared" si="8"/>
        <v>0.5</v>
      </c>
      <c r="AQ22" s="1119">
        <f t="shared" si="9"/>
        <v>0</v>
      </c>
      <c r="AR22" s="1119"/>
      <c r="AS22" s="1119"/>
      <c r="AT22" s="689"/>
      <c r="AU22" s="689"/>
      <c r="AV22" s="1123"/>
    </row>
    <row r="23" spans="1:48" ht="16.5">
      <c r="A23" s="87"/>
      <c r="B23" s="713"/>
      <c r="C23" s="1047"/>
      <c r="D23" s="1047"/>
      <c r="E23" s="1047"/>
      <c r="F23" s="1080"/>
      <c r="G23" s="1079" t="s">
        <v>900</v>
      </c>
      <c r="H23" s="648">
        <v>1000</v>
      </c>
      <c r="I23" s="647">
        <v>225</v>
      </c>
      <c r="J23" s="648">
        <v>8</v>
      </c>
      <c r="K23" s="1139" t="s">
        <v>501</v>
      </c>
      <c r="L23" s="737"/>
      <c r="M23" s="1104"/>
      <c r="N23" s="94"/>
      <c r="O23" s="94"/>
      <c r="Q23" s="148">
        <f>MAX(E31,8)</f>
        <v>16</v>
      </c>
      <c r="R23" s="149">
        <v>0</v>
      </c>
      <c r="T23" s="544" t="s">
        <v>412</v>
      </c>
      <c r="V23" s="124" t="s">
        <v>23</v>
      </c>
      <c r="W23" s="124" t="s">
        <v>24</v>
      </c>
      <c r="AH23" s="19"/>
      <c r="AI23" s="19"/>
      <c r="AJ23" s="19"/>
      <c r="AK23" s="1122"/>
      <c r="AL23" s="1119"/>
      <c r="AM23" s="1119">
        <v>0</v>
      </c>
      <c r="AN23" s="1119">
        <v>0</v>
      </c>
      <c r="AO23" s="1119"/>
      <c r="AP23" s="1119">
        <f t="shared" si="8"/>
        <v>0</v>
      </c>
      <c r="AQ23" s="1119">
        <f t="shared" si="9"/>
        <v>0</v>
      </c>
      <c r="AR23" s="1119"/>
      <c r="AS23" s="1119"/>
      <c r="AT23" s="689"/>
      <c r="AU23" s="689"/>
      <c r="AV23" s="1123"/>
    </row>
    <row r="24" spans="1:48" ht="18">
      <c r="A24" s="87"/>
      <c r="B24" s="713"/>
      <c r="C24" s="1047"/>
      <c r="D24" s="1047"/>
      <c r="E24" s="1047"/>
      <c r="F24" s="1163"/>
      <c r="G24" s="1164" t="s">
        <v>901</v>
      </c>
      <c r="H24" s="1162">
        <v>1000</v>
      </c>
      <c r="I24" s="647">
        <v>225</v>
      </c>
      <c r="J24" s="1162">
        <v>8</v>
      </c>
      <c r="K24" s="1140" t="s">
        <v>501</v>
      </c>
      <c r="L24" s="737"/>
      <c r="M24" s="1104"/>
      <c r="N24" s="142"/>
      <c r="O24" s="142" t="s">
        <v>794</v>
      </c>
      <c r="Q24" s="150">
        <f>MAX(E31,10)</f>
        <v>16</v>
      </c>
      <c r="R24" s="151">
        <f>MAX(E31,8)</f>
        <v>16</v>
      </c>
      <c r="T24" s="545" t="s">
        <v>413</v>
      </c>
      <c r="V24" s="125" t="s">
        <v>26</v>
      </c>
      <c r="W24" s="125" t="s">
        <v>26</v>
      </c>
      <c r="AH24" s="19"/>
      <c r="AI24" s="19"/>
      <c r="AJ24" s="19"/>
      <c r="AK24" s="1122"/>
      <c r="AL24" s="1119"/>
      <c r="AM24" s="1119">
        <v>0</v>
      </c>
      <c r="AN24" s="1119">
        <f>MAIN!J26</f>
        <v>8</v>
      </c>
      <c r="AO24" s="689"/>
      <c r="AP24" s="1119">
        <f t="shared" si="8"/>
        <v>0</v>
      </c>
      <c r="AQ24" s="1119">
        <f t="shared" si="9"/>
        <v>0.5</v>
      </c>
      <c r="AR24" s="689"/>
      <c r="AS24" s="689"/>
      <c r="AT24" s="689"/>
      <c r="AU24" s="689"/>
      <c r="AV24" s="1123"/>
    </row>
    <row r="25" spans="1:48" ht="19.5">
      <c r="A25" s="87"/>
      <c r="B25" s="713"/>
      <c r="C25" s="126" t="s">
        <v>206</v>
      </c>
      <c r="D25" s="126" t="s">
        <v>207</v>
      </c>
      <c r="E25" s="1081" t="s">
        <v>208</v>
      </c>
      <c r="F25" s="1083"/>
      <c r="G25" s="1130" t="s">
        <v>917</v>
      </c>
      <c r="H25" s="647">
        <v>1000</v>
      </c>
      <c r="I25" s="647">
        <v>225</v>
      </c>
      <c r="J25" s="647">
        <v>8</v>
      </c>
      <c r="K25" s="1138" t="s">
        <v>501</v>
      </c>
      <c r="L25" s="737"/>
      <c r="M25" s="1104"/>
      <c r="N25" s="142"/>
      <c r="O25" s="142" t="s">
        <v>793</v>
      </c>
      <c r="Q25" s="150">
        <f>MAX(E31,12)</f>
        <v>16</v>
      </c>
      <c r="R25" s="151">
        <f>MAX(E31,10)</f>
        <v>16</v>
      </c>
      <c r="T25" s="545" t="s">
        <v>414</v>
      </c>
      <c r="V25" s="1041" t="s">
        <v>501</v>
      </c>
      <c r="W25" s="1041" t="s">
        <v>501</v>
      </c>
      <c r="AH25" s="19"/>
      <c r="AI25" s="19"/>
      <c r="AJ25" s="19"/>
      <c r="AK25" s="1120"/>
      <c r="AL25" s="689"/>
      <c r="AM25" s="1119">
        <v>0</v>
      </c>
      <c r="AN25" s="1119">
        <f>-MAIN!J25</f>
        <v>-8</v>
      </c>
      <c r="AO25" s="912"/>
      <c r="AP25" s="1119">
        <f t="shared" si="8"/>
        <v>0</v>
      </c>
      <c r="AQ25" s="1119">
        <f t="shared" si="9"/>
        <v>-0.5</v>
      </c>
      <c r="AR25" s="912"/>
      <c r="AS25" s="912"/>
      <c r="AT25" s="912"/>
      <c r="AU25" s="912"/>
      <c r="AV25" s="1121"/>
    </row>
    <row r="26" spans="1:48" ht="18">
      <c r="A26" s="87"/>
      <c r="B26" s="713" t="s">
        <v>403</v>
      </c>
      <c r="C26" s="107">
        <f>C21-MAX(I23:I24)</f>
        <v>2775</v>
      </c>
      <c r="D26" s="107">
        <f>Slen!G29</f>
        <v>2760.8807731879187</v>
      </c>
      <c r="E26" s="1165">
        <f>C13*C14/(C13+C14)</f>
        <v>240</v>
      </c>
      <c r="F26" s="1082"/>
      <c r="G26" s="1079" t="s">
        <v>899</v>
      </c>
      <c r="H26" s="647">
        <v>1000</v>
      </c>
      <c r="I26" s="647">
        <v>225</v>
      </c>
      <c r="J26" s="648">
        <v>8</v>
      </c>
      <c r="K26" s="1139" t="s">
        <v>501</v>
      </c>
      <c r="L26" s="737"/>
      <c r="M26" s="1104"/>
      <c r="N26" s="142"/>
      <c r="O26" s="142"/>
      <c r="Q26" s="150">
        <f>MAX(E31,16)</f>
        <v>16</v>
      </c>
      <c r="R26" s="151">
        <f>MAX(E31,12)</f>
        <v>16</v>
      </c>
      <c r="T26" s="545" t="s">
        <v>415</v>
      </c>
      <c r="V26" s="1042" t="s">
        <v>501</v>
      </c>
      <c r="W26" s="1042" t="s">
        <v>501</v>
      </c>
      <c r="AH26" s="19"/>
      <c r="AI26" s="19"/>
      <c r="AJ26" s="19"/>
      <c r="AK26" s="1120"/>
      <c r="AL26" s="912"/>
      <c r="AM26" s="1119">
        <v>0</v>
      </c>
      <c r="AN26" s="1119">
        <v>0</v>
      </c>
      <c r="AO26" s="912"/>
      <c r="AP26" s="1119">
        <f t="shared" si="8"/>
        <v>0</v>
      </c>
      <c r="AQ26" s="1119">
        <f t="shared" si="9"/>
        <v>0</v>
      </c>
      <c r="AR26" s="912"/>
      <c r="AS26" s="912"/>
      <c r="AT26" s="912"/>
      <c r="AU26" s="912"/>
      <c r="AV26" s="1121"/>
    </row>
    <row r="27" spans="1:48" ht="18">
      <c r="A27" s="87"/>
      <c r="B27" s="713" t="s">
        <v>404</v>
      </c>
      <c r="C27" s="1166">
        <f>C21-MAX(I21:I22)</f>
        <v>2775</v>
      </c>
      <c r="D27" s="1166">
        <f>Slen!G12</f>
        <v>2580.9032211772956</v>
      </c>
      <c r="E27" s="98"/>
      <c r="F27" s="1082"/>
      <c r="G27" s="1079" t="s">
        <v>902</v>
      </c>
      <c r="H27" s="647">
        <v>1000</v>
      </c>
      <c r="I27" s="647">
        <v>225</v>
      </c>
      <c r="J27" s="648">
        <v>8</v>
      </c>
      <c r="K27" s="1139" t="s">
        <v>501</v>
      </c>
      <c r="L27" s="737"/>
      <c r="M27" s="1104"/>
      <c r="N27" s="142"/>
      <c r="O27" s="142"/>
      <c r="Q27" s="150">
        <f>MAX(E31,20)</f>
        <v>20</v>
      </c>
      <c r="R27" s="151">
        <f>MAX(E31,16)</f>
        <v>16</v>
      </c>
      <c r="T27" s="545" t="s">
        <v>416</v>
      </c>
      <c r="AH27" s="19"/>
      <c r="AI27" s="19"/>
      <c r="AJ27" s="19"/>
      <c r="AK27" s="1120"/>
      <c r="AL27" s="1119"/>
      <c r="AM27" s="1119">
        <f>IF(MAIN!K30="N",0,-AM22)</f>
        <v>0</v>
      </c>
      <c r="AN27" s="1119">
        <v>0</v>
      </c>
      <c r="AO27" s="912"/>
      <c r="AP27" s="1119">
        <f t="shared" si="8"/>
        <v>0</v>
      </c>
      <c r="AQ27" s="1119">
        <f t="shared" si="9"/>
        <v>0</v>
      </c>
      <c r="AR27" s="912"/>
      <c r="AS27" s="912"/>
      <c r="AT27" s="912"/>
      <c r="AU27" s="912"/>
      <c r="AV27" s="1121"/>
    </row>
    <row r="28" spans="1:48" ht="16.5" customHeight="1">
      <c r="A28" s="87"/>
      <c r="B28" s="713"/>
      <c r="C28" s="98"/>
      <c r="D28" s="98"/>
      <c r="E28" s="98"/>
      <c r="F28" s="1167"/>
      <c r="G28" s="1164" t="s">
        <v>901</v>
      </c>
      <c r="H28" s="647">
        <v>1000</v>
      </c>
      <c r="I28" s="647">
        <v>225</v>
      </c>
      <c r="J28" s="1162">
        <v>8</v>
      </c>
      <c r="K28" s="1140" t="s">
        <v>501</v>
      </c>
      <c r="L28" s="737"/>
      <c r="M28" s="1104"/>
      <c r="Q28" s="150">
        <f>MAX(E31,25)</f>
        <v>25</v>
      </c>
      <c r="R28" s="151">
        <f>MAX(E31,20)</f>
        <v>20</v>
      </c>
      <c r="T28" s="546" t="s">
        <v>417</v>
      </c>
      <c r="X28" s="644"/>
      <c r="Y28" s="645"/>
      <c r="Z28" s="645"/>
      <c r="AA28" s="645"/>
      <c r="AB28" s="645"/>
      <c r="AC28" s="645"/>
      <c r="AD28" s="645"/>
      <c r="AE28" s="645"/>
      <c r="AF28" s="645"/>
      <c r="AG28" s="645"/>
      <c r="AH28" s="19"/>
      <c r="AI28" s="19"/>
      <c r="AJ28" s="19"/>
      <c r="AK28" s="1120"/>
      <c r="AL28" s="1119"/>
      <c r="AM28" s="1119"/>
      <c r="AN28" s="1119"/>
      <c r="AO28" s="912"/>
      <c r="AP28" s="912"/>
      <c r="AQ28" s="912"/>
      <c r="AR28" s="912"/>
      <c r="AS28" s="912"/>
      <c r="AT28" s="912"/>
      <c r="AU28" s="912"/>
      <c r="AV28" s="1121"/>
    </row>
    <row r="29" spans="1:48" ht="16.5" customHeight="1">
      <c r="A29" s="87"/>
      <c r="B29" s="814" t="s">
        <v>651</v>
      </c>
      <c r="C29" s="99"/>
      <c r="D29" s="99"/>
      <c r="E29" s="1248" t="s">
        <v>921</v>
      </c>
      <c r="F29" s="1248"/>
      <c r="G29" s="98"/>
      <c r="H29" s="1059" t="s">
        <v>185</v>
      </c>
      <c r="I29" s="1060">
        <v>0.5</v>
      </c>
      <c r="J29" s="1061" t="s">
        <v>186</v>
      </c>
      <c r="K29" s="1141"/>
      <c r="L29" s="737"/>
      <c r="M29" s="1104"/>
      <c r="N29" s="142"/>
      <c r="O29" s="142" t="s">
        <v>864</v>
      </c>
      <c r="Q29" s="150">
        <f>MAX(E31,32)</f>
        <v>32</v>
      </c>
      <c r="R29" s="151">
        <f>MAX(E31,25)</f>
        <v>25</v>
      </c>
      <c r="T29" s="547" t="str">
        <f>K10</f>
        <v>R 60</v>
      </c>
      <c r="X29" s="644"/>
      <c r="Y29" s="645"/>
      <c r="Z29" s="645"/>
      <c r="AA29" s="645"/>
      <c r="AB29" s="645"/>
      <c r="AC29" s="645"/>
      <c r="AD29" s="645"/>
      <c r="AE29" s="645"/>
      <c r="AF29" s="645"/>
      <c r="AG29" s="645"/>
      <c r="AH29" s="19"/>
      <c r="AI29" s="19"/>
      <c r="AJ29" s="19"/>
      <c r="AK29" s="1120"/>
      <c r="AL29" s="1119" t="s">
        <v>607</v>
      </c>
      <c r="AM29" s="1119">
        <f>MAX(AM18:AM27)</f>
        <v>6</v>
      </c>
      <c r="AN29" s="1119">
        <f>MAX(AN18:AN27)</f>
        <v>8</v>
      </c>
      <c r="AO29" s="912"/>
      <c r="AP29" s="912"/>
      <c r="AQ29" s="912"/>
      <c r="AR29" s="912"/>
      <c r="AS29" s="912"/>
      <c r="AT29" s="912"/>
      <c r="AU29" s="912"/>
      <c r="AV29" s="1121"/>
    </row>
    <row r="30" spans="1:48" ht="18">
      <c r="A30" s="87"/>
      <c r="B30" s="713"/>
      <c r="C30" s="99"/>
      <c r="D30" s="99"/>
      <c r="E30" s="1258" t="s">
        <v>892</v>
      </c>
      <c r="F30" s="1258"/>
      <c r="G30" s="98"/>
      <c r="H30" s="97" t="s">
        <v>187</v>
      </c>
      <c r="I30" s="651" t="s">
        <v>95</v>
      </c>
      <c r="J30" s="97" t="s">
        <v>188</v>
      </c>
      <c r="K30" s="1133" t="s">
        <v>31</v>
      </c>
      <c r="L30" s="737"/>
      <c r="M30" s="1104"/>
      <c r="N30" s="142"/>
      <c r="O30" s="142" t="s">
        <v>729</v>
      </c>
      <c r="Q30" s="152">
        <f>MAX(E31,40)</f>
        <v>40</v>
      </c>
      <c r="R30" s="153">
        <f>MAX(E31,32)</f>
        <v>32</v>
      </c>
      <c r="T30" s="19"/>
      <c r="AH30" s="19"/>
      <c r="AI30" s="19"/>
      <c r="AJ30" s="19"/>
      <c r="AK30" s="1120"/>
      <c r="AL30" s="1119" t="s">
        <v>896</v>
      </c>
      <c r="AM30" s="1119">
        <f>MIN(AM18:AM27)</f>
        <v>0</v>
      </c>
      <c r="AN30" s="1119">
        <f>MIN(AN18:AN27)</f>
        <v>-8</v>
      </c>
      <c r="AO30" s="912"/>
      <c r="AP30" s="912"/>
      <c r="AQ30" s="912"/>
      <c r="AR30" s="912"/>
      <c r="AS30" s="912"/>
      <c r="AT30" s="912"/>
      <c r="AU30" s="912"/>
      <c r="AV30" s="1121"/>
    </row>
    <row r="31" spans="1:48" ht="19.5">
      <c r="A31" s="87"/>
      <c r="B31" s="714" t="s">
        <v>32</v>
      </c>
      <c r="C31" s="106"/>
      <c r="D31" s="1067" t="s">
        <v>826</v>
      </c>
      <c r="E31" s="1068">
        <v>16</v>
      </c>
      <c r="F31" s="128" t="s">
        <v>210</v>
      </c>
      <c r="G31" s="129"/>
      <c r="H31" s="28"/>
      <c r="I31" s="28"/>
      <c r="J31" s="28"/>
      <c r="K31" s="1135"/>
      <c r="L31" s="737"/>
      <c r="M31" s="1104"/>
      <c r="N31" s="142"/>
      <c r="O31" s="142" t="s">
        <v>730</v>
      </c>
      <c r="T31" s="88"/>
      <c r="AH31" s="19"/>
      <c r="AI31" s="19"/>
      <c r="AJ31" s="19"/>
      <c r="AK31" s="1120"/>
      <c r="AL31" s="912"/>
      <c r="AM31" s="912"/>
      <c r="AN31" s="912"/>
      <c r="AO31" s="912"/>
      <c r="AP31" s="912"/>
      <c r="AQ31" s="912"/>
      <c r="AR31" s="912"/>
      <c r="AS31" s="912"/>
      <c r="AT31" s="912"/>
      <c r="AU31" s="912"/>
      <c r="AV31" s="1121"/>
    </row>
    <row r="32" spans="1:48" ht="18">
      <c r="A32" s="87"/>
      <c r="B32" s="716" t="s">
        <v>33</v>
      </c>
      <c r="C32" s="127" t="s">
        <v>34</v>
      </c>
      <c r="D32" s="126" t="s">
        <v>209</v>
      </c>
      <c r="E32" s="126" t="s">
        <v>35</v>
      </c>
      <c r="F32" s="126" t="str">
        <f>FIXED(C14,0)&amp;" Face"</f>
        <v>300 Face</v>
      </c>
      <c r="G32" s="126" t="str">
        <f>FIXED(C13,0)&amp;" Face"</f>
        <v>1,200 Face</v>
      </c>
      <c r="H32" s="126" t="s">
        <v>211</v>
      </c>
      <c r="I32" s="130" t="s">
        <v>36</v>
      </c>
      <c r="J32" s="131"/>
      <c r="K32" s="1142"/>
      <c r="L32" s="737"/>
      <c r="M32" s="1104"/>
      <c r="N32" s="93"/>
      <c r="O32" s="93"/>
      <c r="P32" s="25">
        <f t="shared" ref="P32:P37" si="10">PI()/4*C33^2*Q$1*100/C$13/C$14</f>
        <v>2.7925268031909276</v>
      </c>
      <c r="R32" s="72" t="s">
        <v>218</v>
      </c>
      <c r="T32" s="88"/>
      <c r="AH32" s="19"/>
      <c r="AI32" s="19"/>
      <c r="AJ32" s="19"/>
      <c r="AK32" s="1120"/>
      <c r="AL32" s="1056" t="s">
        <v>897</v>
      </c>
      <c r="AM32" s="1119">
        <f>AM29-AM30</f>
        <v>6</v>
      </c>
      <c r="AN32" s="1119">
        <f>AN29-AN30</f>
        <v>16</v>
      </c>
      <c r="AO32" s="912"/>
      <c r="AP32" s="912"/>
      <c r="AQ32" s="912"/>
      <c r="AR32" s="912"/>
      <c r="AS32" s="912"/>
      <c r="AT32" s="912"/>
      <c r="AU32" s="912"/>
      <c r="AV32" s="1121"/>
    </row>
    <row r="33" spans="1:48" ht="18">
      <c r="A33" s="87"/>
      <c r="B33" s="713" t="str">
        <f>R1</f>
        <v>H</v>
      </c>
      <c r="C33" s="102">
        <f>VLOOKUP(SQRT(4*Refs!D18*C13*C14/Q1/PI()),Q23:Q30,1)</f>
        <v>40</v>
      </c>
      <c r="D33" s="108">
        <f>IF(OR(P32&lt;100*Refs!D$17,C33&lt;Refs!D$16),0,P32)</f>
        <v>2.7925268031909276</v>
      </c>
      <c r="E33" s="109">
        <f t="shared" ref="E33:E38" si="11">IF(C33&gt;32,10,8)</f>
        <v>10</v>
      </c>
      <c r="F33" s="107">
        <f t="shared" ref="F33:F38" si="12">(C$14-2*I$8-2*E33-C33)/(C$15-1)</f>
        <v>180</v>
      </c>
      <c r="G33" s="107">
        <f t="shared" ref="G33:G38" si="13">(C$13-2*I$8-2*E33-C33)/(C$16-1)</f>
        <v>360</v>
      </c>
      <c r="H33" s="107">
        <f>IF(I33="ok",Cases!C18,0)</f>
        <v>11450.713584880188</v>
      </c>
      <c r="I33" s="222" t="str">
        <f>IF(D33=0,R$32,IF(D33&gt;100*Refs!D$18,R$33,IF(MIN(F33,G33)-C33&lt;MAX(Refs!D$14*C33,I$9+Refs!D$15),"Too many bars",IF(C33&gt;I$8+I$10+E33-IF(I$9&gt;32,5,0),"Increase cover to 4.4.1","ok"))))</f>
        <v>ok</v>
      </c>
      <c r="J33" s="223"/>
      <c r="K33" s="1143"/>
      <c r="L33" s="737"/>
      <c r="M33" s="1104"/>
      <c r="N33" s="141" t="str">
        <f t="shared" ref="N33:N38" si="14">IF(MIN(F33,G33)&lt;2*C33,"Spacing &lt; 2Ø",IF(MIN(F33,G33)&lt;3*C33,"Spacing &lt; 3Ø","√"))</f>
        <v>√</v>
      </c>
      <c r="P33" s="25">
        <f t="shared" si="10"/>
        <v>1.7872171540421937</v>
      </c>
      <c r="R33" s="72" t="str">
        <f>"Asc &gt; "&amp;100*Refs!D18&amp;"% to 9.5.2 (3)"</f>
        <v>Asc &gt; 5.5% to 9.5.2 (3)</v>
      </c>
      <c r="T33" s="88"/>
      <c r="AH33" s="19"/>
      <c r="AI33" s="19"/>
      <c r="AJ33" s="19"/>
      <c r="AK33" s="1120"/>
      <c r="AL33" s="1056" t="s">
        <v>911</v>
      </c>
      <c r="AM33" s="912"/>
      <c r="AN33" s="1119">
        <f>2*MAX(ABS(AN29),ABS(AN30))</f>
        <v>16</v>
      </c>
      <c r="AO33" s="912"/>
      <c r="AP33" s="1056" t="s">
        <v>908</v>
      </c>
      <c r="AQ33" s="912"/>
      <c r="AR33" s="1119">
        <f>MAX(ABS(AN29),ABS(AN30))</f>
        <v>8</v>
      </c>
      <c r="AS33" s="912"/>
      <c r="AT33" s="1056" t="s">
        <v>909</v>
      </c>
      <c r="AU33" s="1119">
        <f>AR33/AU44</f>
        <v>1</v>
      </c>
      <c r="AV33" s="1121"/>
    </row>
    <row r="34" spans="1:48" ht="18">
      <c r="A34" s="87"/>
      <c r="B34" s="713" t="str">
        <f>B33</f>
        <v>H</v>
      </c>
      <c r="C34" s="102">
        <f>VLOOKUP(C33,Q$23:R$30,2)</f>
        <v>32</v>
      </c>
      <c r="D34" s="110">
        <f>IF(OR(P33&lt;100*Refs!D$17,C34&lt;Refs!D$16),0,P33)</f>
        <v>1.7872171540421937</v>
      </c>
      <c r="E34" s="111">
        <f t="shared" si="11"/>
        <v>8</v>
      </c>
      <c r="F34" s="112">
        <f t="shared" si="12"/>
        <v>192</v>
      </c>
      <c r="G34" s="112">
        <f t="shared" si="13"/>
        <v>364</v>
      </c>
      <c r="H34" s="112">
        <f>IF(I34="ok",Cases!C19,0)</f>
        <v>10266.056694323323</v>
      </c>
      <c r="I34" s="224" t="str">
        <f>IF(D34=0,R$32,IF(D34&gt;100*Refs!D$18,R$33,IF(MIN(F34,G34)-C34&lt;MAX(Refs!D$14*C34,I$9+Refs!D$15),"Too many bars",IF(C34&gt;I$8+I$10+E34-IF(I$9&gt;32,5,0),"Increase cover to 4.4.1","ok"))))</f>
        <v>ok</v>
      </c>
      <c r="J34" s="193"/>
      <c r="K34" s="1144"/>
      <c r="L34" s="737"/>
      <c r="M34" s="1104"/>
      <c r="N34" s="141" t="str">
        <f t="shared" si="14"/>
        <v>√</v>
      </c>
      <c r="O34" s="1214" t="s">
        <v>514</v>
      </c>
      <c r="P34" s="25">
        <f t="shared" si="10"/>
        <v>1.0908307824964558</v>
      </c>
      <c r="R34" s="72"/>
      <c r="T34" s="88"/>
      <c r="AH34" s="19"/>
      <c r="AI34" s="19"/>
      <c r="AJ34" s="19"/>
      <c r="AK34" s="1122"/>
      <c r="AL34" s="689"/>
      <c r="AM34" s="1119">
        <f>AM30/AM32</f>
        <v>0</v>
      </c>
      <c r="AN34" s="1119">
        <f>AN30/AN32</f>
        <v>-0.5</v>
      </c>
      <c r="AO34" s="689"/>
      <c r="AP34" s="689"/>
      <c r="AQ34" s="689"/>
      <c r="AR34" s="689"/>
      <c r="AS34" s="689"/>
      <c r="AT34" s="689"/>
      <c r="AU34" s="689"/>
      <c r="AV34" s="1123"/>
    </row>
    <row r="35" spans="1:48" ht="18">
      <c r="A35" s="87"/>
      <c r="B35" s="713" t="str">
        <f>B34</f>
        <v>H</v>
      </c>
      <c r="C35" s="102">
        <f>VLOOKUP(C34,Q$23:R$30,2)</f>
        <v>25</v>
      </c>
      <c r="D35" s="110">
        <f>IF(OR(P34&lt;100*Refs!D$17,C35&lt;Refs!D$16),0,P34)</f>
        <v>1.0908307824964558</v>
      </c>
      <c r="E35" s="111">
        <f t="shared" si="11"/>
        <v>8</v>
      </c>
      <c r="F35" s="112">
        <f t="shared" si="12"/>
        <v>199</v>
      </c>
      <c r="G35" s="112">
        <f t="shared" si="13"/>
        <v>366.33333333333331</v>
      </c>
      <c r="H35" s="112">
        <f>IF(I35="ok",Cases!C20,0)</f>
        <v>9445.4349940938246</v>
      </c>
      <c r="I35" s="224" t="str">
        <f>IF(D35=0,R$32,IF(D35&gt;100*Refs!D$18,R$33,IF(MIN(F35,G35)-C35&lt;MAX(Refs!D$14*C35,I$9+Refs!D$15),"Too many bars",IF(C35&gt;I$8+I$10+E35-IF(I$9&gt;32,5,0),"Increase cover to 4.4.1","ok"))))</f>
        <v>ok</v>
      </c>
      <c r="J35" s="193"/>
      <c r="K35" s="1144"/>
      <c r="L35" s="737"/>
      <c r="M35" s="1104"/>
      <c r="N35" s="141" t="str">
        <f t="shared" si="14"/>
        <v>√</v>
      </c>
      <c r="O35" s="1214"/>
      <c r="P35" s="25">
        <f t="shared" si="10"/>
        <v>0.6981317007977319</v>
      </c>
      <c r="R35" s="72"/>
      <c r="T35" s="88"/>
      <c r="AH35" s="19"/>
      <c r="AI35" s="19"/>
      <c r="AJ35" s="19"/>
      <c r="AK35" s="1122"/>
      <c r="AL35" s="689"/>
      <c r="AM35" s="689"/>
      <c r="AN35" s="689"/>
      <c r="AO35" s="689"/>
      <c r="AP35" s="689"/>
      <c r="AQ35" s="689"/>
      <c r="AR35" s="689"/>
      <c r="AS35" s="689"/>
      <c r="AT35" s="689"/>
      <c r="AU35" s="689"/>
      <c r="AV35" s="1123"/>
    </row>
    <row r="36" spans="1:48" ht="18">
      <c r="A36" s="87"/>
      <c r="B36" s="713" t="str">
        <f>B35</f>
        <v>H</v>
      </c>
      <c r="C36" s="102">
        <f>VLOOKUP(C35,Q$23:R$30,2)</f>
        <v>20</v>
      </c>
      <c r="D36" s="110">
        <f>IF(OR(P35&lt;100*Refs!D$17,C36&lt;Refs!D$16),0,P35)</f>
        <v>0.6981317007977319</v>
      </c>
      <c r="E36" s="111">
        <f t="shared" si="11"/>
        <v>8</v>
      </c>
      <c r="F36" s="112">
        <f t="shared" si="12"/>
        <v>204</v>
      </c>
      <c r="G36" s="112">
        <f t="shared" si="13"/>
        <v>368</v>
      </c>
      <c r="H36" s="112">
        <f>IF(I36="ok",Cases!C21,0)</f>
        <v>8982.6783962200461</v>
      </c>
      <c r="I36" s="224" t="str">
        <f>IF(D36=0,R$32,IF(D36&gt;100*Refs!D$18,R$33,IF(MIN(F36,G36)-C36&lt;MAX(Refs!D$14*C36,I$9+Refs!D$15),"Too many bars",IF(C36&gt;I$8+I$10+E36-IF(I$9&gt;32,5,0),"Increase cover to 4.4.1","ok"))))</f>
        <v>ok</v>
      </c>
      <c r="J36" s="193"/>
      <c r="K36" s="1144"/>
      <c r="L36" s="737"/>
      <c r="M36" s="1104"/>
      <c r="N36" s="141" t="str">
        <f t="shared" si="14"/>
        <v>√</v>
      </c>
      <c r="O36" s="1214" t="s">
        <v>545</v>
      </c>
      <c r="P36" s="25">
        <f t="shared" si="10"/>
        <v>0.44680428851054843</v>
      </c>
      <c r="R36" s="72"/>
      <c r="T36" s="88"/>
      <c r="AH36" s="19"/>
      <c r="AI36" s="19"/>
      <c r="AJ36" s="19"/>
      <c r="AK36" s="1122"/>
      <c r="AL36" s="1119" t="s">
        <v>898</v>
      </c>
      <c r="AM36" s="1119">
        <f>AM32/AN32</f>
        <v>0.375</v>
      </c>
      <c r="AN36" s="689"/>
      <c r="AO36" s="689"/>
      <c r="AP36" s="689"/>
      <c r="AQ36" s="689"/>
      <c r="AR36" s="689"/>
      <c r="AS36" s="689"/>
      <c r="AT36" s="689"/>
      <c r="AU36" s="689"/>
      <c r="AV36" s="1123"/>
    </row>
    <row r="37" spans="1:48" ht="18">
      <c r="A37" s="87"/>
      <c r="B37" s="713" t="str">
        <f>B36</f>
        <v>H</v>
      </c>
      <c r="C37" s="102">
        <f>IF(C36=0,0,VLOOKUP(C36,Q$23:R$30,2))</f>
        <v>16</v>
      </c>
      <c r="D37" s="110">
        <f>IF(OR(P36&lt;100*Refs!D$17,C37&lt;Refs!D$16),0,P36)</f>
        <v>0.44680428851054843</v>
      </c>
      <c r="E37" s="111">
        <f t="shared" si="11"/>
        <v>8</v>
      </c>
      <c r="F37" s="112">
        <f t="shared" si="12"/>
        <v>208</v>
      </c>
      <c r="G37" s="112">
        <f t="shared" si="13"/>
        <v>369.33333333333331</v>
      </c>
      <c r="H37" s="112">
        <f>IF(I37="ok",Cases!C22,0)</f>
        <v>8686.5141735808302</v>
      </c>
      <c r="I37" s="224" t="str">
        <f>IF(D37=0,R$32,IF(D37&gt;100*Refs!D$18,R$33,IF(MIN(F37,G37)-C37&lt;MAX(Refs!D$14*C37,I$9+Refs!D$15),"Too many bars",IF(C37&gt;I$8+I$10+E37-IF(I$9&gt;32,5,0),"Increase cover to 4.4.1","ok"))))</f>
        <v>ok</v>
      </c>
      <c r="J37" s="193"/>
      <c r="K37" s="1144"/>
      <c r="L37" s="737"/>
      <c r="M37" s="1104"/>
      <c r="N37" s="141" t="str">
        <f t="shared" si="14"/>
        <v>√</v>
      </c>
      <c r="O37" s="1214"/>
      <c r="P37" s="25">
        <f t="shared" si="10"/>
        <v>0.44680428851054843</v>
      </c>
      <c r="R37" s="72"/>
      <c r="T37" s="88"/>
      <c r="AH37" s="19"/>
      <c r="AI37" s="19"/>
      <c r="AJ37" s="19"/>
      <c r="AK37" s="1122"/>
      <c r="AL37" s="689"/>
      <c r="AM37" s="689"/>
      <c r="AN37" s="689"/>
      <c r="AO37" s="689"/>
      <c r="AP37" s="689"/>
      <c r="AQ37" s="689"/>
      <c r="AR37" s="689"/>
      <c r="AS37" s="689"/>
      <c r="AT37" s="689"/>
      <c r="AU37" s="689"/>
      <c r="AV37" s="1123"/>
    </row>
    <row r="38" spans="1:48" ht="18">
      <c r="A38" s="87"/>
      <c r="B38" s="713" t="str">
        <f>B37</f>
        <v>H</v>
      </c>
      <c r="C38" s="102">
        <f>IF(C37=0,0,VLOOKUP(C37,Q$23:R$30,2))</f>
        <v>16</v>
      </c>
      <c r="D38" s="1168">
        <f>IF(OR(P37&lt;100*Refs!D$17,C38&lt;Refs!D$16),0,P37)</f>
        <v>0.44680428851054843</v>
      </c>
      <c r="E38" s="1169">
        <f t="shared" si="11"/>
        <v>8</v>
      </c>
      <c r="F38" s="1166">
        <f t="shared" si="12"/>
        <v>208</v>
      </c>
      <c r="G38" s="1166">
        <f t="shared" si="13"/>
        <v>369.33333333333331</v>
      </c>
      <c r="H38" s="1166">
        <f>IF(I38="ok",Cases!C23,0)</f>
        <v>8686.5141735808302</v>
      </c>
      <c r="I38" s="1170" t="str">
        <f>IF(D38=0,R$32,IF(D38&gt;100*Refs!D$18,R$33,IF(MIN(F38,G38)-C38&lt;MAX(Refs!D$14*C38,I$9+Refs!D$15),"Too many bars",IF(C38&gt;I$8+I$10+E38-IF(I$9&gt;32,5,0),"Increase cover to 4.4.1","ok"))))</f>
        <v>ok</v>
      </c>
      <c r="J38" s="1171"/>
      <c r="K38" s="1172"/>
      <c r="L38" s="737"/>
      <c r="M38" s="1104"/>
      <c r="N38" s="141" t="str">
        <f t="shared" si="14"/>
        <v>√</v>
      </c>
      <c r="AH38" s="19"/>
      <c r="AI38" s="19"/>
      <c r="AJ38" s="19"/>
      <c r="AK38" s="1122"/>
      <c r="AL38" s="689"/>
      <c r="AM38" s="689"/>
      <c r="AN38" s="689"/>
      <c r="AO38" s="689"/>
      <c r="AP38" s="689"/>
      <c r="AQ38" s="689"/>
      <c r="AR38" s="689"/>
      <c r="AS38" s="689"/>
      <c r="AT38" s="689"/>
      <c r="AU38" s="689"/>
      <c r="AV38" s="1123"/>
    </row>
    <row r="39" spans="1:48" ht="18" customHeight="1">
      <c r="A39" s="87"/>
      <c r="B39" s="713"/>
      <c r="C39" s="99"/>
      <c r="D39" s="99"/>
      <c r="E39" s="99"/>
      <c r="F39" s="99"/>
      <c r="G39" s="98"/>
      <c r="H39" s="1239" t="s">
        <v>888</v>
      </c>
      <c r="I39" s="1240"/>
      <c r="J39" s="1240"/>
      <c r="K39" s="1241"/>
      <c r="L39" s="737"/>
      <c r="M39" s="1105"/>
      <c r="N39" s="1097"/>
      <c r="O39" s="1097"/>
      <c r="AH39" s="19"/>
      <c r="AI39" s="19"/>
      <c r="AJ39" s="19"/>
      <c r="AK39" s="1122"/>
      <c r="AL39" s="689"/>
      <c r="AM39" s="1119" t="s">
        <v>95</v>
      </c>
      <c r="AN39" s="689"/>
      <c r="AO39" s="689"/>
      <c r="AP39" s="689"/>
      <c r="AQ39" s="689"/>
      <c r="AR39" s="689"/>
      <c r="AS39" s="689"/>
      <c r="AT39" s="689"/>
      <c r="AU39" s="689"/>
      <c r="AV39" s="1123"/>
    </row>
    <row r="40" spans="1:48" ht="18" customHeight="1">
      <c r="A40" s="87"/>
      <c r="B40" s="717" t="s">
        <v>725</v>
      </c>
      <c r="C40" s="132" t="s">
        <v>30</v>
      </c>
      <c r="D40" s="134" t="s">
        <v>212</v>
      </c>
      <c r="E40" s="133"/>
      <c r="F40" s="134" t="s">
        <v>213</v>
      </c>
      <c r="G40" s="133"/>
      <c r="H40" s="1242"/>
      <c r="I40" s="1243"/>
      <c r="J40" s="1243"/>
      <c r="K40" s="1244"/>
      <c r="L40" s="737"/>
      <c r="M40" s="1104"/>
      <c r="AH40" s="19"/>
      <c r="AI40" s="19"/>
      <c r="AJ40" s="19"/>
      <c r="AK40" s="1122"/>
      <c r="AL40" s="1119"/>
      <c r="AM40" s="1119" t="s">
        <v>95</v>
      </c>
      <c r="AN40" s="1119" t="s">
        <v>608</v>
      </c>
      <c r="AO40" s="1119"/>
      <c r="AP40" s="1119" t="s">
        <v>95</v>
      </c>
      <c r="AQ40" s="1119" t="s">
        <v>608</v>
      </c>
      <c r="AR40" s="689"/>
      <c r="AS40" s="689"/>
      <c r="AT40" s="689"/>
      <c r="AU40" s="689"/>
      <c r="AV40" s="1123"/>
    </row>
    <row r="41" spans="1:48" ht="18" customHeight="1">
      <c r="A41" s="87"/>
      <c r="B41" s="822" t="s">
        <v>733</v>
      </c>
      <c r="C41" s="1173" t="s">
        <v>214</v>
      </c>
      <c r="D41" s="1174" t="s">
        <v>522</v>
      </c>
      <c r="E41" s="1175" t="s">
        <v>523</v>
      </c>
      <c r="F41" s="1174" t="s">
        <v>522</v>
      </c>
      <c r="G41" s="1175" t="s">
        <v>523</v>
      </c>
      <c r="H41" s="1245"/>
      <c r="I41" s="1246"/>
      <c r="J41" s="1246"/>
      <c r="K41" s="1247"/>
      <c r="L41" s="737"/>
      <c r="M41" s="1104"/>
      <c r="T41" s="636"/>
      <c r="AH41" s="19"/>
      <c r="AI41" s="19"/>
      <c r="AJ41" s="19"/>
      <c r="AK41" s="1122"/>
      <c r="AL41" s="689"/>
      <c r="AM41" s="1119"/>
      <c r="AN41" s="1119"/>
      <c r="AO41" s="1119"/>
      <c r="AP41" s="1119"/>
      <c r="AQ41" s="1119"/>
      <c r="AR41" s="689"/>
      <c r="AS41" s="689"/>
      <c r="AT41" s="689"/>
      <c r="AU41" s="689"/>
      <c r="AV41" s="1123"/>
    </row>
    <row r="42" spans="1:48" ht="18.600000000000001" customHeight="1">
      <c r="A42" s="87"/>
      <c r="B42" s="718">
        <v>1</v>
      </c>
      <c r="C42">
        <v>771.31165705909802</v>
      </c>
      <c r="D42">
        <v>124.694734508658</v>
      </c>
      <c r="E42">
        <v>2.2957635792408801E-15</v>
      </c>
      <c r="F42">
        <v>-61.199526109531803</v>
      </c>
      <c r="G42">
        <v>0</v>
      </c>
      <c r="H42" s="1211" t="s">
        <v>771</v>
      </c>
      <c r="I42" s="703" t="s">
        <v>519</v>
      </c>
      <c r="J42" s="1035">
        <v>1</v>
      </c>
      <c r="K42" s="1145" t="s">
        <v>772</v>
      </c>
      <c r="L42" s="737"/>
      <c r="M42" s="1106"/>
      <c r="N42" s="1095"/>
      <c r="O42" s="1095"/>
      <c r="P42" s="1095"/>
      <c r="Q42" s="1095"/>
      <c r="R42" s="1095"/>
      <c r="V42" s="141" t="str">
        <f>IF(AND(NOT(SUM(D42:D47)=0),V25&lt;&gt;"F"),"M0x TOP SHOULD BE ZERO","√")</f>
        <v>√</v>
      </c>
      <c r="AH42" s="19"/>
      <c r="AI42" s="19"/>
      <c r="AJ42" s="19"/>
      <c r="AK42" s="1122"/>
      <c r="AL42" s="1119"/>
      <c r="AM42" s="1119">
        <f>IF(MAIN!I30="N",1,2)*AM43</f>
        <v>6</v>
      </c>
      <c r="AN42" s="1119">
        <v>0</v>
      </c>
      <c r="AO42" s="1119"/>
      <c r="AP42" s="1119">
        <f t="shared" ref="AP42:AP51" si="15">AM42/$AM$56-$AM$58</f>
        <v>1</v>
      </c>
      <c r="AQ42" s="1119">
        <f t="shared" ref="AQ42:AQ51" si="16">$AU$57*AN42/$AN$57</f>
        <v>0</v>
      </c>
      <c r="AR42" s="689"/>
      <c r="AS42" s="689"/>
      <c r="AT42" s="689"/>
      <c r="AU42" s="689"/>
      <c r="AV42" s="1123"/>
    </row>
    <row r="43" spans="1:48" ht="18" customHeight="1">
      <c r="A43" s="87"/>
      <c r="B43" s="718">
        <v>2</v>
      </c>
      <c r="C43">
        <v>735.54691705909897</v>
      </c>
      <c r="D43">
        <v>124.694734508658</v>
      </c>
      <c r="E43">
        <v>2.2957635792408801E-15</v>
      </c>
      <c r="F43">
        <v>-61.199526109531803</v>
      </c>
      <c r="G43">
        <v>0</v>
      </c>
      <c r="H43" s="98"/>
      <c r="I43" s="98"/>
      <c r="J43" s="98">
        <v>3</v>
      </c>
      <c r="K43" s="1135"/>
      <c r="L43" s="737"/>
      <c r="M43" s="1104"/>
      <c r="V43" s="141" t="str">
        <f>IF(AND(NOT(SUM(E42:E47)=0),V26&lt;&gt;"F"),"M0y TOP SHOULD BE ZERO","√")</f>
        <v>√</v>
      </c>
      <c r="AH43" s="19"/>
      <c r="AI43" s="19"/>
      <c r="AJ43" s="19"/>
      <c r="AK43" s="1122"/>
      <c r="AL43" s="689"/>
      <c r="AM43" s="1119">
        <f>AM44</f>
        <v>3</v>
      </c>
      <c r="AN43" s="1119">
        <v>0</v>
      </c>
      <c r="AO43" s="1119"/>
      <c r="AP43" s="1119">
        <f t="shared" si="15"/>
        <v>0.5</v>
      </c>
      <c r="AQ43" s="1119">
        <f t="shared" si="16"/>
        <v>0</v>
      </c>
      <c r="AR43" s="689"/>
      <c r="AS43" s="689"/>
      <c r="AT43" s="689"/>
      <c r="AU43" s="689"/>
      <c r="AV43" s="1123"/>
    </row>
    <row r="44" spans="1:48" ht="18" customHeight="1">
      <c r="A44" s="87"/>
      <c r="B44" s="718">
        <v>3</v>
      </c>
      <c r="C44">
        <v>735.54691705909897</v>
      </c>
      <c r="D44">
        <v>124.694734508658</v>
      </c>
      <c r="E44">
        <v>2.2957635792408801E-15</v>
      </c>
      <c r="F44">
        <v>-61.199526109531803</v>
      </c>
      <c r="G44">
        <v>0</v>
      </c>
      <c r="H44" s="1210"/>
      <c r="I44" s="98"/>
      <c r="J44" s="98"/>
      <c r="K44" s="1135"/>
      <c r="L44" s="737"/>
      <c r="M44" s="1107"/>
      <c r="N44" s="1096"/>
      <c r="O44" s="1096"/>
      <c r="P44" s="1096"/>
      <c r="Q44" s="1096"/>
      <c r="R44" s="1096"/>
      <c r="V44" s="141" t="str">
        <f>IF(AND(NOT(SUM(F42:F47)=0),W25&lt;&gt;"F"),"M0x BTM SHOULD BE ZERO","√")</f>
        <v>√</v>
      </c>
      <c r="AH44" s="19"/>
      <c r="AI44" s="19"/>
      <c r="AJ44" s="19"/>
      <c r="AK44" s="1122"/>
      <c r="AL44" s="689"/>
      <c r="AM44" s="1119">
        <f>AM45</f>
        <v>3</v>
      </c>
      <c r="AN44" s="1119">
        <f>MAIN!J24</f>
        <v>8</v>
      </c>
      <c r="AO44" s="1119"/>
      <c r="AP44" s="1119">
        <f t="shared" si="15"/>
        <v>0.5</v>
      </c>
      <c r="AQ44" s="1119">
        <f t="shared" si="16"/>
        <v>0.5</v>
      </c>
      <c r="AR44" s="689"/>
      <c r="AS44" s="689"/>
      <c r="AT44" s="1056" t="s">
        <v>910</v>
      </c>
      <c r="AU44" s="1119">
        <f>MAX(AR33,AR57)</f>
        <v>8</v>
      </c>
      <c r="AV44" s="1123"/>
    </row>
    <row r="45" spans="1:48" ht="18" customHeight="1">
      <c r="A45" s="87"/>
      <c r="B45" s="718">
        <v>4</v>
      </c>
      <c r="C45" s="1204"/>
      <c r="D45" s="1205"/>
      <c r="E45" s="1205"/>
      <c r="F45" s="1205"/>
      <c r="G45" s="1206"/>
      <c r="H45" s="98"/>
      <c r="I45" s="98"/>
      <c r="J45" s="98"/>
      <c r="K45" s="1135"/>
      <c r="L45" s="737"/>
      <c r="M45" s="1104"/>
      <c r="V45" s="141" t="str">
        <f>IF(AND(NOT(SUM(G42:G47)=0),W26&lt;&gt;"F"),"M0y BTM SHOULD BE ZERO","√")</f>
        <v>√</v>
      </c>
      <c r="AH45" s="19"/>
      <c r="AI45" s="19"/>
      <c r="AJ45" s="19"/>
      <c r="AK45" s="1122"/>
      <c r="AL45" s="689"/>
      <c r="AM45" s="1119">
        <f>AM46</f>
        <v>3</v>
      </c>
      <c r="AN45" s="1119">
        <f>-MAIN!J23</f>
        <v>-8</v>
      </c>
      <c r="AO45" s="1119"/>
      <c r="AP45" s="1119">
        <f t="shared" si="15"/>
        <v>0.5</v>
      </c>
      <c r="AQ45" s="1119">
        <f t="shared" si="16"/>
        <v>-0.5</v>
      </c>
      <c r="AR45" s="689"/>
      <c r="AS45" s="689"/>
      <c r="AT45" s="689"/>
      <c r="AU45" s="689"/>
      <c r="AV45" s="1123"/>
    </row>
    <row r="46" spans="1:48" ht="18" customHeight="1">
      <c r="A46" s="87"/>
      <c r="B46" s="718">
        <v>5</v>
      </c>
      <c r="C46" s="1204"/>
      <c r="D46" s="1205"/>
      <c r="E46" s="1205"/>
      <c r="F46" s="1205"/>
      <c r="G46" s="1206"/>
      <c r="H46" s="98"/>
      <c r="I46" s="98"/>
      <c r="J46" s="98"/>
      <c r="K46" s="1135"/>
      <c r="L46" s="737"/>
      <c r="M46" s="1104"/>
      <c r="X46" s="729"/>
      <c r="Y46" s="730"/>
      <c r="Z46" s="680" t="s">
        <v>512</v>
      </c>
      <c r="AA46" s="681"/>
      <c r="AB46" s="682" t="s">
        <v>508</v>
      </c>
      <c r="AC46" s="683"/>
      <c r="AD46" s="684"/>
      <c r="AE46" s="685"/>
      <c r="AF46" s="685"/>
      <c r="AG46" s="682" t="s">
        <v>509</v>
      </c>
      <c r="AH46" s="685"/>
      <c r="AI46" s="686"/>
      <c r="AJ46" s="19"/>
      <c r="AK46" s="1122"/>
      <c r="AL46" s="689"/>
      <c r="AM46" s="1119">
        <f>MAIN!C21/1000</f>
        <v>3</v>
      </c>
      <c r="AN46" s="1119">
        <v>0</v>
      </c>
      <c r="AO46" s="1119"/>
      <c r="AP46" s="1119">
        <f t="shared" si="15"/>
        <v>0.5</v>
      </c>
      <c r="AQ46" s="1119">
        <f t="shared" si="16"/>
        <v>0</v>
      </c>
      <c r="AR46" s="689"/>
      <c r="AS46" s="689"/>
      <c r="AT46" s="689"/>
      <c r="AU46" s="689"/>
      <c r="AV46" s="1123"/>
    </row>
    <row r="47" spans="1:48" ht="18" customHeight="1">
      <c r="A47" s="87"/>
      <c r="B47" s="719">
        <v>6</v>
      </c>
      <c r="C47" s="1207"/>
      <c r="D47" s="1208"/>
      <c r="E47" s="1208"/>
      <c r="F47" s="1208"/>
      <c r="G47" s="1209"/>
      <c r="H47" s="98"/>
      <c r="I47" s="98"/>
      <c r="J47" s="98"/>
      <c r="K47" s="1135"/>
      <c r="L47" s="737"/>
      <c r="M47" s="1104"/>
      <c r="T47" s="636"/>
      <c r="U47" s="88"/>
      <c r="X47" s="689"/>
      <c r="Y47" s="730"/>
      <c r="Z47"/>
      <c r="AA47" s="687" t="s">
        <v>95</v>
      </c>
      <c r="AB47" s="688">
        <v>0</v>
      </c>
      <c r="AC47" s="688">
        <v>0</v>
      </c>
      <c r="AD47" s="1213">
        <v>1</v>
      </c>
      <c r="AE47" s="1213"/>
      <c r="AF47" s="689"/>
      <c r="AG47" s="690">
        <v>0</v>
      </c>
      <c r="AH47" s="690">
        <v>1</v>
      </c>
      <c r="AI47" s="691">
        <v>1</v>
      </c>
      <c r="AJ47" s="19"/>
      <c r="AK47" s="1122"/>
      <c r="AL47" s="1119"/>
      <c r="AM47" s="1119">
        <v>0</v>
      </c>
      <c r="AN47" s="1119">
        <v>0</v>
      </c>
      <c r="AO47" s="1119"/>
      <c r="AP47" s="1119">
        <f t="shared" si="15"/>
        <v>0</v>
      </c>
      <c r="AQ47" s="1119">
        <f t="shared" si="16"/>
        <v>0</v>
      </c>
      <c r="AR47" s="689"/>
      <c r="AS47" s="689"/>
      <c r="AT47" s="689"/>
      <c r="AU47" s="689"/>
      <c r="AV47" s="1123"/>
    </row>
    <row r="48" spans="1:48" ht="18" customHeight="1">
      <c r="A48" s="87"/>
      <c r="B48" s="720"/>
      <c r="C48" s="30"/>
      <c r="D48" s="113"/>
      <c r="E48" s="98"/>
      <c r="F48" s="114"/>
      <c r="G48" s="114"/>
      <c r="H48" s="1249" t="s">
        <v>770</v>
      </c>
      <c r="I48" s="1249"/>
      <c r="J48" s="1249"/>
      <c r="K48" s="1250"/>
      <c r="L48" s="737"/>
      <c r="M48" s="1108"/>
      <c r="N48" s="1093"/>
      <c r="O48" s="1093"/>
      <c r="X48" s="729"/>
      <c r="Y48" s="730"/>
      <c r="Z48" s="680" t="s">
        <v>520</v>
      </c>
      <c r="AA48" s="687" t="s">
        <v>505</v>
      </c>
      <c r="AB48" s="701">
        <v>0</v>
      </c>
      <c r="AC48" s="701">
        <f>AG50*AI50/AC58</f>
        <v>-0.49079479057940895</v>
      </c>
      <c r="AD48" s="1213">
        <f>AD50*AI50/AC58</f>
        <v>1</v>
      </c>
      <c r="AE48" s="1213"/>
      <c r="AF48" s="689"/>
      <c r="AG48" s="690">
        <v>0</v>
      </c>
      <c r="AH48" s="690">
        <v>0</v>
      </c>
      <c r="AI48" s="691">
        <f>AD48</f>
        <v>1</v>
      </c>
      <c r="AJ48" s="19"/>
      <c r="AK48" s="1122"/>
      <c r="AL48" s="1119"/>
      <c r="AM48" s="1119">
        <v>0</v>
      </c>
      <c r="AN48" s="1119">
        <f>MAIN!J28</f>
        <v>8</v>
      </c>
      <c r="AO48" s="689"/>
      <c r="AP48" s="1119">
        <f t="shared" si="15"/>
        <v>0</v>
      </c>
      <c r="AQ48" s="1119">
        <f t="shared" si="16"/>
        <v>0.5</v>
      </c>
      <c r="AR48" s="689"/>
      <c r="AS48" s="689"/>
      <c r="AT48" s="689"/>
      <c r="AU48" s="689"/>
      <c r="AV48" s="1123"/>
    </row>
    <row r="49" spans="1:48" ht="18" customHeight="1">
      <c r="A49" s="87"/>
      <c r="B49" s="717" t="s">
        <v>219</v>
      </c>
      <c r="C49" s="128" t="s">
        <v>37</v>
      </c>
      <c r="D49" s="135"/>
      <c r="E49" s="128" t="s">
        <v>275</v>
      </c>
      <c r="F49" s="135"/>
      <c r="G49" s="132" t="s">
        <v>221</v>
      </c>
      <c r="H49" s="136" t="s">
        <v>139</v>
      </c>
      <c r="I49" s="137"/>
      <c r="J49" s="106"/>
      <c r="K49" s="1146"/>
      <c r="L49" s="737"/>
      <c r="M49" s="1109"/>
      <c r="N49" s="95"/>
      <c r="O49" s="95"/>
      <c r="X49" s="729"/>
      <c r="Y49" s="730"/>
      <c r="Z49" s="680" t="s">
        <v>521</v>
      </c>
      <c r="AA49" s="687" t="s">
        <v>505</v>
      </c>
      <c r="AB49" s="701">
        <v>0</v>
      </c>
      <c r="AC49" s="701">
        <f>AF50</f>
        <v>-61.199526109531803</v>
      </c>
      <c r="AD49" s="1213">
        <f>AC50</f>
        <v>124.694734508658</v>
      </c>
      <c r="AE49" s="1213"/>
      <c r="AF49" s="689"/>
      <c r="AG49" s="690">
        <v>0</v>
      </c>
      <c r="AH49" s="690">
        <v>0</v>
      </c>
      <c r="AI49" s="691">
        <f>AD49</f>
        <v>124.694734508658</v>
      </c>
      <c r="AJ49" s="19"/>
      <c r="AK49" s="1122"/>
      <c r="AL49" s="689"/>
      <c r="AM49" s="1119">
        <v>0</v>
      </c>
      <c r="AN49" s="1119">
        <f>-MAIN!J27</f>
        <v>-8</v>
      </c>
      <c r="AO49" s="912"/>
      <c r="AP49" s="1119">
        <f t="shared" si="15"/>
        <v>0</v>
      </c>
      <c r="AQ49" s="1119">
        <f t="shared" si="16"/>
        <v>-0.5</v>
      </c>
      <c r="AR49" s="689"/>
      <c r="AS49" s="689"/>
      <c r="AT49" s="689"/>
      <c r="AU49" s="689"/>
      <c r="AV49" s="1123"/>
    </row>
    <row r="50" spans="1:48" ht="18" customHeight="1">
      <c r="A50" s="87"/>
      <c r="B50" s="717" t="s">
        <v>220</v>
      </c>
      <c r="C50" s="138" t="s">
        <v>276</v>
      </c>
      <c r="D50" s="138" t="s">
        <v>277</v>
      </c>
      <c r="E50" s="138" t="s">
        <v>270</v>
      </c>
      <c r="F50" s="138" t="s">
        <v>271</v>
      </c>
      <c r="G50" s="1101" t="s">
        <v>525</v>
      </c>
      <c r="H50" s="1259" t="s">
        <v>145</v>
      </c>
      <c r="I50" s="1260"/>
      <c r="J50" s="126" t="s">
        <v>38</v>
      </c>
      <c r="K50" s="1147" t="s">
        <v>418</v>
      </c>
      <c r="L50" s="737"/>
      <c r="M50" s="1104"/>
      <c r="X50" s="729"/>
      <c r="Y50" s="730"/>
      <c r="Z50" s="680"/>
      <c r="AA50" s="692"/>
      <c r="AB50" s="693" t="s">
        <v>502</v>
      </c>
      <c r="AC50" s="694">
        <f>IF(J42=1,D42,IF(J42=2,D43,IF(J42=3,D44,IF(J42=4,D45,IF(J42=5,D46,D47)))))</f>
        <v>124.694734508658</v>
      </c>
      <c r="AD50" s="694">
        <f>AC50/AI50</f>
        <v>1</v>
      </c>
      <c r="AE50" s="693" t="s">
        <v>503</v>
      </c>
      <c r="AF50" s="694">
        <f>IF(J42=1,F42,IF(J42=2,F43,IF(J42=3,F44,IF(J42=4,F45,IF(J42=5,F46,F47)))))</f>
        <v>-61.199526109531803</v>
      </c>
      <c r="AG50" s="694">
        <f>AF50/AI50</f>
        <v>-0.49079479057940895</v>
      </c>
      <c r="AH50" s="693" t="s">
        <v>504</v>
      </c>
      <c r="AI50" s="695">
        <f>MAX(ABS(AC50),ABS(AF50))</f>
        <v>124.694734508658</v>
      </c>
      <c r="AK50" s="1122"/>
      <c r="AL50" s="912"/>
      <c r="AM50" s="1119">
        <v>0</v>
      </c>
      <c r="AN50" s="1119">
        <v>0</v>
      </c>
      <c r="AO50" s="912"/>
      <c r="AP50" s="1119">
        <f t="shared" si="15"/>
        <v>0</v>
      </c>
      <c r="AQ50" s="1119">
        <f t="shared" si="16"/>
        <v>0</v>
      </c>
      <c r="AR50" s="689"/>
      <c r="AS50" s="689"/>
      <c r="AT50" s="689"/>
      <c r="AU50" s="689"/>
      <c r="AV50" s="1123"/>
    </row>
    <row r="51" spans="1:48" ht="18" customHeight="1" thickBot="1">
      <c r="A51" s="87"/>
      <c r="B51" s="721">
        <f t="shared" ref="B51" si="17">B42</f>
        <v>1</v>
      </c>
      <c r="C51" s="115">
        <f>Cases!Q$24</f>
        <v>124.694734508658</v>
      </c>
      <c r="D51" s="115">
        <f>Cases!U$24</f>
        <v>772.68660764665708</v>
      </c>
      <c r="E51" s="115">
        <f>Cases!R$24</f>
        <v>15.42623314118196</v>
      </c>
      <c r="F51" s="1099">
        <f>Cases!V$24</f>
        <v>181.16743919664179</v>
      </c>
      <c r="G51" s="115" t="str">
        <f>IF(E$29="BOTH AXES","BOTH",Cases!Z$24)</f>
        <v>Z</v>
      </c>
      <c r="H51" s="1237">
        <f>Cases!Y24</f>
        <v>0.24652718688355438</v>
      </c>
      <c r="I51" s="1238"/>
      <c r="J51" s="139" t="str">
        <f>IF(OR(H51&gt;1,Cases!F24=0),"No Fit",FIXED(Q$1,0)&amp;" "&amp;R$1&amp;FIXED(Cases!F24,0))</f>
        <v>8 H16</v>
      </c>
      <c r="K51" s="1148" t="str">
        <f>IF(Fire!N11=0,4,IF(AND(bmin&gt;=Fire!N11,Fire!G11&gt;=Fire!O11),"ok",IF(Fire!N11&gt;bmin,"1","")&amp;IF(Fire!P11&lt;3,", 2","")&amp;IF(Fire!O11&gt;Fire!D11,", 3","")))</f>
        <v>ok</v>
      </c>
      <c r="L51" s="737"/>
      <c r="M51" s="1104"/>
      <c r="X51" s="729"/>
      <c r="Y51" s="689"/>
      <c r="Z51" s="680"/>
      <c r="AA51"/>
      <c r="AB51"/>
      <c r="AC51"/>
      <c r="AD51"/>
      <c r="AE51"/>
      <c r="AF51"/>
      <c r="AG51"/>
      <c r="AH51"/>
      <c r="AI51"/>
      <c r="AK51" s="1122"/>
      <c r="AL51" s="1119"/>
      <c r="AM51" s="1119">
        <f>IF(MAIN!K30="N",0,-AM22)</f>
        <v>0</v>
      </c>
      <c r="AN51" s="1119">
        <v>0</v>
      </c>
      <c r="AO51" s="912"/>
      <c r="AP51" s="1119">
        <f t="shared" si="15"/>
        <v>0</v>
      </c>
      <c r="AQ51" s="1119">
        <f t="shared" si="16"/>
        <v>0</v>
      </c>
      <c r="AR51" s="689"/>
      <c r="AS51" s="689"/>
      <c r="AT51" s="689"/>
      <c r="AU51" s="689"/>
      <c r="AV51" s="1123"/>
    </row>
    <row r="52" spans="1:48" ht="18" customHeight="1">
      <c r="A52" s="87"/>
      <c r="B52" s="721">
        <f>IF(B43=0,"",B43)</f>
        <v>2</v>
      </c>
      <c r="C52" s="116">
        <f>Cases!Q$34</f>
        <v>124.694734508658</v>
      </c>
      <c r="D52" s="116">
        <f>Cases!U$34</f>
        <v>757.17281760589526</v>
      </c>
      <c r="E52" s="116">
        <f>Cases!R$34</f>
        <v>14.710938341181979</v>
      </c>
      <c r="F52" s="1100">
        <f>Cases!V$34</f>
        <v>177.28666158967761</v>
      </c>
      <c r="G52" s="116" t="str">
        <f>IF(E$29="BOTH AXES","BOTH",Cases!Z$34)</f>
        <v>Z</v>
      </c>
      <c r="H52" s="1230">
        <f>IF(C43=0,"N = 0",Cases!Y34)</f>
        <v>0.24766290012059552</v>
      </c>
      <c r="I52" s="1231"/>
      <c r="J52" s="140" t="str">
        <f>IF(OR(H52&gt;1,Cases!F34=0),"No Fit",FIXED(Q$1,0)&amp;" "&amp;R$1&amp;FIXED(Cases!F34,0))</f>
        <v>8 H16</v>
      </c>
      <c r="K52" s="722" t="str">
        <f>IF(Fire!N12=0,4,IF(AND(bmin&gt;=Fire!N12,Fire!G12&gt;=Fire!O12),"ok",IF(Fire!N12&gt;bmin,"1","")&amp;IF(Fire!P12&lt;3,", 2","")&amp;IF(Fire!O12&gt;Fire!D12,", 3","")))</f>
        <v>ok</v>
      </c>
      <c r="L52" s="1226" t="s">
        <v>862</v>
      </c>
      <c r="M52" s="1227"/>
      <c r="N52" s="1096"/>
      <c r="O52" s="1096"/>
      <c r="X52" s="729"/>
      <c r="Y52" s="689"/>
      <c r="Z52" s="680" t="s">
        <v>513</v>
      </c>
      <c r="AA52" s="696"/>
      <c r="AB52" s="682" t="s">
        <v>510</v>
      </c>
      <c r="AC52" s="683"/>
      <c r="AD52" s="684"/>
      <c r="AE52" s="685"/>
      <c r="AF52" s="685"/>
      <c r="AG52" s="682" t="s">
        <v>511</v>
      </c>
      <c r="AH52" s="685"/>
      <c r="AI52" s="686"/>
      <c r="AK52" s="1122"/>
      <c r="AL52" s="1119"/>
      <c r="AM52" s="1119"/>
      <c r="AN52" s="1119"/>
      <c r="AO52" s="912"/>
      <c r="AP52" s="912"/>
      <c r="AQ52" s="912"/>
      <c r="AR52" s="689"/>
      <c r="AS52" s="689"/>
      <c r="AT52" s="689"/>
      <c r="AU52" s="689"/>
      <c r="AV52" s="1123"/>
    </row>
    <row r="53" spans="1:48" ht="18" customHeight="1">
      <c r="A53" s="87"/>
      <c r="B53" s="721">
        <f t="shared" ref="B53:B56" si="18">IF(B44=0,"",B44)</f>
        <v>3</v>
      </c>
      <c r="C53" s="116">
        <f>Cases!Q$44</f>
        <v>124.694734508658</v>
      </c>
      <c r="D53" s="116">
        <f>Cases!U$44</f>
        <v>757.17281760589526</v>
      </c>
      <c r="E53" s="116">
        <f>Cases!R$44</f>
        <v>14.710938341181979</v>
      </c>
      <c r="F53" s="1100">
        <f>Cases!V$44</f>
        <v>177.28666158967761</v>
      </c>
      <c r="G53" s="116" t="str">
        <f>IF(E$29="BOTH AXES","BOTH",Cases!Z$44)</f>
        <v>Z</v>
      </c>
      <c r="H53" s="1230">
        <f>IF(C44=0,"N = 0",Cases!Y44)</f>
        <v>0.24766290012059552</v>
      </c>
      <c r="I53" s="1231"/>
      <c r="J53" s="140" t="str">
        <f>IF(OR(H53&gt;1,Cases!F44=0),"No Fit",FIXED(Q$1,0)&amp;" "&amp;R$1&amp;FIXED(Cases!F44,0))</f>
        <v>8 H16</v>
      </c>
      <c r="K53" s="722" t="str">
        <f>IF(Fire!N13=0,4,IF(AND(bmin&gt;=Fire!N13,Fire!G13&gt;=Fire!O13),"ok",IF(Fire!N13&gt;bmin,"1","")&amp;IF(Fire!P13&lt;3,", 2","")&amp;IF(Fire!O13&gt;Fire!D13,", 3","")))</f>
        <v>ok</v>
      </c>
      <c r="L53" s="1218" t="s">
        <v>859</v>
      </c>
      <c r="M53" s="1219"/>
      <c r="N53" s="1096"/>
      <c r="O53" s="1096"/>
      <c r="T53" s="636"/>
      <c r="X53" s="734"/>
      <c r="Y53" s="730"/>
      <c r="Z53" s="524"/>
      <c r="AA53" s="687" t="s">
        <v>95</v>
      </c>
      <c r="AB53" s="688">
        <v>0</v>
      </c>
      <c r="AC53" s="688">
        <v>0</v>
      </c>
      <c r="AD53" s="1213">
        <v>1</v>
      </c>
      <c r="AE53" s="1213"/>
      <c r="AF53" s="689"/>
      <c r="AG53" s="690">
        <v>0</v>
      </c>
      <c r="AH53" s="690">
        <v>1</v>
      </c>
      <c r="AI53" s="691">
        <v>1</v>
      </c>
      <c r="AK53" s="1122"/>
      <c r="AL53" s="1119" t="s">
        <v>607</v>
      </c>
      <c r="AM53" s="1119">
        <f>MAX(AM42:AM51)</f>
        <v>6</v>
      </c>
      <c r="AN53" s="1119">
        <f>MAX(AN42:AN51)</f>
        <v>8</v>
      </c>
      <c r="AO53" s="912"/>
      <c r="AP53" s="912"/>
      <c r="AQ53" s="912"/>
      <c r="AR53" s="689"/>
      <c r="AS53" s="689"/>
      <c r="AT53" s="689"/>
      <c r="AU53" s="689"/>
      <c r="AV53" s="1123"/>
    </row>
    <row r="54" spans="1:48" ht="18" customHeight="1">
      <c r="A54" s="87"/>
      <c r="B54" s="721">
        <f t="shared" si="18"/>
        <v>4</v>
      </c>
      <c r="C54" s="116" t="e">
        <f>Cases!Q$54</f>
        <v>#N/A</v>
      </c>
      <c r="D54" s="116" t="e">
        <f>Cases!U$54</f>
        <v>#N/A</v>
      </c>
      <c r="E54" s="116" t="e">
        <f>Cases!R$54</f>
        <v>#N/A</v>
      </c>
      <c r="F54" s="1100" t="e">
        <f>Cases!V$54</f>
        <v>#N/A</v>
      </c>
      <c r="G54" s="116" t="e">
        <f>IF(E$29="BOTH AXES","BOTH",Cases!Z$54)</f>
        <v>#N/A</v>
      </c>
      <c r="H54" s="1230" t="str">
        <f>IF(C45=0,"N = 0",Cases!Y54)</f>
        <v>N = 0</v>
      </c>
      <c r="I54" s="1231"/>
      <c r="J54" s="140" t="str">
        <f>IF(OR(H54&gt;1,Cases!F54=0),"No Fit",FIXED(Q$1,0)&amp;" "&amp;R$1&amp;FIXED(Cases!F54,0))</f>
        <v>No Fit</v>
      </c>
      <c r="K54" s="722" t="e">
        <f>IF(Fire!N14=0,4,IF(AND(bmin&gt;=Fire!N14,Fire!G14&gt;=Fire!O14),"ok",IF(Fire!N14&gt;bmin,"1","")&amp;IF(Fire!P14&lt;3,", 2","")&amp;IF(Fire!O14&gt;Fire!D14,", 3","")))</f>
        <v>#N/A</v>
      </c>
      <c r="L54" s="1103"/>
      <c r="M54" s="1104"/>
      <c r="N54" s="1094"/>
      <c r="O54" s="1094"/>
      <c r="X54" s="729"/>
      <c r="Y54" s="730"/>
      <c r="Z54" s="680" t="s">
        <v>520</v>
      </c>
      <c r="AA54" s="687" t="s">
        <v>505</v>
      </c>
      <c r="AB54" s="701">
        <v>0</v>
      </c>
      <c r="AC54" s="701">
        <f>AG56*AI56/AC58</f>
        <v>0</v>
      </c>
      <c r="AD54" s="1213">
        <f>AD56*AI56/AC58</f>
        <v>1.841107075039706E-17</v>
      </c>
      <c r="AE54" s="1213"/>
      <c r="AF54" s="689"/>
      <c r="AG54" s="690">
        <v>0</v>
      </c>
      <c r="AH54" s="690">
        <v>0</v>
      </c>
      <c r="AI54" s="691">
        <f>AD54</f>
        <v>1.841107075039706E-17</v>
      </c>
      <c r="AK54" s="1122"/>
      <c r="AL54" s="1119" t="s">
        <v>896</v>
      </c>
      <c r="AM54" s="1119">
        <f>MIN(AM42:AM51)</f>
        <v>0</v>
      </c>
      <c r="AN54" s="1119">
        <f>MIN(AN42:AN51)</f>
        <v>-8</v>
      </c>
      <c r="AO54" s="912"/>
      <c r="AP54" s="912"/>
      <c r="AQ54" s="912"/>
      <c r="AR54" s="689"/>
      <c r="AS54" s="689"/>
      <c r="AT54" s="689"/>
      <c r="AU54" s="689"/>
      <c r="AV54" s="1123"/>
    </row>
    <row r="55" spans="1:48" ht="18" customHeight="1">
      <c r="A55" s="87"/>
      <c r="B55" s="721">
        <f t="shared" si="18"/>
        <v>5</v>
      </c>
      <c r="C55" s="116" t="e">
        <f>Cases!Q$64</f>
        <v>#N/A</v>
      </c>
      <c r="D55" s="116" t="e">
        <f>Cases!U$64</f>
        <v>#N/A</v>
      </c>
      <c r="E55" s="116" t="e">
        <f>Cases!R$64</f>
        <v>#N/A</v>
      </c>
      <c r="F55" s="1100" t="e">
        <f>Cases!V$64</f>
        <v>#N/A</v>
      </c>
      <c r="G55" s="116" t="e">
        <f>IF(E$29="BOTH AXES","BOTH",Cases!Z$64)</f>
        <v>#N/A</v>
      </c>
      <c r="H55" s="1230" t="str">
        <f>IF(C46=0,"N = 0",Cases!Y64)</f>
        <v>N = 0</v>
      </c>
      <c r="I55" s="1231"/>
      <c r="J55" s="140" t="str">
        <f>IF(OR(H55&gt;1,Cases!F64=0),"No Fit",FIXED(Q$1,0)&amp;" "&amp;R$1&amp;FIXED(Cases!F64,0))</f>
        <v>No Fit</v>
      </c>
      <c r="K55" s="722" t="e">
        <f>IF(Fire!N15=0,4,IF(AND(bmin&gt;=Fire!N15,Fire!G15&gt;=Fire!O15),"ok",IF(Fire!N15&gt;bmin,"1","")&amp;IF(Fire!P15&lt;3,", 2","")&amp;IF(Fire!O15&gt;Fire!D15,", 3","")))</f>
        <v>#N/A</v>
      </c>
      <c r="L55" s="1220" t="s">
        <v>860</v>
      </c>
      <c r="M55" s="1221"/>
      <c r="N55" s="1094"/>
      <c r="O55" s="1094"/>
      <c r="X55" s="729"/>
      <c r="Y55" s="730"/>
      <c r="Z55" s="680" t="s">
        <v>521</v>
      </c>
      <c r="AA55" s="687" t="s">
        <v>505</v>
      </c>
      <c r="AB55" s="701">
        <v>0</v>
      </c>
      <c r="AC55" s="701">
        <f>AF56</f>
        <v>0</v>
      </c>
      <c r="AD55" s="1213">
        <f>AC56</f>
        <v>2.2957635792408801E-15</v>
      </c>
      <c r="AE55" s="1213"/>
      <c r="AF55" s="689"/>
      <c r="AG55" s="690">
        <v>0</v>
      </c>
      <c r="AH55" s="690">
        <v>0</v>
      </c>
      <c r="AI55" s="691">
        <f>AD55</f>
        <v>2.2957635792408801E-15</v>
      </c>
      <c r="AK55" s="1122"/>
      <c r="AL55" s="912"/>
      <c r="AM55" s="912"/>
      <c r="AN55" s="912"/>
      <c r="AO55" s="912"/>
      <c r="AP55" s="912"/>
      <c r="AQ55" s="912"/>
      <c r="AR55" s="689"/>
      <c r="AS55" s="689"/>
      <c r="AT55" s="689"/>
      <c r="AU55" s="689"/>
      <c r="AV55" s="1123"/>
    </row>
    <row r="56" spans="1:48" ht="18" customHeight="1">
      <c r="A56" s="87"/>
      <c r="B56" s="721">
        <f t="shared" si="18"/>
        <v>6</v>
      </c>
      <c r="C56" s="1176" t="e">
        <f>Cases!Q$74</f>
        <v>#N/A</v>
      </c>
      <c r="D56" s="1176" t="e">
        <f>Cases!U$74</f>
        <v>#N/A</v>
      </c>
      <c r="E56" s="1176" t="e">
        <f>Cases!R$74</f>
        <v>#N/A</v>
      </c>
      <c r="F56" s="1177" t="e">
        <f>Cases!V$74</f>
        <v>#N/A</v>
      </c>
      <c r="G56" s="1176" t="e">
        <f>IF(E$29="BOTH AXES","BOTH",Cases!Z$74)</f>
        <v>#N/A</v>
      </c>
      <c r="H56" s="1228" t="str">
        <f>IF(C47=0,"N = 0",Cases!Y74)</f>
        <v>N = 0</v>
      </c>
      <c r="I56" s="1229"/>
      <c r="J56" s="1178" t="str">
        <f>IF(OR(H56&gt;1,Cases!F74=0),"No Fit",FIXED(Q$1,0)&amp;" "&amp;R$1&amp;FIXED(Cases!F74,0))</f>
        <v>No Fit</v>
      </c>
      <c r="K56" s="723" t="e">
        <f>IF(Fire!N16=0,4,IF(AND(bmin&gt;=Fire!N16,Fire!G16&gt;=Fire!O16),"ok",IF(Fire!N16&gt;bmin,"1","")&amp;IF(Fire!P16&lt;3,", 2","")&amp;IF(Fire!O16&gt;Fire!D16,", 3","")))</f>
        <v>#N/A</v>
      </c>
      <c r="L56" s="1222" t="str">
        <f>Calc!D52</f>
        <v xml:space="preserve"> Z </v>
      </c>
      <c r="M56" s="1223"/>
      <c r="N56" s="1094"/>
      <c r="O56" s="1094"/>
      <c r="P56" s="1095"/>
      <c r="Q56" s="1095"/>
      <c r="R56" s="1095"/>
      <c r="X56" s="735"/>
      <c r="Y56" s="689"/>
      <c r="Z56" s="437"/>
      <c r="AA56" s="697"/>
      <c r="AB56" s="693" t="s">
        <v>506</v>
      </c>
      <c r="AC56" s="694">
        <f>IF(J42=1,E42,IF(J42=2,E43,IF(J42=3,E44,IF(J42=4,E45,IF(J42=5,E46,E47)))))</f>
        <v>2.2957635792408801E-15</v>
      </c>
      <c r="AD56" s="694">
        <f>AC56/AI56</f>
        <v>1</v>
      </c>
      <c r="AE56" s="693" t="s">
        <v>507</v>
      </c>
      <c r="AF56" s="694">
        <f>IF(J42=1,G42,IF(J42=2,G43,IF(J42=3,G44,IF(J42=4,G45,IF(J42=5,G46,G47)))))</f>
        <v>0</v>
      </c>
      <c r="AG56" s="694">
        <f>AF56/AI56</f>
        <v>0</v>
      </c>
      <c r="AH56" s="693" t="s">
        <v>504</v>
      </c>
      <c r="AI56" s="695">
        <f>MAX(ABS(AC56),ABS(AF56))</f>
        <v>2.2957635792408801E-15</v>
      </c>
      <c r="AK56" s="1122"/>
      <c r="AL56" s="1056" t="s">
        <v>897</v>
      </c>
      <c r="AM56" s="1119">
        <f>AM53-AM54</f>
        <v>6</v>
      </c>
      <c r="AN56" s="1119">
        <f>AN53-AN54</f>
        <v>16</v>
      </c>
      <c r="AO56" s="912"/>
      <c r="AP56" s="912"/>
      <c r="AQ56" s="912"/>
      <c r="AR56" s="689"/>
      <c r="AS56" s="689"/>
      <c r="AT56" s="689"/>
      <c r="AU56" s="689"/>
      <c r="AV56" s="1123"/>
    </row>
    <row r="57" spans="1:48" ht="18" customHeight="1">
      <c r="A57" s="87"/>
      <c r="B57" s="1215" t="s">
        <v>39</v>
      </c>
      <c r="C57" s="1216"/>
      <c r="D57" s="1216"/>
      <c r="E57" s="1216"/>
      <c r="F57" s="1216"/>
      <c r="G57" s="1216"/>
      <c r="H57" s="1216"/>
      <c r="I57" s="1216"/>
      <c r="J57" s="1216"/>
      <c r="K57" s="1217"/>
      <c r="L57" s="1103"/>
      <c r="M57" s="1104"/>
      <c r="N57" s="1098"/>
      <c r="O57" s="1098"/>
      <c r="P57" s="1095"/>
      <c r="Q57" s="1095"/>
      <c r="R57" s="1095"/>
      <c r="X57" s="689"/>
      <c r="Y57" s="689"/>
      <c r="Z57"/>
      <c r="AA57"/>
      <c r="AB57"/>
      <c r="AC57"/>
      <c r="AD57"/>
      <c r="AE57"/>
      <c r="AF57"/>
      <c r="AG57"/>
      <c r="AH57"/>
      <c r="AI57"/>
      <c r="AK57" s="1122"/>
      <c r="AL57" s="1056" t="s">
        <v>911</v>
      </c>
      <c r="AM57" s="912"/>
      <c r="AN57" s="1119">
        <f>2*MAX(ABS(AN53),ABS(AN54))</f>
        <v>16</v>
      </c>
      <c r="AO57" s="912"/>
      <c r="AP57" s="1056" t="s">
        <v>908</v>
      </c>
      <c r="AQ57" s="912"/>
      <c r="AR57" s="1119">
        <f>MAX(ABS(AN53),ABS(AN54))</f>
        <v>8</v>
      </c>
      <c r="AS57" s="689"/>
      <c r="AT57" s="1056" t="s">
        <v>909</v>
      </c>
      <c r="AU57" s="1119">
        <f>AR57/AU44</f>
        <v>1</v>
      </c>
      <c r="AV57" s="1123"/>
    </row>
    <row r="58" spans="1:48" ht="20.100000000000001" customHeight="1">
      <c r="A58" s="87"/>
      <c r="B58" s="1154" t="s">
        <v>441</v>
      </c>
      <c r="C58" s="1151"/>
      <c r="D58" s="1150" t="str">
        <f>1&amp;" = "&amp;Fire!O19</f>
        <v>1 = Column size too small</v>
      </c>
      <c r="E58" s="1151"/>
      <c r="F58" s="1151"/>
      <c r="G58" s="1155"/>
      <c r="H58" s="1150" t="str">
        <f>3&amp;" = "&amp;Fire!O21</f>
        <v>3 = Insufficient cover</v>
      </c>
      <c r="I58" s="1151"/>
      <c r="J58" s="1151"/>
      <c r="K58" s="1156"/>
      <c r="L58" s="1220" t="s">
        <v>861</v>
      </c>
      <c r="M58" s="1221"/>
      <c r="N58" s="87"/>
      <c r="O58" s="87"/>
      <c r="X58" s="729"/>
      <c r="Y58" s="689"/>
      <c r="Z58" s="680" t="s">
        <v>518</v>
      </c>
      <c r="AA58"/>
      <c r="AB58"/>
      <c r="AC58" s="702">
        <f>MAX(ABS(AI50),ABS(AI56))</f>
        <v>124.694734508658</v>
      </c>
      <c r="AD58"/>
      <c r="AE58" s="442"/>
      <c r="AF58"/>
      <c r="AG58"/>
      <c r="AH58"/>
      <c r="AI58"/>
      <c r="AK58" s="1122"/>
      <c r="AL58" s="689"/>
      <c r="AM58" s="1119">
        <f>AM54/AM56</f>
        <v>0</v>
      </c>
      <c r="AN58" s="1119">
        <f>AN54/AN56</f>
        <v>-0.5</v>
      </c>
      <c r="AO58" s="689"/>
      <c r="AP58" s="689"/>
      <c r="AQ58" s="689"/>
      <c r="AR58" s="689"/>
      <c r="AS58" s="689"/>
      <c r="AT58" s="689"/>
      <c r="AU58" s="689"/>
      <c r="AV58" s="1123"/>
    </row>
    <row r="59" spans="1:48" ht="20.100000000000001" customHeight="1">
      <c r="A59" s="87"/>
      <c r="B59" s="1179" t="s">
        <v>442</v>
      </c>
      <c r="C59" s="1159"/>
      <c r="D59" s="1150" t="str">
        <f>2&amp;" = "&amp;Fire!O20</f>
        <v>2 = Try increasing Nr of Bars or Min Bar Dia</v>
      </c>
      <c r="E59" s="1159"/>
      <c r="F59" s="1159"/>
      <c r="G59" s="1160"/>
      <c r="H59" s="1150" t="str">
        <f>4&amp;" = "&amp;Fire!O22</f>
        <v>4 = Column size &gt; 600. CHECK</v>
      </c>
      <c r="I59" s="1159"/>
      <c r="J59" s="1159"/>
      <c r="K59" s="1156"/>
      <c r="L59" s="1224">
        <f>Calc!H57</f>
        <v>0.24652718688355438</v>
      </c>
      <c r="M59" s="1225"/>
      <c r="N59" s="87"/>
      <c r="O59" s="87"/>
      <c r="X59" s="729"/>
      <c r="Y59" s="689"/>
      <c r="Z59" s="680"/>
      <c r="AA59"/>
      <c r="AB59"/>
      <c r="AC59" s="733"/>
      <c r="AD59"/>
      <c r="AE59" s="442"/>
      <c r="AF59"/>
      <c r="AG59"/>
      <c r="AH59"/>
      <c r="AI59"/>
      <c r="AK59" s="1122"/>
      <c r="AL59" s="689"/>
      <c r="AM59" s="1149"/>
      <c r="AN59" s="1149"/>
      <c r="AO59" s="689"/>
      <c r="AP59" s="689"/>
      <c r="AQ59" s="689"/>
      <c r="AR59" s="689"/>
      <c r="AS59" s="689"/>
      <c r="AT59" s="689"/>
      <c r="AU59" s="689"/>
      <c r="AV59" s="1123"/>
    </row>
    <row r="60" spans="1:48" ht="15.6" customHeight="1" thickBot="1">
      <c r="B60" s="1180"/>
      <c r="C60" s="1157"/>
      <c r="D60" s="1157"/>
      <c r="E60" s="1157"/>
      <c r="F60" s="1157"/>
      <c r="G60" s="1157"/>
      <c r="H60" s="1157"/>
      <c r="I60" s="1157"/>
      <c r="J60" s="1157"/>
      <c r="K60" s="1158"/>
      <c r="L60" s="1110"/>
      <c r="M60" s="1111"/>
      <c r="AK60" s="1122"/>
      <c r="AL60" s="689"/>
      <c r="AM60" s="689"/>
      <c r="AN60" s="689"/>
      <c r="AO60" s="689"/>
      <c r="AP60" s="689"/>
      <c r="AQ60" s="689"/>
      <c r="AR60" s="689"/>
      <c r="AS60" s="689"/>
      <c r="AT60" s="689"/>
      <c r="AU60" s="689"/>
      <c r="AV60" s="1123"/>
    </row>
    <row r="61" spans="1:48" ht="15.75">
      <c r="G61" s="19"/>
      <c r="AK61" s="1122"/>
      <c r="AL61" s="1119" t="s">
        <v>898</v>
      </c>
      <c r="AM61" s="1119">
        <f>AM56/AN56</f>
        <v>0.375</v>
      </c>
      <c r="AN61" s="689"/>
      <c r="AO61" s="689"/>
      <c r="AP61" s="689"/>
      <c r="AQ61" s="689"/>
      <c r="AR61" s="689"/>
      <c r="AS61" s="689"/>
      <c r="AT61" s="689"/>
      <c r="AU61" s="689"/>
      <c r="AV61" s="1123"/>
    </row>
    <row r="62" spans="1:48">
      <c r="G62" s="19"/>
      <c r="AK62" s="697"/>
      <c r="AL62" s="1124"/>
      <c r="AM62" s="1124"/>
      <c r="AN62" s="1124"/>
      <c r="AO62" s="1124"/>
      <c r="AP62" s="1124"/>
      <c r="AQ62" s="1124"/>
      <c r="AR62" s="1124"/>
      <c r="AS62" s="1124"/>
      <c r="AT62" s="1124"/>
      <c r="AU62" s="1124"/>
      <c r="AV62" s="1125"/>
    </row>
    <row r="67" spans="16:27" ht="15.6" customHeight="1"/>
    <row r="71" spans="16:27">
      <c r="P71" s="737"/>
      <c r="Q71" s="737"/>
      <c r="R71" s="737"/>
      <c r="S71" s="737"/>
      <c r="T71" s="737"/>
      <c r="U71" s="737"/>
      <c r="V71" s="737"/>
      <c r="W71" s="737"/>
      <c r="X71" s="737"/>
      <c r="Y71" s="737"/>
      <c r="Z71" s="737"/>
      <c r="AA71" s="737"/>
    </row>
    <row r="72" spans="16:27">
      <c r="P72" s="737"/>
      <c r="Q72" s="737"/>
      <c r="R72" s="729"/>
      <c r="S72" s="730"/>
      <c r="T72" s="730"/>
      <c r="U72" s="731"/>
      <c r="V72" s="732"/>
      <c r="W72" s="689"/>
      <c r="X72" s="689"/>
      <c r="Y72" s="730"/>
      <c r="Z72" s="689"/>
      <c r="AA72" s="689"/>
    </row>
    <row r="73" spans="16:27" ht="15.75">
      <c r="P73" s="737"/>
      <c r="Q73" s="737"/>
      <c r="R73" s="689"/>
      <c r="S73" s="730"/>
      <c r="T73" s="688"/>
      <c r="U73" s="688"/>
      <c r="V73" s="1213"/>
      <c r="W73" s="1213"/>
      <c r="X73" s="689"/>
      <c r="Y73" s="690"/>
      <c r="Z73" s="690"/>
      <c r="AA73" s="690"/>
    </row>
    <row r="74" spans="16:27" ht="15.75">
      <c r="P74" s="737"/>
      <c r="Q74" s="737"/>
      <c r="R74" s="729"/>
      <c r="S74" s="730"/>
      <c r="T74" s="701"/>
      <c r="U74" s="701"/>
      <c r="V74" s="1213"/>
      <c r="W74" s="1213"/>
      <c r="X74" s="689"/>
      <c r="Y74" s="690"/>
      <c r="Z74" s="690"/>
      <c r="AA74" s="690"/>
    </row>
    <row r="75" spans="16:27" ht="15.75">
      <c r="P75" s="737"/>
      <c r="Q75" s="737"/>
      <c r="R75" s="729"/>
      <c r="S75" s="730"/>
      <c r="T75" s="701"/>
      <c r="U75" s="701"/>
      <c r="V75" s="1213"/>
      <c r="W75" s="1213"/>
      <c r="X75" s="689"/>
      <c r="Y75" s="690"/>
      <c r="Z75" s="690"/>
      <c r="AA75" s="690"/>
    </row>
    <row r="76" spans="16:27">
      <c r="P76" s="737"/>
      <c r="Q76" s="737"/>
      <c r="R76" s="729"/>
      <c r="S76" s="730"/>
      <c r="T76" s="730"/>
      <c r="U76" s="733"/>
      <c r="V76" s="733"/>
      <c r="W76" s="730"/>
      <c r="X76" s="733"/>
      <c r="Y76" s="733"/>
      <c r="Z76" s="730"/>
      <c r="AA76" s="733"/>
    </row>
    <row r="77" spans="16:27">
      <c r="P77" s="737"/>
      <c r="Q77" s="737"/>
      <c r="R77" s="729"/>
      <c r="S77" s="689"/>
      <c r="T77" s="689"/>
      <c r="U77" s="689"/>
      <c r="V77" s="689"/>
      <c r="W77" s="689"/>
      <c r="X77" s="689"/>
      <c r="Y77" s="689"/>
      <c r="Z77" s="689"/>
      <c r="AA77" s="689"/>
    </row>
    <row r="78" spans="16:27">
      <c r="P78" s="737"/>
      <c r="Q78" s="737"/>
      <c r="R78" s="729"/>
      <c r="S78" s="689"/>
      <c r="T78" s="730"/>
      <c r="U78" s="731"/>
      <c r="V78" s="732"/>
      <c r="W78" s="689"/>
      <c r="X78" s="689"/>
      <c r="Y78" s="730"/>
      <c r="Z78" s="689"/>
      <c r="AA78" s="689"/>
    </row>
    <row r="79" spans="16:27" ht="18">
      <c r="P79" s="737"/>
      <c r="Q79" s="737"/>
      <c r="R79" s="734"/>
      <c r="S79" s="730"/>
      <c r="T79" s="688"/>
      <c r="U79" s="688"/>
      <c r="V79" s="1213"/>
      <c r="W79" s="1213"/>
      <c r="X79" s="689"/>
      <c r="Y79" s="690"/>
      <c r="Z79" s="690"/>
      <c r="AA79" s="690"/>
    </row>
    <row r="80" spans="16:27" ht="15.75">
      <c r="P80" s="737"/>
      <c r="Q80" s="737"/>
      <c r="R80" s="729"/>
      <c r="S80" s="730"/>
      <c r="T80" s="701"/>
      <c r="U80" s="701"/>
      <c r="V80" s="1213"/>
      <c r="W80" s="1213"/>
      <c r="X80" s="689"/>
      <c r="Y80" s="690"/>
      <c r="Z80" s="690"/>
      <c r="AA80" s="690"/>
    </row>
    <row r="81" spans="16:27" ht="15.75">
      <c r="P81" s="737"/>
      <c r="Q81" s="737"/>
      <c r="R81" s="729"/>
      <c r="S81" s="730"/>
      <c r="T81" s="701"/>
      <c r="U81" s="701"/>
      <c r="V81" s="1213"/>
      <c r="W81" s="1213"/>
      <c r="X81" s="689"/>
      <c r="Y81" s="690"/>
      <c r="Z81" s="690"/>
      <c r="AA81" s="690"/>
    </row>
    <row r="82" spans="16:27" ht="18">
      <c r="P82" s="737"/>
      <c r="Q82" s="737"/>
      <c r="R82" s="735"/>
      <c r="S82" s="689"/>
      <c r="T82" s="730"/>
      <c r="U82" s="733"/>
      <c r="V82" s="733"/>
      <c r="W82" s="730"/>
      <c r="X82" s="733"/>
      <c r="Y82" s="733"/>
      <c r="Z82" s="730"/>
      <c r="AA82" s="733"/>
    </row>
    <row r="83" spans="16:27">
      <c r="P83" s="737"/>
      <c r="Q83" s="737"/>
      <c r="R83" s="689"/>
      <c r="S83" s="689"/>
      <c r="T83" s="689"/>
      <c r="U83" s="689"/>
      <c r="V83" s="689"/>
      <c r="W83" s="689"/>
      <c r="X83" s="689"/>
      <c r="Y83" s="689"/>
      <c r="Z83" s="689"/>
      <c r="AA83" s="689"/>
    </row>
    <row r="84" spans="16:27" ht="18">
      <c r="P84" s="737"/>
      <c r="Q84" s="737"/>
      <c r="R84" s="729"/>
      <c r="S84" s="689"/>
      <c r="T84" s="689"/>
      <c r="U84" s="733"/>
      <c r="V84" s="689"/>
      <c r="W84" s="736"/>
      <c r="X84" s="689"/>
      <c r="Y84" s="689"/>
      <c r="Z84" s="689"/>
      <c r="AA84" s="689"/>
    </row>
    <row r="85" spans="16:27">
      <c r="P85" s="737"/>
      <c r="Q85" s="737"/>
      <c r="R85" s="737"/>
      <c r="S85" s="737"/>
      <c r="T85" s="737"/>
      <c r="U85" s="737"/>
      <c r="V85" s="737"/>
      <c r="W85" s="737"/>
      <c r="X85" s="737"/>
      <c r="Y85" s="737"/>
      <c r="Z85" s="737"/>
      <c r="AA85" s="737"/>
    </row>
    <row r="86" spans="16:27">
      <c r="P86" s="737"/>
      <c r="Q86" s="737"/>
      <c r="R86" s="737"/>
      <c r="S86" s="737"/>
      <c r="T86" s="737"/>
      <c r="U86" s="737"/>
      <c r="V86" s="737"/>
      <c r="W86" s="737"/>
      <c r="X86" s="737"/>
      <c r="Y86" s="737"/>
      <c r="Z86" s="737"/>
      <c r="AA86" s="737"/>
    </row>
  </sheetData>
  <customSheetViews>
    <customSheetView guid="{065FF312-67E2-4E5F-894A-2CE2F41260A3}" scale="75" fitToPage="1" topLeftCell="A28">
      <selection activeCell="J42" sqref="J42"/>
      <pageMargins left="0.23622047244094491" right="0.23622047244094491" top="0.23622047244094491" bottom="0.23622047244094491" header="0" footer="0"/>
      <printOptions horizontalCentered="1" verticalCentered="1"/>
      <pageSetup paperSize="9" scale="81" orientation="portrait" r:id="rId1"/>
      <headerFooter alignWithMargins="0"/>
    </customSheetView>
  </customSheetViews>
  <mergeCells count="38">
    <mergeCell ref="I2:K2"/>
    <mergeCell ref="H52:I52"/>
    <mergeCell ref="H53:I53"/>
    <mergeCell ref="C5:G5"/>
    <mergeCell ref="H51:I51"/>
    <mergeCell ref="H39:K41"/>
    <mergeCell ref="E29:F29"/>
    <mergeCell ref="H48:K48"/>
    <mergeCell ref="H19:J19"/>
    <mergeCell ref="F20:G20"/>
    <mergeCell ref="F19:G19"/>
    <mergeCell ref="E30:F30"/>
    <mergeCell ref="H50:I50"/>
    <mergeCell ref="V79:W79"/>
    <mergeCell ref="O34:O35"/>
    <mergeCell ref="O36:O37"/>
    <mergeCell ref="B57:K57"/>
    <mergeCell ref="V81:W81"/>
    <mergeCell ref="V80:W80"/>
    <mergeCell ref="L53:M53"/>
    <mergeCell ref="L55:M55"/>
    <mergeCell ref="L56:M56"/>
    <mergeCell ref="L58:M58"/>
    <mergeCell ref="L59:M59"/>
    <mergeCell ref="L52:M52"/>
    <mergeCell ref="H56:I56"/>
    <mergeCell ref="H55:I55"/>
    <mergeCell ref="H54:I54"/>
    <mergeCell ref="AD54:AE54"/>
    <mergeCell ref="AD55:AE55"/>
    <mergeCell ref="V73:W73"/>
    <mergeCell ref="V74:W74"/>
    <mergeCell ref="V75:W75"/>
    <mergeCell ref="O16:P16"/>
    <mergeCell ref="AD47:AE47"/>
    <mergeCell ref="AD48:AE48"/>
    <mergeCell ref="AD49:AE49"/>
    <mergeCell ref="AD53:AE53"/>
  </mergeCells>
  <phoneticPr fontId="0" type="noConversion"/>
  <conditionalFormatting sqref="V42:V45 O10:O11 N33:N38 N9:N11">
    <cfRule type="cellIs" dxfId="39" priority="28" stopIfTrue="1" operator="equal">
      <formula>"√"</formula>
    </cfRule>
  </conditionalFormatting>
  <conditionalFormatting sqref="N32:O32 N12:N15 H58:H59 B58:B59 D58:D59">
    <cfRule type="cellIs" dxfId="38" priority="29" stopIfTrue="1" operator="equal">
      <formula>""</formula>
    </cfRule>
  </conditionalFormatting>
  <conditionalFormatting sqref="F11">
    <cfRule type="cellIs" dxfId="37" priority="30" stopIfTrue="1" operator="equal">
      <formula>$C$11*0.55</formula>
    </cfRule>
  </conditionalFormatting>
  <conditionalFormatting sqref="I33:J38">
    <cfRule type="cellIs" dxfId="36" priority="31" stopIfTrue="1" operator="equal">
      <formula>"ok"</formula>
    </cfRule>
  </conditionalFormatting>
  <conditionalFormatting sqref="C51:J51">
    <cfRule type="expression" dxfId="35" priority="19">
      <formula>NOT($K$51="ok")</formula>
    </cfRule>
    <cfRule type="cellIs" dxfId="34" priority="32" stopIfTrue="1" operator="equal">
      <formula>"No Fit"</formula>
    </cfRule>
    <cfRule type="expression" dxfId="33" priority="33" stopIfTrue="1">
      <formula>$C42=0</formula>
    </cfRule>
  </conditionalFormatting>
  <conditionalFormatting sqref="H52:I56">
    <cfRule type="cellIs" dxfId="32" priority="34" stopIfTrue="1" operator="equal">
      <formula>"No Fit"</formula>
    </cfRule>
  </conditionalFormatting>
  <conditionalFormatting sqref="C52:F56">
    <cfRule type="cellIs" dxfId="31" priority="35" stopIfTrue="1" operator="equal">
      <formula>"No Fit"</formula>
    </cfRule>
    <cfRule type="expression" dxfId="30" priority="36" stopIfTrue="1">
      <formula>$C43=0</formula>
    </cfRule>
  </conditionalFormatting>
  <conditionalFormatting sqref="J52:J56">
    <cfRule type="expression" dxfId="29" priority="37" stopIfTrue="1">
      <formula>$C43=0</formula>
    </cfRule>
    <cfRule type="cellIs" dxfId="28" priority="38" stopIfTrue="1" operator="equal">
      <formula>"No Fit"</formula>
    </cfRule>
  </conditionalFormatting>
  <conditionalFormatting sqref="K51:K56">
    <cfRule type="cellIs" dxfId="27" priority="21" operator="equal">
      <formula>"ok"</formula>
    </cfRule>
    <cfRule type="expression" dxfId="26" priority="23" stopIfTrue="1">
      <formula>$C42=0</formula>
    </cfRule>
  </conditionalFormatting>
  <conditionalFormatting sqref="C52:F52 H52:J52">
    <cfRule type="expression" dxfId="25" priority="20">
      <formula>NOT($K52="ok")</formula>
    </cfRule>
  </conditionalFormatting>
  <conditionalFormatting sqref="C53:F53 H53:J53">
    <cfRule type="expression" dxfId="24" priority="18">
      <formula>NOT($K$53="ok")</formula>
    </cfRule>
  </conditionalFormatting>
  <conditionalFormatting sqref="C54:F54 H54:J54">
    <cfRule type="expression" dxfId="23" priority="17">
      <formula>NOT($K$54="ok")</formula>
    </cfRule>
  </conditionalFormatting>
  <conditionalFormatting sqref="C55:F55 H55:J55">
    <cfRule type="expression" dxfId="22" priority="16">
      <formula>NOT($K$55="ok")</formula>
    </cfRule>
  </conditionalFormatting>
  <conditionalFormatting sqref="C56:F56 H56:J56">
    <cfRule type="expression" dxfId="21" priority="15">
      <formula>NOT($K$56="ok")</formula>
    </cfRule>
  </conditionalFormatting>
  <conditionalFormatting sqref="G52:G56">
    <cfRule type="expression" dxfId="20" priority="4">
      <formula>NOT($K$51="ok")</formula>
    </cfRule>
    <cfRule type="cellIs" dxfId="19" priority="5" stopIfTrue="1" operator="equal">
      <formula>"No Fit"</formula>
    </cfRule>
    <cfRule type="expression" dxfId="18" priority="6" stopIfTrue="1">
      <formula>$C43=0</formula>
    </cfRule>
  </conditionalFormatting>
  <conditionalFormatting sqref="L59:M59">
    <cfRule type="cellIs" dxfId="17" priority="1" operator="greaterThan">
      <formula>1</formula>
    </cfRule>
    <cfRule type="cellIs" dxfId="16" priority="2" operator="greaterThan">
      <formula>1</formula>
    </cfRule>
  </conditionalFormatting>
  <dataValidations count="5">
    <dataValidation type="list" allowBlank="1" showInputMessage="1" showErrorMessage="1" sqref="E29:F29" xr:uid="{00000000-0002-0000-0000-000000000000}">
      <formula1>"CRITICAL AXIS, BOTH AXES"</formula1>
    </dataValidation>
    <dataValidation type="list" allowBlank="1" showInputMessage="1" showErrorMessage="1" sqref="K10" xr:uid="{00000000-0002-0000-0000-000001000000}">
      <formula1>"R 30, R 60,R 90,R 120,R 180,R 240"</formula1>
    </dataValidation>
    <dataValidation type="list" allowBlank="1" showInputMessage="1" showErrorMessage="1" sqref="D21:D22" xr:uid="{00000000-0002-0000-0000-000002000000}">
      <formula1>"N, Y"</formula1>
    </dataValidation>
    <dataValidation type="list" allowBlank="1" showInputMessage="1" showErrorMessage="1" sqref="E30:F30" xr:uid="{00000000-0002-0000-0000-000003000000}">
      <formula1>"Mi2 SIDE ONLY, Mi2 &amp; Mi1 SIDES"</formula1>
    </dataValidation>
    <dataValidation type="list" allowBlank="1" showInputMessage="1" showErrorMessage="1" sqref="I30 K30" xr:uid="{00000000-0002-0000-0000-000004000000}">
      <formula1>"Y,N"</formula1>
    </dataValidation>
  </dataValidations>
  <printOptions horizontalCentered="1" verticalCentered="1"/>
  <pageMargins left="0.23622047244094491" right="0.23622047244094491" top="0.23622047244094491" bottom="0.23622047244094491" header="0" footer="0"/>
  <pageSetup paperSize="9" scale="80" orientation="portrait" r:id="rId2"/>
  <headerFooter alignWithMargins="0"/>
  <rowBreaks count="2" manualBreakCount="2">
    <brk id="57" max="16383" man="1"/>
    <brk id="59" max="16383" man="1"/>
  </rowBreaks>
  <drawing r:id="rId3"/>
  <legacyDrawing r:id="rId4"/>
  <picture r:id="rId5"/>
  <mc:AlternateContent xmlns:mc="http://schemas.openxmlformats.org/markup-compatibility/2006">
    <mc:Choice Requires="x14">
      <controls>
        <mc:AlternateContent xmlns:mc="http://schemas.openxmlformats.org/markup-compatibility/2006">
          <mc:Choice Requires="x14">
            <control shapeId="1131" r:id="rId6" name="Button 107">
              <controlPr defaultSize="0" print="0" autoFill="0" autoPict="0" macro="[0]!test">
                <anchor moveWithCells="1" sizeWithCells="1">
                  <from>
                    <xdr:col>1</xdr:col>
                    <xdr:colOff>638175</xdr:colOff>
                    <xdr:row>62</xdr:row>
                    <xdr:rowOff>76200</xdr:rowOff>
                  </from>
                  <to>
                    <xdr:col>3</xdr:col>
                    <xdr:colOff>257175</xdr:colOff>
                    <xdr:row>64</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indexed="62"/>
    <pageSetUpPr fitToPage="1"/>
  </sheetPr>
  <dimension ref="A1:N111"/>
  <sheetViews>
    <sheetView topLeftCell="A27" zoomScale="130" zoomScaleNormal="130" workbookViewId="0">
      <selection activeCell="H25" sqref="H25"/>
    </sheetView>
  </sheetViews>
  <sheetFormatPr defaultColWidth="7.7109375" defaultRowHeight="15"/>
  <cols>
    <col min="1" max="1" width="4.5703125" style="18" customWidth="1"/>
    <col min="2" max="2" width="12" style="18" customWidth="1"/>
    <col min="3" max="3" width="9.5703125" style="18" customWidth="1"/>
    <col min="4" max="4" width="52.5703125" style="18" customWidth="1"/>
    <col min="5" max="5" width="10.7109375" style="27" customWidth="1"/>
    <col min="6" max="6" width="12.28515625" style="27" customWidth="1"/>
    <col min="7" max="7" width="10" style="27" customWidth="1"/>
    <col min="8" max="8" width="71" style="18" customWidth="1"/>
    <col min="9" max="16384" width="7.7109375" style="18"/>
  </cols>
  <sheetData>
    <row r="1" spans="1:12" ht="15.75" thickBot="1">
      <c r="A1" s="87"/>
      <c r="B1" s="87"/>
      <c r="C1" s="87"/>
      <c r="D1" s="87"/>
      <c r="E1" s="87"/>
      <c r="F1" s="87"/>
      <c r="G1" s="87"/>
      <c r="H1" s="87"/>
      <c r="I1" s="24" t="str">
        <f>FIXED(MAIN!C13,0)&amp;" x "&amp;FIXED(MAIN!C14,0)&amp;" column (h x b), fck = "&amp;FIXED(MAIN!C9,0)&amp;", "&amp;FIXED(MAIN!I8,0)&amp;" mm cover"</f>
        <v>1,200 x 300 column (h x b), fck = 40, 30 mm cover</v>
      </c>
    </row>
    <row r="2" spans="1:12" ht="26.25" thickBot="1">
      <c r="A2" s="173"/>
      <c r="B2" s="74" t="s">
        <v>1</v>
      </c>
      <c r="C2" s="174" t="str">
        <f>MAIN!C2</f>
        <v>Spreadsheets to  EC2</v>
      </c>
      <c r="D2" s="186"/>
      <c r="E2" s="1263" t="str">
        <f>MAIN!I2</f>
        <v>The Concrete Centre</v>
      </c>
      <c r="F2" s="1264"/>
      <c r="G2" s="1265"/>
      <c r="H2" s="90"/>
      <c r="I2" s="87"/>
    </row>
    <row r="3" spans="1:12" ht="18">
      <c r="A3" s="87"/>
      <c r="B3" s="75" t="s">
        <v>2</v>
      </c>
      <c r="C3" s="175" t="str">
        <f>MAIN!C3</f>
        <v>Advisory Group</v>
      </c>
      <c r="D3" s="187"/>
      <c r="E3" s="182" t="s">
        <v>40</v>
      </c>
      <c r="F3" s="81" t="s">
        <v>4</v>
      </c>
      <c r="G3" s="82" t="s">
        <v>5</v>
      </c>
      <c r="H3" s="87"/>
      <c r="I3" s="87"/>
    </row>
    <row r="4" spans="1:12" ht="18">
      <c r="A4" s="87"/>
      <c r="B4" s="75" t="s">
        <v>6</v>
      </c>
      <c r="C4" s="175" t="str">
        <f>MAIN!$C$4</f>
        <v>Column D2</v>
      </c>
      <c r="D4" s="187"/>
      <c r="E4" s="183" t="str">
        <f>MAIN!I4</f>
        <v>chg</v>
      </c>
      <c r="F4" s="169">
        <f ca="1">MAIN!J4</f>
        <v>43629</v>
      </c>
      <c r="G4" s="170">
        <f>IF(MAIN!K4=0,"",1+MAIN!K4)</f>
        <v>280</v>
      </c>
      <c r="H4" s="87"/>
      <c r="I4" s="88">
        <f>2*(MAIN!C15+MAIN!C16)-4</f>
        <v>8</v>
      </c>
      <c r="J4" s="31"/>
    </row>
    <row r="5" spans="1:12" ht="27" customHeight="1">
      <c r="A5" s="87"/>
      <c r="B5" s="117"/>
      <c r="C5" s="1261" t="str">
        <f>MAIN!C5</f>
        <v>SYMMETRICALLY REINFORCED RECTANGULAR COLUMN DESIGN, BENT ABOUT TWO AXES TO EN 1992-1 : 2004</v>
      </c>
      <c r="D5" s="1262"/>
      <c r="E5" s="184" t="s">
        <v>41</v>
      </c>
      <c r="F5" s="84" t="s">
        <v>9</v>
      </c>
      <c r="G5" s="85" t="s">
        <v>10</v>
      </c>
      <c r="H5" s="87"/>
      <c r="I5" s="88" t="str">
        <f>FIXED(I4,0)&amp;MAIN!B33</f>
        <v>8H</v>
      </c>
      <c r="J5" s="31"/>
    </row>
    <row r="6" spans="1:12" ht="18.75" thickBot="1">
      <c r="A6" s="87"/>
      <c r="B6" s="143"/>
      <c r="C6" s="144" t="str">
        <f ca="1">MAIN!D6&amp;MAIN!E6</f>
        <v>Originated from TCC53.xls  v4.45                     © 2000-19 TCC</v>
      </c>
      <c r="D6" s="188"/>
      <c r="E6" s="185" t="str">
        <f>IF(MAIN!I6=0,"",MAIN!I6)</f>
        <v/>
      </c>
      <c r="F6" s="171" t="str">
        <f>IF(MAIN!J6=0,"",MAIN!J6)</f>
        <v>-</v>
      </c>
      <c r="G6" s="172" t="str">
        <f>IF(MAIN!K6=0,"",MAIN!K6)</f>
        <v>FB625</v>
      </c>
      <c r="H6" s="87"/>
      <c r="I6" s="87"/>
      <c r="J6" s="31"/>
    </row>
    <row r="7" spans="1:12" ht="12.6" customHeight="1">
      <c r="A7" s="87"/>
      <c r="B7" s="190"/>
      <c r="C7" s="118"/>
      <c r="D7" s="191"/>
      <c r="E7" s="118"/>
      <c r="F7" s="118"/>
      <c r="G7" s="119"/>
      <c r="H7" s="87"/>
      <c r="I7" s="31"/>
      <c r="J7" s="31"/>
    </row>
    <row r="8" spans="1:12" ht="17.100000000000001" customHeight="1">
      <c r="A8" s="87"/>
      <c r="B8" s="214" t="s">
        <v>781</v>
      </c>
      <c r="C8" s="202"/>
      <c r="D8" s="200"/>
      <c r="E8" s="200"/>
      <c r="G8" s="213" t="str">
        <f>I1</f>
        <v>1,200 x 300 column (h x b), fck = 40, 30 mm cover</v>
      </c>
      <c r="H8" s="177"/>
      <c r="I8" s="31"/>
      <c r="J8" s="31"/>
    </row>
    <row r="9" spans="1:12" ht="14.65" customHeight="1">
      <c r="A9" s="87"/>
      <c r="B9" s="121"/>
      <c r="C9" s="106"/>
      <c r="D9" s="28"/>
      <c r="E9" s="106"/>
      <c r="G9" s="120"/>
      <c r="H9" s="87"/>
      <c r="I9" s="31"/>
      <c r="J9" s="31"/>
    </row>
    <row r="10" spans="1:12" ht="21.75" customHeight="1">
      <c r="A10" s="87"/>
      <c r="B10" s="1266" t="s">
        <v>217</v>
      </c>
      <c r="C10" s="106"/>
      <c r="D10" s="28"/>
      <c r="E10" s="106"/>
      <c r="F10" s="106"/>
      <c r="G10" s="120"/>
      <c r="H10" s="87"/>
      <c r="I10" s="31"/>
      <c r="J10" s="31"/>
    </row>
    <row r="11" spans="1:12" ht="21" customHeight="1">
      <c r="A11" s="87"/>
      <c r="B11" s="1266"/>
      <c r="C11" s="106"/>
      <c r="D11" s="28"/>
      <c r="E11" s="106"/>
      <c r="F11" s="106"/>
      <c r="G11" s="120"/>
      <c r="H11" s="87"/>
      <c r="I11" s="31"/>
      <c r="J11" s="31"/>
      <c r="L11" s="37"/>
    </row>
    <row r="12" spans="1:12" ht="16.5" customHeight="1">
      <c r="A12" s="87"/>
      <c r="B12" s="1266"/>
      <c r="C12" s="106"/>
      <c r="D12" s="28"/>
      <c r="E12" s="106"/>
      <c r="F12" s="106"/>
      <c r="G12" s="203"/>
      <c r="H12" s="87"/>
      <c r="I12" s="178"/>
      <c r="J12" s="179">
        <f>IF(Ycal!I14=0,0,Ycal!BO59)</f>
        <v>11450.713584880188</v>
      </c>
      <c r="L12" s="204" t="s">
        <v>86</v>
      </c>
    </row>
    <row r="13" spans="1:12" ht="16.5" customHeight="1">
      <c r="A13" s="87"/>
      <c r="B13" s="1266"/>
      <c r="C13" s="106"/>
      <c r="D13" s="28"/>
      <c r="E13" s="106"/>
      <c r="F13" s="106"/>
      <c r="G13" s="203"/>
      <c r="H13" s="87"/>
      <c r="I13" s="178"/>
      <c r="J13" s="179">
        <f>IF(Ycal!I66=0,0,Ycal!BO111)</f>
        <v>10266.056694323323</v>
      </c>
      <c r="L13" s="205"/>
    </row>
    <row r="14" spans="1:12" ht="16.5" customHeight="1">
      <c r="A14" s="87"/>
      <c r="B14" s="1266"/>
      <c r="C14" s="106"/>
      <c r="D14" s="28"/>
      <c r="E14" s="106"/>
      <c r="F14" s="106"/>
      <c r="G14" s="203"/>
      <c r="H14" s="177"/>
      <c r="I14" s="178"/>
      <c r="J14" s="179">
        <f>IF(Ycal!I118=0,0,Ycal!BO163)</f>
        <v>9445.4349940938246</v>
      </c>
      <c r="L14" s="206" t="str">
        <f>IF(MAIN!I33="ok",I$5&amp;FIXED(MAIN!C33,0),"")</f>
        <v>8H40</v>
      </c>
    </row>
    <row r="15" spans="1:12" ht="16.5" customHeight="1">
      <c r="A15" s="87"/>
      <c r="B15" s="1266"/>
      <c r="C15" s="106"/>
      <c r="D15" s="28"/>
      <c r="E15" s="106"/>
      <c r="F15" s="106"/>
      <c r="G15" s="203"/>
      <c r="H15" s="87"/>
      <c r="I15" s="180">
        <v>0</v>
      </c>
      <c r="J15" s="181">
        <f>MIN(MAIN!C13/20,20)*J16/1000</f>
        <v>229.01427169760376</v>
      </c>
      <c r="L15" s="207"/>
    </row>
    <row r="16" spans="1:12" ht="16.5" customHeight="1">
      <c r="A16" s="87"/>
      <c r="B16" s="1266"/>
      <c r="C16" s="106"/>
      <c r="D16" s="28"/>
      <c r="E16" s="106"/>
      <c r="F16" s="106"/>
      <c r="G16" s="203"/>
      <c r="H16" s="177"/>
      <c r="I16" s="180">
        <v>0</v>
      </c>
      <c r="J16" s="181">
        <f>MAX(J12:J14)</f>
        <v>11450.713584880188</v>
      </c>
      <c r="L16" s="206" t="str">
        <f>IF(MAIN!I34="ok",I$5&amp;FIXED(MAIN!C34,0),"")</f>
        <v>8H32</v>
      </c>
    </row>
    <row r="17" spans="1:12" ht="16.5" customHeight="1">
      <c r="A17" s="87"/>
      <c r="B17" s="1266"/>
      <c r="C17" s="106"/>
      <c r="D17" s="28"/>
      <c r="E17" s="106"/>
      <c r="F17" s="106"/>
      <c r="G17" s="203"/>
      <c r="H17" s="87"/>
      <c r="L17" s="207"/>
    </row>
    <row r="18" spans="1:12" ht="16.5" customHeight="1">
      <c r="A18" s="87"/>
      <c r="B18" s="1266"/>
      <c r="C18" s="106"/>
      <c r="D18" s="28"/>
      <c r="E18" s="106"/>
      <c r="F18" s="106"/>
      <c r="G18" s="203"/>
      <c r="H18" s="177"/>
      <c r="L18" s="206" t="str">
        <f>IF(MAIN!I35="ok",I$5&amp;FIXED(MAIN!C35,0),"")</f>
        <v>8H25</v>
      </c>
    </row>
    <row r="19" spans="1:12" ht="16.5" customHeight="1">
      <c r="A19" s="87"/>
      <c r="B19" s="1266"/>
      <c r="C19" s="106"/>
      <c r="D19" s="28"/>
      <c r="E19" s="106"/>
      <c r="F19" s="106"/>
      <c r="G19" s="203"/>
      <c r="H19" s="87"/>
      <c r="L19" s="207"/>
    </row>
    <row r="20" spans="1:12" ht="16.5" customHeight="1">
      <c r="A20" s="87"/>
      <c r="B20" s="1266"/>
      <c r="C20" s="106"/>
      <c r="D20" s="28"/>
      <c r="E20" s="106"/>
      <c r="F20" s="106"/>
      <c r="G20" s="203"/>
      <c r="H20" s="177"/>
      <c r="L20" s="206" t="str">
        <f>IF(MAIN!I36="ok",I$5&amp;FIXED(MAIN!C36,0),"")</f>
        <v>8H20</v>
      </c>
    </row>
    <row r="21" spans="1:12" ht="16.5" customHeight="1">
      <c r="A21" s="87"/>
      <c r="B21" s="1266"/>
      <c r="C21" s="106"/>
      <c r="D21" s="28"/>
      <c r="E21" s="106"/>
      <c r="F21" s="106"/>
      <c r="G21" s="203"/>
      <c r="H21" s="87"/>
      <c r="L21" s="207"/>
    </row>
    <row r="22" spans="1:12" ht="16.5" customHeight="1">
      <c r="A22" s="87"/>
      <c r="B22" s="1266"/>
      <c r="C22" s="106"/>
      <c r="D22" s="28"/>
      <c r="E22" s="106"/>
      <c r="F22" s="106"/>
      <c r="G22" s="203"/>
      <c r="H22" s="177"/>
      <c r="L22" s="206" t="str">
        <f>IF(MAIN!I37="ok",I$5&amp;FIXED(MAIN!C37,0),"")</f>
        <v>8H16</v>
      </c>
    </row>
    <row r="23" spans="1:12" ht="16.5" customHeight="1">
      <c r="A23" s="87"/>
      <c r="B23" s="1266"/>
      <c r="C23" s="106"/>
      <c r="D23" s="28"/>
      <c r="E23" s="106"/>
      <c r="F23" s="106"/>
      <c r="G23" s="192"/>
      <c r="H23" s="87"/>
      <c r="L23" s="209"/>
    </row>
    <row r="24" spans="1:12" ht="16.5" customHeight="1">
      <c r="A24" s="87"/>
      <c r="B24" s="1266"/>
      <c r="C24" s="106"/>
      <c r="D24" s="28"/>
      <c r="E24" s="106"/>
      <c r="F24" s="106"/>
      <c r="G24" s="192"/>
      <c r="H24" s="177"/>
      <c r="L24" s="208" t="str">
        <f>IF(MAIN!I38="ok",I$5&amp;FIXED(MAIN!C38,0),"")</f>
        <v>8H16</v>
      </c>
    </row>
    <row r="25" spans="1:12" ht="16.5" customHeight="1">
      <c r="A25" s="87"/>
      <c r="B25" s="1266"/>
      <c r="C25" s="106"/>
      <c r="D25" s="28"/>
      <c r="E25" s="106"/>
      <c r="F25" s="106"/>
      <c r="G25" s="120"/>
      <c r="H25" s="87"/>
    </row>
    <row r="26" spans="1:12" ht="16.5" customHeight="1">
      <c r="A26" s="87"/>
      <c r="B26" s="1266"/>
      <c r="C26" s="106"/>
      <c r="D26" s="28"/>
      <c r="E26" s="106"/>
      <c r="F26" s="106"/>
      <c r="G26" s="120"/>
      <c r="H26" s="87"/>
    </row>
    <row r="27" spans="1:12">
      <c r="A27" s="87"/>
      <c r="B27" s="1266"/>
      <c r="C27" s="106"/>
      <c r="D27" s="28"/>
      <c r="E27" s="106"/>
      <c r="F27" s="106"/>
      <c r="G27" s="120"/>
      <c r="H27" s="87"/>
    </row>
    <row r="28" spans="1:12">
      <c r="A28" s="87"/>
      <c r="B28" s="1266"/>
      <c r="C28" s="106"/>
      <c r="D28" s="28"/>
      <c r="E28" s="106"/>
      <c r="F28" s="106"/>
      <c r="G28" s="120"/>
      <c r="H28" s="87"/>
    </row>
    <row r="29" spans="1:12" ht="21.75">
      <c r="A29" s="87"/>
      <c r="B29" s="121"/>
      <c r="C29" s="106"/>
      <c r="D29" s="199" t="s">
        <v>280</v>
      </c>
      <c r="E29" s="106"/>
      <c r="F29" s="106"/>
      <c r="G29" s="120"/>
      <c r="H29" s="87"/>
    </row>
    <row r="30" spans="1:12" s="221" customFormat="1" ht="13.5">
      <c r="A30" s="215"/>
      <c r="B30" s="216"/>
      <c r="C30" s="217"/>
      <c r="D30" s="218"/>
      <c r="E30" s="219"/>
      <c r="F30" s="219"/>
      <c r="G30" s="220"/>
      <c r="H30" s="215"/>
    </row>
    <row r="31" spans="1:12" ht="20.100000000000001" customHeight="1">
      <c r="A31" s="87"/>
      <c r="B31" s="214" t="s">
        <v>782</v>
      </c>
      <c r="C31" s="202"/>
      <c r="D31" s="194"/>
      <c r="E31" s="201"/>
      <c r="G31" s="213" t="str">
        <f>I1</f>
        <v>1,200 x 300 column (h x b), fck = 40, 30 mm cover</v>
      </c>
      <c r="H31" s="87"/>
    </row>
    <row r="32" spans="1:12" ht="15.6" customHeight="1">
      <c r="A32" s="87"/>
      <c r="B32" s="121"/>
      <c r="C32" s="98"/>
      <c r="D32" s="28"/>
      <c r="E32" s="28"/>
      <c r="G32" s="120"/>
      <c r="H32" s="87"/>
    </row>
    <row r="33" spans="1:12" ht="9.6" customHeight="1">
      <c r="A33" s="87"/>
      <c r="B33" s="1266" t="s">
        <v>217</v>
      </c>
      <c r="C33" s="106"/>
      <c r="D33" s="28"/>
      <c r="E33" s="106"/>
      <c r="F33" s="106"/>
      <c r="G33" s="120"/>
      <c r="H33" s="87"/>
    </row>
    <row r="34" spans="1:12">
      <c r="A34" s="87"/>
      <c r="B34" s="1266"/>
      <c r="C34" s="106"/>
      <c r="D34" s="28"/>
      <c r="E34" s="106"/>
      <c r="F34" s="106"/>
      <c r="G34" s="120"/>
      <c r="H34" s="87"/>
    </row>
    <row r="35" spans="1:12" ht="18">
      <c r="A35" s="87"/>
      <c r="B35" s="1266"/>
      <c r="C35" s="106"/>
      <c r="D35" s="28"/>
      <c r="E35" s="106"/>
      <c r="F35" s="106"/>
      <c r="G35" s="195"/>
      <c r="H35" s="87"/>
      <c r="I35" s="210"/>
      <c r="J35" s="211">
        <f>IF(Zcal!I14=0,0,Zcal!BO59)</f>
        <v>11450.713584880188</v>
      </c>
      <c r="L35" s="204" t="s">
        <v>86</v>
      </c>
    </row>
    <row r="36" spans="1:12" ht="16.5" customHeight="1">
      <c r="A36" s="87"/>
      <c r="B36" s="1266"/>
      <c r="C36" s="106"/>
      <c r="D36" s="28"/>
      <c r="E36" s="106"/>
      <c r="F36" s="106"/>
      <c r="G36" s="195"/>
      <c r="H36" s="87"/>
      <c r="I36" s="210"/>
      <c r="J36" s="211">
        <f>IF(Zcal!I66=0,0,Zcal!BO111)</f>
        <v>10266.056694323323</v>
      </c>
      <c r="L36" s="205"/>
    </row>
    <row r="37" spans="1:12" ht="16.5" customHeight="1">
      <c r="A37" s="87"/>
      <c r="B37" s="1266"/>
      <c r="C37" s="106"/>
      <c r="D37" s="28"/>
      <c r="E37" s="106"/>
      <c r="F37" s="106"/>
      <c r="G37" s="195"/>
      <c r="H37" s="87"/>
      <c r="I37" s="210"/>
      <c r="J37" s="211">
        <f>IF(Zcal!I118=0,0,Zcal!BO163)</f>
        <v>9445.4349940938246</v>
      </c>
      <c r="L37" s="206" t="str">
        <f>L14</f>
        <v>8H40</v>
      </c>
    </row>
    <row r="38" spans="1:12" ht="16.5" customHeight="1">
      <c r="A38" s="87"/>
      <c r="B38" s="1266"/>
      <c r="C38" s="106"/>
      <c r="D38" s="28"/>
      <c r="E38" s="106"/>
      <c r="F38" s="106"/>
      <c r="G38" s="195"/>
      <c r="H38" s="177"/>
      <c r="I38" s="212">
        <v>0</v>
      </c>
      <c r="J38" s="181">
        <f>MIN(MAIN!C14/20,20)*J39/1000</f>
        <v>171.76070377320281</v>
      </c>
      <c r="L38" s="207"/>
    </row>
    <row r="39" spans="1:12" ht="16.5" customHeight="1">
      <c r="A39" s="87"/>
      <c r="B39" s="1266"/>
      <c r="C39" s="106"/>
      <c r="D39" s="28"/>
      <c r="E39" s="106"/>
      <c r="F39" s="106"/>
      <c r="G39" s="195"/>
      <c r="H39" s="87"/>
      <c r="I39" s="212">
        <v>0</v>
      </c>
      <c r="J39" s="181">
        <f>MAX(J35:J37)</f>
        <v>11450.713584880188</v>
      </c>
      <c r="L39" s="206" t="str">
        <f>L16</f>
        <v>8H32</v>
      </c>
    </row>
    <row r="40" spans="1:12" ht="16.5" customHeight="1">
      <c r="A40" s="87"/>
      <c r="B40" s="1266"/>
      <c r="C40" s="106"/>
      <c r="D40" s="28"/>
      <c r="E40" s="106"/>
      <c r="F40" s="106"/>
      <c r="G40" s="195"/>
      <c r="H40" s="177"/>
      <c r="L40" s="207"/>
    </row>
    <row r="41" spans="1:12" ht="16.5" customHeight="1">
      <c r="A41" s="87"/>
      <c r="B41" s="1266"/>
      <c r="C41" s="106"/>
      <c r="D41" s="28"/>
      <c r="E41" s="106"/>
      <c r="F41" s="106"/>
      <c r="G41" s="195"/>
      <c r="H41" s="87"/>
      <c r="L41" s="206" t="str">
        <f>L18</f>
        <v>8H25</v>
      </c>
    </row>
    <row r="42" spans="1:12" ht="16.5" customHeight="1">
      <c r="A42" s="87"/>
      <c r="B42" s="1266"/>
      <c r="C42" s="106"/>
      <c r="D42" s="28"/>
      <c r="E42" s="106"/>
      <c r="F42" s="106"/>
      <c r="G42" s="195"/>
      <c r="H42" s="177"/>
      <c r="L42" s="207"/>
    </row>
    <row r="43" spans="1:12" ht="16.5" customHeight="1">
      <c r="A43" s="87"/>
      <c r="B43" s="1266"/>
      <c r="C43" s="106"/>
      <c r="D43" s="28"/>
      <c r="E43" s="106"/>
      <c r="F43" s="106"/>
      <c r="G43" s="195"/>
      <c r="H43" s="177"/>
      <c r="L43" s="206" t="str">
        <f>L20</f>
        <v>8H20</v>
      </c>
    </row>
    <row r="44" spans="1:12" ht="16.5" customHeight="1">
      <c r="A44" s="87"/>
      <c r="B44" s="1266"/>
      <c r="C44" s="106"/>
      <c r="D44" s="28"/>
      <c r="E44" s="106"/>
      <c r="F44" s="106"/>
      <c r="G44" s="195"/>
      <c r="H44" s="177"/>
      <c r="L44" s="207"/>
    </row>
    <row r="45" spans="1:12" ht="16.5" customHeight="1">
      <c r="A45" s="87"/>
      <c r="B45" s="1266"/>
      <c r="C45" s="106"/>
      <c r="D45" s="28"/>
      <c r="E45" s="106"/>
      <c r="F45" s="106"/>
      <c r="G45" s="195"/>
      <c r="H45" s="87"/>
      <c r="L45" s="206" t="str">
        <f>L22</f>
        <v>8H16</v>
      </c>
    </row>
    <row r="46" spans="1:12" ht="16.5" customHeight="1">
      <c r="A46" s="87"/>
      <c r="B46" s="1266"/>
      <c r="C46" s="106"/>
      <c r="D46" s="28"/>
      <c r="E46" s="106"/>
      <c r="F46" s="106"/>
      <c r="G46" s="195"/>
      <c r="H46" s="177"/>
      <c r="L46" s="209"/>
    </row>
    <row r="47" spans="1:12" ht="16.5" customHeight="1">
      <c r="A47" s="87"/>
      <c r="B47" s="1266"/>
      <c r="C47" s="106"/>
      <c r="D47" s="28"/>
      <c r="E47" s="106"/>
      <c r="F47" s="106"/>
      <c r="G47" s="195"/>
      <c r="H47" s="87"/>
      <c r="L47" s="208" t="str">
        <f>L24</f>
        <v>8H16</v>
      </c>
    </row>
    <row r="48" spans="1:12" ht="16.5" customHeight="1">
      <c r="A48" s="87"/>
      <c r="B48" s="1266"/>
      <c r="C48" s="106"/>
      <c r="D48" s="28"/>
      <c r="E48" s="106"/>
      <c r="F48" s="106"/>
      <c r="G48" s="195"/>
      <c r="H48" s="177"/>
    </row>
    <row r="49" spans="1:14" ht="16.5" customHeight="1">
      <c r="A49" s="87"/>
      <c r="B49" s="1266"/>
      <c r="C49" s="106"/>
      <c r="D49" s="28"/>
      <c r="E49" s="106"/>
      <c r="F49" s="106"/>
      <c r="G49" s="195"/>
      <c r="H49" s="87"/>
    </row>
    <row r="50" spans="1:14" ht="16.5" customHeight="1">
      <c r="A50" s="87"/>
      <c r="B50" s="1266"/>
      <c r="C50" s="106"/>
      <c r="D50" s="28"/>
      <c r="E50" s="106"/>
      <c r="F50" s="106"/>
      <c r="G50" s="120"/>
      <c r="H50" s="87"/>
      <c r="L50" s="656" t="str">
        <f>MAIN!B56&amp;": "&amp;MAIN!J56</f>
        <v>6: No Fit</v>
      </c>
      <c r="M50" s="658">
        <f>IF(MAIN!H56&gt;1,0,MAIN!H56)</f>
        <v>0</v>
      </c>
      <c r="N50" s="658" t="str">
        <f>IF(MAIN!H56&gt;1,MAIN!H56,0)</f>
        <v>N = 0</v>
      </c>
    </row>
    <row r="51" spans="1:14" ht="16.5" customHeight="1">
      <c r="A51" s="87"/>
      <c r="B51" s="1266"/>
      <c r="C51" s="106"/>
      <c r="D51" s="28"/>
      <c r="E51" s="106"/>
      <c r="F51" s="106"/>
      <c r="G51" s="120"/>
      <c r="H51" s="87"/>
      <c r="L51" s="656" t="str">
        <f>MAIN!B55&amp;": "&amp;MAIN!J55</f>
        <v>5: No Fit</v>
      </c>
      <c r="M51" s="657">
        <f>IF(MAIN!H55&gt;1,0,MAIN!H55)</f>
        <v>0</v>
      </c>
      <c r="N51" s="658" t="str">
        <f>IF(MAIN!H55&gt;1,MAIN!H55,0)</f>
        <v>N = 0</v>
      </c>
    </row>
    <row r="52" spans="1:14">
      <c r="A52" s="87"/>
      <c r="B52" s="121"/>
      <c r="C52" s="106"/>
      <c r="D52" s="28"/>
      <c r="E52" s="106"/>
      <c r="F52" s="106"/>
      <c r="G52" s="120"/>
      <c r="H52" s="87"/>
      <c r="L52" s="656" t="str">
        <f>MAIN!B54&amp;": "&amp;MAIN!J54</f>
        <v>4: No Fit</v>
      </c>
      <c r="M52" s="657">
        <f>IF(MAIN!H54&gt;1,0,MAIN!H54)</f>
        <v>0</v>
      </c>
      <c r="N52" s="658" t="str">
        <f>IF(MAIN!H54&gt;1,MAIN!H54,0)</f>
        <v>N = 0</v>
      </c>
    </row>
    <row r="53" spans="1:14">
      <c r="A53" s="87"/>
      <c r="B53" s="121"/>
      <c r="C53" s="106"/>
      <c r="D53" s="28"/>
      <c r="E53" s="106"/>
      <c r="F53" s="106"/>
      <c r="G53" s="120"/>
      <c r="H53" s="87"/>
      <c r="L53" s="656" t="str">
        <f>MAIN!B53&amp;": "&amp;MAIN!J53</f>
        <v>3: 8 H16</v>
      </c>
      <c r="M53" s="657">
        <f>IF(MAIN!H53&gt;1,0,MAIN!H53)</f>
        <v>0.24766290012059552</v>
      </c>
      <c r="N53" s="658">
        <f>IF(MAIN!H53&gt;1,MAIN!H53,0)</f>
        <v>0</v>
      </c>
    </row>
    <row r="54" spans="1:14">
      <c r="A54" s="87"/>
      <c r="B54" s="121"/>
      <c r="C54" s="106"/>
      <c r="D54" s="28"/>
      <c r="E54" s="106"/>
      <c r="F54" s="106"/>
      <c r="G54" s="120"/>
      <c r="H54" s="87"/>
      <c r="L54" s="656" t="str">
        <f>MAIN!B52&amp;": "&amp;MAIN!J52</f>
        <v>2: 8 H16</v>
      </c>
      <c r="M54" s="657">
        <f>IF(MAIN!H52&gt;1,0,MAIN!H52)</f>
        <v>0.24766290012059552</v>
      </c>
      <c r="N54" s="658">
        <f>IF(MAIN!H52&gt;1,MAIN!H52,0)</f>
        <v>0</v>
      </c>
    </row>
    <row r="55" spans="1:14" ht="22.5" thickBot="1">
      <c r="A55" s="87"/>
      <c r="B55" s="196"/>
      <c r="C55" s="197"/>
      <c r="D55" s="225" t="s">
        <v>269</v>
      </c>
      <c r="E55" s="123"/>
      <c r="F55" s="123"/>
      <c r="G55" s="198"/>
      <c r="H55" s="87"/>
      <c r="I55" s="656"/>
      <c r="J55" s="657"/>
      <c r="K55" s="658"/>
      <c r="L55" s="656" t="str">
        <f>MAIN!B51&amp;": "&amp;MAIN!J51</f>
        <v>1: 8 H16</v>
      </c>
      <c r="M55" s="657">
        <f>IF(MAIN!H51&gt;1,0,MAIN!H51)</f>
        <v>0.24652718688355438</v>
      </c>
      <c r="N55" s="658">
        <f>IF(MAIN!H51&gt;1,MAIN!H51,0)</f>
        <v>0</v>
      </c>
    </row>
    <row r="56" spans="1:14">
      <c r="A56" s="87"/>
      <c r="B56" s="87"/>
      <c r="C56" s="87"/>
      <c r="D56" s="87"/>
      <c r="E56" s="87"/>
      <c r="F56" s="87"/>
      <c r="G56" s="87"/>
      <c r="H56" s="87"/>
    </row>
    <row r="57" spans="1:14">
      <c r="E57" s="87"/>
      <c r="F57" s="87"/>
      <c r="G57" s="87"/>
    </row>
    <row r="58" spans="1:14">
      <c r="E58" s="87"/>
      <c r="F58" s="87"/>
      <c r="G58" s="87"/>
    </row>
    <row r="59" spans="1:14">
      <c r="E59" s="87"/>
      <c r="F59" s="87"/>
      <c r="G59" s="87"/>
    </row>
    <row r="60" spans="1:14">
      <c r="E60" s="87"/>
      <c r="F60" s="87"/>
      <c r="G60" s="87"/>
    </row>
    <row r="61" spans="1:14">
      <c r="E61" s="87"/>
      <c r="F61" s="87"/>
      <c r="G61" s="87"/>
    </row>
    <row r="62" spans="1:14">
      <c r="E62" s="87"/>
      <c r="F62" s="87"/>
      <c r="G62" s="87"/>
    </row>
    <row r="63" spans="1:14">
      <c r="E63" s="87"/>
      <c r="F63" s="87"/>
      <c r="G63" s="87"/>
    </row>
    <row r="64" spans="1:14">
      <c r="E64" s="87"/>
      <c r="F64" s="87"/>
      <c r="G64" s="87"/>
    </row>
    <row r="65" spans="5:7">
      <c r="E65" s="189"/>
      <c r="F65" s="189"/>
      <c r="G65" s="189"/>
    </row>
    <row r="66" spans="5:7">
      <c r="E66" s="189"/>
      <c r="F66" s="189"/>
      <c r="G66" s="189"/>
    </row>
    <row r="67" spans="5:7">
      <c r="E67" s="189"/>
      <c r="F67" s="189"/>
      <c r="G67" s="189"/>
    </row>
    <row r="68" spans="5:7">
      <c r="E68" s="189"/>
      <c r="F68" s="189"/>
      <c r="G68" s="189"/>
    </row>
    <row r="69" spans="5:7">
      <c r="E69" s="189"/>
      <c r="F69" s="189"/>
      <c r="G69" s="189"/>
    </row>
    <row r="70" spans="5:7">
      <c r="E70" s="189"/>
      <c r="F70" s="189"/>
      <c r="G70" s="189"/>
    </row>
    <row r="71" spans="5:7">
      <c r="E71" s="189"/>
      <c r="F71" s="189"/>
      <c r="G71" s="189"/>
    </row>
    <row r="72" spans="5:7">
      <c r="E72" s="189"/>
      <c r="F72" s="189"/>
      <c r="G72" s="189"/>
    </row>
    <row r="73" spans="5:7">
      <c r="E73" s="189"/>
      <c r="F73" s="189"/>
      <c r="G73" s="189"/>
    </row>
    <row r="74" spans="5:7">
      <c r="E74" s="189"/>
      <c r="F74" s="189"/>
      <c r="G74" s="189"/>
    </row>
    <row r="75" spans="5:7">
      <c r="E75" s="189"/>
      <c r="F75" s="189"/>
      <c r="G75" s="189"/>
    </row>
    <row r="76" spans="5:7">
      <c r="E76" s="189"/>
      <c r="F76" s="189"/>
      <c r="G76" s="189"/>
    </row>
    <row r="77" spans="5:7">
      <c r="E77" s="189"/>
      <c r="F77" s="189"/>
      <c r="G77" s="189"/>
    </row>
    <row r="78" spans="5:7">
      <c r="E78" s="189"/>
      <c r="F78" s="189"/>
      <c r="G78" s="189"/>
    </row>
    <row r="79" spans="5:7">
      <c r="E79" s="189"/>
      <c r="F79" s="189"/>
      <c r="G79" s="189"/>
    </row>
    <row r="80" spans="5:7">
      <c r="E80" s="189"/>
      <c r="F80" s="189"/>
      <c r="G80" s="189"/>
    </row>
    <row r="81" spans="5:7">
      <c r="E81" s="189"/>
      <c r="F81" s="189"/>
      <c r="G81" s="189"/>
    </row>
    <row r="82" spans="5:7">
      <c r="E82" s="189"/>
      <c r="F82" s="189"/>
      <c r="G82" s="189"/>
    </row>
    <row r="83" spans="5:7">
      <c r="E83" s="189"/>
      <c r="F83" s="189"/>
      <c r="G83" s="189"/>
    </row>
    <row r="84" spans="5:7">
      <c r="E84" s="189"/>
      <c r="F84" s="189"/>
      <c r="G84" s="189"/>
    </row>
    <row r="85" spans="5:7">
      <c r="E85" s="189"/>
      <c r="F85" s="189"/>
      <c r="G85" s="189"/>
    </row>
    <row r="86" spans="5:7">
      <c r="E86" s="189"/>
      <c r="F86" s="189"/>
      <c r="G86" s="189"/>
    </row>
    <row r="87" spans="5:7">
      <c r="E87" s="189"/>
      <c r="F87" s="189"/>
      <c r="G87" s="189"/>
    </row>
    <row r="88" spans="5:7">
      <c r="E88" s="189"/>
      <c r="F88" s="189"/>
      <c r="G88" s="189"/>
    </row>
    <row r="89" spans="5:7">
      <c r="E89" s="189"/>
      <c r="F89" s="189"/>
      <c r="G89" s="189"/>
    </row>
    <row r="90" spans="5:7">
      <c r="E90" s="189"/>
      <c r="F90" s="189"/>
      <c r="G90" s="189"/>
    </row>
    <row r="91" spans="5:7">
      <c r="E91" s="189"/>
      <c r="F91" s="189"/>
      <c r="G91" s="189"/>
    </row>
    <row r="92" spans="5:7">
      <c r="E92" s="189"/>
      <c r="F92" s="189"/>
      <c r="G92" s="189"/>
    </row>
    <row r="93" spans="5:7">
      <c r="E93" s="189"/>
      <c r="F93" s="189"/>
      <c r="G93" s="189"/>
    </row>
    <row r="94" spans="5:7">
      <c r="E94" s="189"/>
      <c r="F94" s="189"/>
      <c r="G94" s="189"/>
    </row>
    <row r="95" spans="5:7">
      <c r="E95" s="189"/>
      <c r="F95" s="189"/>
      <c r="G95" s="189"/>
    </row>
    <row r="96" spans="5:7">
      <c r="E96" s="189"/>
      <c r="F96" s="189"/>
      <c r="G96" s="189"/>
    </row>
    <row r="97" spans="5:7">
      <c r="E97" s="189"/>
      <c r="F97" s="189"/>
      <c r="G97" s="189"/>
    </row>
    <row r="98" spans="5:7">
      <c r="E98" s="189"/>
      <c r="F98" s="189"/>
      <c r="G98" s="189"/>
    </row>
    <row r="99" spans="5:7">
      <c r="E99" s="189"/>
      <c r="F99" s="189"/>
      <c r="G99" s="189"/>
    </row>
    <row r="100" spans="5:7">
      <c r="E100" s="189"/>
      <c r="F100" s="189"/>
      <c r="G100" s="189"/>
    </row>
    <row r="101" spans="5:7">
      <c r="E101" s="189"/>
      <c r="F101" s="189"/>
      <c r="G101" s="189"/>
    </row>
    <row r="102" spans="5:7">
      <c r="E102" s="189"/>
      <c r="F102" s="189"/>
      <c r="G102" s="189"/>
    </row>
    <row r="103" spans="5:7">
      <c r="E103" s="189"/>
      <c r="F103" s="189"/>
      <c r="G103" s="189"/>
    </row>
    <row r="104" spans="5:7">
      <c r="E104" s="189"/>
      <c r="F104" s="189"/>
      <c r="G104" s="189"/>
    </row>
    <row r="105" spans="5:7">
      <c r="E105" s="189"/>
      <c r="F105" s="189"/>
      <c r="G105" s="189"/>
    </row>
    <row r="106" spans="5:7">
      <c r="E106" s="189"/>
      <c r="F106" s="189"/>
      <c r="G106" s="189"/>
    </row>
    <row r="107" spans="5:7">
      <c r="E107" s="189"/>
      <c r="F107" s="189"/>
      <c r="G107" s="189"/>
    </row>
    <row r="108" spans="5:7">
      <c r="E108" s="189"/>
      <c r="F108" s="189"/>
      <c r="G108" s="189"/>
    </row>
    <row r="109" spans="5:7">
      <c r="E109" s="189"/>
      <c r="F109" s="189"/>
      <c r="G109" s="189"/>
    </row>
    <row r="110" spans="5:7">
      <c r="E110" s="189"/>
      <c r="F110" s="189"/>
      <c r="G110" s="189"/>
    </row>
    <row r="111" spans="5:7">
      <c r="E111" s="189"/>
      <c r="F111" s="189"/>
      <c r="G111" s="189"/>
    </row>
  </sheetData>
  <customSheetViews>
    <customSheetView guid="{065FF312-67E2-4E5F-894A-2CE2F41260A3}" scale="75" fitToPage="1">
      <pageMargins left="0.23622047244094491" right="0.23622047244094491" top="0.23622047244094491" bottom="0.23622047244094491" header="0" footer="0"/>
      <printOptions horizontalCentered="1"/>
      <pageSetup paperSize="9" scale="91" orientation="portrait" horizontalDpi="300" verticalDpi="300" r:id="rId1"/>
      <headerFooter alignWithMargins="0"/>
    </customSheetView>
  </customSheetViews>
  <mergeCells count="4">
    <mergeCell ref="C5:D5"/>
    <mergeCell ref="E2:G2"/>
    <mergeCell ref="B10:B28"/>
    <mergeCell ref="B33:B51"/>
  </mergeCells>
  <phoneticPr fontId="0" type="noConversion"/>
  <printOptions horizontalCentered="1"/>
  <pageMargins left="0.23622047244094491" right="0.23622047244094491" top="0.23622047244094491" bottom="0.23622047244094491" header="0" footer="0"/>
  <pageSetup paperSize="9" scale="91" orientation="portrait" horizontalDpi="300" verticalDpi="300" r:id="rId2"/>
  <headerFooter alignWithMargins="0"/>
  <drawing r:id="rId3"/>
  <legacyDrawing r:id="rId4"/>
  <picture r:id="rId5"/>
  <mc:AlternateContent xmlns:mc="http://schemas.openxmlformats.org/markup-compatibility/2006">
    <mc:Choice Requires="x14">
      <controls>
        <mc:AlternateContent xmlns:mc="http://schemas.openxmlformats.org/markup-compatibility/2006">
          <mc:Choice Requires="x14">
            <control shapeId="7171" r:id="rId6" name="Button 3">
              <controlPr defaultSize="0" print="0" autoFill="0" autoPict="0" macro="[0]!Pr_charts">
                <anchor moveWithCells="1">
                  <from>
                    <xdr:col>7</xdr:col>
                    <xdr:colOff>552450</xdr:colOff>
                    <xdr:row>7</xdr:row>
                    <xdr:rowOff>19050</xdr:rowOff>
                  </from>
                  <to>
                    <xdr:col>7</xdr:col>
                    <xdr:colOff>1628775</xdr:colOff>
                    <xdr:row>8</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indexed="21"/>
  </sheetPr>
  <dimension ref="A1:CE68"/>
  <sheetViews>
    <sheetView zoomScale="70" zoomScaleNormal="70" zoomScaleSheetLayoutView="75" zoomScalePageLayoutView="75" workbookViewId="0"/>
  </sheetViews>
  <sheetFormatPr defaultRowHeight="12.75"/>
  <cols>
    <col min="1" max="1" width="4.5703125" customWidth="1"/>
    <col min="2" max="2" width="12.5703125" customWidth="1"/>
    <col min="3" max="3" width="13.5703125" customWidth="1"/>
    <col min="4" max="4" width="11.28515625" customWidth="1"/>
    <col min="5" max="5" width="13.42578125" customWidth="1"/>
    <col min="6" max="6" width="14.28515625" customWidth="1"/>
    <col min="7" max="7" width="17.28515625" customWidth="1"/>
    <col min="8" max="8" width="8.7109375" customWidth="1"/>
    <col min="9" max="9" width="17.28515625" customWidth="1"/>
    <col min="10" max="10" width="10.5703125" customWidth="1"/>
    <col min="11" max="11" width="2.5703125" customWidth="1"/>
    <col min="12" max="12" width="12.5703125" customWidth="1"/>
    <col min="13" max="13" width="13.5703125" customWidth="1"/>
    <col min="14" max="14" width="10.5703125" customWidth="1"/>
    <col min="15" max="15" width="11.5703125" customWidth="1"/>
    <col min="16" max="16" width="14.28515625" customWidth="1"/>
    <col min="17" max="17" width="15.42578125" customWidth="1"/>
    <col min="18" max="18" width="10.5703125" customWidth="1"/>
    <col min="19" max="19" width="15.42578125" customWidth="1"/>
    <col min="20" max="20" width="10.5703125" customWidth="1"/>
    <col min="21" max="21" width="3.5703125" customWidth="1"/>
    <col min="22" max="22" width="34.7109375" customWidth="1"/>
    <col min="23" max="23" width="14" bestFit="1" customWidth="1"/>
    <col min="24" max="24" width="11.28515625" customWidth="1"/>
    <col min="35" max="35" width="10.42578125" customWidth="1"/>
    <col min="40" max="41" width="10.28515625" bestFit="1" customWidth="1"/>
    <col min="56" max="56" width="9.7109375" customWidth="1"/>
    <col min="88" max="89" width="10.28515625" bestFit="1" customWidth="1"/>
  </cols>
  <sheetData>
    <row r="1" spans="1:83" ht="21.75" thickBot="1">
      <c r="A1" s="430"/>
      <c r="B1" s="431"/>
      <c r="C1" s="312"/>
      <c r="D1" s="312"/>
      <c r="E1" s="312"/>
      <c r="F1" s="312"/>
      <c r="G1" s="312"/>
      <c r="H1" s="312"/>
      <c r="I1" s="312"/>
      <c r="J1" s="312"/>
      <c r="K1" s="312"/>
      <c r="L1" s="312"/>
      <c r="M1" s="312"/>
      <c r="N1" s="312"/>
      <c r="O1" s="312"/>
      <c r="P1" s="312"/>
      <c r="Q1" s="312"/>
      <c r="R1" s="312"/>
      <c r="S1" s="312"/>
      <c r="T1" s="312"/>
      <c r="U1" s="312"/>
      <c r="V1" s="1063" t="s">
        <v>813</v>
      </c>
      <c r="W1" s="1064" t="str">
        <f>IF(Y17&gt;Y18,"Top","Bottom")</f>
        <v>Bottom</v>
      </c>
      <c r="X1" s="1063" t="s">
        <v>23</v>
      </c>
      <c r="Y1" s="1065" t="s">
        <v>808</v>
      </c>
      <c r="Z1" s="1063">
        <f>IF(W1="Bottom",Y21,1-Y21)</f>
        <v>0.33300000000000002</v>
      </c>
      <c r="AA1" s="1066"/>
      <c r="AB1" s="1063" t="s">
        <v>809</v>
      </c>
      <c r="AC1" s="1063">
        <f>IF(W1="Top",1,Y20)</f>
        <v>0.5</v>
      </c>
      <c r="AD1" s="1066"/>
      <c r="AE1" s="1063" t="s">
        <v>810</v>
      </c>
      <c r="AF1" s="1063">
        <f>IF(W1="Top",(Y20),1)</f>
        <v>1</v>
      </c>
      <c r="AL1" s="786" t="s">
        <v>601</v>
      </c>
      <c r="BC1" s="1063" t="s">
        <v>814</v>
      </c>
      <c r="BD1" s="1064" t="str">
        <f>IF(BF17&gt;BF18,"Top","Bottom")</f>
        <v>Bottom</v>
      </c>
      <c r="BE1" s="1063" t="s">
        <v>23</v>
      </c>
      <c r="BF1" s="1065" t="s">
        <v>816</v>
      </c>
      <c r="BG1" s="1063">
        <f>IF(BD1="Bottom",BF21,1-BF21)</f>
        <v>0.30000000000000004</v>
      </c>
      <c r="BH1" s="1066"/>
      <c r="BI1" s="1063" t="s">
        <v>817</v>
      </c>
      <c r="BJ1" s="1063">
        <f>IF(BD1="Top",1,BF20)</f>
        <v>0.5</v>
      </c>
      <c r="BK1" s="1066"/>
      <c r="BL1" s="1063" t="s">
        <v>818</v>
      </c>
      <c r="BM1" s="1063">
        <f>IF(BD1="Top",(BF20),1)</f>
        <v>1</v>
      </c>
      <c r="BT1" s="786" t="s">
        <v>602</v>
      </c>
    </row>
    <row r="2" spans="1:83" ht="21.75" thickBot="1">
      <c r="A2" s="312"/>
      <c r="B2" s="74" t="s">
        <v>1</v>
      </c>
      <c r="C2" s="174" t="str">
        <f>MAIN!C2</f>
        <v>Spreadsheets to  EC2</v>
      </c>
      <c r="D2" s="448"/>
      <c r="E2" s="235"/>
      <c r="F2" s="235"/>
      <c r="G2" s="450"/>
      <c r="H2" s="1269" t="str">
        <f>MAIN!I2</f>
        <v>The Concrete Centre</v>
      </c>
      <c r="I2" s="1269"/>
      <c r="J2" s="1270"/>
      <c r="K2" s="312"/>
      <c r="L2" s="74" t="s">
        <v>1</v>
      </c>
      <c r="M2" s="174" t="str">
        <f>C2</f>
        <v>Spreadsheets to  EC2</v>
      </c>
      <c r="N2" s="448"/>
      <c r="O2" s="235"/>
      <c r="P2" s="235"/>
      <c r="Q2" s="450"/>
      <c r="R2" s="1269" t="str">
        <f>H2</f>
        <v>The Concrete Centre</v>
      </c>
      <c r="S2" s="1269"/>
      <c r="T2" s="1270"/>
      <c r="U2" s="312"/>
      <c r="W2" s="1051">
        <v>0</v>
      </c>
      <c r="X2" s="1051">
        <v>0.1</v>
      </c>
      <c r="Y2" s="1051">
        <v>0.2</v>
      </c>
      <c r="Z2" s="1051">
        <v>0.3</v>
      </c>
      <c r="AA2" s="1051">
        <v>0.4</v>
      </c>
      <c r="AB2" s="1051">
        <v>0.5</v>
      </c>
      <c r="AC2" s="1051">
        <v>0.6</v>
      </c>
      <c r="AD2" s="1051">
        <v>0.7</v>
      </c>
      <c r="AE2" s="1051">
        <v>0.8</v>
      </c>
      <c r="AF2" s="1051">
        <v>0.9</v>
      </c>
      <c r="AG2" s="1051">
        <v>1</v>
      </c>
      <c r="AH2" s="776" t="s">
        <v>589</v>
      </c>
      <c r="AI2" s="776" t="s">
        <v>591</v>
      </c>
      <c r="AJ2" s="776" t="s">
        <v>590</v>
      </c>
      <c r="AK2" s="781" t="s">
        <v>595</v>
      </c>
      <c r="AL2" s="778" t="s">
        <v>594</v>
      </c>
      <c r="AM2" s="781" t="s">
        <v>596</v>
      </c>
      <c r="AN2" s="779" t="s">
        <v>592</v>
      </c>
      <c r="AO2" s="781" t="s">
        <v>597</v>
      </c>
      <c r="AP2" s="779" t="s">
        <v>593</v>
      </c>
      <c r="AQ2" s="781" t="s">
        <v>598</v>
      </c>
      <c r="AR2" s="788" t="s">
        <v>605</v>
      </c>
      <c r="AS2" s="781" t="s">
        <v>606</v>
      </c>
      <c r="AT2" s="790" t="s">
        <v>607</v>
      </c>
      <c r="AU2" s="790" t="s">
        <v>605</v>
      </c>
      <c r="AV2" s="790" t="s">
        <v>95</v>
      </c>
      <c r="AW2" s="790" t="s">
        <v>608</v>
      </c>
      <c r="AX2" s="781" t="s">
        <v>847</v>
      </c>
      <c r="BD2" s="1051">
        <v>0</v>
      </c>
      <c r="BE2" s="1051">
        <v>0.1</v>
      </c>
      <c r="BF2" s="1051">
        <v>0.2</v>
      </c>
      <c r="BG2" s="1051">
        <v>0.3</v>
      </c>
      <c r="BH2" s="1051">
        <v>0.4</v>
      </c>
      <c r="BI2" s="1051">
        <v>0.5</v>
      </c>
      <c r="BJ2" s="1051">
        <v>0.6</v>
      </c>
      <c r="BK2" s="1051">
        <v>0.7</v>
      </c>
      <c r="BL2" s="1051">
        <v>0.8</v>
      </c>
      <c r="BM2" s="1051">
        <v>0.9</v>
      </c>
      <c r="BN2" s="1051">
        <v>1</v>
      </c>
      <c r="BO2" s="778" t="s">
        <v>589</v>
      </c>
      <c r="BP2" s="778" t="s">
        <v>591</v>
      </c>
      <c r="BQ2" s="781" t="s">
        <v>873</v>
      </c>
      <c r="BR2" s="781" t="s">
        <v>595</v>
      </c>
      <c r="BS2" s="781" t="s">
        <v>874</v>
      </c>
      <c r="BT2" s="781" t="s">
        <v>599</v>
      </c>
      <c r="BU2" s="783" t="s">
        <v>592</v>
      </c>
      <c r="BV2" s="781" t="s">
        <v>597</v>
      </c>
      <c r="BW2" s="783" t="s">
        <v>593</v>
      </c>
      <c r="BX2" s="781" t="s">
        <v>598</v>
      </c>
      <c r="BY2" s="789" t="s">
        <v>605</v>
      </c>
      <c r="BZ2" s="781" t="s">
        <v>606</v>
      </c>
      <c r="CA2" s="790" t="s">
        <v>607</v>
      </c>
      <c r="CB2" s="790" t="s">
        <v>605</v>
      </c>
      <c r="CC2" s="790" t="s">
        <v>95</v>
      </c>
      <c r="CD2" s="790" t="s">
        <v>608</v>
      </c>
      <c r="CE2" s="781" t="s">
        <v>847</v>
      </c>
    </row>
    <row r="3" spans="1:83" ht="18">
      <c r="A3" s="312"/>
      <c r="B3" s="75" t="s">
        <v>2</v>
      </c>
      <c r="C3" s="175" t="str">
        <f>MAIN!C3</f>
        <v>Advisory Group</v>
      </c>
      <c r="D3" s="449"/>
      <c r="E3" s="231"/>
      <c r="F3" s="231"/>
      <c r="G3" s="386"/>
      <c r="H3" s="182" t="s">
        <v>40</v>
      </c>
      <c r="I3" s="444" t="s">
        <v>4</v>
      </c>
      <c r="J3" s="82" t="s">
        <v>5</v>
      </c>
      <c r="K3" s="312"/>
      <c r="L3" s="75" t="s">
        <v>2</v>
      </c>
      <c r="M3" s="175" t="str">
        <f>C3</f>
        <v>Advisory Group</v>
      </c>
      <c r="N3" s="449"/>
      <c r="O3" s="231"/>
      <c r="P3" s="231"/>
      <c r="Q3" s="386"/>
      <c r="R3" s="182" t="s">
        <v>40</v>
      </c>
      <c r="S3" s="444" t="s">
        <v>4</v>
      </c>
      <c r="T3" s="82" t="s">
        <v>5</v>
      </c>
      <c r="U3" s="312"/>
      <c r="V3" s="1057"/>
      <c r="W3" s="1051"/>
      <c r="X3" s="1051"/>
      <c r="Y3" s="1051"/>
      <c r="Z3" s="1051"/>
      <c r="AA3" s="1051"/>
      <c r="AB3" s="1051"/>
      <c r="AC3" s="1051"/>
      <c r="AD3" s="1051"/>
      <c r="AE3" s="1051"/>
      <c r="AF3" s="1051"/>
      <c r="AG3" s="1051"/>
      <c r="AH3" s="778">
        <f>AH4</f>
        <v>0.99999999999999989</v>
      </c>
      <c r="AI3" s="780">
        <v>0</v>
      </c>
      <c r="AJ3" s="779">
        <v>0</v>
      </c>
      <c r="AK3" s="780">
        <v>0</v>
      </c>
      <c r="AL3" s="778">
        <v>0</v>
      </c>
      <c r="AM3" s="780">
        <v>0</v>
      </c>
      <c r="AN3" s="779">
        <v>0</v>
      </c>
      <c r="AO3" s="783">
        <v>0</v>
      </c>
      <c r="AP3" s="779">
        <v>0</v>
      </c>
      <c r="AQ3" s="783">
        <v>0</v>
      </c>
      <c r="AR3" s="788">
        <v>0</v>
      </c>
      <c r="AS3" s="788">
        <f>-AR3</f>
        <v>0</v>
      </c>
      <c r="AT3" s="789"/>
      <c r="AU3" s="789"/>
      <c r="AV3" s="789"/>
      <c r="AW3" s="789"/>
      <c r="AX3" s="1087">
        <v>0</v>
      </c>
      <c r="BC3" s="1057"/>
      <c r="BD3" s="1051"/>
      <c r="BE3" s="1051"/>
      <c r="BF3" s="1051"/>
      <c r="BG3" s="1051"/>
      <c r="BH3" s="1051"/>
      <c r="BI3" s="1051"/>
      <c r="BJ3" s="1051"/>
      <c r="BK3" s="1051"/>
      <c r="BL3" s="1051"/>
      <c r="BM3" s="1051"/>
      <c r="BN3" s="1051"/>
      <c r="BO3" s="778">
        <f>BO4</f>
        <v>0.99999999999999989</v>
      </c>
      <c r="BP3" s="783">
        <v>0</v>
      </c>
      <c r="BQ3" s="783">
        <v>0</v>
      </c>
      <c r="BR3" s="783">
        <v>0</v>
      </c>
      <c r="BS3" s="778">
        <v>0</v>
      </c>
      <c r="BT3" s="783">
        <v>0</v>
      </c>
      <c r="BU3" s="783">
        <v>0</v>
      </c>
      <c r="BV3" s="783">
        <v>0</v>
      </c>
      <c r="BW3" s="783">
        <v>0</v>
      </c>
      <c r="BX3" s="783">
        <v>0</v>
      </c>
      <c r="BY3" s="789">
        <v>0</v>
      </c>
      <c r="BZ3" s="789">
        <f>-BY3</f>
        <v>0</v>
      </c>
      <c r="CA3" s="789"/>
      <c r="CB3" s="789"/>
      <c r="CC3" s="789"/>
      <c r="CD3" s="789"/>
      <c r="CE3" s="1090">
        <v>0</v>
      </c>
    </row>
    <row r="4" spans="1:83" ht="18">
      <c r="A4" s="312"/>
      <c r="B4" s="75" t="s">
        <v>6</v>
      </c>
      <c r="C4" s="175" t="str">
        <f>MAIN!$C$4</f>
        <v>Column D2</v>
      </c>
      <c r="D4" s="449"/>
      <c r="E4" s="231"/>
      <c r="F4" s="231"/>
      <c r="G4" s="386"/>
      <c r="H4" s="183" t="s">
        <v>768</v>
      </c>
      <c r="I4" s="454">
        <f ca="1">MAIN!J4</f>
        <v>43629</v>
      </c>
      <c r="J4" s="170">
        <f>IF(MAIN!K4=0,"",2+MAIN!K4)</f>
        <v>281</v>
      </c>
      <c r="K4" s="312"/>
      <c r="L4" s="75" t="s">
        <v>6</v>
      </c>
      <c r="M4" s="175" t="str">
        <f>C4</f>
        <v>Column D2</v>
      </c>
      <c r="N4" s="449"/>
      <c r="O4" s="231"/>
      <c r="P4" s="231"/>
      <c r="Q4" s="386"/>
      <c r="R4" s="183" t="s">
        <v>768</v>
      </c>
      <c r="S4" s="454">
        <f ca="1">I4</f>
        <v>43629</v>
      </c>
      <c r="T4" s="170">
        <f>J4+1</f>
        <v>282</v>
      </c>
      <c r="U4" s="312"/>
      <c r="V4" s="434"/>
      <c r="W4" s="1058">
        <v>0</v>
      </c>
      <c r="X4" s="1052">
        <f t="shared" ref="X4:AG4" si="0">1*$AC$1</f>
        <v>0.5</v>
      </c>
      <c r="Y4" s="1052">
        <f t="shared" si="0"/>
        <v>0.5</v>
      </c>
      <c r="Z4" s="1052">
        <f t="shared" si="0"/>
        <v>0.5</v>
      </c>
      <c r="AA4" s="1052">
        <f t="shared" si="0"/>
        <v>0.5</v>
      </c>
      <c r="AB4" s="1052">
        <f t="shared" si="0"/>
        <v>0.5</v>
      </c>
      <c r="AC4" s="1052">
        <f t="shared" si="0"/>
        <v>0.5</v>
      </c>
      <c r="AD4" s="1052">
        <f t="shared" si="0"/>
        <v>0.5</v>
      </c>
      <c r="AE4" s="1052">
        <f t="shared" si="0"/>
        <v>0.5</v>
      </c>
      <c r="AF4" s="1052">
        <f t="shared" si="0"/>
        <v>0.5</v>
      </c>
      <c r="AG4" s="1052">
        <f t="shared" si="0"/>
        <v>0.5</v>
      </c>
      <c r="AH4" s="776">
        <f t="shared" ref="AH4:AH13" si="1">0.1+AH5</f>
        <v>0.99999999999999989</v>
      </c>
      <c r="AI4" s="776">
        <f>AD26</f>
        <v>124.694734508658</v>
      </c>
      <c r="AJ4" s="776">
        <f>ABS(G16)*IF(G17=0,0,1)</f>
        <v>0</v>
      </c>
      <c r="AK4" s="780">
        <f>-AJ4</f>
        <v>0</v>
      </c>
      <c r="AL4" s="778" t="str">
        <f>IF(AJ19=0,"",(AI4+AJ4)*AJ19)</f>
        <v/>
      </c>
      <c r="AM4" s="780">
        <f>IF(AK19=0,"",(AI4+AK4)*AK19)</f>
        <v>124.694734508658</v>
      </c>
      <c r="AN4" s="779">
        <f t="shared" ref="AN4:AN17" si="2">AO4</f>
        <v>0</v>
      </c>
      <c r="AO4" s="783">
        <f>IF(AK18=0,"", IF(AM21="N",G47*AK18*HLOOKUP($Z$1,W2:AG14,3), (-AO9/2*AK18)*Slen!N27))</f>
        <v>0</v>
      </c>
      <c r="AP4" s="783" t="str">
        <f>IF(AJ19=0,"",IF(AND(AL$4&gt;=AL$14,AL4&gt;(AL4+AN4),AM22="N"),AL4,AL4+AN4))</f>
        <v/>
      </c>
      <c r="AQ4" s="783">
        <f>IF(AK19=0,"",IF(AND(AM$4&lt;=AM$14,AM4&lt;(AM4+AO4),AM22="N"       ),AM4,AM4+AO4))</f>
        <v>124.694734508658</v>
      </c>
      <c r="AR4" s="788" t="str">
        <f>IF(G17=0,"",G17)</f>
        <v/>
      </c>
      <c r="AS4" s="788" t="str">
        <f>IF(G17=0,"",-AR4)</f>
        <v/>
      </c>
      <c r="AT4" s="789">
        <f t="shared" ref="AT4:AT14" si="3">MAX(AI4,AL4,AM4,AQ4,AP4,AQ4,AR4,BP4,BS4,BT4,BX4,BW4,BX4,BY4)</f>
        <v>124.694734508658</v>
      </c>
      <c r="AU4" s="789">
        <f t="shared" ref="AU4:AU14" si="4">MIN(AI4,AL4,AM4,AP4,AQ4,AS4,BP4,BS4,BT4,BW4,BX4,BZ4)</f>
        <v>-15.42623314118196</v>
      </c>
      <c r="AV4" s="789">
        <v>0</v>
      </c>
      <c r="AW4" s="789">
        <f>AU17</f>
        <v>-61.199526109531803</v>
      </c>
      <c r="AX4" s="1087">
        <f t="shared" ref="AX4:AX14" si="5">IF(ABS(IF(AP4="",0,AP4))&gt;ABS(IF(AQ4="",0,AQ4)),AP4,AQ4)</f>
        <v>124.694734508658</v>
      </c>
      <c r="BC4" s="434"/>
      <c r="BD4" s="1058">
        <v>0</v>
      </c>
      <c r="BE4" s="1052">
        <f t="shared" ref="BE4:BN4" si="6">1*$BJ$1</f>
        <v>0.5</v>
      </c>
      <c r="BF4" s="1052">
        <f t="shared" si="6"/>
        <v>0.5</v>
      </c>
      <c r="BG4" s="1052">
        <f t="shared" si="6"/>
        <v>0.5</v>
      </c>
      <c r="BH4" s="1052">
        <f t="shared" si="6"/>
        <v>0.5</v>
      </c>
      <c r="BI4" s="1052">
        <f t="shared" si="6"/>
        <v>0.5</v>
      </c>
      <c r="BJ4" s="1052">
        <f t="shared" si="6"/>
        <v>0.5</v>
      </c>
      <c r="BK4" s="1052">
        <f t="shared" si="6"/>
        <v>0.5</v>
      </c>
      <c r="BL4" s="1052">
        <f t="shared" si="6"/>
        <v>0.5</v>
      </c>
      <c r="BM4" s="1052">
        <f t="shared" si="6"/>
        <v>0.5</v>
      </c>
      <c r="BN4" s="1052">
        <f t="shared" si="6"/>
        <v>0.5</v>
      </c>
      <c r="BO4" s="778">
        <f t="shared" ref="BO4:BO13" si="7">0.1+BO5</f>
        <v>0.99999999999999989</v>
      </c>
      <c r="BP4" s="778">
        <f>AD33</f>
        <v>2.2957635792408801E-15</v>
      </c>
      <c r="BQ4" s="778">
        <f>IF(I19="Z",I16,0)</f>
        <v>4.976701850588559</v>
      </c>
      <c r="BR4" s="783">
        <f t="shared" ref="BR4:BR14" si="8">-BQ4</f>
        <v>-4.976701850588559</v>
      </c>
      <c r="BS4" s="778">
        <f>IF(BQ17=0,"",(BP4+BQ4)*BQ17)</f>
        <v>4.9767018505885616</v>
      </c>
      <c r="BT4" s="783">
        <f>IF(BR17=0,"",(BP4+BR4)*BR17)</f>
        <v>-4.9767018505885563</v>
      </c>
      <c r="BU4" s="783">
        <f t="shared" ref="BU4:BU14" si="9">BV4</f>
        <v>0</v>
      </c>
      <c r="BV4" s="783">
        <f>IF(BR19=0,"",    IF(BT21="N",I47*BR19*HLOOKUP($BG$1,BD2:BN14,3),(-BV9/2*BR19)*Slen!N10))</f>
        <v>0</v>
      </c>
      <c r="BW4" s="786">
        <f>IF(BQ17=0,"",IF(AND(BS$4&gt;=BS$14,BS4&gt;(BS4+BU4),BT22="N"      ),BS4,BS4+BU4))</f>
        <v>4.9767018505885616</v>
      </c>
      <c r="BX4" s="786">
        <f>IF(BR17=0,"",IF(AND(BT$4&lt;=BT$14,BT4&lt;(BT4+BV4),BT22="N" ),BT4,BT4+BV4))</f>
        <v>-4.9767018505885563</v>
      </c>
      <c r="BY4" s="789">
        <f>IF(I17=0,"",I17)</f>
        <v>15.42623314118196</v>
      </c>
      <c r="BZ4" s="789">
        <f>IF(I17=0,"",-BY4)</f>
        <v>-15.42623314118196</v>
      </c>
      <c r="CA4" s="789">
        <f t="shared" ref="CA4:CA14" si="10">MAX(BP4,BS4,BT4,BX4,BW4,BX4,BY4,AI4,AL4,AM4,AQ4,AP4,AQ4,AR4)</f>
        <v>124.694734508658</v>
      </c>
      <c r="CB4" s="789">
        <f t="shared" ref="CB4:CB14" si="11">MIN(AI4,AL4,AM4,AP4,AQ4,AS4,BP4,BS4,BT4,BW4,BX4,BZ4)</f>
        <v>-15.42623314118196</v>
      </c>
      <c r="CC4" s="789">
        <v>0</v>
      </c>
      <c r="CD4" s="789">
        <f>CB17</f>
        <v>-61.199526109531803</v>
      </c>
      <c r="CE4" s="1090">
        <f t="shared" ref="CE4:CE14" si="12">IF(ABS(IF(BW4="",0,BW4))&gt;ABS(IF(BX4="",0,BX4)),BW4,BX4)</f>
        <v>-4.9767018505885563</v>
      </c>
    </row>
    <row r="5" spans="1:83" ht="27.75" customHeight="1">
      <c r="A5" s="312"/>
      <c r="B5" s="455"/>
      <c r="C5" s="1261" t="str">
        <f>MAIN!C5</f>
        <v>SYMMETRICALLY REINFORCED RECTANGULAR COLUMN DESIGN, BENT ABOUT TWO AXES TO EN 1992-1 : 2004</v>
      </c>
      <c r="D5" s="1271"/>
      <c r="E5" s="1271"/>
      <c r="F5" s="1271"/>
      <c r="G5" s="1262"/>
      <c r="H5" s="445" t="s">
        <v>41</v>
      </c>
      <c r="I5" s="446" t="s">
        <v>9</v>
      </c>
      <c r="J5" s="447" t="s">
        <v>10</v>
      </c>
      <c r="K5" s="312"/>
      <c r="L5" s="455"/>
      <c r="M5" s="1261" t="str">
        <f>C5</f>
        <v>SYMMETRICALLY REINFORCED RECTANGULAR COLUMN DESIGN, BENT ABOUT TWO AXES TO EN 1992-1 : 2004</v>
      </c>
      <c r="N5" s="1271"/>
      <c r="O5" s="1271"/>
      <c r="P5" s="1271"/>
      <c r="Q5" s="1262"/>
      <c r="R5" s="445" t="s">
        <v>41</v>
      </c>
      <c r="S5" s="446" t="s">
        <v>9</v>
      </c>
      <c r="T5" s="447" t="s">
        <v>10</v>
      </c>
      <c r="U5" s="312"/>
      <c r="V5" s="833" t="str">
        <f>MAIN!E29</f>
        <v>CRITICAL AXIS</v>
      </c>
      <c r="W5" s="1053">
        <f t="shared" ref="W5:W13" si="13">-(1-(($AH5)/(1-W$2))^2)*$AF$1</f>
        <v>-0.19000000000000017</v>
      </c>
      <c r="X5" s="1058">
        <f>1-((1-$AH5)/X$2)^2</f>
        <v>-1.7763568394002505E-15</v>
      </c>
      <c r="Y5" s="1052">
        <f t="shared" ref="Y5:AG5" si="14">(1-((1-$AH5)/Y$2)^2)*$AC$1</f>
        <v>0.37499999999999978</v>
      </c>
      <c r="Z5" s="1052">
        <f t="shared" si="14"/>
        <v>0.44444444444444431</v>
      </c>
      <c r="AA5" s="1052">
        <f t="shared" si="14"/>
        <v>0.46874999999999994</v>
      </c>
      <c r="AB5" s="1052">
        <f t="shared" si="14"/>
        <v>0.48</v>
      </c>
      <c r="AC5" s="1052">
        <f t="shared" si="14"/>
        <v>0.4861111111111111</v>
      </c>
      <c r="AD5" s="1052">
        <f t="shared" si="14"/>
        <v>0.48979591836734693</v>
      </c>
      <c r="AE5" s="1052">
        <f t="shared" si="14"/>
        <v>0.4921875</v>
      </c>
      <c r="AF5" s="1052">
        <f t="shared" si="14"/>
        <v>0.49382716049382713</v>
      </c>
      <c r="AG5" s="1052">
        <f t="shared" si="14"/>
        <v>0.495</v>
      </c>
      <c r="AH5" s="776">
        <f t="shared" si="1"/>
        <v>0.89999999999999991</v>
      </c>
      <c r="AI5" s="776">
        <f>AI9+(AI4-AI9)*0.8</f>
        <v>106.10530844683902</v>
      </c>
      <c r="AJ5" s="776">
        <f t="shared" ref="AJ5:AJ13" si="15">AJ4</f>
        <v>0</v>
      </c>
      <c r="AK5" s="780">
        <f t="shared" ref="AK5:AK13" si="16">AK4</f>
        <v>0</v>
      </c>
      <c r="AL5" s="778" t="str">
        <f>IF(AJ19=0,"",AL8+(AL4-AL8)*0.75)</f>
        <v/>
      </c>
      <c r="AM5" s="784">
        <f>IF(AK19=0,"",AM8+(AM4-AM8)*0.75)</f>
        <v>106.10530844683902</v>
      </c>
      <c r="AN5" s="1091">
        <f t="shared" si="2"/>
        <v>0</v>
      </c>
      <c r="AO5" s="783">
        <f>IF(AK18=0,"",IF(AM21="N",AO17*HLOOKUP($Z$1,W2:AG14,4),(AO9-0.4*0.4*AO19)*AK18))</f>
        <v>0</v>
      </c>
      <c r="AP5" s="786" t="str">
        <f>IF(AJ19=0,"",IF(AND(AL$4&gt;=AL$14,AL5&gt;(AL5+AN5),AM22="N"  ),AL5,AL5+AN5))</f>
        <v/>
      </c>
      <c r="AQ5" s="786">
        <f>IF(AK19=0,"",IF(AND(AM$4&lt;=AM$14,AM5&lt;(AM5+AO5),AM22="N"           ),AM5,AM5+AO5))</f>
        <v>106.10530844683902</v>
      </c>
      <c r="AR5" s="788" t="str">
        <f t="shared" ref="AR5:AR14" si="17">AR4</f>
        <v/>
      </c>
      <c r="AS5" s="788" t="str">
        <f t="shared" ref="AS5:AS14" si="18">AS4</f>
        <v/>
      </c>
      <c r="AT5" s="791">
        <f t="shared" si="3"/>
        <v>106.10530844683902</v>
      </c>
      <c r="AU5" s="791">
        <f t="shared" si="4"/>
        <v>-15.42623314118196</v>
      </c>
      <c r="AV5" s="789">
        <v>0</v>
      </c>
      <c r="AW5" s="789">
        <f>AT17</f>
        <v>124.694734508658</v>
      </c>
      <c r="AX5" s="1089">
        <f t="shared" si="5"/>
        <v>106.10530844683902</v>
      </c>
      <c r="BC5" s="434"/>
      <c r="BD5" s="1053">
        <f t="shared" ref="BD5:BD13" si="19">-(1-(($AH5)/(1-BD$2))^2)*$BM$1</f>
        <v>-0.19000000000000017</v>
      </c>
      <c r="BE5" s="1058">
        <f>1-((1-$AH5)/BE$2)^2</f>
        <v>-1.7763568394002505E-15</v>
      </c>
      <c r="BF5" s="1052">
        <f t="shared" ref="BF5:BN5" si="20">(1-((1-$AH5)/BF$2)^2)*$BJ$1</f>
        <v>0.37499999999999978</v>
      </c>
      <c r="BG5" s="1052">
        <f t="shared" si="20"/>
        <v>0.44444444444444431</v>
      </c>
      <c r="BH5" s="1052">
        <f t="shared" si="20"/>
        <v>0.46874999999999994</v>
      </c>
      <c r="BI5" s="1052">
        <f t="shared" si="20"/>
        <v>0.48</v>
      </c>
      <c r="BJ5" s="1052">
        <f t="shared" si="20"/>
        <v>0.4861111111111111</v>
      </c>
      <c r="BK5" s="1052">
        <f t="shared" si="20"/>
        <v>0.48979591836734693</v>
      </c>
      <c r="BL5" s="1052">
        <f t="shared" si="20"/>
        <v>0.4921875</v>
      </c>
      <c r="BM5" s="1052">
        <f t="shared" si="20"/>
        <v>0.49382716049382713</v>
      </c>
      <c r="BN5" s="1052">
        <f t="shared" si="20"/>
        <v>0.495</v>
      </c>
      <c r="BO5" s="778">
        <f t="shared" si="7"/>
        <v>0.89999999999999991</v>
      </c>
      <c r="BP5" s="783">
        <f>BP9+(BP4-BP9)*0.8</f>
        <v>2.0661872213167921E-15</v>
      </c>
      <c r="BQ5" s="778">
        <f t="shared" ref="BQ5:BQ14" si="21">BQ4</f>
        <v>4.976701850588559</v>
      </c>
      <c r="BR5" s="783">
        <f t="shared" si="8"/>
        <v>-4.976701850588559</v>
      </c>
      <c r="BS5" s="784">
        <f>IF(BQ17=0,"",BS8+(BS4-BS8)*0.75)</f>
        <v>4.9767018505885616</v>
      </c>
      <c r="BT5" s="784">
        <f>IF(BR17=0,"",BT8+(BT4-BT8)*0.75)</f>
        <v>-4.9767018505885563</v>
      </c>
      <c r="BU5" s="1091">
        <f t="shared" si="9"/>
        <v>0</v>
      </c>
      <c r="BV5" s="783">
        <f>IF(BR19=0,"",     IF(BT21="N",I47*BR19*HLOOKUP($BG$1,BD2:BN14,4),                  (BV9-0.4*0.4*BV19)*BR19))</f>
        <v>0</v>
      </c>
      <c r="BW5" s="786">
        <f>IF(BQ17=0,"",IF(AND(BS$4&gt;=BS$14,BS5&gt;(BS5+BU5),BT22="N" ),BS5,BS5+BU5))</f>
        <v>4.9767018505885616</v>
      </c>
      <c r="BX5" s="786">
        <f>IF(BR17=0,"",IF(AND(BT$4&lt;=BT$14,BT5&lt;(BT5+BV5),BT22="N"          ),BT5,BT5+BV5))</f>
        <v>-4.9767018505885563</v>
      </c>
      <c r="BY5" s="789">
        <f t="shared" ref="BY5:BY14" si="22">BY4</f>
        <v>15.42623314118196</v>
      </c>
      <c r="BZ5" s="789">
        <f t="shared" ref="BZ5:BZ14" si="23">BZ4</f>
        <v>-15.42623314118196</v>
      </c>
      <c r="CA5" s="791">
        <f t="shared" si="10"/>
        <v>106.10530844683902</v>
      </c>
      <c r="CB5" s="791">
        <f t="shared" si="11"/>
        <v>-15.42623314118196</v>
      </c>
      <c r="CC5" s="789">
        <v>0</v>
      </c>
      <c r="CD5" s="789">
        <f>CA17</f>
        <v>124.694734508658</v>
      </c>
      <c r="CE5" s="1090">
        <f t="shared" si="12"/>
        <v>-4.9767018505885563</v>
      </c>
    </row>
    <row r="6" spans="1:83" ht="18.75" thickBot="1">
      <c r="A6" s="312"/>
      <c r="B6" s="117"/>
      <c r="C6" s="845" t="str">
        <f ca="1">MAIN!D6&amp;MAIN!E6</f>
        <v>Originated from TCC53.xls  v4.45                     © 2000-19 TCC</v>
      </c>
      <c r="D6" s="846"/>
      <c r="E6" s="231"/>
      <c r="F6" s="1036"/>
      <c r="G6" s="386"/>
      <c r="H6" s="847" t="str">
        <f>IF(MAIN!I6=0,"",MAIN!I6)</f>
        <v/>
      </c>
      <c r="I6" s="848" t="str">
        <f>IF(MAIN!J6=0,"",MAIN!J6)</f>
        <v>-</v>
      </c>
      <c r="J6" s="849" t="str">
        <f>IF(MAIN!K6=0,"",MAIN!K6)</f>
        <v>FB625</v>
      </c>
      <c r="K6" s="312"/>
      <c r="L6" s="117"/>
      <c r="M6" s="845" t="str">
        <f ca="1">C6</f>
        <v>Originated from TCC53.xls  v4.45                     © 2000-19 TCC</v>
      </c>
      <c r="N6" s="846"/>
      <c r="O6" s="231"/>
      <c r="P6" s="231"/>
      <c r="Q6" s="386"/>
      <c r="R6" s="847" t="str">
        <f>H6</f>
        <v/>
      </c>
      <c r="S6" s="848" t="str">
        <f>I6</f>
        <v>-</v>
      </c>
      <c r="T6" s="849" t="str">
        <f>J6</f>
        <v>FB625</v>
      </c>
      <c r="U6" s="312"/>
      <c r="V6" s="312"/>
      <c r="W6" s="1053">
        <f t="shared" si="13"/>
        <v>-0.3600000000000001</v>
      </c>
      <c r="X6" s="1053">
        <f t="shared" ref="X6:X13" si="24">-(1-(($AH6)/(1-X$2))^2)*$AF$1</f>
        <v>-0.20987654320987659</v>
      </c>
      <c r="Y6" s="1058">
        <f>1-((1-$AH6)/Y$2)^2</f>
        <v>0</v>
      </c>
      <c r="Z6" s="1052">
        <f t="shared" ref="Z6:AG6" si="25">(1-((1-$AH6)/Z$2)^2)*$AC$1</f>
        <v>0.27777777777777757</v>
      </c>
      <c r="AA6" s="1052">
        <f t="shared" si="25"/>
        <v>0.37499999999999994</v>
      </c>
      <c r="AB6" s="1052">
        <f t="shared" si="25"/>
        <v>0.41999999999999993</v>
      </c>
      <c r="AC6" s="1052">
        <f t="shared" si="25"/>
        <v>0.44444444444444442</v>
      </c>
      <c r="AD6" s="1052">
        <f t="shared" si="25"/>
        <v>0.45918367346938771</v>
      </c>
      <c r="AE6" s="1052">
        <f t="shared" si="25"/>
        <v>0.46875</v>
      </c>
      <c r="AF6" s="1052">
        <f t="shared" si="25"/>
        <v>0.47530864197530864</v>
      </c>
      <c r="AG6" s="1052">
        <f t="shared" si="25"/>
        <v>0.48</v>
      </c>
      <c r="AH6" s="776">
        <f t="shared" si="1"/>
        <v>0.79999999999999993</v>
      </c>
      <c r="AI6" s="776">
        <f>AI9+(AI4-AI9)*0.6</f>
        <v>87.515882385020035</v>
      </c>
      <c r="AJ6" s="780">
        <f t="shared" si="15"/>
        <v>0</v>
      </c>
      <c r="AK6" s="780">
        <f t="shared" si="16"/>
        <v>0</v>
      </c>
      <c r="AL6" s="778" t="str">
        <f>IF(AJ19=0,"",AL8+(AL4-AL8)*0.5)</f>
        <v/>
      </c>
      <c r="AM6" s="784">
        <f>IF(AK19=0,"",AM8+(AM4-AM8)*0.5)</f>
        <v>87.515882385020035</v>
      </c>
      <c r="AN6" s="1091">
        <f t="shared" si="2"/>
        <v>0</v>
      </c>
      <c r="AO6" s="783">
        <f>IF(AK18=0,"",IF(AM21="N",AO17*HLOOKUP($Z$1,W2:AG14,5),(AO9-0.3*0.3*AO19)*AK18))</f>
        <v>0</v>
      </c>
      <c r="AP6" s="786" t="str">
        <f>IF(AJ19=0,"",IF(AND(AL$4&gt;=AL$14,AL6&gt;(AL6+AN6),AM22="N" ),AL6,AL6+AN6))</f>
        <v/>
      </c>
      <c r="AQ6" s="786">
        <f>IF(AK19=0,"",IF(AND(AM$4&lt;=AM$14,AM6&lt;(AM6+AO6),AM22="N"     ),AM6,AM6+AO6))</f>
        <v>87.515882385020035</v>
      </c>
      <c r="AR6" s="788" t="str">
        <f t="shared" si="17"/>
        <v/>
      </c>
      <c r="AS6" s="788" t="str">
        <f t="shared" si="18"/>
        <v/>
      </c>
      <c r="AT6" s="791">
        <f t="shared" si="3"/>
        <v>87.515882385020035</v>
      </c>
      <c r="AU6" s="791">
        <f t="shared" si="4"/>
        <v>-15.42623314118196</v>
      </c>
      <c r="AV6" s="789">
        <v>1</v>
      </c>
      <c r="AW6" s="789">
        <f>AT17</f>
        <v>124.694734508658</v>
      </c>
      <c r="AX6" s="1089">
        <f t="shared" si="5"/>
        <v>87.515882385020035</v>
      </c>
      <c r="BC6" s="312"/>
      <c r="BD6" s="1053">
        <f t="shared" si="19"/>
        <v>-0.3600000000000001</v>
      </c>
      <c r="BE6" s="1053">
        <f t="shared" ref="BE6:BE13" si="26">-(1-(($AH6)/(1-BE$2))^2)*$BM$1</f>
        <v>-0.20987654320987659</v>
      </c>
      <c r="BF6" s="1058">
        <f>1-((1-$AH6)/BF$2)^2</f>
        <v>0</v>
      </c>
      <c r="BG6" s="1052">
        <f t="shared" ref="BG6:BN6" si="27">(1-((1-$AH6)/BG$2)^2)*$BJ$1</f>
        <v>0.27777777777777757</v>
      </c>
      <c r="BH6" s="1052">
        <f t="shared" si="27"/>
        <v>0.37499999999999994</v>
      </c>
      <c r="BI6" s="1052">
        <f t="shared" si="27"/>
        <v>0.41999999999999993</v>
      </c>
      <c r="BJ6" s="1052">
        <f t="shared" si="27"/>
        <v>0.44444444444444442</v>
      </c>
      <c r="BK6" s="1052">
        <f t="shared" si="27"/>
        <v>0.45918367346938771</v>
      </c>
      <c r="BL6" s="1052">
        <f t="shared" si="27"/>
        <v>0.46875</v>
      </c>
      <c r="BM6" s="1052">
        <f t="shared" si="27"/>
        <v>0.47530864197530864</v>
      </c>
      <c r="BN6" s="1052">
        <f t="shared" si="27"/>
        <v>0.48</v>
      </c>
      <c r="BO6" s="778">
        <f t="shared" si="7"/>
        <v>0.79999999999999993</v>
      </c>
      <c r="BP6" s="783">
        <f>BP9+(BP4-BP9)*0.6</f>
        <v>1.8366108633927041E-15</v>
      </c>
      <c r="BQ6" s="783">
        <f t="shared" si="21"/>
        <v>4.976701850588559</v>
      </c>
      <c r="BR6" s="783">
        <f t="shared" si="8"/>
        <v>-4.976701850588559</v>
      </c>
      <c r="BS6" s="784">
        <f>IF(BQ17=0,"",BS8+(BS4-BS8)*0.5)</f>
        <v>4.9767018505885616</v>
      </c>
      <c r="BT6" s="784">
        <f>IF(BR17=0,"",BT8+(BT4-BT8)*0.5)</f>
        <v>-4.9767018505885563</v>
      </c>
      <c r="BU6" s="1091">
        <f t="shared" si="9"/>
        <v>0</v>
      </c>
      <c r="BV6" s="783">
        <f>IF(BR19=0,"",                 IF(BT21="N",I47*BR19*HLOOKUP($BG$1,BD2:BN14,5),                                  (BV9-0.3*0.3*BV19)*BR19))</f>
        <v>0</v>
      </c>
      <c r="BW6" s="786">
        <f>IF(BQ17=0,"",IF(AND(BS$4&gt;=BS$14,BS6&gt;(BS6+BU6),BT22="N"            ),BS6,BS6+BU6))</f>
        <v>4.9767018505885616</v>
      </c>
      <c r="BX6" s="786">
        <f>IF(BR17=0,"",IF(AND(BT$4&lt;=BT$14,BT6&lt;(BT6+BV6),BT22="N"        ),BT6,BT6+BV6))</f>
        <v>-4.9767018505885563</v>
      </c>
      <c r="BY6" s="789">
        <f t="shared" si="22"/>
        <v>15.42623314118196</v>
      </c>
      <c r="BZ6" s="789">
        <f t="shared" si="23"/>
        <v>-15.42623314118196</v>
      </c>
      <c r="CA6" s="791">
        <f t="shared" si="10"/>
        <v>87.515882385020035</v>
      </c>
      <c r="CB6" s="791">
        <f t="shared" si="11"/>
        <v>-15.42623314118196</v>
      </c>
      <c r="CC6" s="789">
        <v>1</v>
      </c>
      <c r="CD6" s="789">
        <f>CA17</f>
        <v>124.694734508658</v>
      </c>
      <c r="CE6" s="1090">
        <f t="shared" si="12"/>
        <v>-4.9767018505885563</v>
      </c>
    </row>
    <row r="7" spans="1:83" ht="25.15" customHeight="1">
      <c r="A7" s="312"/>
      <c r="B7" s="850" t="s">
        <v>543</v>
      </c>
      <c r="C7" s="851"/>
      <c r="D7" s="852"/>
      <c r="E7" s="1034" t="str">
        <f>"        For Loadcase"</f>
        <v xml:space="preserve">        For Loadcase</v>
      </c>
      <c r="F7" s="1037">
        <f>MAIN!J42</f>
        <v>1</v>
      </c>
      <c r="G7" s="854" t="str">
        <f>"Try "&amp;MAIN!C13&amp;" x "&amp;MAIN!C14&amp;" column with "&amp;    VLOOKUP(Cases!CM17,MAIN!B51:K56,9)      &amp;" bars"</f>
        <v>Try 1200 x 300 column with 8 H16 bars</v>
      </c>
      <c r="H7" s="855"/>
      <c r="I7" s="853"/>
      <c r="J7" s="856"/>
      <c r="K7" s="312"/>
      <c r="L7" s="850" t="s">
        <v>620</v>
      </c>
      <c r="M7" s="851"/>
      <c r="N7" s="1268" t="str">
        <f>"For Loadcase"</f>
        <v>For Loadcase</v>
      </c>
      <c r="O7" s="1268"/>
      <c r="P7" s="1018">
        <f>F7</f>
        <v>1</v>
      </c>
      <c r="Q7" s="891"/>
      <c r="R7" s="892"/>
      <c r="S7" s="853"/>
      <c r="T7" s="856"/>
      <c r="U7" s="312"/>
      <c r="V7" s="436"/>
      <c r="W7" s="1053">
        <f t="shared" si="13"/>
        <v>-0.51</v>
      </c>
      <c r="X7" s="1053">
        <f t="shared" si="24"/>
        <v>-0.39506172839506193</v>
      </c>
      <c r="Y7" s="1053">
        <f t="shared" ref="Y7:Y13" si="28">-(1-(($AH7)/(1-Y$2))^2)*$AF$1</f>
        <v>-0.23437500000000022</v>
      </c>
      <c r="Z7" s="1058">
        <f>1-((1-$AH7)/Z$2)^2</f>
        <v>0</v>
      </c>
      <c r="AA7" s="1052">
        <f t="shared" ref="AA7:AG7" si="29">(1-((1-$AH7)/AA$2)^2)*$AC$1</f>
        <v>0.21874999999999989</v>
      </c>
      <c r="AB7" s="1052">
        <f t="shared" si="29"/>
        <v>0.31999999999999995</v>
      </c>
      <c r="AC7" s="1052">
        <f t="shared" si="29"/>
        <v>0.37499999999999994</v>
      </c>
      <c r="AD7" s="1052">
        <f t="shared" si="29"/>
        <v>0.4081632653061224</v>
      </c>
      <c r="AE7" s="1052">
        <f t="shared" si="29"/>
        <v>0.4296875</v>
      </c>
      <c r="AF7" s="1052">
        <f t="shared" si="29"/>
        <v>0.44444444444444442</v>
      </c>
      <c r="AG7" s="1052">
        <f t="shared" si="29"/>
        <v>0.45499999999999996</v>
      </c>
      <c r="AH7" s="776">
        <f t="shared" si="1"/>
        <v>0.7</v>
      </c>
      <c r="AI7" s="776">
        <f>AI9+(AI4-AI9)*0.4</f>
        <v>68.926456323201052</v>
      </c>
      <c r="AJ7" s="780">
        <f t="shared" si="15"/>
        <v>0</v>
      </c>
      <c r="AK7" s="780">
        <f t="shared" si="16"/>
        <v>0</v>
      </c>
      <c r="AL7" s="778" t="str">
        <f>IF(AJ19=0,"",AL8+(AL4-AL8)*0.25)</f>
        <v/>
      </c>
      <c r="AM7" s="784">
        <f>IF(AK19=0,"",AM8+(AM4-AM8)*0.25)</f>
        <v>68.926456323201066</v>
      </c>
      <c r="AN7" s="1091">
        <f t="shared" si="2"/>
        <v>0</v>
      </c>
      <c r="AO7" s="783">
        <f>IF(AK18=0,"",IF(AM21="N",AO17*HLOOKUP($Z$1,W2:AG14,6),(AO9-(0.2*0.2)*AO19)*AK18))</f>
        <v>0</v>
      </c>
      <c r="AP7" s="786" t="str">
        <f>IF(AJ19=0,"",IF(AND(AL$4&gt;=AL$14,AL7&gt;(AL7+AN7),AM22="N"  ),AL7,AL7+AN7))</f>
        <v/>
      </c>
      <c r="AQ7" s="786">
        <f>IF(AK19=0,"",IF(AND(AM$4&lt;=AM$14,AM7&lt;(AM7+AO7),AM22="N"     ),AM7,AM7+AO7))</f>
        <v>68.926456323201066</v>
      </c>
      <c r="AR7" s="788" t="str">
        <f t="shared" si="17"/>
        <v/>
      </c>
      <c r="AS7" s="788" t="str">
        <f t="shared" si="18"/>
        <v/>
      </c>
      <c r="AT7" s="791">
        <f t="shared" si="3"/>
        <v>68.926456323201066</v>
      </c>
      <c r="AU7" s="791">
        <f t="shared" si="4"/>
        <v>-15.42623314118196</v>
      </c>
      <c r="AV7" s="789">
        <v>1</v>
      </c>
      <c r="AW7" s="789">
        <f>AU17</f>
        <v>-61.199526109531803</v>
      </c>
      <c r="AX7" s="1089">
        <f t="shared" si="5"/>
        <v>68.926456323201066</v>
      </c>
      <c r="BC7" s="436"/>
      <c r="BD7" s="1053">
        <f t="shared" si="19"/>
        <v>-0.51</v>
      </c>
      <c r="BE7" s="1053">
        <f t="shared" si="26"/>
        <v>-0.39506172839506193</v>
      </c>
      <c r="BF7" s="1053">
        <f t="shared" ref="BF7:BF13" si="30">-(1-(($AH7)/(1-BF$2))^2)*$BM$1</f>
        <v>-0.23437500000000022</v>
      </c>
      <c r="BG7" s="1058">
        <f>1-((1-$AH7)/BG$2)^2</f>
        <v>0</v>
      </c>
      <c r="BH7" s="1052">
        <f t="shared" ref="BH7:BN7" si="31">(1-((1-$AH7)/BH$2)^2)*$BJ$1</f>
        <v>0.21874999999999989</v>
      </c>
      <c r="BI7" s="1052">
        <f t="shared" si="31"/>
        <v>0.31999999999999995</v>
      </c>
      <c r="BJ7" s="1052">
        <f t="shared" si="31"/>
        <v>0.37499999999999994</v>
      </c>
      <c r="BK7" s="1052">
        <f t="shared" si="31"/>
        <v>0.4081632653061224</v>
      </c>
      <c r="BL7" s="1052">
        <f t="shared" si="31"/>
        <v>0.4296875</v>
      </c>
      <c r="BM7" s="1052">
        <f t="shared" si="31"/>
        <v>0.44444444444444442</v>
      </c>
      <c r="BN7" s="1052">
        <f t="shared" si="31"/>
        <v>0.45499999999999996</v>
      </c>
      <c r="BO7" s="778">
        <f t="shared" si="7"/>
        <v>0.7</v>
      </c>
      <c r="BP7" s="783">
        <f>BP9+(BP4-BP9)*0.4</f>
        <v>1.6070345054686161E-15</v>
      </c>
      <c r="BQ7" s="783">
        <f t="shared" si="21"/>
        <v>4.976701850588559</v>
      </c>
      <c r="BR7" s="783">
        <f t="shared" si="8"/>
        <v>-4.976701850588559</v>
      </c>
      <c r="BS7" s="784">
        <f>IF(BQ17=0,"",BS8+(BS4-BS8)*0.25)</f>
        <v>4.9767018505885607</v>
      </c>
      <c r="BT7" s="784">
        <f>IF(BR17=0,"",BT8+(BT4-BT8)*0.25)</f>
        <v>-4.9767018505885572</v>
      </c>
      <c r="BU7" s="1091">
        <f t="shared" si="9"/>
        <v>0</v>
      </c>
      <c r="BV7" s="783">
        <f>IF(BR19=0,"",                      IF(BT21="N",  I47*BR19*HLOOKUP($BG$1,BD2:BN14,6),          (BV9-(0.2*0.2)*BV19)*BR19))</f>
        <v>0</v>
      </c>
      <c r="BW7" s="786">
        <f>IF(BQ17=0,"",IF(AND(BS$4&gt;=BS$14,BS7&gt;(BS7+BU7),BT22="N"          ),BS7,BS7+BU7))</f>
        <v>4.9767018505885607</v>
      </c>
      <c r="BX7" s="786">
        <f>IF(BR17=0,"",IF(AND(BT$4&lt;=BT$14,BT7&lt;(BT7+BV7),BT22="N"            ),BT7,BT7+BV7))</f>
        <v>-4.9767018505885572</v>
      </c>
      <c r="BY7" s="789">
        <f t="shared" si="22"/>
        <v>15.42623314118196</v>
      </c>
      <c r="BZ7" s="789">
        <f t="shared" si="23"/>
        <v>-15.42623314118196</v>
      </c>
      <c r="CA7" s="791">
        <f t="shared" si="10"/>
        <v>68.926456323201066</v>
      </c>
      <c r="CB7" s="791">
        <f t="shared" si="11"/>
        <v>-15.42623314118196</v>
      </c>
      <c r="CC7" s="789">
        <v>1</v>
      </c>
      <c r="CD7" s="789">
        <f>CB17</f>
        <v>-61.199526109531803</v>
      </c>
      <c r="CE7" s="1090">
        <f t="shared" si="12"/>
        <v>-4.9767018505885572</v>
      </c>
    </row>
    <row r="8" spans="1:83" ht="18" customHeight="1">
      <c r="A8" s="312"/>
      <c r="B8" s="857"/>
      <c r="C8" s="452"/>
      <c r="D8" s="101"/>
      <c r="E8" s="453"/>
      <c r="F8" s="453"/>
      <c r="G8" s="451"/>
      <c r="H8" s="102"/>
      <c r="I8" s="453"/>
      <c r="J8" s="858"/>
      <c r="K8" s="312"/>
      <c r="L8" s="857"/>
      <c r="M8" s="452"/>
      <c r="N8" s="101"/>
      <c r="O8" s="453"/>
      <c r="P8" s="453"/>
      <c r="Q8" s="829"/>
      <c r="R8" s="102"/>
      <c r="S8" s="453"/>
      <c r="T8" s="858"/>
      <c r="U8" s="312"/>
      <c r="V8" s="437"/>
      <c r="W8" s="1053">
        <f t="shared" si="13"/>
        <v>-0.64</v>
      </c>
      <c r="X8" s="1053">
        <f t="shared" si="24"/>
        <v>-0.55555555555555558</v>
      </c>
      <c r="Y8" s="1053">
        <f t="shared" si="28"/>
        <v>-0.43750000000000022</v>
      </c>
      <c r="Z8" s="1053">
        <f t="shared" ref="Z8:Z13" si="32">-(1-(($AH8)/(1-Z$2))^2)*$AF$1</f>
        <v>-0.26530612244897944</v>
      </c>
      <c r="AA8" s="1058">
        <f>1-((1-$AH8)/AA$2)^2</f>
        <v>0</v>
      </c>
      <c r="AB8" s="1052">
        <f t="shared" ref="AB8:AG8" si="33">(1-((1-$AH8)/AB$2)^2)*$AC$1</f>
        <v>0.17999999999999994</v>
      </c>
      <c r="AC8" s="1052">
        <f t="shared" si="33"/>
        <v>0.27777777777777773</v>
      </c>
      <c r="AD8" s="1052">
        <f t="shared" si="33"/>
        <v>0.33673469387755095</v>
      </c>
      <c r="AE8" s="1052">
        <f t="shared" si="33"/>
        <v>0.375</v>
      </c>
      <c r="AF8" s="1052">
        <f t="shared" si="33"/>
        <v>0.40123456790123457</v>
      </c>
      <c r="AG8" s="1052">
        <f t="shared" si="33"/>
        <v>0.42</v>
      </c>
      <c r="AH8" s="776">
        <f t="shared" si="1"/>
        <v>0.6</v>
      </c>
      <c r="AI8" s="776">
        <f>AI9+(AI4-AI9)*0.2</f>
        <v>50.337030261382083</v>
      </c>
      <c r="AJ8" s="780">
        <f t="shared" si="15"/>
        <v>0</v>
      </c>
      <c r="AK8" s="780">
        <f t="shared" si="16"/>
        <v>0</v>
      </c>
      <c r="AL8" s="778" t="str">
        <f xml:space="preserve">  IF(AJ19=0,"",    IF(ABS(AL4)&gt;=ABS(AL14),             SIGN(AL4)*           MAX(          ABS(   0.4*AL4     ),         ABS(    (AI8+AJ8)      )     ),          (AI8+AJ8)       )                                  *AJ17)</f>
        <v/>
      </c>
      <c r="AM8" s="785">
        <f xml:space="preserve">    IF(AK19=0,"",  IF(ABS(AM4)&gt;=ABS(AM14),SIGN(AM4)*MAX(ABS(0.4*AM4),ABS((AI8+AK8))),          (AI8+AK8)       )                                  *AK17)</f>
        <v>50.337030261382083</v>
      </c>
      <c r="AN8" s="1091">
        <f t="shared" si="2"/>
        <v>0</v>
      </c>
      <c r="AO8" s="783">
        <f>IF(AK18=0,"",IF(AM21="N",AO17* HLOOKUP($Z$1,W2:AG14,7),AO9))</f>
        <v>0</v>
      </c>
      <c r="AP8" s="783" t="str">
        <f>IF(AJ19=0,"",AL8+AN8)</f>
        <v/>
      </c>
      <c r="AQ8" s="783">
        <f>IF(AK19=0,"",AM8+AO8)</f>
        <v>50.337030261382083</v>
      </c>
      <c r="AR8" s="788" t="str">
        <f t="shared" si="17"/>
        <v/>
      </c>
      <c r="AS8" s="788" t="str">
        <f t="shared" si="18"/>
        <v/>
      </c>
      <c r="AT8" s="791">
        <f t="shared" si="3"/>
        <v>50.337030261382083</v>
      </c>
      <c r="AU8" s="791">
        <f t="shared" si="4"/>
        <v>-15.42623314118196</v>
      </c>
      <c r="AV8" s="789">
        <v>0</v>
      </c>
      <c r="AW8" s="789">
        <f>AU17</f>
        <v>-61.199526109531803</v>
      </c>
      <c r="AX8" s="1089">
        <f t="shared" si="5"/>
        <v>50.337030261382083</v>
      </c>
      <c r="BC8" s="437"/>
      <c r="BD8" s="1053">
        <f t="shared" si="19"/>
        <v>-0.64</v>
      </c>
      <c r="BE8" s="1053">
        <f t="shared" si="26"/>
        <v>-0.55555555555555558</v>
      </c>
      <c r="BF8" s="1053">
        <f t="shared" si="30"/>
        <v>-0.43750000000000022</v>
      </c>
      <c r="BG8" s="1053">
        <f t="shared" ref="BG8:BG13" si="34">-(1-(($AH8)/(1-BG$2))^2)*$BM$1</f>
        <v>-0.26530612244897944</v>
      </c>
      <c r="BH8" s="1058">
        <f>1-((1-$AH8)/BH$2)^2</f>
        <v>0</v>
      </c>
      <c r="BI8" s="1052">
        <f t="shared" ref="BI8:BN8" si="35">(1-((1-$AH8)/BI$2)^2)*$BJ$1</f>
        <v>0.17999999999999994</v>
      </c>
      <c r="BJ8" s="1052">
        <f t="shared" si="35"/>
        <v>0.27777777777777773</v>
      </c>
      <c r="BK8" s="1052">
        <f t="shared" si="35"/>
        <v>0.33673469387755095</v>
      </c>
      <c r="BL8" s="1052">
        <f t="shared" si="35"/>
        <v>0.375</v>
      </c>
      <c r="BM8" s="1052">
        <f t="shared" si="35"/>
        <v>0.40123456790123457</v>
      </c>
      <c r="BN8" s="1052">
        <f t="shared" si="35"/>
        <v>0.42</v>
      </c>
      <c r="BO8" s="778">
        <f t="shared" si="7"/>
        <v>0.6</v>
      </c>
      <c r="BP8" s="783">
        <f>BP9+(BP4-BP9)*0.2</f>
        <v>1.3774581475445281E-15</v>
      </c>
      <c r="BQ8" s="783">
        <f t="shared" si="21"/>
        <v>4.976701850588559</v>
      </c>
      <c r="BR8" s="783">
        <f t="shared" si="8"/>
        <v>-4.976701850588559</v>
      </c>
      <c r="BS8" s="785">
        <f xml:space="preserve">   IF(BQ17=0,"",   IF(ABS(BS4)&gt;=ABS(BS14),       SIGN(BS4)*         MAX(      ABS(0.4*BS4 ),ABS(BP8+BQ8)),          (BP8+BQ8)       )                                  *BQ17)</f>
        <v>4.9767018505885607</v>
      </c>
      <c r="BT8" s="785">
        <f xml:space="preserve">   IF(BR17=0,"",   IF(ABS(BT4)&gt;=ABS(BT14),       SIGN(BT4)*       MAX(ABS(0.4*BT4),ABS(BP8+BR8)),          (BP8+BR8)       )                                  *BR17)</f>
        <v>-4.9767018505885572</v>
      </c>
      <c r="BU8" s="1091">
        <f t="shared" si="9"/>
        <v>0</v>
      </c>
      <c r="BV8" s="783">
        <f>IF(BR19=0,"",           IF(BT21="N",     I47*BR19*HLOOKUP($BG$1,BD2:BN14,7),                          BV9))</f>
        <v>0</v>
      </c>
      <c r="BW8" s="784">
        <f>IF(BQ17=0,"",BS8+BU8)</f>
        <v>4.9767018505885607</v>
      </c>
      <c r="BX8" s="783">
        <f>IF(BR17=0,"",BT8+BV8)</f>
        <v>-4.9767018505885572</v>
      </c>
      <c r="BY8" s="789">
        <f t="shared" si="22"/>
        <v>15.42623314118196</v>
      </c>
      <c r="BZ8" s="789">
        <f t="shared" si="23"/>
        <v>-15.42623314118196</v>
      </c>
      <c r="CA8" s="791">
        <f t="shared" si="10"/>
        <v>50.337030261382083</v>
      </c>
      <c r="CB8" s="791">
        <f t="shared" si="11"/>
        <v>-15.42623314118196</v>
      </c>
      <c r="CC8" s="789">
        <v>0</v>
      </c>
      <c r="CD8" s="789">
        <f>CB17</f>
        <v>-61.199526109531803</v>
      </c>
      <c r="CE8" s="1090">
        <f t="shared" si="12"/>
        <v>-4.9767018505885572</v>
      </c>
    </row>
    <row r="9" spans="1:83" ht="15" customHeight="1">
      <c r="A9" s="312"/>
      <c r="B9" s="859" t="s">
        <v>492</v>
      </c>
      <c r="C9" s="451"/>
      <c r="D9" s="101"/>
      <c r="E9" s="106"/>
      <c r="F9" s="106"/>
      <c r="G9" s="466" t="s">
        <v>301</v>
      </c>
      <c r="H9" s="102"/>
      <c r="I9" s="466" t="s">
        <v>302</v>
      </c>
      <c r="J9" s="858"/>
      <c r="K9" s="312"/>
      <c r="L9" s="859"/>
      <c r="M9" s="451"/>
      <c r="N9" s="1272" t="s">
        <v>505</v>
      </c>
      <c r="O9" s="1272"/>
      <c r="P9" s="441"/>
      <c r="Q9" s="441"/>
      <c r="R9" s="889" t="s">
        <v>719</v>
      </c>
      <c r="S9" s="451"/>
      <c r="T9" s="858"/>
      <c r="U9" s="312"/>
      <c r="V9" s="437"/>
      <c r="W9" s="1053">
        <f t="shared" si="13"/>
        <v>-0.75</v>
      </c>
      <c r="X9" s="1053">
        <f t="shared" si="24"/>
        <v>-0.69135802469135799</v>
      </c>
      <c r="Y9" s="1053">
        <f t="shared" si="28"/>
        <v>-0.609375</v>
      </c>
      <c r="Z9" s="1053">
        <f t="shared" si="32"/>
        <v>-0.48979591836734693</v>
      </c>
      <c r="AA9" s="1053">
        <f>-(1-(($AH9)/(1-AA$2))^2)*$AF$1</f>
        <v>-0.30555555555555547</v>
      </c>
      <c r="AB9" s="1058">
        <v>0</v>
      </c>
      <c r="AC9" s="1052">
        <f>(1-((1-$AH9)/AC$2)^2)*$AC$1</f>
        <v>0.15277777777777773</v>
      </c>
      <c r="AD9" s="1052">
        <f>(1-((1-$AH9)/AD$2)^2)*$AC$1</f>
        <v>0.24489795918367346</v>
      </c>
      <c r="AE9" s="1052">
        <f>(1-((1-$AH9)/AE$2)^2)*$AC$1</f>
        <v>0.3046875</v>
      </c>
      <c r="AF9" s="1052">
        <f>(1-((1-$AH9)/AF$2)^2)*$AC$1</f>
        <v>0.34567901234567899</v>
      </c>
      <c r="AG9" s="1052">
        <f>(1-((1-$AH9)/AG$2)^2)*$AC$1</f>
        <v>0.375</v>
      </c>
      <c r="AH9" s="776">
        <f t="shared" si="1"/>
        <v>0.5</v>
      </c>
      <c r="AI9" s="783">
        <f>(AI4+AI14)/2</f>
        <v>31.747604199563099</v>
      </c>
      <c r="AJ9" s="780">
        <f t="shared" si="15"/>
        <v>0</v>
      </c>
      <c r="AK9" s="780">
        <f t="shared" si="16"/>
        <v>0</v>
      </c>
      <c r="AL9" s="778" t="str">
        <f>IF(AJ19=0,"",(AL8+AL10)/2)</f>
        <v/>
      </c>
      <c r="AM9" s="784">
        <f>IF(AK19=0,"",(AM8+AM10)/2)</f>
        <v>31.747604199563099</v>
      </c>
      <c r="AN9" s="1091">
        <f t="shared" si="2"/>
        <v>0</v>
      </c>
      <c r="AO9" s="783">
        <f>IF(AK18=0,"",IF(AM21="N",AO17*  HLOOKUP($Z$1,W2:AG14,8),G47*AK18))</f>
        <v>0</v>
      </c>
      <c r="AP9" s="783" t="str">
        <f>IF(AJ19=0,"",AL9+AN9)</f>
        <v/>
      </c>
      <c r="AQ9" s="783">
        <f>IF(AK19=0,"",AM9+AO9)</f>
        <v>31.747604199563099</v>
      </c>
      <c r="AR9" s="788" t="str">
        <f t="shared" si="17"/>
        <v/>
      </c>
      <c r="AS9" s="788" t="str">
        <f t="shared" si="18"/>
        <v/>
      </c>
      <c r="AT9" s="791">
        <f t="shared" si="3"/>
        <v>31.747604199563099</v>
      </c>
      <c r="AU9" s="791">
        <f t="shared" si="4"/>
        <v>-15.42623314118196</v>
      </c>
      <c r="AX9" s="1089">
        <f t="shared" si="5"/>
        <v>31.747604199563099</v>
      </c>
      <c r="BC9" s="437"/>
      <c r="BD9" s="1053">
        <f t="shared" si="19"/>
        <v>-0.75</v>
      </c>
      <c r="BE9" s="1053">
        <f t="shared" si="26"/>
        <v>-0.69135802469135799</v>
      </c>
      <c r="BF9" s="1053">
        <f t="shared" si="30"/>
        <v>-0.609375</v>
      </c>
      <c r="BG9" s="1053">
        <f t="shared" si="34"/>
        <v>-0.48979591836734693</v>
      </c>
      <c r="BH9" s="1053">
        <f>-(1-(($AH9)/(1-BH$2))^2)*$BM$1</f>
        <v>-0.30555555555555547</v>
      </c>
      <c r="BI9" s="1058">
        <v>0</v>
      </c>
      <c r="BJ9" s="1052">
        <f>(1-((1-$AH9)/BJ$2)^2)*$BJ$1</f>
        <v>0.15277777777777773</v>
      </c>
      <c r="BK9" s="1052">
        <f>(1-((1-$AH9)/BK$2)^2)*$BJ$1</f>
        <v>0.24489795918367346</v>
      </c>
      <c r="BL9" s="1052">
        <f>(1-((1-$AH9)/BL$2)^2)*$BJ$1</f>
        <v>0.3046875</v>
      </c>
      <c r="BM9" s="1052">
        <f>(1-((1-$AH9)/BM$2)^2)*$BJ$1</f>
        <v>0.34567901234567899</v>
      </c>
      <c r="BN9" s="1052">
        <f>(1-((1-$AH9)/BN$2)^2)*$BJ$1</f>
        <v>0.375</v>
      </c>
      <c r="BO9" s="778">
        <f t="shared" si="7"/>
        <v>0.5</v>
      </c>
      <c r="BP9" s="778">
        <f>(BP4+BP14)/2</f>
        <v>1.1478817896204401E-15</v>
      </c>
      <c r="BQ9" s="783">
        <f t="shared" si="21"/>
        <v>4.976701850588559</v>
      </c>
      <c r="BR9" s="783">
        <f t="shared" si="8"/>
        <v>-4.976701850588559</v>
      </c>
      <c r="BS9" s="784">
        <f>IF(BQ17=0,"",(BS8+BS10)/2)</f>
        <v>4.9767018505885599</v>
      </c>
      <c r="BT9" s="784">
        <f>IF(BR17=0,"",(BT8+BT10)/2)</f>
        <v>-4.9767018505885581</v>
      </c>
      <c r="BU9" s="1091">
        <f t="shared" si="9"/>
        <v>0</v>
      </c>
      <c r="BV9" s="783">
        <f>IF(BR19=0,"",             IF(BT21="N",I47*BR19*HLOOKUP($BG$1,BD2:BN14,8),                                               I47*BR19))</f>
        <v>0</v>
      </c>
      <c r="BW9" s="783">
        <f>IF(BQ17=0,"",BS9+BU9)</f>
        <v>4.9767018505885599</v>
      </c>
      <c r="BX9" s="783">
        <f>IF(BR17=0,"",BT9+BV9)</f>
        <v>-4.9767018505885581</v>
      </c>
      <c r="BY9" s="789">
        <f t="shared" si="22"/>
        <v>15.42623314118196</v>
      </c>
      <c r="BZ9" s="789">
        <f t="shared" si="23"/>
        <v>-15.42623314118196</v>
      </c>
      <c r="CA9" s="791">
        <f t="shared" si="10"/>
        <v>31.747604199563099</v>
      </c>
      <c r="CB9" s="791">
        <f t="shared" si="11"/>
        <v>-15.42623314118196</v>
      </c>
      <c r="CE9" s="1090">
        <f t="shared" si="12"/>
        <v>-4.9767018505885581</v>
      </c>
    </row>
    <row r="10" spans="1:83" ht="18.600000000000001" customHeight="1">
      <c r="A10" s="312"/>
      <c r="B10" s="860"/>
      <c r="C10" s="441" t="s">
        <v>739</v>
      </c>
      <c r="D10" s="101"/>
      <c r="E10" s="106"/>
      <c r="F10" s="469"/>
      <c r="G10" s="1031">
        <f>VLOOKUP(Cases!CM17,MAIN!B42:C47,2,FALSE)</f>
        <v>771.31165705909802</v>
      </c>
      <c r="H10" s="1039" t="s">
        <v>320</v>
      </c>
      <c r="I10" s="1031">
        <f>G10</f>
        <v>771.31165705909802</v>
      </c>
      <c r="J10" s="858"/>
      <c r="K10" s="312"/>
      <c r="L10" s="893"/>
      <c r="M10" s="441"/>
      <c r="N10" s="1267" t="str">
        <f>IF(AND(G19="Y",I19="Z"),"",IF(G19="Y","CRITICAL AXIS",""))</f>
        <v/>
      </c>
      <c r="O10" s="1267"/>
      <c r="P10" s="453"/>
      <c r="Q10" s="1267" t="str">
        <f>IF(AND(G19="Y",I19="Z"),"",IF(I19="Z","CRITICAL AXIS",""))</f>
        <v>CRITICAL AXIS</v>
      </c>
      <c r="R10" s="1267"/>
      <c r="S10" s="1267"/>
      <c r="T10" s="858"/>
      <c r="U10" s="312"/>
      <c r="V10" s="437"/>
      <c r="W10" s="1053">
        <f t="shared" si="13"/>
        <v>-0.84</v>
      </c>
      <c r="X10" s="1053">
        <f t="shared" si="24"/>
        <v>-0.80246913580246915</v>
      </c>
      <c r="Y10" s="1053">
        <f t="shared" si="28"/>
        <v>-0.75</v>
      </c>
      <c r="Z10" s="1053">
        <f t="shared" si="32"/>
        <v>-0.6734693877551019</v>
      </c>
      <c r="AA10" s="1053">
        <f>-(1-(($AH10)/(1-AA$2))^2)*$AF$1</f>
        <v>-0.55555555555555547</v>
      </c>
      <c r="AB10" s="1053">
        <f>-(1-(($AH10)/(1-AB$2))^2)*$AF$1</f>
        <v>-0.35999999999999988</v>
      </c>
      <c r="AC10" s="1058">
        <f>1-((1-$AH10)/AC$2)^2</f>
        <v>0</v>
      </c>
      <c r="AD10" s="1052">
        <f>(1-((1-$AH10)/AD$2)^2)*$AC$1</f>
        <v>0.13265306122448972</v>
      </c>
      <c r="AE10" s="1052">
        <f>(1-((1-$AH10)/AE$2)^2)*$AC$1</f>
        <v>0.21875000000000011</v>
      </c>
      <c r="AF10" s="1052">
        <f>(1-((1-$AH10)/AF$2)^2)*$AC$1</f>
        <v>0.27777777777777779</v>
      </c>
      <c r="AG10" s="1052">
        <f>(1-((1-$AH10)/AG$2)^2)*$AC$1</f>
        <v>0.32</v>
      </c>
      <c r="AH10" s="776">
        <f t="shared" si="1"/>
        <v>0.4</v>
      </c>
      <c r="AI10" s="776">
        <f>AI9+(AI14-AI9)*0.2</f>
        <v>13.15817813774412</v>
      </c>
      <c r="AJ10" s="780">
        <f t="shared" si="15"/>
        <v>0</v>
      </c>
      <c r="AK10" s="780">
        <f t="shared" si="16"/>
        <v>0</v>
      </c>
      <c r="AL10" s="778" t="str">
        <f xml:space="preserve">  IF(AJ19=0,"",  IF(ABS(AL14)&gt;ABS(AL4),        SIGN(AL14)*             MAX(ABS(0.4*AL14),  ABS(  (AI10+AJ10)   )        ),              (AI10+AJ10)        )                 *AJ17)</f>
        <v/>
      </c>
      <c r="AM10" s="785">
        <f xml:space="preserve">  IF(AK19=0,"",  IF(ABS(AM14)&gt;ABS(AM4),            SIGN(AM14)*  MAX(     ABS(0.4*AM14),ABS(AI10+AK10)),              (AI10+AK10)        )                 *AK17)</f>
        <v>13.15817813774412</v>
      </c>
      <c r="AN10" s="1091">
        <f t="shared" si="2"/>
        <v>0</v>
      </c>
      <c r="AO10" s="783">
        <f>IF(AK18=0,"",IF(AM21="N",AO17* HLOOKUP($Z$1,W2:AG14,9),AO9))</f>
        <v>0</v>
      </c>
      <c r="AP10" s="783" t="str">
        <f>IF(AJ19=0,"",AL10+AN10)</f>
        <v/>
      </c>
      <c r="AQ10" s="783">
        <f>IF(AK19=0,"",AM10+AO10)</f>
        <v>13.15817813774412</v>
      </c>
      <c r="AR10" s="788" t="str">
        <f t="shared" si="17"/>
        <v/>
      </c>
      <c r="AS10" s="788" t="str">
        <f t="shared" si="18"/>
        <v/>
      </c>
      <c r="AT10" s="791">
        <f t="shared" si="3"/>
        <v>15.42623314118196</v>
      </c>
      <c r="AU10" s="791">
        <f t="shared" si="4"/>
        <v>-15.42623314118196</v>
      </c>
      <c r="AX10" s="1089">
        <f t="shared" si="5"/>
        <v>13.15817813774412</v>
      </c>
      <c r="BC10" s="437"/>
      <c r="BD10" s="1053">
        <f t="shared" si="19"/>
        <v>-0.84</v>
      </c>
      <c r="BE10" s="1053">
        <f t="shared" si="26"/>
        <v>-0.80246913580246915</v>
      </c>
      <c r="BF10" s="1053">
        <f t="shared" si="30"/>
        <v>-0.75</v>
      </c>
      <c r="BG10" s="1053">
        <f t="shared" si="34"/>
        <v>-0.6734693877551019</v>
      </c>
      <c r="BH10" s="1053">
        <f>-(1-(($AH10)/(1-BH$2))^2)*$BM$1</f>
        <v>-0.55555555555555547</v>
      </c>
      <c r="BI10" s="1053">
        <f>-(1-(($AH10)/(1-BI$2))^2)*$BM$1</f>
        <v>-0.35999999999999988</v>
      </c>
      <c r="BJ10" s="1058">
        <f>1-((1-$AH10)/BJ$2)^2</f>
        <v>0</v>
      </c>
      <c r="BK10" s="1052">
        <f>(1-((1-$AH10)/BK$2)^2)*$BJ$1</f>
        <v>0.13265306122448972</v>
      </c>
      <c r="BL10" s="1052">
        <f>(1-((1-$AH10)/BL$2)^2)*$BJ$1</f>
        <v>0.21875000000000011</v>
      </c>
      <c r="BM10" s="1052">
        <f>(1-((1-$AH10)/BM$2)^2)*$BJ$1</f>
        <v>0.27777777777777779</v>
      </c>
      <c r="BN10" s="1052">
        <f>(1-((1-$AH10)/BN$2)^2)*$BJ$1</f>
        <v>0.32</v>
      </c>
      <c r="BO10" s="778">
        <f t="shared" si="7"/>
        <v>0.4</v>
      </c>
      <c r="BP10" s="783">
        <f>BP9+(BP14-BP9)*0.2</f>
        <v>9.1830543169635206E-16</v>
      </c>
      <c r="BQ10" s="783">
        <f t="shared" si="21"/>
        <v>4.976701850588559</v>
      </c>
      <c r="BR10" s="783">
        <f t="shared" si="8"/>
        <v>-4.976701850588559</v>
      </c>
      <c r="BS10" s="785">
        <f xml:space="preserve"> IF(BQ17=0,"",   IF(ABS(BS14)&gt;=ABS(BS4),          SIGN(BS14)*     MAX(         ABS(0.4*BS14),ABS(BP10+BQ10)),              (BP10+BQ10)        )                 *BQ17)</f>
        <v>4.9767018505885599</v>
      </c>
      <c r="BT10" s="785">
        <f xml:space="preserve"> IF(BR17=0,"",   IF(ABS(BT14)&gt;ABS(BT4),          SIGN(BT14)*       MAX(ABS(0.4*BT14), ABS(BP10+BR10)),              (BP10+BR10)        )                 *BR17)</f>
        <v>-4.9767018505885581</v>
      </c>
      <c r="BU10" s="1091">
        <f t="shared" si="9"/>
        <v>0</v>
      </c>
      <c r="BV10" s="783">
        <f>IF(BR19=0,"",                IF(BT21="N",        I47*BR19*HLOOKUP($BG$1,BD2:BN14,9),                  BV9))</f>
        <v>0</v>
      </c>
      <c r="BW10" s="784">
        <f>IF(BQ17=0,"",BS10+BU10)</f>
        <v>4.9767018505885599</v>
      </c>
      <c r="BX10" s="783">
        <f>IF(BR17=0,"",BT10+BV10)</f>
        <v>-4.9767018505885581</v>
      </c>
      <c r="BY10" s="789">
        <f t="shared" si="22"/>
        <v>15.42623314118196</v>
      </c>
      <c r="BZ10" s="789">
        <f t="shared" si="23"/>
        <v>-15.42623314118196</v>
      </c>
      <c r="CA10" s="791">
        <f t="shared" si="10"/>
        <v>15.42623314118196</v>
      </c>
      <c r="CB10" s="791">
        <f t="shared" si="11"/>
        <v>-15.42623314118196</v>
      </c>
      <c r="CE10" s="1090">
        <f t="shared" si="12"/>
        <v>-4.9767018505885581</v>
      </c>
    </row>
    <row r="11" spans="1:83" ht="18.600000000000001" customHeight="1">
      <c r="A11" s="312"/>
      <c r="B11" s="860"/>
      <c r="C11" s="441" t="s">
        <v>740</v>
      </c>
      <c r="D11" s="101"/>
      <c r="E11" s="106"/>
      <c r="F11" s="106"/>
      <c r="G11" s="470">
        <f>VLOOKUP(Cases!CM17,MAIN!B42:D47,3,FALSE)</f>
        <v>124.694734508658</v>
      </c>
      <c r="H11" s="459" t="s">
        <v>342</v>
      </c>
      <c r="I11" s="470">
        <f>VLOOKUP(Cases!CM28,MAIN!B42:E47,4,FALSE)</f>
        <v>2.2957635792408801E-15</v>
      </c>
      <c r="J11" s="858"/>
      <c r="K11" s="312"/>
      <c r="L11" s="860"/>
      <c r="M11" s="441"/>
      <c r="N11" s="441"/>
      <c r="O11" s="441"/>
      <c r="P11" s="441"/>
      <c r="Q11" s="441"/>
      <c r="R11" s="441"/>
      <c r="S11" s="441"/>
      <c r="T11" s="858"/>
      <c r="U11" s="312"/>
      <c r="V11" s="437"/>
      <c r="W11" s="1053">
        <f t="shared" si="13"/>
        <v>-0.90999999999999992</v>
      </c>
      <c r="X11" s="1053">
        <f t="shared" si="24"/>
        <v>-0.88888888888888884</v>
      </c>
      <c r="Y11" s="1053">
        <f t="shared" si="28"/>
        <v>-0.859375</v>
      </c>
      <c r="Z11" s="1053">
        <f t="shared" si="32"/>
        <v>-0.81632653061224481</v>
      </c>
      <c r="AA11" s="1053">
        <f>-(1-(($AH11)/(1-AA$2))^2)*$AF$1</f>
        <v>-0.74999999999999989</v>
      </c>
      <c r="AB11" s="1053">
        <f>-(1-(($AH11)/(1-AB$2))^2)*$AF$1</f>
        <v>-0.6399999999999999</v>
      </c>
      <c r="AC11" s="1053">
        <f>-(1-(($AH11)/(1-AC$2))^2)*$AF$1</f>
        <v>-0.43749999999999978</v>
      </c>
      <c r="AD11" s="1058">
        <f>1-((1-$AH11)/AD$2)^2</f>
        <v>0</v>
      </c>
      <c r="AE11" s="1052">
        <f>(1-((1-$AH11)/AE$2)^2)*$AC$1</f>
        <v>0.11718750000000011</v>
      </c>
      <c r="AF11" s="1052">
        <f>(1-((1-$AH11)/AF$2)^2)*$AC$1</f>
        <v>0.19753086419753096</v>
      </c>
      <c r="AG11" s="1052">
        <f>(1-((1-$AH11)/AG$2)^2)*$AC$1</f>
        <v>0.255</v>
      </c>
      <c r="AH11" s="776">
        <f t="shared" si="1"/>
        <v>0.30000000000000004</v>
      </c>
      <c r="AI11" s="776">
        <f>AI9+(AI14-AI9)*0.4</f>
        <v>-5.4312479240748601</v>
      </c>
      <c r="AJ11" s="780">
        <f t="shared" si="15"/>
        <v>0</v>
      </c>
      <c r="AK11" s="780">
        <f t="shared" si="16"/>
        <v>0</v>
      </c>
      <c r="AL11" s="778" t="str">
        <f>IF(AJ19=0,"",AL10+(AL14-AL10)*0.25)</f>
        <v/>
      </c>
      <c r="AM11" s="784">
        <f>IF(AK19=0,"",AM10+(AM14-AM10)*0.25)</f>
        <v>-5.4312479240748601</v>
      </c>
      <c r="AN11" s="1091">
        <f t="shared" si="2"/>
        <v>0</v>
      </c>
      <c r="AO11" s="783">
        <f>IF(AK18=0,"",IF(AM21="N",AO17*  HLOOKUP($Z$1,W2:AG14,10),(AO9-(0.2*0.2)*AO20)*AK18))</f>
        <v>0</v>
      </c>
      <c r="AP11" s="786" t="str">
        <f>IF(AJ19=0,"",IF(AND(AL$14&gt;AL$4,AL11&gt;(AL11+AN11),AM22="N"  ),AL11,AL11+AN11))</f>
        <v/>
      </c>
      <c r="AQ11" s="786">
        <f>IF(AK19=0,"",IF(AND(AM$14&lt;AM$4,AM11&lt;(AM11+AO11),AM22="N"        ),AM11,AM11+AO11))</f>
        <v>-5.4312479240748601</v>
      </c>
      <c r="AR11" s="788" t="str">
        <f t="shared" si="17"/>
        <v/>
      </c>
      <c r="AS11" s="788" t="str">
        <f t="shared" si="18"/>
        <v/>
      </c>
      <c r="AT11" s="791">
        <f t="shared" si="3"/>
        <v>15.42623314118196</v>
      </c>
      <c r="AU11" s="791">
        <f t="shared" si="4"/>
        <v>-15.42623314118196</v>
      </c>
      <c r="AX11" s="1089">
        <f t="shared" si="5"/>
        <v>-5.4312479240748601</v>
      </c>
      <c r="BC11" s="437"/>
      <c r="BD11" s="1053">
        <f t="shared" si="19"/>
        <v>-0.90999999999999992</v>
      </c>
      <c r="BE11" s="1053">
        <f t="shared" si="26"/>
        <v>-0.88888888888888884</v>
      </c>
      <c r="BF11" s="1053">
        <f t="shared" si="30"/>
        <v>-0.859375</v>
      </c>
      <c r="BG11" s="1053">
        <f t="shared" si="34"/>
        <v>-0.81632653061224481</v>
      </c>
      <c r="BH11" s="1053">
        <f>-(1-(($AH11)/(1-BH$2))^2)*$BM$1</f>
        <v>-0.74999999999999989</v>
      </c>
      <c r="BI11" s="1053">
        <f>-(1-(($AH11)/(1-BI$2))^2)*$BM$1</f>
        <v>-0.6399999999999999</v>
      </c>
      <c r="BJ11" s="1053">
        <f>-(1-(($AH11)/(1-BJ$2))^2)*$BM$1</f>
        <v>-0.43749999999999978</v>
      </c>
      <c r="BK11" s="1058">
        <f>1-((1-$AH11)/BK$2)^2</f>
        <v>0</v>
      </c>
      <c r="BL11" s="1052">
        <f>(1-((1-$AH11)/BL$2)^2)*$BJ$1</f>
        <v>0.11718750000000011</v>
      </c>
      <c r="BM11" s="1052">
        <f>(1-((1-$AH11)/BM$2)^2)*$BJ$1</f>
        <v>0.19753086419753096</v>
      </c>
      <c r="BN11" s="1052">
        <f>(1-((1-$AH11)/BN$2)^2)*$BJ$1</f>
        <v>0.255</v>
      </c>
      <c r="BO11" s="778">
        <f t="shared" si="7"/>
        <v>0.30000000000000004</v>
      </c>
      <c r="BP11" s="783">
        <f>BP9+(BP14-BP9)*0.4</f>
        <v>6.8872907377226404E-16</v>
      </c>
      <c r="BQ11" s="783">
        <f t="shared" si="21"/>
        <v>4.976701850588559</v>
      </c>
      <c r="BR11" s="783">
        <f t="shared" si="8"/>
        <v>-4.976701850588559</v>
      </c>
      <c r="BS11" s="784">
        <f>IF(BQ17=0,"",BS10+(BS14-BS10)*0.25)</f>
        <v>4.9767018505885599</v>
      </c>
      <c r="BT11" s="784">
        <f>IF(BR17=0,"",BT10+(BT14-BT10)*0.25)</f>
        <v>-4.9767018505885581</v>
      </c>
      <c r="BU11" s="1091">
        <f t="shared" si="9"/>
        <v>0</v>
      </c>
      <c r="BV11" s="783">
        <f>IF(BR19=0,"",      IF(BT21="N",          I47*BR19*HLOOKUP($BG$1,BD2:BN14,10),                                  (BV9-(0.2*0.2)*BV20)*BR19))</f>
        <v>0</v>
      </c>
      <c r="BW11" s="786">
        <f>IF(BQ17=0,"",IF(AND(BS$14&gt;BS$4,BS11&gt;(BS11+BU11),BT22="N"           ),BS11,BS11+BU11))</f>
        <v>4.9767018505885599</v>
      </c>
      <c r="BX11" s="786">
        <f>IF(BR17=0,"",IF(AND(BT$14&lt;BT$4,BT11&lt;(BT11+BV11),BT22="N"            ),BT11,BT11+BV11))</f>
        <v>-4.9767018505885581</v>
      </c>
      <c r="BY11" s="789">
        <f t="shared" si="22"/>
        <v>15.42623314118196</v>
      </c>
      <c r="BZ11" s="789">
        <f t="shared" si="23"/>
        <v>-15.42623314118196</v>
      </c>
      <c r="CA11" s="791">
        <f t="shared" si="10"/>
        <v>15.42623314118196</v>
      </c>
      <c r="CB11" s="791">
        <f t="shared" si="11"/>
        <v>-15.42623314118196</v>
      </c>
      <c r="CE11" s="1090">
        <f t="shared" si="12"/>
        <v>-4.9767018505885581</v>
      </c>
    </row>
    <row r="12" spans="1:83" ht="18.600000000000001" customHeight="1">
      <c r="A12" s="312"/>
      <c r="B12" s="861"/>
      <c r="C12" s="441" t="s">
        <v>741</v>
      </c>
      <c r="D12" s="101"/>
      <c r="E12" s="106"/>
      <c r="F12" s="106"/>
      <c r="G12" s="470">
        <f>VLOOKUP(Cases!CM17,MAIN!B42:F47,5,FALSE)</f>
        <v>-61.199526109531803</v>
      </c>
      <c r="H12" s="459" t="s">
        <v>342</v>
      </c>
      <c r="I12" s="470">
        <f>VLOOKUP(Cases!CM28,MAIN!B42:G47,6)</f>
        <v>0</v>
      </c>
      <c r="J12" s="858"/>
      <c r="K12" s="312"/>
      <c r="L12" s="860"/>
      <c r="M12" s="441"/>
      <c r="N12" s="441"/>
      <c r="O12" s="441"/>
      <c r="P12" s="441"/>
      <c r="Q12" s="441"/>
      <c r="R12" s="441"/>
      <c r="S12" s="441"/>
      <c r="T12" s="858"/>
      <c r="U12" s="312"/>
      <c r="V12" s="728"/>
      <c r="W12" s="1053">
        <f t="shared" si="13"/>
        <v>-0.96</v>
      </c>
      <c r="X12" s="1053">
        <f t="shared" si="24"/>
        <v>-0.95061728395061729</v>
      </c>
      <c r="Y12" s="1053">
        <f t="shared" si="28"/>
        <v>-0.9375</v>
      </c>
      <c r="Z12" s="1053">
        <f t="shared" si="32"/>
        <v>-0.91836734693877553</v>
      </c>
      <c r="AA12" s="1053">
        <f>-(1-(($AH12)/(1-AA$2))^2)*$AF$1</f>
        <v>-0.88888888888888884</v>
      </c>
      <c r="AB12" s="1053">
        <f>-(1-(($AH12)/(1-AB$2))^2)*$AF$1</f>
        <v>-0.84</v>
      </c>
      <c r="AC12" s="1053">
        <f>-(1-(($AH12)/(1-AC$2))^2)*$AF$1</f>
        <v>-0.75</v>
      </c>
      <c r="AD12" s="1053">
        <f>-(1-(($AH12)/(1-AD$2))^2)*$AF$1</f>
        <v>-0.55555555555555558</v>
      </c>
      <c r="AE12" s="1058">
        <f>1-((1-$AH12)/AE$2)^2</f>
        <v>0</v>
      </c>
      <c r="AF12" s="1052">
        <f>(1-((1-$AH12)/AF$2)^2)*$AC$1</f>
        <v>0.10493827160493824</v>
      </c>
      <c r="AG12" s="1052">
        <f>(1-((1-$AH12)/AG$2)^2)*$AC$1</f>
        <v>0.17999999999999994</v>
      </c>
      <c r="AH12" s="776">
        <f t="shared" si="1"/>
        <v>0.2</v>
      </c>
      <c r="AI12" s="776">
        <f>AI9+(AI14-AI9)*0.6</f>
        <v>-24.020673985893843</v>
      </c>
      <c r="AJ12" s="780">
        <f t="shared" si="15"/>
        <v>0</v>
      </c>
      <c r="AK12" s="780">
        <f t="shared" si="16"/>
        <v>0</v>
      </c>
      <c r="AL12" s="778" t="str">
        <f>IF(AJ19=0,"",AL10+(AL14-AL10)*0.5)</f>
        <v/>
      </c>
      <c r="AM12" s="784">
        <f>IF(AK19=0,"",AM10+(AM14-AM10)*0.5)</f>
        <v>-24.02067398589384</v>
      </c>
      <c r="AN12" s="1091">
        <f t="shared" si="2"/>
        <v>0</v>
      </c>
      <c r="AO12" s="783">
        <f>IF(AK18=0,"",IF(AM21="N",AO17*HLOOKUP($Z$1,W2:AG14,11),(AO9-0.3*0.3*AO20)*AK18))</f>
        <v>0</v>
      </c>
      <c r="AP12" s="786" t="str">
        <f>IF(AJ19=0,"",IF(AND(AL$14&gt;AL$4,AL12&gt;(AL12+AN12),AM22="N" ),AL12,AL12+AN12))</f>
        <v/>
      </c>
      <c r="AQ12" s="786">
        <f>IF(AK19=0,"",IF(AND(AM$14&lt;AM$4,AM12&lt;(AM12+AO12),AM22="N"        ),AM12,AM12+AO12))</f>
        <v>-24.02067398589384</v>
      </c>
      <c r="AR12" s="788" t="str">
        <f t="shared" si="17"/>
        <v/>
      </c>
      <c r="AS12" s="788" t="str">
        <f t="shared" si="18"/>
        <v/>
      </c>
      <c r="AT12" s="791">
        <f t="shared" si="3"/>
        <v>15.42623314118196</v>
      </c>
      <c r="AU12" s="791">
        <f t="shared" si="4"/>
        <v>-24.020673985893843</v>
      </c>
      <c r="AX12" s="1089">
        <f t="shared" si="5"/>
        <v>-24.02067398589384</v>
      </c>
      <c r="BC12" s="728"/>
      <c r="BD12" s="1053">
        <f t="shared" si="19"/>
        <v>-0.96</v>
      </c>
      <c r="BE12" s="1053">
        <f t="shared" si="26"/>
        <v>-0.95061728395061729</v>
      </c>
      <c r="BF12" s="1053">
        <f t="shared" si="30"/>
        <v>-0.9375</v>
      </c>
      <c r="BG12" s="1053">
        <f t="shared" si="34"/>
        <v>-0.91836734693877553</v>
      </c>
      <c r="BH12" s="1053">
        <f>-(1-(($AH12)/(1-BH$2))^2)*$BM$1</f>
        <v>-0.88888888888888884</v>
      </c>
      <c r="BI12" s="1053">
        <f>-(1-(($AH12)/(1-BI$2))^2)*$BM$1</f>
        <v>-0.84</v>
      </c>
      <c r="BJ12" s="1053">
        <f>-(1-(($AH12)/(1-BJ$2))^2)*$BM$1</f>
        <v>-0.75</v>
      </c>
      <c r="BK12" s="1053">
        <f>-(1-(($AH12)/(1-BK$2))^2)*$BM$1</f>
        <v>-0.55555555555555558</v>
      </c>
      <c r="BL12" s="1058">
        <f>1-((1-$AH12)/BL$2)^2</f>
        <v>0</v>
      </c>
      <c r="BM12" s="1052">
        <f>(1-((1-$AH12)/BM$2)^2)*$BJ$1</f>
        <v>0.10493827160493824</v>
      </c>
      <c r="BN12" s="1052">
        <f>(1-((1-$AH12)/BN$2)^2)*$BJ$1</f>
        <v>0.17999999999999994</v>
      </c>
      <c r="BO12" s="778">
        <f t="shared" si="7"/>
        <v>0.2</v>
      </c>
      <c r="BP12" s="783">
        <f>BP9+(BP14-BP9)*0.6</f>
        <v>4.5915271584817603E-16</v>
      </c>
      <c r="BQ12" s="783">
        <f t="shared" si="21"/>
        <v>4.976701850588559</v>
      </c>
      <c r="BR12" s="783">
        <f t="shared" si="8"/>
        <v>-4.976701850588559</v>
      </c>
      <c r="BS12" s="784">
        <f>IF(BQ17=0,"",BS10+(BS14-BS10)*0.5)</f>
        <v>4.9767018505885599</v>
      </c>
      <c r="BT12" s="784">
        <f>IF(BR17=0,"",BT10+(BT14-BT10)*0.5)</f>
        <v>-4.9767018505885581</v>
      </c>
      <c r="BU12" s="1091">
        <f t="shared" si="9"/>
        <v>0</v>
      </c>
      <c r="BV12" s="783">
        <f>IF(BR19=0,"",          IF(BT21="N",       I47*BR19*HLOOKUP($BG$1,BD2:BN14,11),            (BV9-0.3*0.3*BV20)*BR19))</f>
        <v>0</v>
      </c>
      <c r="BW12" s="786">
        <f>IF(BQ17=0,"",IF(AND(BS$14&gt;BS$4,BS12&gt;(BS12+BU12),BT22="N"       ),BS12,BS12+BU12))</f>
        <v>4.9767018505885599</v>
      </c>
      <c r="BX12" s="786">
        <f>IF(BR17=0,"",IF(AND(BT$14&lt;BT$4,BT12&lt;(BT12+BV12),BT22="N"         ),BT12,BT12+BV12))</f>
        <v>-4.9767018505885581</v>
      </c>
      <c r="BY12" s="789">
        <f t="shared" si="22"/>
        <v>15.42623314118196</v>
      </c>
      <c r="BZ12" s="789">
        <f t="shared" si="23"/>
        <v>-15.42623314118196</v>
      </c>
      <c r="CA12" s="791">
        <f t="shared" si="10"/>
        <v>15.42623314118196</v>
      </c>
      <c r="CB12" s="791">
        <f t="shared" si="11"/>
        <v>-24.020673985893843</v>
      </c>
      <c r="CE12" s="1090">
        <f t="shared" si="12"/>
        <v>-4.9767018505885581</v>
      </c>
    </row>
    <row r="13" spans="1:83" ht="15.6" customHeight="1">
      <c r="A13" s="312"/>
      <c r="B13" s="861"/>
      <c r="C13" s="441"/>
      <c r="D13" s="101"/>
      <c r="E13" s="106"/>
      <c r="F13" s="106"/>
      <c r="G13" s="1031" t="str">
        <f>IF(ABS(G20)=ABS(G11),"Top","Bot")</f>
        <v>Top</v>
      </c>
      <c r="H13" s="1069" t="s">
        <v>829</v>
      </c>
      <c r="I13" s="1031" t="str">
        <f>IF(ABS(I20)=ABS(I11),"Top","Bot")</f>
        <v>Bot</v>
      </c>
      <c r="J13" s="858"/>
      <c r="K13" s="312"/>
      <c r="L13" s="859"/>
      <c r="M13" s="441"/>
      <c r="N13" s="441"/>
      <c r="O13" s="441"/>
      <c r="P13" s="441"/>
      <c r="Q13" s="441"/>
      <c r="R13" s="441"/>
      <c r="S13" s="441"/>
      <c r="T13" s="858"/>
      <c r="U13" s="312"/>
      <c r="V13" s="728"/>
      <c r="W13" s="1053">
        <f t="shared" si="13"/>
        <v>-0.99</v>
      </c>
      <c r="X13" s="1053">
        <f t="shared" si="24"/>
        <v>-0.98765432098765427</v>
      </c>
      <c r="Y13" s="1053">
        <f t="shared" si="28"/>
        <v>-0.984375</v>
      </c>
      <c r="Z13" s="1053">
        <f t="shared" si="32"/>
        <v>-0.97959183673469385</v>
      </c>
      <c r="AA13" s="1053">
        <f>-(1-(($AH13)/(1-AA$2))^2)*$AF$1</f>
        <v>-0.97222222222222221</v>
      </c>
      <c r="AB13" s="1053">
        <f>-(1-(($AH13)/(1-AB$2))^2)*$AF$1</f>
        <v>-0.96</v>
      </c>
      <c r="AC13" s="1053">
        <f>-(1-(($AH13)/(1-AC$2))^2)*$AF$1</f>
        <v>-0.9375</v>
      </c>
      <c r="AD13" s="1053">
        <f>-(1-(($AH13)/(1-AD$2))^2)*$AF$1</f>
        <v>-0.88888888888888884</v>
      </c>
      <c r="AE13" s="1053">
        <f>-(1-(($AH13)/(1-AE$2))^2)*$AF$1</f>
        <v>-0.74999999999999989</v>
      </c>
      <c r="AF13" s="1058">
        <f>1-((1-$AH13)/AF$2)^2</f>
        <v>0</v>
      </c>
      <c r="AG13" s="1052">
        <f>(1-((1-$AH13)/AG$2)^2)*$AC$1</f>
        <v>9.4999999999999973E-2</v>
      </c>
      <c r="AH13" s="776">
        <f t="shared" si="1"/>
        <v>0.1</v>
      </c>
      <c r="AI13" s="776">
        <f>AI9+(AI14-AI9)*0.8</f>
        <v>-42.61010004771282</v>
      </c>
      <c r="AJ13" s="780">
        <f t="shared" si="15"/>
        <v>0</v>
      </c>
      <c r="AK13" s="780">
        <f t="shared" si="16"/>
        <v>0</v>
      </c>
      <c r="AL13" s="778" t="str">
        <f>IF(AJ19=0,"",AL10+(AL14-AL10)*0.75)</f>
        <v/>
      </c>
      <c r="AM13" s="784">
        <f>IF(AK19=0,"",AM10+(AM14-AM10)*0.75)</f>
        <v>-42.61010004771282</v>
      </c>
      <c r="AN13" s="1091">
        <f t="shared" si="2"/>
        <v>0</v>
      </c>
      <c r="AO13" s="783">
        <f>IF(AK18=0,"",IF(AM21="N",AO17* HLOOKUP($Z$1,W2:AG14,12),(AO9-0.4*0.4*AO20)*AK18))</f>
        <v>0</v>
      </c>
      <c r="AP13" s="786" t="str">
        <f>IF(AJ19=0,"",IF(AND(AL$14&gt;AL$4,AL13&gt;(AL13+AN13),AM22="N"   ),AL13,AL13+AN13))</f>
        <v/>
      </c>
      <c r="AQ13" s="786">
        <f>IF(AK19=0,"",IF(AND(AM$14&lt;AM$4,AM13&lt;(AM13+AO13),AM22="N"        ),AM13,AM13+AO13))</f>
        <v>-42.61010004771282</v>
      </c>
      <c r="AR13" s="788" t="str">
        <f t="shared" si="17"/>
        <v/>
      </c>
      <c r="AS13" s="788" t="str">
        <f t="shared" si="18"/>
        <v/>
      </c>
      <c r="AT13" s="791">
        <f t="shared" si="3"/>
        <v>15.42623314118196</v>
      </c>
      <c r="AU13" s="791">
        <f t="shared" si="4"/>
        <v>-42.61010004771282</v>
      </c>
      <c r="AX13" s="1089">
        <f t="shared" si="5"/>
        <v>-42.61010004771282</v>
      </c>
      <c r="BC13" s="728"/>
      <c r="BD13" s="1053">
        <f t="shared" si="19"/>
        <v>-0.99</v>
      </c>
      <c r="BE13" s="1053">
        <f t="shared" si="26"/>
        <v>-0.98765432098765427</v>
      </c>
      <c r="BF13" s="1053">
        <f t="shared" si="30"/>
        <v>-0.984375</v>
      </c>
      <c r="BG13" s="1053">
        <f t="shared" si="34"/>
        <v>-0.97959183673469385</v>
      </c>
      <c r="BH13" s="1053">
        <f>-(1-(($AH13)/(1-BH$2))^2)*$BM$1</f>
        <v>-0.97222222222222221</v>
      </c>
      <c r="BI13" s="1053">
        <f>-(1-(($AH13)/(1-BI$2))^2)*$BM$1</f>
        <v>-0.96</v>
      </c>
      <c r="BJ13" s="1053">
        <f>-(1-(($AH13)/(1-BJ$2))^2)*$BM$1</f>
        <v>-0.9375</v>
      </c>
      <c r="BK13" s="1053">
        <f>-(1-(($AH13)/(1-BK$2))^2)*$BM$1</f>
        <v>-0.88888888888888884</v>
      </c>
      <c r="BL13" s="1053">
        <f>-(1-(($AH13)/(1-BL$2))^2)*$BM$1</f>
        <v>-0.74999999999999989</v>
      </c>
      <c r="BM13" s="1058">
        <f>1-((1-$AH13)/BM$2)^2</f>
        <v>0</v>
      </c>
      <c r="BN13" s="1052">
        <f>(1-((1-$AH13)/BN$2)^2)*$BJ$1</f>
        <v>9.4999999999999973E-2</v>
      </c>
      <c r="BO13" s="778">
        <f t="shared" si="7"/>
        <v>0.1</v>
      </c>
      <c r="BP13" s="783">
        <f>BP9+(BP14-BP9)*0.8</f>
        <v>2.2957635792408801E-16</v>
      </c>
      <c r="BQ13" s="783">
        <f t="shared" si="21"/>
        <v>4.976701850588559</v>
      </c>
      <c r="BR13" s="783">
        <f t="shared" si="8"/>
        <v>-4.976701850588559</v>
      </c>
      <c r="BS13" s="784">
        <f>IF(BQ17=0,"",BS10+(BS14-BS10)*0.75)</f>
        <v>4.976701850588559</v>
      </c>
      <c r="BT13" s="784">
        <f>IF(BR17=0,"",BT10+(BT14-BT10)*0.75)</f>
        <v>-4.976701850588559</v>
      </c>
      <c r="BU13" s="1091">
        <f t="shared" si="9"/>
        <v>0</v>
      </c>
      <c r="BV13" s="783">
        <f>IF(BR19=0,"",             IF(BT21="N",            I47*BR19*HLOOKUP($BG$1,BD2:BN14,12),                      (BV9-0.4*0.4*BV20)*BR19))</f>
        <v>0</v>
      </c>
      <c r="BW13" s="786">
        <f>IF(BQ17=0,"",IF(AND(BS$14&gt;BS$4,BS13&gt;(BS13+BU13),BT22="N"           ),BS13,BS13+BU13))</f>
        <v>4.976701850588559</v>
      </c>
      <c r="BX13" s="786">
        <f>IF(BR17=0,"",IF(AND(BT$14&lt;BT$4,BT13&lt;(BT13+BV13),BT22="N"       ),BT13,BT13+BV13))</f>
        <v>-4.976701850588559</v>
      </c>
      <c r="BY13" s="789">
        <f t="shared" si="22"/>
        <v>15.42623314118196</v>
      </c>
      <c r="BZ13" s="789">
        <f t="shared" si="23"/>
        <v>-15.42623314118196</v>
      </c>
      <c r="CA13" s="791">
        <f t="shared" si="10"/>
        <v>15.42623314118196</v>
      </c>
      <c r="CB13" s="791">
        <f t="shared" si="11"/>
        <v>-42.61010004771282</v>
      </c>
      <c r="CE13" s="1090">
        <f t="shared" si="12"/>
        <v>-4.976701850588559</v>
      </c>
    </row>
    <row r="14" spans="1:83" ht="15.6" customHeight="1">
      <c r="B14" s="859" t="s">
        <v>347</v>
      </c>
      <c r="C14" s="441"/>
      <c r="D14" s="456"/>
      <c r="E14" s="456"/>
      <c r="F14" s="526"/>
      <c r="G14" s="465"/>
      <c r="H14" s="459"/>
      <c r="I14" s="465"/>
      <c r="J14" s="862"/>
      <c r="K14" s="312"/>
      <c r="L14" s="859"/>
      <c r="M14" s="441"/>
      <c r="N14" s="441"/>
      <c r="O14" s="441"/>
      <c r="P14" s="441"/>
      <c r="Q14" s="441"/>
      <c r="R14" s="441"/>
      <c r="S14" s="441"/>
      <c r="T14" s="862"/>
      <c r="U14" s="312"/>
      <c r="W14" s="1053">
        <f t="shared" ref="W14:AF14" si="36">-1*$AF$1</f>
        <v>-1</v>
      </c>
      <c r="X14" s="1053">
        <f t="shared" si="36"/>
        <v>-1</v>
      </c>
      <c r="Y14" s="1053">
        <f t="shared" si="36"/>
        <v>-1</v>
      </c>
      <c r="Z14" s="1053">
        <f t="shared" si="36"/>
        <v>-1</v>
      </c>
      <c r="AA14" s="1053">
        <f t="shared" si="36"/>
        <v>-1</v>
      </c>
      <c r="AB14" s="1053">
        <f t="shared" si="36"/>
        <v>-1</v>
      </c>
      <c r="AC14" s="1053">
        <f t="shared" si="36"/>
        <v>-1</v>
      </c>
      <c r="AD14" s="1053">
        <f t="shared" si="36"/>
        <v>-1</v>
      </c>
      <c r="AE14" s="1053">
        <f t="shared" si="36"/>
        <v>-1</v>
      </c>
      <c r="AF14" s="1053">
        <f t="shared" si="36"/>
        <v>-1</v>
      </c>
      <c r="AG14" s="1058">
        <v>0</v>
      </c>
      <c r="AH14" s="776">
        <v>0</v>
      </c>
      <c r="AI14" s="776">
        <f>AC26</f>
        <v>-61.199526109531803</v>
      </c>
      <c r="AJ14" s="780">
        <f>AJ9</f>
        <v>0</v>
      </c>
      <c r="AK14" s="780">
        <f>AK13</f>
        <v>0</v>
      </c>
      <c r="AL14" s="778" t="str">
        <f>IF(AJ19=0,"",(AI14+AJ14)*AJ17)</f>
        <v/>
      </c>
      <c r="AM14" s="780">
        <f>IF(AK19=0,"",(AI14+AK14)*AK17)</f>
        <v>-61.199526109531803</v>
      </c>
      <c r="AN14" s="1091">
        <f t="shared" si="2"/>
        <v>0</v>
      </c>
      <c r="AO14" s="783">
        <f>IF(AK18=0,"",IF(AM21="N",AO17*  HLOOKUP($Z$1,W2:AG14,13),(-AO9/2)*AK18*Slen!N28))</f>
        <v>0</v>
      </c>
      <c r="AP14" s="786" t="str">
        <f>IF(AJ19=0,"",IF(AND(AL$14&gt;AL$4,AL14&gt;(AL14+AN14),AM22="N"         ),AL14,AL14+AN14))</f>
        <v/>
      </c>
      <c r="AQ14" s="786">
        <f>IF(AK19=0,"",IF(AND(AM$14&lt;AM$4,AM14&lt;(AM14+AO14),AM22="N"       ),AM14,AM14+AO14))</f>
        <v>-61.199526109531803</v>
      </c>
      <c r="AR14" s="788" t="str">
        <f t="shared" si="17"/>
        <v/>
      </c>
      <c r="AS14" s="788" t="str">
        <f t="shared" si="18"/>
        <v/>
      </c>
      <c r="AT14" s="791">
        <f t="shared" si="3"/>
        <v>15.42623314118196</v>
      </c>
      <c r="AU14" s="791">
        <f t="shared" si="4"/>
        <v>-61.199526109531803</v>
      </c>
      <c r="AX14" s="1089">
        <f t="shared" si="5"/>
        <v>-61.199526109531803</v>
      </c>
      <c r="BD14" s="1053">
        <f t="shared" ref="BD14:BM14" si="37">-1*$BM$1</f>
        <v>-1</v>
      </c>
      <c r="BE14" s="1053">
        <f t="shared" si="37"/>
        <v>-1</v>
      </c>
      <c r="BF14" s="1053">
        <f t="shared" si="37"/>
        <v>-1</v>
      </c>
      <c r="BG14" s="1053">
        <f t="shared" si="37"/>
        <v>-1</v>
      </c>
      <c r="BH14" s="1053">
        <f t="shared" si="37"/>
        <v>-1</v>
      </c>
      <c r="BI14" s="1053">
        <f t="shared" si="37"/>
        <v>-1</v>
      </c>
      <c r="BJ14" s="1053">
        <f t="shared" si="37"/>
        <v>-1</v>
      </c>
      <c r="BK14" s="1053">
        <f t="shared" si="37"/>
        <v>-1</v>
      </c>
      <c r="BL14" s="1053">
        <f t="shared" si="37"/>
        <v>-1</v>
      </c>
      <c r="BM14" s="1053">
        <f t="shared" si="37"/>
        <v>-1</v>
      </c>
      <c r="BN14" s="1058">
        <v>0</v>
      </c>
      <c r="BO14" s="778">
        <v>0</v>
      </c>
      <c r="BP14" s="778">
        <f>AC33</f>
        <v>0</v>
      </c>
      <c r="BQ14" s="783">
        <f t="shared" si="21"/>
        <v>4.976701850588559</v>
      </c>
      <c r="BR14" s="783">
        <f t="shared" si="8"/>
        <v>-4.976701850588559</v>
      </c>
      <c r="BS14" s="778">
        <f>IF(BQ17=0,"",(BP14+BQ14)*BQ17)</f>
        <v>4.976701850588559</v>
      </c>
      <c r="BT14" s="783">
        <f>IF(BR17=0,"",(BP14+BR14)*BR17)</f>
        <v>-4.976701850588559</v>
      </c>
      <c r="BU14" s="1091">
        <f t="shared" si="9"/>
        <v>0</v>
      </c>
      <c r="BV14" s="783">
        <f>IF(BR19=0,"",                 IF(BT21="N",      I47*BR19*HLOOKUP($BG$1,BD2:BN14,13),              (-BV9/2)*BR19*Slen!N11))</f>
        <v>0</v>
      </c>
      <c r="BW14" s="786">
        <f>IF(BQ17=0,"",IF(AND(BS$14&gt;BS$4,BS14&gt;(BS14+BU14),BT22="N"           ),BS14,BS14+BU14))</f>
        <v>4.976701850588559</v>
      </c>
      <c r="BX14" s="786">
        <f>IF(BR17=0,"",IF(AND(BT$14&lt;BT$4,BT14&lt;(BT14+BV14),BT22="N"),BT14,BT14+BV14))</f>
        <v>-4.976701850588559</v>
      </c>
      <c r="BY14" s="789">
        <f t="shared" si="22"/>
        <v>15.42623314118196</v>
      </c>
      <c r="BZ14" s="789">
        <f t="shared" si="23"/>
        <v>-15.42623314118196</v>
      </c>
      <c r="CA14" s="791">
        <f t="shared" si="10"/>
        <v>15.42623314118196</v>
      </c>
      <c r="CB14" s="791">
        <f t="shared" si="11"/>
        <v>-61.199526109531803</v>
      </c>
      <c r="CE14" s="1090">
        <f t="shared" si="12"/>
        <v>-4.976701850588559</v>
      </c>
    </row>
    <row r="15" spans="1:83" s="71" customFormat="1" ht="19.5">
      <c r="B15" s="870"/>
      <c r="C15" s="467" t="s">
        <v>348</v>
      </c>
      <c r="D15" s="458"/>
      <c r="E15" s="458"/>
      <c r="F15" s="873" t="s">
        <v>549</v>
      </c>
      <c r="G15" s="901">
        <f>MIN(1,MAX(2/3,2/SQRT(MAIN!C26/1000)))*Refs!D13</f>
        <v>5.0000000000000001E-3</v>
      </c>
      <c r="H15" s="468"/>
      <c r="I15" s="901">
        <f>MIN(1,MAX(2/3,2/SQRT(MAIN!C27/1000)))*Refs!D13</f>
        <v>5.0000000000000001E-3</v>
      </c>
      <c r="J15" s="864" t="s">
        <v>349</v>
      </c>
      <c r="K15" s="443"/>
      <c r="L15" s="870"/>
      <c r="M15" s="467"/>
      <c r="N15" s="467"/>
      <c r="O15" s="467"/>
      <c r="P15" s="467"/>
      <c r="Q15" s="467"/>
      <c r="R15" s="467"/>
      <c r="S15" s="467"/>
      <c r="T15" s="864"/>
      <c r="U15" s="443"/>
      <c r="AH15" s="902">
        <v>0</v>
      </c>
      <c r="AI15" s="902">
        <v>0</v>
      </c>
      <c r="AJ15" s="902">
        <v>0</v>
      </c>
      <c r="AK15" s="902">
        <v>0</v>
      </c>
      <c r="AL15" s="902" t="str">
        <f>IF(AJ19=0,"",0)</f>
        <v/>
      </c>
      <c r="AM15" s="902">
        <f>IF(AK19=0,"",AI15+AK15)</f>
        <v>0</v>
      </c>
      <c r="AN15" s="1091">
        <f t="shared" si="2"/>
        <v>0</v>
      </c>
      <c r="AO15" s="902">
        <f>IF(AK18=0,"",0)</f>
        <v>0</v>
      </c>
      <c r="AP15" s="902" t="str">
        <f>IF(AJ19=0,"",AL15+AN15)</f>
        <v/>
      </c>
      <c r="AQ15" s="902">
        <f>IF(AK19=0,"",AM15+AO15)</f>
        <v>0</v>
      </c>
      <c r="AR15" s="902" t="str">
        <f>IF(G17=0,"",0)</f>
        <v/>
      </c>
      <c r="AS15" s="902" t="str">
        <f>IF(G17=0,"",0)</f>
        <v/>
      </c>
      <c r="AT15" s="902"/>
      <c r="AU15" s="902"/>
      <c r="AX15" s="1089">
        <v>0</v>
      </c>
      <c r="BC15" s="1063"/>
      <c r="BD15" s="1064"/>
      <c r="BE15" s="1063"/>
      <c r="BF15" s="1065"/>
      <c r="BG15" s="1063"/>
      <c r="BH15" s="1066"/>
      <c r="BI15" s="1063"/>
      <c r="BJ15" s="1063"/>
      <c r="BK15" s="1066"/>
      <c r="BL15" s="1063"/>
      <c r="BM15" s="1063"/>
      <c r="BO15" s="902">
        <v>0</v>
      </c>
      <c r="BP15" s="902">
        <v>0</v>
      </c>
      <c r="BQ15" s="902">
        <v>0</v>
      </c>
      <c r="BR15" s="902">
        <v>0</v>
      </c>
      <c r="BS15" s="902">
        <f>IF(BQ17=0,"",0)</f>
        <v>0</v>
      </c>
      <c r="BT15" s="902">
        <f>IF(BR17=0,"",0)</f>
        <v>0</v>
      </c>
      <c r="BU15" s="1091">
        <f t="shared" ref="BU15:BU16" si="38">BV15</f>
        <v>0</v>
      </c>
      <c r="BV15" s="902">
        <f>IF(BR19=0,"",0)</f>
        <v>0</v>
      </c>
      <c r="BW15" s="902">
        <f>IF(BQ17=0,"",BS15+BU15)</f>
        <v>0</v>
      </c>
      <c r="BX15" s="902">
        <f>IF(BR17=0,"",BT15+BV15)</f>
        <v>0</v>
      </c>
      <c r="BY15" s="902">
        <f>IF(I17=0,"",0)</f>
        <v>0</v>
      </c>
      <c r="BZ15" s="902">
        <f>IF(I17=0,"",0)</f>
        <v>0</v>
      </c>
      <c r="CA15" s="902"/>
      <c r="CB15" s="902"/>
      <c r="CE15" s="1090">
        <v>0</v>
      </c>
    </row>
    <row r="16" spans="1:83" ht="20.25">
      <c r="B16" s="863"/>
      <c r="C16" s="441" t="s">
        <v>350</v>
      </c>
      <c r="D16" s="456"/>
      <c r="E16" s="456"/>
      <c r="F16" s="527" t="s">
        <v>397</v>
      </c>
      <c r="G16" s="470">
        <f>G15*G10*G30/2000</f>
        <v>5.3237488102754433</v>
      </c>
      <c r="H16" s="459" t="s">
        <v>342</v>
      </c>
      <c r="I16" s="470">
        <f>I15*G10*I30/2000</f>
        <v>4.976701850588559</v>
      </c>
      <c r="J16" s="862" t="s">
        <v>351</v>
      </c>
      <c r="K16" s="312"/>
      <c r="L16" s="863"/>
      <c r="M16" s="441"/>
      <c r="N16" s="441"/>
      <c r="O16" s="441"/>
      <c r="P16" s="441"/>
      <c r="Q16" s="441"/>
      <c r="R16" s="441"/>
      <c r="S16" s="441"/>
      <c r="T16" s="862"/>
      <c r="U16" s="312"/>
      <c r="AF16" s="1051"/>
      <c r="AH16" s="779">
        <v>1</v>
      </c>
      <c r="AI16" s="780">
        <v>0</v>
      </c>
      <c r="AJ16" s="779">
        <v>0</v>
      </c>
      <c r="AK16" s="780">
        <v>0</v>
      </c>
      <c r="AL16" s="779" t="str">
        <f>IF(AJ19=0,"",0)</f>
        <v/>
      </c>
      <c r="AM16" s="780">
        <f>IF(AK19=0,"",AI16+AK16)</f>
        <v>0</v>
      </c>
      <c r="AN16" s="1091">
        <f t="shared" si="2"/>
        <v>0</v>
      </c>
      <c r="AO16" s="783">
        <f>IF(AK18=0,"",0)</f>
        <v>0</v>
      </c>
      <c r="AP16" s="782" t="str">
        <f>IF(AJ19=0,"",0)</f>
        <v/>
      </c>
      <c r="AQ16" s="783">
        <f>IF(AK19=0,"",0)</f>
        <v>0</v>
      </c>
      <c r="AR16" s="788" t="str">
        <f>AR15</f>
        <v/>
      </c>
      <c r="AS16" s="788" t="str">
        <f>AS15</f>
        <v/>
      </c>
      <c r="AT16" s="789"/>
      <c r="AU16" s="789"/>
      <c r="AX16" s="1089">
        <v>0</v>
      </c>
      <c r="BO16" s="783">
        <v>1</v>
      </c>
      <c r="BP16" s="783">
        <v>0</v>
      </c>
      <c r="BQ16" s="783">
        <v>0</v>
      </c>
      <c r="BR16" s="783">
        <v>0</v>
      </c>
      <c r="BS16" s="783">
        <f>IF(BQ17=0,"",0)</f>
        <v>0</v>
      </c>
      <c r="BT16" s="783">
        <f>IF(BR17=0,"",0)</f>
        <v>0</v>
      </c>
      <c r="BU16" s="1091">
        <f t="shared" si="38"/>
        <v>0</v>
      </c>
      <c r="BV16" s="783">
        <f>IF(BR19=0,"",0)</f>
        <v>0</v>
      </c>
      <c r="BW16" s="783">
        <f>IF(BQ17=0,"",0)</f>
        <v>0</v>
      </c>
      <c r="BX16" s="783">
        <f>IF(BR17=0,"",0)</f>
        <v>0</v>
      </c>
      <c r="BY16" s="789">
        <f>BY15</f>
        <v>0</v>
      </c>
      <c r="BZ16" s="789">
        <f>BZ15</f>
        <v>0</v>
      </c>
      <c r="CA16" s="789"/>
      <c r="CB16" s="789"/>
      <c r="CE16" s="1090">
        <v>0</v>
      </c>
    </row>
    <row r="17" spans="1:80" ht="20.25">
      <c r="B17" s="863"/>
      <c r="C17" s="441" t="s">
        <v>352</v>
      </c>
      <c r="D17" s="456"/>
      <c r="E17" s="456"/>
      <c r="F17" s="527" t="s">
        <v>396</v>
      </c>
      <c r="G17" s="470">
        <f>IF(G19="Y",MAX(20,MAIN!C13/30)/1000*G10,0)</f>
        <v>0</v>
      </c>
      <c r="H17" s="459" t="s">
        <v>342</v>
      </c>
      <c r="I17" s="470">
        <f>IF(I19="Z",MAX(20,MAIN!C14/30)/1000*G10,0)</f>
        <v>15.42623314118196</v>
      </c>
      <c r="J17" s="862" t="s">
        <v>393</v>
      </c>
      <c r="K17" s="312"/>
      <c r="L17" s="863"/>
      <c r="M17" s="441"/>
      <c r="N17" s="441"/>
      <c r="O17" s="441"/>
      <c r="P17" s="441"/>
      <c r="Q17" s="441"/>
      <c r="R17" s="441"/>
      <c r="S17" s="441"/>
      <c r="T17" s="862"/>
      <c r="U17" s="312"/>
      <c r="X17" s="1054" t="s">
        <v>805</v>
      </c>
      <c r="Y17" s="1051">
        <f>Slen!N27</f>
        <v>1.5243530273437501E-3</v>
      </c>
      <c r="AD17" s="1056" t="s">
        <v>857</v>
      </c>
      <c r="AE17" s="1086">
        <f>IF(MAIN!E30="Mi2 &amp; Mi1 SIDES",1,0)</f>
        <v>1</v>
      </c>
      <c r="AH17" s="1056" t="s">
        <v>600</v>
      </c>
      <c r="AI17" s="783">
        <f>G22</f>
        <v>124.694734508658</v>
      </c>
      <c r="AJ17" s="439">
        <f>IF(AI17&lt;0,0+AE17,1)</f>
        <v>1</v>
      </c>
      <c r="AK17" s="439">
        <f>IF(AI17&lt;0,1,0+AE17)</f>
        <v>1</v>
      </c>
      <c r="AN17" s="1091">
        <f t="shared" si="2"/>
        <v>0</v>
      </c>
      <c r="AO17" s="1054">
        <f>IF(AK18=0,"", IF(AM21="N",G47*AK18, (-AO9/2*AK18)))</f>
        <v>0</v>
      </c>
      <c r="AT17" s="789">
        <f>MAX(AT4:AT14)</f>
        <v>124.694734508658</v>
      </c>
      <c r="AU17" s="789">
        <f>MIN(AU4:AU14)</f>
        <v>-61.199526109531803</v>
      </c>
      <c r="BE17" s="1055" t="s">
        <v>811</v>
      </c>
      <c r="BF17" s="1051">
        <f>Slen!N10</f>
        <v>2.4389648437500001E-2</v>
      </c>
      <c r="BO17" s="786" t="s">
        <v>600</v>
      </c>
      <c r="BP17" s="783">
        <f>I22</f>
        <v>4.9867018505885587</v>
      </c>
      <c r="BQ17" s="439">
        <f>IF(BP17&lt;0,0+AE17,1)*BM23</f>
        <v>1</v>
      </c>
      <c r="BR17" s="439">
        <f>IF(BP17&lt;0,1,0+BM19)</f>
        <v>1</v>
      </c>
      <c r="BU17" s="1091">
        <f>BV17</f>
        <v>0</v>
      </c>
      <c r="BV17" s="1055">
        <f>IF(BR19=0,"", IF(BT21="N",I47*BR19, (-BV9/2*BR19)))</f>
        <v>0</v>
      </c>
      <c r="CA17" s="789">
        <f>MAX(CA4:CA14)</f>
        <v>124.694734508658</v>
      </c>
      <c r="CB17" s="789">
        <f>MIN(CB4:CB14)</f>
        <v>-61.199526109531803</v>
      </c>
    </row>
    <row r="18" spans="1:80" ht="12" customHeight="1">
      <c r="B18" s="863"/>
      <c r="C18" s="441"/>
      <c r="D18" s="456"/>
      <c r="E18" s="456"/>
      <c r="F18" s="527"/>
      <c r="G18" s="465"/>
      <c r="H18" s="459"/>
      <c r="I18" s="465"/>
      <c r="J18" s="862"/>
      <c r="K18" s="312"/>
      <c r="L18" s="863"/>
      <c r="M18" s="441"/>
      <c r="N18" s="441"/>
      <c r="O18" s="441"/>
      <c r="P18" s="441"/>
      <c r="Q18" s="441"/>
      <c r="R18" s="441"/>
      <c r="S18" s="441"/>
      <c r="T18" s="862"/>
      <c r="U18" s="312"/>
      <c r="X18" s="1054" t="s">
        <v>806</v>
      </c>
      <c r="Y18" s="1051">
        <f>Slen!N28</f>
        <v>3.0487060546875002E-3</v>
      </c>
      <c r="AK18" s="439">
        <v>1</v>
      </c>
      <c r="BE18" s="1055" t="s">
        <v>812</v>
      </c>
      <c r="BF18" s="1051">
        <f>Slen!N11</f>
        <v>4.8779296875000003E-2</v>
      </c>
      <c r="BX18" s="1062"/>
    </row>
    <row r="19" spans="1:80" ht="18.600000000000001" customHeight="1">
      <c r="B19" s="859" t="s">
        <v>346</v>
      </c>
      <c r="C19" s="441"/>
      <c r="D19" s="456"/>
      <c r="E19" s="458"/>
      <c r="F19" s="618" t="s">
        <v>742</v>
      </c>
      <c r="G19" s="834" t="str">
        <f>IF(MAIN!E29="BOTH AXES","Y",IF(V33="-","-",IF(V33="Y","Y","-")))</f>
        <v>-</v>
      </c>
      <c r="H19" s="468"/>
      <c r="I19" s="834" t="str">
        <f>IF(MAIN!E29="BOTH AXES","Z",IF(V33="-","-",IF(V33="Z","Z","-")))</f>
        <v>Z</v>
      </c>
      <c r="J19" s="864" t="s">
        <v>453</v>
      </c>
      <c r="K19" s="312"/>
      <c r="L19" s="859"/>
      <c r="M19" s="441"/>
      <c r="N19" s="441"/>
      <c r="O19" s="441"/>
      <c r="P19" s="441"/>
      <c r="Q19" s="441"/>
      <c r="R19" s="441"/>
      <c r="S19" s="441"/>
      <c r="T19" s="864"/>
      <c r="U19" s="312"/>
      <c r="V19" s="831" t="s">
        <v>616</v>
      </c>
      <c r="W19" s="438"/>
      <c r="X19" s="1054" t="s">
        <v>681</v>
      </c>
      <c r="Y19" s="1051">
        <f>Y17+Y18</f>
        <v>4.5730590820312507E-3</v>
      </c>
      <c r="AD19" s="1056" t="s">
        <v>868</v>
      </c>
      <c r="AE19" s="1113">
        <f>IF(G17=0,0,1)</f>
        <v>0</v>
      </c>
      <c r="AH19" s="1056" t="s">
        <v>858</v>
      </c>
      <c r="AI19" s="1092">
        <f>G23</f>
        <v>-61.199526109531803</v>
      </c>
      <c r="AJ19" s="439">
        <f>IF(AI17&lt;0,0+AE17,1)*AE21</f>
        <v>0</v>
      </c>
      <c r="AK19" s="439">
        <f>IF(AI17&lt;0,1,0+AE17)</f>
        <v>1</v>
      </c>
      <c r="AM19" s="1040" t="s">
        <v>788</v>
      </c>
      <c r="AN19" s="432">
        <f>IF(AJ17=0,"",(AN9-AN4)/0.25)</f>
        <v>0</v>
      </c>
      <c r="AO19" s="432">
        <f>IF(AK18=0,"",(AO9-AO4)/0.25)</f>
        <v>0</v>
      </c>
      <c r="BE19" s="1055" t="s">
        <v>681</v>
      </c>
      <c r="BF19" s="1051">
        <f>BF17+BF18</f>
        <v>7.3168945312500011E-2</v>
      </c>
      <c r="BL19" s="1056" t="s">
        <v>869</v>
      </c>
      <c r="BM19" s="432">
        <f>IF(MAIN!E30="Mi2 &amp; Mi1 SIDES",1,0)</f>
        <v>1</v>
      </c>
      <c r="BO19" s="1112" t="s">
        <v>858</v>
      </c>
      <c r="BP19" s="1112">
        <f>I23</f>
        <v>4.9767018505885616</v>
      </c>
      <c r="BR19" s="439">
        <v>1</v>
      </c>
      <c r="BT19" s="1040" t="s">
        <v>788</v>
      </c>
      <c r="BU19" s="432">
        <f>IF(BQ17=0,"",(BU9-BU4)/0.25)</f>
        <v>0</v>
      </c>
      <c r="BV19" s="432">
        <f>IF(BR19=0,"",(BV9-BV4)/0.25)</f>
        <v>0</v>
      </c>
    </row>
    <row r="20" spans="1:80" ht="16.5" customHeight="1">
      <c r="B20" s="865" t="s">
        <v>753</v>
      </c>
      <c r="C20" s="441"/>
      <c r="D20" s="456"/>
      <c r="E20" s="456"/>
      <c r="F20" s="526" t="s">
        <v>748</v>
      </c>
      <c r="G20" s="670">
        <f>VLOOKUP(Cases!CM17,Cases!CN18:DA23,13,FALSE)</f>
        <v>124.694734508658</v>
      </c>
      <c r="H20" s="459" t="s">
        <v>342</v>
      </c>
      <c r="I20" s="670">
        <f>VLOOKUP(Cases!CM28,Cases!CN29:DA34,13,FALSE)</f>
        <v>0.01</v>
      </c>
      <c r="J20" s="864"/>
      <c r="K20" s="312"/>
      <c r="L20" s="859"/>
      <c r="M20" s="441"/>
      <c r="N20" s="441"/>
      <c r="O20" s="441"/>
      <c r="P20" s="441"/>
      <c r="Q20" s="441"/>
      <c r="R20" s="441"/>
      <c r="S20" s="441"/>
      <c r="T20" s="864"/>
      <c r="U20" s="312"/>
      <c r="V20" s="831" t="s">
        <v>617</v>
      </c>
      <c r="W20" s="438"/>
      <c r="X20" s="1056" t="s">
        <v>815</v>
      </c>
      <c r="Y20" s="1051">
        <f>(MIN(Y17,Y18)/MAX(Y17,Y18))</f>
        <v>0.5</v>
      </c>
      <c r="AH20" s="1056"/>
      <c r="AI20" s="1092"/>
      <c r="AM20" s="782" t="s">
        <v>787</v>
      </c>
      <c r="AN20" s="432">
        <f>IF(AJ17=0,"",(AN9-AN14)/0.25)</f>
        <v>0</v>
      </c>
      <c r="AO20" s="432">
        <f>IF(AK18=0,"",(AO9-AO14)/0.25)</f>
        <v>0</v>
      </c>
      <c r="BE20" s="1056" t="s">
        <v>815</v>
      </c>
      <c r="BF20" s="1051">
        <f>(MIN(BF17,BF18)/MAX(BF17,BF18))</f>
        <v>0.5</v>
      </c>
      <c r="BM20" s="1062"/>
      <c r="BT20" s="783" t="s">
        <v>787</v>
      </c>
      <c r="BU20" s="432">
        <f>IF(BQ17=0,"",(BU9-BU14)/0.25)</f>
        <v>0</v>
      </c>
      <c r="BV20" s="432">
        <f>IF(BR19=0,"",(BV9-BV14)/0.25)</f>
        <v>0</v>
      </c>
    </row>
    <row r="21" spans="1:80" ht="16.5" customHeight="1">
      <c r="B21" s="865" t="s">
        <v>754</v>
      </c>
      <c r="C21" s="441"/>
      <c r="D21" s="456"/>
      <c r="E21" s="456"/>
      <c r="F21" s="526" t="s">
        <v>747</v>
      </c>
      <c r="G21" s="670">
        <f>VLOOKUP(Cases!CM17,Cases!CN18:DA23,14,FALSE)</f>
        <v>-61.199526109531803</v>
      </c>
      <c r="H21" s="459" t="s">
        <v>342</v>
      </c>
      <c r="I21" s="670">
        <f>VLOOKUP(Cases!CM28,Cases!CN29:DA34,14,FALSE)</f>
        <v>2.2957635792408801E-15</v>
      </c>
      <c r="J21" s="862"/>
      <c r="K21" s="312"/>
      <c r="L21" s="859"/>
      <c r="M21" s="525"/>
      <c r="N21" s="525"/>
      <c r="O21" s="525"/>
      <c r="P21" s="525"/>
      <c r="Q21" s="525"/>
      <c r="R21" s="525"/>
      <c r="S21" s="525"/>
      <c r="T21" s="862"/>
      <c r="U21" s="312"/>
      <c r="V21" s="831" t="s">
        <v>614</v>
      </c>
      <c r="X21" s="1056" t="s">
        <v>807</v>
      </c>
      <c r="Y21" s="1051">
        <f>0.001*INT(1000*MIN(Y17,Y18)/Y19)</f>
        <v>0.33300000000000002</v>
      </c>
      <c r="AD21" s="1056" t="s">
        <v>870</v>
      </c>
      <c r="AE21" s="1113">
        <f>IF(AND(AE17=1,AE19=0),0,1)</f>
        <v>0</v>
      </c>
      <c r="AL21" s="1046" t="s">
        <v>125</v>
      </c>
      <c r="AM21" s="1050" t="str">
        <f>MAIN!D21</f>
        <v>Y</v>
      </c>
      <c r="BE21" s="1056" t="s">
        <v>807</v>
      </c>
      <c r="BF21" s="1051">
        <f>0.1*INT(10*MIN(BF17,BF18)/BF19)</f>
        <v>0.30000000000000004</v>
      </c>
      <c r="BL21" s="1056" t="s">
        <v>871</v>
      </c>
      <c r="BM21" s="1113">
        <f>IF(I17=0,0,1)</f>
        <v>1</v>
      </c>
      <c r="BS21" s="1055" t="s">
        <v>125</v>
      </c>
      <c r="BT21" s="1050" t="str">
        <f>MAIN!D22</f>
        <v>Y</v>
      </c>
    </row>
    <row r="22" spans="1:80" ht="16.5" customHeight="1">
      <c r="B22" s="865" t="s">
        <v>755</v>
      </c>
      <c r="C22" s="441"/>
      <c r="D22" s="456"/>
      <c r="E22" s="456"/>
      <c r="F22" s="526" t="s">
        <v>749</v>
      </c>
      <c r="G22" s="670">
        <f>VLOOKUP(Cases!CM17,Cases!CN18:DA23,13,FALSE)+SIGN(VLOOKUP(Cases!CM17,Cases!CN18:DA23,13,FALSE))*IF(G19="Y",G16,0)</f>
        <v>124.694734508658</v>
      </c>
      <c r="H22" s="459" t="s">
        <v>342</v>
      </c>
      <c r="I22" s="670">
        <f>VLOOKUP(Cases!CM28,Cases!CN29:DA34,13,FALSE)+SIGN(VLOOKUP(Cases!CM28,Cases!CN29:DA34,13,FALSE))*IF(I19="Z",I16,0)</f>
        <v>4.9867018505885587</v>
      </c>
      <c r="J22" s="862"/>
      <c r="K22" s="312"/>
      <c r="L22" s="866"/>
      <c r="M22" s="525"/>
      <c r="N22" s="525"/>
      <c r="O22" s="525"/>
      <c r="P22" s="525"/>
      <c r="Q22" s="525"/>
      <c r="R22" s="525"/>
      <c r="S22" s="525"/>
      <c r="T22" s="862"/>
      <c r="U22" s="312"/>
      <c r="V22" s="831" t="s">
        <v>615</v>
      </c>
      <c r="AL22" s="1056" t="s">
        <v>819</v>
      </c>
      <c r="AM22" s="1050" t="str">
        <f>IF(AM21="N","Y","N")</f>
        <v>N</v>
      </c>
      <c r="BL22" s="1056"/>
      <c r="BM22" s="432"/>
      <c r="BS22" s="1056" t="s">
        <v>819</v>
      </c>
      <c r="BT22" s="1050" t="str">
        <f>IF(BT21="N","Y","N")</f>
        <v>N</v>
      </c>
    </row>
    <row r="23" spans="1:80" ht="16.5" customHeight="1">
      <c r="B23" s="865" t="s">
        <v>756</v>
      </c>
      <c r="C23" s="441"/>
      <c r="D23" s="456"/>
      <c r="E23" s="456"/>
      <c r="F23" s="526" t="s">
        <v>750</v>
      </c>
      <c r="G23" s="670">
        <f>VLOOKUP(Cases!CM17,Cases!CN18:DA23,14,FALSE)+SIGN(G22)*IF(G19="Y",G16,0)</f>
        <v>-61.199526109531803</v>
      </c>
      <c r="H23" s="459" t="s">
        <v>342</v>
      </c>
      <c r="I23" s="670">
        <f>VLOOKUP(Cases!CM28,Cases!CN29:DA34,14,FALSE)+SIGN(I22)*IF(I19="Z",I16,0)</f>
        <v>4.9767018505885616</v>
      </c>
      <c r="J23" s="862"/>
      <c r="K23" s="312"/>
      <c r="L23" s="866"/>
      <c r="M23" s="441"/>
      <c r="N23" s="441"/>
      <c r="O23" s="441"/>
      <c r="P23" s="441"/>
      <c r="Q23" s="441"/>
      <c r="R23" s="441"/>
      <c r="S23" s="441"/>
      <c r="T23" s="862"/>
      <c r="U23" s="312"/>
      <c r="V23" s="1273" t="s">
        <v>738</v>
      </c>
      <c r="Z23" s="680" t="s">
        <v>612</v>
      </c>
      <c r="AA23" s="681"/>
      <c r="AB23" s="682" t="s">
        <v>508</v>
      </c>
      <c r="AC23" s="683"/>
      <c r="AD23" s="684"/>
      <c r="AE23" s="685"/>
      <c r="AF23" s="685"/>
      <c r="AG23" s="682" t="s">
        <v>509</v>
      </c>
      <c r="AH23" s="685"/>
      <c r="AI23" s="686"/>
      <c r="AK23" s="1092"/>
      <c r="BL23" s="1056" t="s">
        <v>870</v>
      </c>
      <c r="BM23" s="1113">
        <f>IF(AND(BM19=1,BM21=0),0,1)</f>
        <v>1</v>
      </c>
    </row>
    <row r="24" spans="1:80" ht="16.5" customHeight="1">
      <c r="A24" s="312"/>
      <c r="B24" s="865" t="s">
        <v>757</v>
      </c>
      <c r="C24" s="844"/>
      <c r="D24" s="101"/>
      <c r="E24" s="106"/>
      <c r="F24" s="527" t="s">
        <v>751</v>
      </c>
      <c r="G24" s="670">
        <f>SIGN(G20)*MAX(ABS(0.6*G$22+0.4*G$23),(ABS(0.4*G22)))</f>
        <v>50.337030261382068</v>
      </c>
      <c r="H24" s="459" t="s">
        <v>342</v>
      </c>
      <c r="I24" s="670">
        <f>SIGN(I20)*MAX(ABS(0.6*I$22+0.4*I$23),(ABS(0.4*I22)))</f>
        <v>4.9827018505885601</v>
      </c>
      <c r="J24" s="858"/>
      <c r="K24" s="312"/>
      <c r="L24" s="860"/>
      <c r="M24" s="749"/>
      <c r="N24" s="749"/>
      <c r="O24" s="749"/>
      <c r="P24" s="749"/>
      <c r="Q24" s="749"/>
      <c r="R24" s="749"/>
      <c r="S24" s="749"/>
      <c r="T24" s="858"/>
      <c r="U24" s="312"/>
      <c r="V24" s="1273"/>
      <c r="AA24" s="687" t="s">
        <v>95</v>
      </c>
      <c r="AB24" s="688">
        <v>0</v>
      </c>
      <c r="AC24" s="688">
        <v>0</v>
      </c>
      <c r="AD24" s="1213">
        <v>1</v>
      </c>
      <c r="AE24" s="1213"/>
      <c r="AF24" s="689"/>
      <c r="AG24" s="690">
        <v>0</v>
      </c>
      <c r="AH24" s="690">
        <v>1</v>
      </c>
      <c r="AI24" s="691">
        <v>1</v>
      </c>
      <c r="AK24" s="1092"/>
      <c r="AL24" s="1092"/>
      <c r="AM24" s="1092"/>
    </row>
    <row r="25" spans="1:80" ht="16.5" customHeight="1">
      <c r="A25" s="312"/>
      <c r="B25" s="863"/>
      <c r="C25" s="441"/>
      <c r="D25" s="456"/>
      <c r="E25" s="456"/>
      <c r="F25" s="618" t="s">
        <v>726</v>
      </c>
      <c r="G25" s="670"/>
      <c r="H25" s="459"/>
      <c r="I25" s="670"/>
      <c r="J25" s="858"/>
      <c r="K25" s="312"/>
      <c r="L25" s="860"/>
      <c r="M25" s="749"/>
      <c r="N25" s="749"/>
      <c r="O25" s="749"/>
      <c r="P25" s="749"/>
      <c r="Q25" s="749"/>
      <c r="R25" s="749"/>
      <c r="S25" s="749"/>
      <c r="T25" s="858"/>
      <c r="U25" s="312"/>
      <c r="V25" s="1273"/>
      <c r="Z25" s="680" t="s">
        <v>520</v>
      </c>
      <c r="AA25" s="687" t="s">
        <v>505</v>
      </c>
      <c r="AB25" s="698">
        <v>0</v>
      </c>
      <c r="AC25" s="698">
        <f>AG27*AI27/AC36</f>
        <v>-0.49079479057940895</v>
      </c>
      <c r="AD25" s="1213">
        <f>AD27*AI27/AC36</f>
        <v>1</v>
      </c>
      <c r="AE25" s="1213"/>
      <c r="AF25" s="689"/>
      <c r="AG25" s="690">
        <v>0</v>
      </c>
      <c r="AH25" s="690">
        <v>0</v>
      </c>
      <c r="AI25" s="691">
        <f>AD25</f>
        <v>1</v>
      </c>
      <c r="AL25" s="1092"/>
      <c r="AM25" s="1092"/>
      <c r="AN25" s="1092"/>
    </row>
    <row r="26" spans="1:80" s="71" customFormat="1" ht="18.600000000000001" customHeight="1">
      <c r="A26" s="443"/>
      <c r="B26" s="915" t="s">
        <v>303</v>
      </c>
      <c r="C26" s="903"/>
      <c r="D26" s="904"/>
      <c r="E26" s="905"/>
      <c r="F26" s="905"/>
      <c r="G26" s="906" t="str">
        <f>"Column is "&amp;IF(MAIN!D$21="Y","","un")&amp;"braced"</f>
        <v>Column is braced</v>
      </c>
      <c r="H26" s="907"/>
      <c r="I26" s="906" t="str">
        <f>"Column is "&amp;IF(MAIN!D$22="Y","","un")&amp;"braced"</f>
        <v>Column is braced</v>
      </c>
      <c r="J26" s="908"/>
      <c r="K26" s="443"/>
      <c r="L26" s="909"/>
      <c r="M26" s="903"/>
      <c r="N26" s="903"/>
      <c r="O26" s="903"/>
      <c r="P26" s="903"/>
      <c r="Q26" s="903"/>
      <c r="R26" s="903"/>
      <c r="S26" s="903"/>
      <c r="T26" s="908"/>
      <c r="U26" s="443"/>
      <c r="V26" s="1273"/>
      <c r="Z26" s="910" t="s">
        <v>521</v>
      </c>
      <c r="AA26" s="911" t="s">
        <v>505</v>
      </c>
      <c r="AB26" s="902">
        <v>0</v>
      </c>
      <c r="AC26" s="902">
        <f>AF27</f>
        <v>-61.199526109531803</v>
      </c>
      <c r="AD26" s="1278">
        <f>AC27</f>
        <v>124.694734508658</v>
      </c>
      <c r="AE26" s="1278"/>
      <c r="AF26" s="912"/>
      <c r="AG26" s="913">
        <v>0</v>
      </c>
      <c r="AH26" s="913">
        <v>0</v>
      </c>
      <c r="AI26" s="914">
        <f>AD26</f>
        <v>124.694734508658</v>
      </c>
      <c r="AK26" s="1092"/>
      <c r="AL26" s="1092"/>
      <c r="AM26" s="1092"/>
      <c r="BB26" s="1115" t="s">
        <v>884</v>
      </c>
      <c r="BD26" s="1115" t="s">
        <v>878</v>
      </c>
      <c r="BO26" s="1114" t="s">
        <v>875</v>
      </c>
    </row>
    <row r="27" spans="1:80" ht="16.5" customHeight="1">
      <c r="A27" s="312"/>
      <c r="B27" s="909"/>
      <c r="C27" s="467" t="s">
        <v>308</v>
      </c>
      <c r="D27" s="904"/>
      <c r="E27" s="905"/>
      <c r="F27" s="905"/>
      <c r="G27" s="928">
        <f>Slen!J25</f>
        <v>2775</v>
      </c>
      <c r="H27" s="468" t="s">
        <v>14</v>
      </c>
      <c r="I27" s="928">
        <f>Slen!J8</f>
        <v>2775</v>
      </c>
      <c r="J27" s="908"/>
      <c r="K27" s="312"/>
      <c r="L27" s="866"/>
      <c r="M27" s="451"/>
      <c r="N27" s="451"/>
      <c r="O27" s="451"/>
      <c r="P27" s="451"/>
      <c r="Q27" s="451"/>
      <c r="R27" s="451"/>
      <c r="S27" s="451"/>
      <c r="T27" s="858"/>
      <c r="U27" s="312"/>
      <c r="V27" s="1273"/>
      <c r="AA27" s="692"/>
      <c r="AB27" s="693" t="s">
        <v>502</v>
      </c>
      <c r="AC27" s="694">
        <f>IF(F7=1,MAIN!D42,IF(F7=2,MAIN!D43,IF(F7=3,MAIN!D44,IF(F7=4,MAIN!D45,IF(F7=5,MAIN!D46,MAIN!D47)))))</f>
        <v>124.694734508658</v>
      </c>
      <c r="AD27" s="694">
        <f>AC27/AI27</f>
        <v>1</v>
      </c>
      <c r="AE27" s="693" t="s">
        <v>503</v>
      </c>
      <c r="AF27" s="694">
        <f>IF(F7=1,MAIN!F42,IF(F7=2,MAIN!F43,IF(F7=3,MAIN!F44,IF(F7=4,MAIN!F45,IF(F7=5,MAIN!F46,MAIN!F47)))))</f>
        <v>-61.199526109531803</v>
      </c>
      <c r="AG27" s="694">
        <f>AF27/AI27</f>
        <v>-0.49079479057940895</v>
      </c>
      <c r="AH27" s="693" t="s">
        <v>504</v>
      </c>
      <c r="AI27" s="695">
        <f>MAX(ABS(AC27),ABS(AF27))</f>
        <v>124.694734508658</v>
      </c>
      <c r="AL27" s="1092"/>
      <c r="AM27" s="1092"/>
      <c r="AN27" s="1092"/>
      <c r="BD27" s="1115" t="s">
        <v>879</v>
      </c>
      <c r="BO27" s="1114" t="s">
        <v>872</v>
      </c>
    </row>
    <row r="28" spans="1:80" ht="16.5" customHeight="1">
      <c r="A28" s="312"/>
      <c r="B28" s="929"/>
      <c r="C28" s="467" t="s">
        <v>834</v>
      </c>
      <c r="D28" s="904"/>
      <c r="E28" s="905"/>
      <c r="F28" s="873" t="s">
        <v>305</v>
      </c>
      <c r="G28" s="916">
        <f>IF(Slen!E27&gt;10000000000-1,"∞",Slen!E27)</f>
        <v>65.601601601601601</v>
      </c>
      <c r="H28" s="468"/>
      <c r="I28" s="916">
        <f>IF(Slen!E10&gt;10000000000-1,"∞",Slen!E10)</f>
        <v>4.1001001001001001</v>
      </c>
      <c r="J28" s="864" t="s">
        <v>304</v>
      </c>
      <c r="K28" s="312"/>
      <c r="L28" s="866"/>
      <c r="M28" s="441"/>
      <c r="N28" s="441"/>
      <c r="O28" s="441"/>
      <c r="P28" s="441"/>
      <c r="Q28" s="441"/>
      <c r="R28" s="441"/>
      <c r="S28" s="441"/>
      <c r="T28" s="862"/>
      <c r="U28" s="312"/>
      <c r="V28" s="1273"/>
      <c r="Z28" s="680"/>
      <c r="BD28" s="1115"/>
      <c r="BO28" s="1114" t="s">
        <v>877</v>
      </c>
    </row>
    <row r="29" spans="1:80" ht="16.5" customHeight="1">
      <c r="A29" s="312"/>
      <c r="B29" s="929"/>
      <c r="C29" s="467" t="s">
        <v>835</v>
      </c>
      <c r="D29" s="904"/>
      <c r="E29" s="930"/>
      <c r="F29" s="873" t="s">
        <v>306</v>
      </c>
      <c r="G29" s="926">
        <f>IF(Slen!E28&gt;10000000000-1,"∞",Slen!E28)</f>
        <v>32.800800800800801</v>
      </c>
      <c r="H29" s="468"/>
      <c r="I29" s="926">
        <f>IF(Slen!E11&gt;10000000000-1,"∞",Slen!E11)</f>
        <v>2.05005005005005</v>
      </c>
      <c r="J29" s="864"/>
      <c r="K29" s="312"/>
      <c r="L29" s="866"/>
      <c r="M29" s="441"/>
      <c r="N29" s="441"/>
      <c r="O29" s="441"/>
      <c r="P29" s="441"/>
      <c r="Q29" s="441"/>
      <c r="R29" s="441"/>
      <c r="S29" s="441"/>
      <c r="T29" s="862"/>
      <c r="U29" s="312"/>
      <c r="V29" s="1273"/>
      <c r="Z29" s="680"/>
      <c r="BD29" s="1115" t="s">
        <v>880</v>
      </c>
    </row>
    <row r="30" spans="1:80" ht="16.5" customHeight="1">
      <c r="A30" s="312"/>
      <c r="B30" s="931"/>
      <c r="C30" s="467" t="s">
        <v>307</v>
      </c>
      <c r="D30" s="904"/>
      <c r="E30" s="905"/>
      <c r="F30" s="873" t="s">
        <v>763</v>
      </c>
      <c r="G30" s="928">
        <f>Slen!G29</f>
        <v>2760.8807731879187</v>
      </c>
      <c r="H30" s="468" t="s">
        <v>14</v>
      </c>
      <c r="I30" s="928">
        <f>Slen!G12</f>
        <v>2580.9032211772956</v>
      </c>
      <c r="J30" s="864" t="s">
        <v>304</v>
      </c>
      <c r="K30" s="312"/>
      <c r="L30" s="713"/>
      <c r="M30" s="441"/>
      <c r="N30" s="441"/>
      <c r="O30" s="441"/>
      <c r="P30" s="441"/>
      <c r="Q30" s="441"/>
      <c r="R30" s="441"/>
      <c r="S30" s="441"/>
      <c r="T30" s="862"/>
      <c r="U30" s="312"/>
      <c r="V30" s="1273"/>
      <c r="Z30" s="680" t="s">
        <v>613</v>
      </c>
      <c r="AA30" s="696"/>
      <c r="AB30" s="682" t="s">
        <v>510</v>
      </c>
      <c r="AC30" s="683"/>
      <c r="AD30" s="684"/>
      <c r="AE30" s="685"/>
      <c r="AF30" s="685"/>
      <c r="AG30" s="682" t="s">
        <v>511</v>
      </c>
      <c r="AH30" s="685"/>
      <c r="AI30" s="686"/>
      <c r="BD30" s="1115" t="s">
        <v>881</v>
      </c>
      <c r="BO30" s="1115" t="s">
        <v>882</v>
      </c>
    </row>
    <row r="31" spans="1:80" ht="16.5" customHeight="1">
      <c r="A31" s="312"/>
      <c r="B31" s="932"/>
      <c r="C31" s="467" t="s">
        <v>309</v>
      </c>
      <c r="D31" s="905"/>
      <c r="E31" s="905"/>
      <c r="F31" s="873" t="s">
        <v>490</v>
      </c>
      <c r="G31" s="922">
        <f>VLOOKUP(  VLOOKUP(Cases!CM17,Cases!CN18:CS23,6,FALSE),Slen!O34:Q39,2)</f>
        <v>346.41016151377545</v>
      </c>
      <c r="H31" s="933" t="s">
        <v>14</v>
      </c>
      <c r="I31" s="922">
        <f>VLOOKUP(           VLOOKUP(Cases!CM28,Cases!CN29:CS34,6,FALSE   ), Slen!O17:Q22,2)</f>
        <v>86.602540378443862</v>
      </c>
      <c r="J31" s="864" t="s">
        <v>310</v>
      </c>
      <c r="K31" s="312"/>
      <c r="L31" s="866"/>
      <c r="M31" s="441"/>
      <c r="N31" s="441"/>
      <c r="O31" s="441"/>
      <c r="P31" s="441"/>
      <c r="Q31" s="441"/>
      <c r="R31" s="441"/>
      <c r="S31" s="441"/>
      <c r="T31" s="862"/>
      <c r="U31" s="312"/>
      <c r="V31" s="757" t="s">
        <v>611</v>
      </c>
      <c r="Z31" s="524"/>
      <c r="AA31" s="687" t="s">
        <v>95</v>
      </c>
      <c r="AB31" s="688">
        <v>0</v>
      </c>
      <c r="AC31" s="688">
        <v>0</v>
      </c>
      <c r="AD31" s="1213">
        <v>1</v>
      </c>
      <c r="AE31" s="1213"/>
      <c r="AF31" s="689"/>
      <c r="AG31" s="690">
        <v>0</v>
      </c>
      <c r="AH31" s="690">
        <v>1</v>
      </c>
      <c r="AI31" s="691">
        <v>1</v>
      </c>
      <c r="BO31" s="1115" t="s">
        <v>883</v>
      </c>
    </row>
    <row r="32" spans="1:80" ht="16.5" customHeight="1">
      <c r="A32" s="312"/>
      <c r="B32" s="934"/>
      <c r="C32" s="467" t="s">
        <v>311</v>
      </c>
      <c r="D32" s="930"/>
      <c r="E32" s="930"/>
      <c r="F32" s="873" t="s">
        <v>312</v>
      </c>
      <c r="G32" s="935">
        <f>G30/G31</f>
        <v>7.9699762880025355</v>
      </c>
      <c r="H32" s="933"/>
      <c r="I32" s="935">
        <f>I30/I31</f>
        <v>29.801703389981679</v>
      </c>
      <c r="J32" s="864"/>
      <c r="K32" s="312"/>
      <c r="L32" s="867"/>
      <c r="M32" s="441"/>
      <c r="N32" s="441"/>
      <c r="O32" s="441"/>
      <c r="P32" s="441"/>
      <c r="Q32" s="441"/>
      <c r="R32" s="441"/>
      <c r="S32" s="441"/>
      <c r="T32" s="862"/>
      <c r="U32" s="312"/>
      <c r="V32" s="539" t="s">
        <v>610</v>
      </c>
      <c r="Z32" s="680" t="s">
        <v>520</v>
      </c>
      <c r="AA32" s="687" t="s">
        <v>505</v>
      </c>
      <c r="AB32" s="698">
        <v>0</v>
      </c>
      <c r="AC32" s="698">
        <f>AG34*AI34/AC36</f>
        <v>0</v>
      </c>
      <c r="AD32" s="1213">
        <f>AD34*AI34/AC36</f>
        <v>1.841107075039706E-17</v>
      </c>
      <c r="AE32" s="1213"/>
      <c r="AF32" s="689"/>
      <c r="AG32" s="690">
        <v>0</v>
      </c>
      <c r="AH32" s="690">
        <v>0</v>
      </c>
      <c r="AI32" s="691">
        <f>AD32</f>
        <v>1.841107075039706E-17</v>
      </c>
      <c r="BD32" s="1115" t="s">
        <v>876</v>
      </c>
    </row>
    <row r="33" spans="1:35" ht="16.5" customHeight="1">
      <c r="A33" s="312"/>
      <c r="B33" s="936"/>
      <c r="C33" s="467" t="s">
        <v>313</v>
      </c>
      <c r="D33" s="458"/>
      <c r="E33" s="458"/>
      <c r="F33" s="873" t="s">
        <v>316</v>
      </c>
      <c r="G33" s="916">
        <f>VLOOKUP(              VLOOKUP(Cases!CM17,Cases!CN18:CS23,6,FALSE),  Slen!O34:R39,4)</f>
        <v>8.5704147412509271E-2</v>
      </c>
      <c r="H33" s="917"/>
      <c r="I33" s="916">
        <f>G33</f>
        <v>8.5704147412509271E-2</v>
      </c>
      <c r="J33" s="864" t="s">
        <v>314</v>
      </c>
      <c r="K33" s="312"/>
      <c r="L33" s="868"/>
      <c r="M33" s="441"/>
      <c r="N33" s="441"/>
      <c r="O33" s="441"/>
      <c r="P33" s="441"/>
      <c r="Q33" s="441"/>
      <c r="R33" s="441"/>
      <c r="S33" s="441"/>
      <c r="T33" s="862"/>
      <c r="U33" s="312"/>
      <c r="V33" s="832" t="str">
        <f>VLOOKUP(Cases!CM17,Cases!CN18:DB23,2,FALSE)</f>
        <v>Z</v>
      </c>
      <c r="Z33" s="680" t="s">
        <v>521</v>
      </c>
      <c r="AA33" s="687" t="s">
        <v>505</v>
      </c>
      <c r="AB33" s="698">
        <v>0</v>
      </c>
      <c r="AC33" s="698">
        <f>AF34</f>
        <v>0</v>
      </c>
      <c r="AD33" s="1213">
        <f>AC34</f>
        <v>2.2957635792408801E-15</v>
      </c>
      <c r="AE33" s="1213"/>
      <c r="AF33" s="689"/>
      <c r="AG33" s="690">
        <v>0</v>
      </c>
      <c r="AH33" s="690">
        <v>0</v>
      </c>
      <c r="AI33" s="691">
        <f>AD33</f>
        <v>2.2957635792408801E-15</v>
      </c>
    </row>
    <row r="34" spans="1:35" ht="16.5" customHeight="1">
      <c r="A34" s="312"/>
      <c r="B34" s="870"/>
      <c r="C34" s="467" t="s">
        <v>315</v>
      </c>
      <c r="D34" s="458"/>
      <c r="E34" s="458"/>
      <c r="F34" s="873" t="s">
        <v>317</v>
      </c>
      <c r="G34" s="916">
        <f>VLOOKUP(Cases!CM17,Cases!CN18:CT23,7,FALSE)</f>
        <v>9.4523487384693378E-2</v>
      </c>
      <c r="H34" s="917"/>
      <c r="I34" s="916">
        <f>G34</f>
        <v>9.4523487384693378E-2</v>
      </c>
      <c r="J34" s="864" t="s">
        <v>314</v>
      </c>
      <c r="K34" s="312"/>
      <c r="L34" s="863"/>
      <c r="M34" s="441"/>
      <c r="N34" s="441"/>
      <c r="O34" s="441"/>
      <c r="P34" s="441"/>
      <c r="Q34" s="441"/>
      <c r="R34" s="441"/>
      <c r="S34" s="441"/>
      <c r="T34" s="862"/>
      <c r="U34" s="312"/>
      <c r="Z34" s="437"/>
      <c r="AA34" s="697"/>
      <c r="AB34" s="693" t="s">
        <v>506</v>
      </c>
      <c r="AC34" s="694">
        <f>IF(F7=1,MAIN!E42,IF(F7=2,MAIN!E43,IF(F7=3,MAIN!E44,IF(F7=4,MAIN!E45,IF(F7=5,MAIN!E46,MAIN!E47)))))</f>
        <v>2.2957635792408801E-15</v>
      </c>
      <c r="AD34" s="694">
        <f>AC34/AI34</f>
        <v>1</v>
      </c>
      <c r="AE34" s="693" t="s">
        <v>507</v>
      </c>
      <c r="AF34" s="694">
        <f>IF(F7=1,MAIN!G42,IF(F7=2,MAIN!G43,IF(F7=3,MAIN!G44,IF(F7=4,MAIN!G45,IF(F7=5,MAIN!G46,MAIN!G47)))))</f>
        <v>0</v>
      </c>
      <c r="AG34" s="694">
        <f>AF34/AI34</f>
        <v>0</v>
      </c>
      <c r="AH34" s="693" t="s">
        <v>504</v>
      </c>
      <c r="AI34" s="695">
        <f>MAX(ABS(AC34),ABS(AF34))</f>
        <v>2.2957635792408801E-15</v>
      </c>
    </row>
    <row r="35" spans="1:35" ht="16.5" customHeight="1">
      <c r="A35" s="312"/>
      <c r="B35" s="923"/>
      <c r="C35" s="890" t="s">
        <v>410</v>
      </c>
      <c r="D35" s="458"/>
      <c r="E35" s="924"/>
      <c r="F35" s="925" t="s">
        <v>603</v>
      </c>
      <c r="G35" s="1202" t="str">
        <f>V44&amp;" "&amp;V47&amp;" "&amp;V53</f>
        <v>0.805 1.082 7.126</v>
      </c>
      <c r="H35" s="917"/>
      <c r="I35" s="1202" t="str">
        <f>V44&amp;" "&amp;V47&amp;" "&amp;V55</f>
        <v>0.805 1.082 2.283</v>
      </c>
      <c r="J35" s="927" t="s">
        <v>314</v>
      </c>
      <c r="K35" s="312"/>
      <c r="L35" s="868"/>
      <c r="M35" s="538"/>
      <c r="N35" s="538"/>
      <c r="O35" s="538"/>
      <c r="P35" s="538"/>
      <c r="Q35" s="538"/>
      <c r="R35" s="538"/>
      <c r="S35" s="538"/>
      <c r="T35" s="869"/>
      <c r="U35" s="312"/>
    </row>
    <row r="36" spans="1:35" ht="16.5" customHeight="1">
      <c r="A36" s="312"/>
      <c r="B36" s="870"/>
      <c r="C36" s="467" t="s">
        <v>318</v>
      </c>
      <c r="D36" s="905"/>
      <c r="E36" s="905"/>
      <c r="F36" s="873" t="s">
        <v>734</v>
      </c>
      <c r="G36" s="935">
        <f>VLOOKUP(Cases!CM17,Cases!CN18:CU23,8,FALSE)</f>
        <v>50</v>
      </c>
      <c r="H36" s="917"/>
      <c r="I36" s="935">
        <f>VLOOKUP(Cases!CM28,Cases!CN29:CT34,7,FALSE)</f>
        <v>39.795419839047383</v>
      </c>
      <c r="J36" s="864" t="s">
        <v>718</v>
      </c>
      <c r="K36" s="312"/>
      <c r="L36" s="860"/>
      <c r="M36" s="441"/>
      <c r="N36" s="441"/>
      <c r="O36" s="441"/>
      <c r="P36" s="441"/>
      <c r="Q36" s="441"/>
      <c r="R36" s="441"/>
      <c r="S36" s="441"/>
      <c r="T36" s="862"/>
      <c r="U36" s="312"/>
      <c r="Z36" s="680" t="s">
        <v>609</v>
      </c>
      <c r="AC36" s="702">
        <f>MAX(ABS(AI27),ABS(AI34))</f>
        <v>124.694734508658</v>
      </c>
      <c r="AE36" s="442"/>
    </row>
    <row r="37" spans="1:35" ht="16.5" customHeight="1">
      <c r="A37" s="312"/>
      <c r="B37" s="870"/>
      <c r="C37" s="467" t="s">
        <v>319</v>
      </c>
      <c r="D37" s="905"/>
      <c r="E37" s="905"/>
      <c r="F37" s="873" t="s">
        <v>721</v>
      </c>
      <c r="G37" s="906" t="str">
        <f>IF(G32&gt;G36,"Slender","Short")</f>
        <v>Short</v>
      </c>
      <c r="H37" s="468"/>
      <c r="I37" s="906" t="str">
        <f>IF(I32&gt;I36,"Slender","Short")</f>
        <v>Short</v>
      </c>
      <c r="J37" s="864"/>
      <c r="K37" s="312"/>
      <c r="L37" s="860"/>
      <c r="M37" s="441"/>
      <c r="N37" s="441"/>
      <c r="O37" s="441"/>
      <c r="P37" s="441"/>
      <c r="Q37" s="441"/>
      <c r="R37" s="441"/>
      <c r="S37" s="441"/>
      <c r="T37" s="862"/>
      <c r="U37" s="312"/>
    </row>
    <row r="38" spans="1:35" ht="18.600000000000001" customHeight="1">
      <c r="A38" s="312"/>
      <c r="B38" s="859" t="s">
        <v>493</v>
      </c>
      <c r="C38" s="106"/>
      <c r="D38" s="106"/>
      <c r="E38" s="106"/>
      <c r="F38" s="526"/>
      <c r="G38" s="464"/>
      <c r="H38" s="459"/>
      <c r="I38" s="465"/>
      <c r="J38" s="862"/>
      <c r="K38" s="312"/>
      <c r="L38" s="860"/>
      <c r="M38" s="106"/>
      <c r="N38" s="106"/>
      <c r="O38" s="106"/>
      <c r="P38" s="106"/>
      <c r="Q38" s="106"/>
      <c r="R38" s="106"/>
      <c r="S38" s="106"/>
      <c r="T38" s="862"/>
      <c r="U38" s="312"/>
    </row>
    <row r="39" spans="1:35" s="71" customFormat="1" ht="16.5" customHeight="1">
      <c r="A39" s="443"/>
      <c r="B39" s="870"/>
      <c r="C39" s="467" t="s">
        <v>322</v>
      </c>
      <c r="D39" s="903"/>
      <c r="E39" s="458"/>
      <c r="F39" s="873" t="s">
        <v>337</v>
      </c>
      <c r="G39" s="916">
        <f>VLOOKUP(           VLOOKUP(Cases!CM17,Cases!CN18:CS23,6),Slen!O34:S39,5,FALSE)</f>
        <v>0.48317634035469481</v>
      </c>
      <c r="H39" s="917"/>
      <c r="I39" s="916">
        <f>VLOOKUP(                    VLOOKUP(Cases!CM28,Cases!CN29:CS34,6,FALSE   ),             Slen!O17:S22,5)</f>
        <v>0.41558462478988661</v>
      </c>
      <c r="J39" s="864" t="s">
        <v>323</v>
      </c>
      <c r="K39" s="443"/>
      <c r="L39" s="918"/>
      <c r="M39" s="467"/>
      <c r="N39" s="467"/>
      <c r="O39" s="467"/>
      <c r="P39" s="467"/>
      <c r="Q39" s="467"/>
      <c r="R39" s="467"/>
      <c r="S39" s="467"/>
      <c r="T39" s="864"/>
      <c r="U39" s="443"/>
    </row>
    <row r="40" spans="1:35" s="71" customFormat="1" ht="16.5" customHeight="1">
      <c r="A40" s="443"/>
      <c r="B40" s="870"/>
      <c r="C40" s="467" t="s">
        <v>326</v>
      </c>
      <c r="D40" s="903"/>
      <c r="E40" s="458"/>
      <c r="F40" s="873" t="s">
        <v>321</v>
      </c>
      <c r="G40" s="916">
        <f>VLOOKUP(Cases!CM17,Cases!CN18:CV23,9,FALSE)</f>
        <v>1</v>
      </c>
      <c r="H40" s="917"/>
      <c r="I40" s="916">
        <f>VLOOKUP(Cases!CM28,Cases!CN29:CU34,8,FALSE)</f>
        <v>1</v>
      </c>
      <c r="J40" s="864" t="s">
        <v>324</v>
      </c>
      <c r="K40" s="443"/>
      <c r="L40" s="918"/>
      <c r="M40" s="467"/>
      <c r="N40" s="467"/>
      <c r="O40" s="467"/>
      <c r="P40" s="467"/>
      <c r="Q40" s="467"/>
      <c r="R40" s="467"/>
      <c r="S40" s="467"/>
      <c r="T40" s="864"/>
      <c r="U40" s="443"/>
    </row>
    <row r="41" spans="1:35" s="71" customFormat="1" ht="16.5" customHeight="1">
      <c r="A41" s="443"/>
      <c r="B41" s="870"/>
      <c r="C41" s="467" t="s">
        <v>327</v>
      </c>
      <c r="D41" s="457"/>
      <c r="E41" s="458"/>
      <c r="F41" s="873" t="s">
        <v>328</v>
      </c>
      <c r="G41" s="916">
        <f>VLOOKUP(              VLOOKUP(Cases!CM17,Cases!CN18:CS23,6,FALSE),Cases!M8:Q13,4)</f>
        <v>0.49686682474664978</v>
      </c>
      <c r="H41" s="917"/>
      <c r="I41" s="916">
        <f>VLOOKUP(             VLOOKUP(Cases!CM28,Cases!CN29:CS34,6,FALSE   ),Cases!M8:Q13,5)</f>
        <v>0.35132197740012217</v>
      </c>
      <c r="J41" s="864" t="s">
        <v>325</v>
      </c>
      <c r="K41" s="443"/>
      <c r="L41" s="918"/>
      <c r="M41" s="467"/>
      <c r="N41" s="467"/>
      <c r="O41" s="467"/>
      <c r="P41" s="467"/>
      <c r="Q41" s="467"/>
      <c r="R41" s="467"/>
      <c r="S41" s="467"/>
      <c r="T41" s="864"/>
      <c r="U41" s="443"/>
    </row>
    <row r="42" spans="1:35" s="71" customFormat="1" ht="16.5" customHeight="1" thickBot="1">
      <c r="A42" s="443"/>
      <c r="B42" s="919"/>
      <c r="C42" s="467" t="s">
        <v>329</v>
      </c>
      <c r="D42" s="907"/>
      <c r="E42" s="905"/>
      <c r="F42" s="873" t="s">
        <v>330</v>
      </c>
      <c r="G42" s="916">
        <f>VLOOKUP(                   VLOOKUP(Cases!CM17,Cases!CN18:CS23,6,FALSE),Cases!M8:U13,8)</f>
        <v>1.6012088579434463</v>
      </c>
      <c r="H42" s="917"/>
      <c r="I42" s="916">
        <f>VLOOKUP(      VLOOKUP(Cases!CM28,Cases!CN29:CS34,6,FALSE   ),          Cases!M8:U13,9)</f>
        <v>1.4250995926541479</v>
      </c>
      <c r="J42" s="864" t="s">
        <v>331</v>
      </c>
      <c r="K42" s="443"/>
      <c r="L42" s="918"/>
      <c r="M42" s="467"/>
      <c r="N42" s="467"/>
      <c r="O42" s="467"/>
      <c r="P42" s="467"/>
      <c r="Q42" s="467"/>
      <c r="R42" s="467"/>
      <c r="S42" s="467"/>
      <c r="T42" s="864"/>
      <c r="U42" s="443"/>
    </row>
    <row r="43" spans="1:35" s="71" customFormat="1" ht="16.5" customHeight="1">
      <c r="A43" s="443"/>
      <c r="B43" s="919"/>
      <c r="C43" s="467" t="s">
        <v>338</v>
      </c>
      <c r="D43" s="907"/>
      <c r="E43" s="905"/>
      <c r="F43" s="873" t="s">
        <v>335</v>
      </c>
      <c r="G43" s="1010">
        <f>VLOOKUP(               VLOOKUP(Cases!CM17,Cases!CN18:CS23,6,FALSE),Cases!M8:U13,6)</f>
        <v>4.1862373261664944E-6</v>
      </c>
      <c r="H43" s="920" t="s">
        <v>773</v>
      </c>
      <c r="I43" s="1010">
        <f>VLOOKUP(             VLOOKUP(Cases!CM28,Cases!CN29:CS34,6,FALSE   ),Cases!M8:U13,7)</f>
        <v>1.9019361710221005E-5</v>
      </c>
      <c r="J43" s="864" t="s">
        <v>334</v>
      </c>
      <c r="K43" s="443"/>
      <c r="L43" s="918"/>
      <c r="M43" s="467"/>
      <c r="N43" s="467"/>
      <c r="O43" s="467"/>
      <c r="P43" s="467"/>
      <c r="Q43" s="467"/>
      <c r="R43" s="467"/>
      <c r="S43" s="467"/>
      <c r="T43" s="864"/>
      <c r="U43" s="443"/>
      <c r="V43" s="1182" t="s">
        <v>128</v>
      </c>
      <c r="W43" s="1183"/>
      <c r="X43" s="912"/>
    </row>
    <row r="44" spans="1:35" s="71" customFormat="1" ht="16.5" customHeight="1">
      <c r="A44" s="443"/>
      <c r="B44" s="919"/>
      <c r="C44" s="467" t="s">
        <v>333</v>
      </c>
      <c r="D44" s="458"/>
      <c r="E44" s="905"/>
      <c r="F44" s="873" t="s">
        <v>336</v>
      </c>
      <c r="G44" s="1010">
        <f>G40*G42*G43</f>
        <v>6.7030402881112786E-6</v>
      </c>
      <c r="H44" s="920" t="s">
        <v>773</v>
      </c>
      <c r="I44" s="1010">
        <f>I40*I42*I43</f>
        <v>2.7104484625777852E-5</v>
      </c>
      <c r="J44" s="864" t="s">
        <v>332</v>
      </c>
      <c r="K44" s="443"/>
      <c r="L44" s="918"/>
      <c r="M44" s="467"/>
      <c r="N44" s="467"/>
      <c r="O44" s="467"/>
      <c r="P44" s="467"/>
      <c r="Q44" s="467"/>
      <c r="R44" s="467"/>
      <c r="S44" s="467"/>
      <c r="T44" s="864"/>
      <c r="U44" s="443"/>
      <c r="V44" s="1184" t="str">
        <f>FIXED(1/(1+0.2*Cases!T16),3)</f>
        <v>0.805</v>
      </c>
      <c r="W44" s="984"/>
      <c r="X44" s="912"/>
    </row>
    <row r="45" spans="1:35" s="71" customFormat="1" ht="16.5" customHeight="1">
      <c r="A45" s="443"/>
      <c r="B45" s="919"/>
      <c r="C45" s="467" t="s">
        <v>340</v>
      </c>
      <c r="D45" s="903"/>
      <c r="E45" s="458"/>
      <c r="F45" s="873" t="s">
        <v>448</v>
      </c>
      <c r="G45" s="916">
        <f>IF(                  VLOOKUP(Cases!CM17,MAIN!B42:D47,3,FALSE)             =               VLOOKUP(MAIN!J42,MAIN!B42:F47,5,FALSE),8,PI()^2)</f>
        <v>9.869604401089358</v>
      </c>
      <c r="H45" s="468"/>
      <c r="I45" s="916">
        <f>IF(I$22=I$23,8,PI()^2)</f>
        <v>9.869604401089358</v>
      </c>
      <c r="J45" s="864" t="s">
        <v>343</v>
      </c>
      <c r="K45" s="443"/>
      <c r="L45" s="918"/>
      <c r="M45" s="467"/>
      <c r="N45" s="467"/>
      <c r="O45" s="467"/>
      <c r="P45" s="467"/>
      <c r="Q45" s="467"/>
      <c r="R45" s="467"/>
      <c r="S45" s="467"/>
      <c r="T45" s="864"/>
      <c r="U45" s="443"/>
      <c r="V45" s="1185"/>
      <c r="W45" s="984"/>
      <c r="X45" s="912"/>
    </row>
    <row r="46" spans="1:35" s="71" customFormat="1" ht="16.5" customHeight="1">
      <c r="A46" s="443"/>
      <c r="B46" s="919"/>
      <c r="C46" s="467" t="s">
        <v>341</v>
      </c>
      <c r="D46" s="458"/>
      <c r="E46" s="458"/>
      <c r="F46" s="873" t="s">
        <v>345</v>
      </c>
      <c r="G46" s="921">
        <f>1000*G44*(G30/1000)^2/G45*1000</f>
        <v>5.1768715461481358</v>
      </c>
      <c r="H46" s="468" t="s">
        <v>14</v>
      </c>
      <c r="I46" s="921">
        <f>1000*I44*(I30/1000)^2/I45*1000</f>
        <v>18.292996352808174</v>
      </c>
      <c r="J46" s="864" t="s">
        <v>339</v>
      </c>
      <c r="K46" s="443"/>
      <c r="L46" s="918"/>
      <c r="M46" s="467"/>
      <c r="N46" s="467"/>
      <c r="O46" s="467"/>
      <c r="P46" s="467"/>
      <c r="Q46" s="467"/>
      <c r="R46" s="467"/>
      <c r="S46" s="467"/>
      <c r="T46" s="864"/>
      <c r="U46" s="443"/>
      <c r="V46" s="1186" t="s">
        <v>273</v>
      </c>
      <c r="W46" s="984"/>
      <c r="X46" s="912"/>
    </row>
    <row r="47" spans="1:35" s="71" customFormat="1" ht="16.149999999999999" customHeight="1">
      <c r="A47" s="443"/>
      <c r="B47" s="870"/>
      <c r="C47" s="467" t="s">
        <v>487</v>
      </c>
      <c r="D47" s="458"/>
      <c r="E47" s="458"/>
      <c r="F47" s="873" t="s">
        <v>648</v>
      </c>
      <c r="G47" s="922">
        <f>SIGN(G20)*IF(G32&gt;G36,G10*G46/1000,0)</f>
        <v>0</v>
      </c>
      <c r="H47" s="468" t="s">
        <v>342</v>
      </c>
      <c r="I47" s="922">
        <f>SIGN(I20)*IF(I32&gt;I36,G10*I46/1000,0)</f>
        <v>0</v>
      </c>
      <c r="J47" s="864" t="s">
        <v>344</v>
      </c>
      <c r="K47" s="443"/>
      <c r="L47" s="918"/>
      <c r="M47" s="467"/>
      <c r="N47" s="467"/>
      <c r="O47" s="467"/>
      <c r="P47" s="467"/>
      <c r="Q47" s="467"/>
      <c r="R47" s="467"/>
      <c r="S47" s="467"/>
      <c r="T47" s="864"/>
      <c r="U47" s="443"/>
      <c r="V47" s="1200" t="str">
        <f>FIXED(VLOOKUP(Cases!CM17,Cases!CN18:DK23,22,FALSE),3)</f>
        <v>1.082</v>
      </c>
      <c r="W47" s="984"/>
      <c r="X47" s="912"/>
    </row>
    <row r="48" spans="1:35" ht="16.149999999999999" customHeight="1">
      <c r="B48" s="859" t="s">
        <v>746</v>
      </c>
      <c r="C48" s="456"/>
      <c r="D48" s="1088"/>
      <c r="E48" s="1019"/>
      <c r="F48" s="1003" t="s">
        <v>769</v>
      </c>
      <c r="G48" s="937">
        <f>G22</f>
        <v>124.694734508658</v>
      </c>
      <c r="H48" s="879" t="s">
        <v>342</v>
      </c>
      <c r="I48" s="874">
        <f>I22</f>
        <v>4.9867018505885587</v>
      </c>
      <c r="J48" s="862"/>
      <c r="K48" s="312"/>
      <c r="L48" s="860"/>
      <c r="M48" s="456"/>
      <c r="N48" s="456"/>
      <c r="O48" s="456"/>
      <c r="P48" s="456"/>
      <c r="Q48" s="456"/>
      <c r="R48" s="456"/>
      <c r="S48" s="456"/>
      <c r="T48" s="862"/>
      <c r="U48" s="312"/>
      <c r="V48" s="988"/>
      <c r="W48" s="982"/>
      <c r="X48" s="689"/>
    </row>
    <row r="49" spans="2:24" ht="16.149999999999999" customHeight="1">
      <c r="B49" s="1274" t="s">
        <v>852</v>
      </c>
      <c r="C49" s="1275"/>
      <c r="D49" s="1276"/>
      <c r="E49" s="1279" t="s">
        <v>851</v>
      </c>
      <c r="F49" s="1280"/>
      <c r="G49" s="938">
        <f>IF(MAIN!D21="N",G22,G24)+(G47)</f>
        <v>50.337030261382068</v>
      </c>
      <c r="H49" s="880" t="s">
        <v>342</v>
      </c>
      <c r="I49" s="875">
        <f>IF(MAIN!D22="N",I22,I24)+(I47)</f>
        <v>4.9827018505885601</v>
      </c>
      <c r="J49" s="862"/>
      <c r="K49" s="312"/>
      <c r="L49" s="860"/>
      <c r="M49" s="456"/>
      <c r="N49" s="456"/>
      <c r="O49" s="456"/>
      <c r="P49" s="456"/>
      <c r="Q49" s="456"/>
      <c r="R49" s="456"/>
      <c r="S49" s="456"/>
      <c r="T49" s="862"/>
      <c r="U49" s="312"/>
      <c r="V49" s="988"/>
      <c r="W49" s="982"/>
      <c r="X49" s="689"/>
    </row>
    <row r="50" spans="2:24" ht="16.149999999999999" customHeight="1">
      <c r="B50" s="1023"/>
      <c r="C50" s="1024" t="s">
        <v>777</v>
      </c>
      <c r="D50" s="646" t="s">
        <v>652</v>
      </c>
      <c r="E50" s="1020"/>
      <c r="F50" s="876" t="s">
        <v>850</v>
      </c>
      <c r="G50" s="939">
        <f>(G23-IF(G13="Top",Slen!N28,Slen!N27)*G47/2)-2*SIGN(VLOOKUP(Cases!CM17,Cases!CN18:DA23,13,FALSE))*IF(G19="Y",G16,0)</f>
        <v>-61.199526109531803</v>
      </c>
      <c r="H50" s="880" t="s">
        <v>342</v>
      </c>
      <c r="I50" s="875">
        <f>(I23-IF(I13="Top",Slen!N11,Slen!N10)*I47/2)-2*SIGN(VLOOKUP(Cases!CM28,Cases!CN29:DA34,13,FALSE))*IF(I19="Z",I16,0)</f>
        <v>-4.9767018505885563</v>
      </c>
      <c r="J50" s="862"/>
      <c r="K50" s="312"/>
      <c r="L50" s="860"/>
      <c r="M50" s="617"/>
      <c r="N50" s="617"/>
      <c r="O50" s="617"/>
      <c r="P50" s="617"/>
      <c r="Q50" s="617"/>
      <c r="R50" s="617"/>
      <c r="S50" s="617"/>
      <c r="T50" s="862"/>
      <c r="U50" s="312"/>
      <c r="V50" s="988"/>
      <c r="W50" s="982"/>
      <c r="X50" s="689"/>
    </row>
    <row r="51" spans="2:24" ht="16.149999999999999" customHeight="1">
      <c r="B51" s="1274" t="s">
        <v>836</v>
      </c>
      <c r="C51" s="1275"/>
      <c r="D51" s="1276"/>
      <c r="E51" s="1044" t="s">
        <v>800</v>
      </c>
      <c r="F51" s="876" t="s">
        <v>799</v>
      </c>
      <c r="G51" s="938">
        <f>(G21-IF(G13="Top",Slen!N28,Slen!N27)*G47/2)</f>
        <v>-61.199526109531803</v>
      </c>
      <c r="H51" s="880" t="s">
        <v>342</v>
      </c>
      <c r="I51" s="875">
        <f>(I21-IF(I13="Top",Slen!N11,Slen!N10)*I47/2)</f>
        <v>2.2957635792408801E-15</v>
      </c>
      <c r="J51" s="862"/>
      <c r="K51" s="312"/>
      <c r="L51" s="860"/>
      <c r="M51" s="617"/>
      <c r="N51" s="617"/>
      <c r="O51" s="617"/>
      <c r="P51" s="617"/>
      <c r="Q51" s="617"/>
      <c r="R51" s="617"/>
      <c r="S51" s="617"/>
      <c r="T51" s="862"/>
      <c r="U51" s="312"/>
      <c r="V51" s="1187" t="s">
        <v>604</v>
      </c>
      <c r="W51" s="982"/>
      <c r="X51" s="689"/>
    </row>
    <row r="52" spans="2:24" ht="16.149999999999999" customHeight="1">
      <c r="B52" s="919"/>
      <c r="C52" s="467" t="s">
        <v>865</v>
      </c>
      <c r="D52" s="1102" t="str">
        <f>IF(MAIN!E29="BOTH AXES","BOTH",IF(D50="MAN NO","NO",IF(V33="NO","NO",  IF(G19="-"," Z "," Y"))))</f>
        <v xml:space="preserve"> Z </v>
      </c>
      <c r="E52" s="1021"/>
      <c r="F52" s="877" t="s">
        <v>752</v>
      </c>
      <c r="G52" s="940">
        <f>G17</f>
        <v>0</v>
      </c>
      <c r="H52" s="881" t="s">
        <v>342</v>
      </c>
      <c r="I52" s="878">
        <f>I17</f>
        <v>15.42623314118196</v>
      </c>
      <c r="J52" s="862"/>
      <c r="K52" s="312"/>
      <c r="L52" s="860"/>
      <c r="M52" s="617"/>
      <c r="N52" s="617"/>
      <c r="O52" s="617"/>
      <c r="P52" s="617"/>
      <c r="Q52" s="617"/>
      <c r="R52" s="617"/>
      <c r="S52" s="617"/>
      <c r="T52" s="862"/>
      <c r="U52" s="312"/>
      <c r="V52" s="1187" t="s">
        <v>95</v>
      </c>
      <c r="W52" s="1192" t="s">
        <v>922</v>
      </c>
      <c r="X52" s="689"/>
    </row>
    <row r="53" spans="2:24" ht="23.65" customHeight="1">
      <c r="B53" s="871"/>
      <c r="C53" s="749"/>
      <c r="D53" s="1022"/>
      <c r="E53" s="526"/>
      <c r="F53" s="526" t="s">
        <v>853</v>
      </c>
      <c r="G53" s="1030">
        <f>MAX(ABS(G48),ABS(G49),ABS(G50),ABS(IF(G19="Y",0,G51)),ABS(G52)        )</f>
        <v>124.694734508658</v>
      </c>
      <c r="H53" s="1032" t="s">
        <v>342</v>
      </c>
      <c r="I53" s="1030">
        <f>MAX(ABS(I48),ABS(I49),ABS(I50),ABS(IF(I19="Z",0,I51)),ABS(I52)    )</f>
        <v>15.42623314118196</v>
      </c>
      <c r="J53" s="864" t="s">
        <v>344</v>
      </c>
      <c r="K53" s="312"/>
      <c r="L53" s="860"/>
      <c r="M53" s="616"/>
      <c r="N53" s="616"/>
      <c r="O53" s="616"/>
      <c r="P53" s="616"/>
      <c r="Q53" s="616"/>
      <c r="R53" s="616"/>
      <c r="S53" s="616"/>
      <c r="T53" s="864"/>
      <c r="U53" s="312"/>
      <c r="V53" s="1188" t="str">
        <f>FIXED(VLOOKUP(Cases!CM17,Cases!CN18:DK23,19,FALSE),3)</f>
        <v>7.126</v>
      </c>
      <c r="W53" s="1189">
        <f>20*V44*V47*V53</f>
        <v>124.13634520000001</v>
      </c>
      <c r="X53" s="689"/>
    </row>
    <row r="54" spans="2:24" ht="23.65" customHeight="1">
      <c r="B54" s="863"/>
      <c r="C54" s="441" t="s">
        <v>353</v>
      </c>
      <c r="D54" s="456"/>
      <c r="E54" s="456"/>
      <c r="F54" s="526" t="str">
        <f>"from charts, with NEd = "&amp;G10</f>
        <v>from charts, with NEd = 771.311657059098</v>
      </c>
      <c r="G54" s="883">
        <f>VLOOKUP(Cases!CM17,Cases!CN18:CW23,10,FALSE)</f>
        <v>772.68660764665708</v>
      </c>
      <c r="H54" s="881" t="s">
        <v>342</v>
      </c>
      <c r="I54" s="883">
        <f>VLOOKUP(Cases!CM28,Cases!CN29:CV34,9,FALSE)</f>
        <v>181.16743919664179</v>
      </c>
      <c r="J54" s="862"/>
      <c r="K54" s="312"/>
      <c r="L54" s="895"/>
      <c r="M54" s="441"/>
      <c r="N54" s="441"/>
      <c r="O54" s="441"/>
      <c r="P54" s="441"/>
      <c r="Q54" s="441"/>
      <c r="R54" s="441"/>
      <c r="S54" s="441"/>
      <c r="T54" s="862"/>
      <c r="U54" s="312"/>
      <c r="V54" s="1187" t="s">
        <v>560</v>
      </c>
      <c r="W54" s="1192" t="s">
        <v>923</v>
      </c>
      <c r="X54" s="689"/>
    </row>
    <row r="55" spans="2:24" ht="22.9" customHeight="1">
      <c r="B55" s="859" t="s">
        <v>778</v>
      </c>
      <c r="C55" s="467"/>
      <c r="D55" s="441" t="s">
        <v>394</v>
      </c>
      <c r="E55" s="456"/>
      <c r="F55" s="526" t="s">
        <v>355</v>
      </c>
      <c r="G55" s="1026">
        <f>1000*G10/(Cases!L7+           VLOOKUP(Cases!CM17,Cases!CN18:CX23,11,FALSE)           *MAIN!C10/Refs!D11)</f>
        <v>8.706191977802176E-2</v>
      </c>
      <c r="H55" s="1201" t="s">
        <v>928</v>
      </c>
      <c r="I55" s="1027">
        <f>VLOOKUP(Cases!CM17,Cases!CN18:CY23,12,FALSE)</f>
        <v>1</v>
      </c>
      <c r="J55" s="1025"/>
      <c r="K55" s="312"/>
      <c r="L55" s="859"/>
      <c r="M55" s="441"/>
      <c r="N55" s="441"/>
      <c r="O55" s="441"/>
      <c r="P55" s="441"/>
      <c r="Q55" s="441"/>
      <c r="R55" s="441"/>
      <c r="S55" s="441"/>
      <c r="T55" s="862"/>
      <c r="U55" s="312"/>
      <c r="V55" s="1188" t="str">
        <f>FIXED(VLOOKUP(Cases!CM17,Cases!CN18:DK23,20,FALSE),3)</f>
        <v>2.283</v>
      </c>
      <c r="W55" s="1189">
        <f>20*V44*V47*V55</f>
        <v>39.770316600000001</v>
      </c>
      <c r="X55" s="689"/>
    </row>
    <row r="56" spans="2:24" ht="15.6" customHeight="1">
      <c r="B56" s="859" t="s">
        <v>636</v>
      </c>
      <c r="C56" s="467"/>
      <c r="D56" s="458"/>
      <c r="E56" s="526"/>
      <c r="F56" s="526" t="s">
        <v>356</v>
      </c>
      <c r="G56" s="882">
        <f>(G53/G54)^I55</f>
        <v>0.16137814901236108</v>
      </c>
      <c r="H56" s="917"/>
      <c r="I56" s="882">
        <f>(I53/I54)^I55</f>
        <v>8.5149037871193295E-2</v>
      </c>
      <c r="J56" s="862"/>
      <c r="K56" s="312"/>
      <c r="L56" s="859"/>
      <c r="M56" s="467"/>
      <c r="N56" s="467"/>
      <c r="O56" s="467"/>
      <c r="P56" s="467"/>
      <c r="Q56" s="467"/>
      <c r="R56" s="467"/>
      <c r="S56" s="467"/>
      <c r="T56" s="864"/>
      <c r="U56" s="312"/>
      <c r="V56" s="988"/>
      <c r="W56" s="1193"/>
      <c r="X56" s="689"/>
    </row>
    <row r="57" spans="2:24" ht="18" customHeight="1">
      <c r="B57" s="872"/>
      <c r="C57" s="669"/>
      <c r="D57" s="456"/>
      <c r="E57" s="456"/>
      <c r="F57" s="456"/>
      <c r="G57" s="456"/>
      <c r="H57" s="1033">
        <f>(G53/G54)^I55+(I53/I54)^I55</f>
        <v>0.24652718688355438</v>
      </c>
      <c r="I57" s="456"/>
      <c r="J57" s="1028" t="str">
        <f>IF(H57&gt;1,"&gt; 1 - FAILS  ","≤ 1 - OK")</f>
        <v>≤ 1 - OK</v>
      </c>
      <c r="K57" s="312"/>
      <c r="L57" s="894"/>
      <c r="M57" s="669"/>
      <c r="N57" s="669"/>
      <c r="O57" s="669"/>
      <c r="P57" s="669"/>
      <c r="Q57" s="669"/>
      <c r="R57" s="669"/>
      <c r="S57" s="669"/>
      <c r="T57" s="896"/>
      <c r="U57" s="312"/>
      <c r="V57" s="1190" t="s">
        <v>893</v>
      </c>
      <c r="W57" s="1194"/>
      <c r="X57" s="689"/>
    </row>
    <row r="58" spans="2:24" ht="25.35" customHeight="1" thickBot="1">
      <c r="B58" s="884"/>
      <c r="C58" s="885"/>
      <c r="D58" s="886"/>
      <c r="E58" s="1004" t="str">
        <f>"fck = "&amp;MAIN!C9&amp;" MPa, cover to links = "&amp;MAIN!I8&amp;" mm"</f>
        <v>fck = 40 MPa, cover to links = 30 mm</v>
      </c>
      <c r="F58" s="885"/>
      <c r="G58" s="885"/>
      <c r="H58" s="887"/>
      <c r="I58" s="1029" t="str">
        <f>IF(H57&gt;1,"Load case "&amp;F7&amp;" no good","Use "&amp;MAIN!C13&amp;" x "&amp;MAIN!C14&amp;" column with "&amp;  VLOOKUP(Cases!CM17,MAIN!B51:K56,9)   &amp;" bars")</f>
        <v>Use 1200 x 300 column with 8 H16 bars</v>
      </c>
      <c r="J58" s="888"/>
      <c r="K58" s="312"/>
      <c r="L58" s="884"/>
      <c r="M58" s="897"/>
      <c r="N58" s="886"/>
      <c r="O58" s="898"/>
      <c r="P58" s="897"/>
      <c r="Q58" s="897"/>
      <c r="R58" s="899"/>
      <c r="S58" s="900"/>
      <c r="T58" s="888"/>
      <c r="U58" s="312"/>
      <c r="V58" s="1191" t="str">
        <f>IF(V5="BOTH AXES","BOTH",IF(D50="MAN Y","Y",IF(D50="MAN Z","Z",IF(D50="MAN NO","NO","CRIT"))))</f>
        <v>CRIT</v>
      </c>
      <c r="W58" s="1195"/>
      <c r="X58" s="689"/>
    </row>
    <row r="59" spans="2:24" ht="16.149999999999999" customHeight="1">
      <c r="K59" s="312"/>
    </row>
    <row r="60" spans="2:24" ht="15">
      <c r="K60" s="312"/>
    </row>
    <row r="67" spans="7:9">
      <c r="G67" s="1277"/>
      <c r="I67" s="1277"/>
    </row>
    <row r="68" spans="7:9">
      <c r="G68" s="1277"/>
      <c r="I68" s="1277"/>
    </row>
  </sheetData>
  <customSheetViews>
    <customSheetView guid="{065FF312-67E2-4E5F-894A-2CE2F41260A3}" scale="75" printArea="1">
      <selection activeCell="F7" sqref="F7"/>
      <colBreaks count="1" manualBreakCount="1">
        <brk id="10" min="1" max="62" man="1"/>
      </colBreaks>
      <pageMargins left="0.19685039370078741" right="0.19685039370078741" top="0.23622047244094491" bottom="0.23622047244094491" header="0" footer="0"/>
      <printOptions horizontalCentered="1" verticalCentered="1"/>
      <pageSetup paperSize="9" scale="82" orientation="portrait" r:id="rId1"/>
      <headerFooter alignWithMargins="0"/>
    </customSheetView>
  </customSheetViews>
  <mergeCells count="20">
    <mergeCell ref="B49:D49"/>
    <mergeCell ref="G67:G68"/>
    <mergeCell ref="I67:I68"/>
    <mergeCell ref="AD26:AE26"/>
    <mergeCell ref="AD33:AE33"/>
    <mergeCell ref="B51:D51"/>
    <mergeCell ref="E49:F49"/>
    <mergeCell ref="AD24:AE24"/>
    <mergeCell ref="AD25:AE25"/>
    <mergeCell ref="AD31:AE31"/>
    <mergeCell ref="AD32:AE32"/>
    <mergeCell ref="V23:V30"/>
    <mergeCell ref="N10:O10"/>
    <mergeCell ref="Q10:S10"/>
    <mergeCell ref="N7:O7"/>
    <mergeCell ref="H2:J2"/>
    <mergeCell ref="C5:G5"/>
    <mergeCell ref="R2:T2"/>
    <mergeCell ref="M5:Q5"/>
    <mergeCell ref="N9:O9"/>
  </mergeCells>
  <phoneticPr fontId="88" type="noConversion"/>
  <conditionalFormatting sqref="G39:G47">
    <cfRule type="expression" dxfId="15" priority="29" stopIfTrue="1">
      <formula>G$37="Short"</formula>
    </cfRule>
  </conditionalFormatting>
  <conditionalFormatting sqref="I39:I47">
    <cfRule type="expression" dxfId="14" priority="14" stopIfTrue="1">
      <formula>I$37="Short"</formula>
    </cfRule>
  </conditionalFormatting>
  <conditionalFormatting sqref="I51">
    <cfRule type="expression" dxfId="13" priority="12">
      <formula>$I$19="Z"</formula>
    </cfRule>
  </conditionalFormatting>
  <conditionalFormatting sqref="G51">
    <cfRule type="expression" dxfId="12" priority="11">
      <formula>$G$19="Y"</formula>
    </cfRule>
  </conditionalFormatting>
  <conditionalFormatting sqref="J57 E58 O58">
    <cfRule type="expression" dxfId="11" priority="50" stopIfTrue="1">
      <formula>$G$56&gt;1</formula>
    </cfRule>
  </conditionalFormatting>
  <conditionalFormatting sqref="H57">
    <cfRule type="cellIs" dxfId="10" priority="1" operator="greaterThan">
      <formula>1</formula>
    </cfRule>
    <cfRule type="cellIs" dxfId="9" priority="2" operator="greaterThan">
      <formula>1</formula>
    </cfRule>
    <cfRule type="cellIs" dxfId="8" priority="3" operator="greaterThan">
      <formula>1.334</formula>
    </cfRule>
    <cfRule type="expression" dxfId="7" priority="8">
      <formula>$H$57&gt;1.02</formula>
    </cfRule>
    <cfRule type="expression" dxfId="6" priority="9">
      <formula>"&gt;1.02"</formula>
    </cfRule>
  </conditionalFormatting>
  <conditionalFormatting sqref="J57">
    <cfRule type="expression" dxfId="5" priority="7">
      <formula>$H$57&gt;1.02</formula>
    </cfRule>
  </conditionalFormatting>
  <conditionalFormatting sqref="H58">
    <cfRule type="expression" dxfId="4" priority="5">
      <formula>$H$57&gt;1.02</formula>
    </cfRule>
  </conditionalFormatting>
  <conditionalFormatting sqref="I58">
    <cfRule type="expression" dxfId="3" priority="4">
      <formula>$H$57&gt;1.01</formula>
    </cfRule>
  </conditionalFormatting>
  <dataValidations xWindow="77" yWindow="724" count="1">
    <dataValidation type="list" allowBlank="1" showInputMessage="1" showErrorMessage="1" promptTitle="IMPERFECTION AXIS" prompt="If CRITICAL AXIS is selected on the MAIN tab, the user can manually adjust the Axis to check the result.  ALWAYS RE-SET TO CRIT ON EXIT._x000a_Select from:-_x000a_CRIT  -  Uses the program's choice_x000a_MAN Y   -  Y Axis_x000a_MAN Z  - Z  Axis_x000a_MAN NO  - NO Axis" sqref="D50" xr:uid="{00000000-0002-0000-0200-000000000000}">
      <formula1>"CRIT, MAN Y, MAN Z, MAN NO"</formula1>
    </dataValidation>
  </dataValidations>
  <printOptions horizontalCentered="1" verticalCentered="1"/>
  <pageMargins left="0.19685039370078741" right="0.19685039370078741" top="0.11811023622047245" bottom="0.11811023622047245" header="0" footer="0"/>
  <pageSetup paperSize="9" scale="82" orientation="portrait" r:id="rId2"/>
  <headerFooter alignWithMargins="0"/>
  <colBreaks count="1" manualBreakCount="1">
    <brk id="10" min="1" max="62" man="1"/>
  </colBreaks>
  <drawing r:id="rId3"/>
  <legacyDrawing r:id="rId4"/>
  <picture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BU351"/>
  <sheetViews>
    <sheetView zoomScale="25" zoomScaleNormal="25" workbookViewId="0"/>
  </sheetViews>
  <sheetFormatPr defaultRowHeight="15"/>
  <cols>
    <col min="1" max="1" width="3.5703125" customWidth="1"/>
    <col min="2" max="2" width="14.42578125" customWidth="1"/>
    <col min="3" max="3" width="16.28515625" style="1" customWidth="1"/>
    <col min="4" max="4" width="9.5703125" customWidth="1"/>
    <col min="5" max="5" width="12.42578125" customWidth="1"/>
    <col min="6" max="6" width="11.42578125" style="1" customWidth="1"/>
    <col min="7" max="8" width="13" style="1" customWidth="1"/>
    <col min="9" max="10" width="10.28515625" style="1" customWidth="1"/>
    <col min="11" max="15" width="10.42578125" style="1" customWidth="1"/>
    <col min="16" max="25" width="10.42578125" customWidth="1"/>
    <col min="26" max="35" width="10.42578125" style="1" customWidth="1"/>
    <col min="36" max="67" width="10.42578125" customWidth="1"/>
    <col min="68" max="68" width="3.5703125" customWidth="1"/>
    <col min="69" max="69" width="11.42578125" bestFit="1" customWidth="1"/>
  </cols>
  <sheetData>
    <row r="1" spans="1:70" ht="15.75" thickBot="1">
      <c r="A1" s="41"/>
      <c r="B1" s="41"/>
      <c r="C1" s="43"/>
      <c r="D1" s="41"/>
      <c r="E1" s="41"/>
      <c r="F1" s="43"/>
      <c r="G1" s="43"/>
      <c r="H1" s="43"/>
      <c r="I1" s="43"/>
      <c r="J1" s="43"/>
      <c r="K1" s="43"/>
      <c r="L1" s="43"/>
      <c r="M1" s="43"/>
      <c r="N1" s="43"/>
      <c r="O1" s="43"/>
      <c r="P1" s="41"/>
      <c r="Q1" s="41"/>
      <c r="R1" s="41"/>
      <c r="S1" s="41"/>
      <c r="T1" s="41"/>
      <c r="U1" s="41"/>
      <c r="V1" s="41"/>
      <c r="W1" s="41"/>
      <c r="X1" s="41"/>
      <c r="Y1" s="41"/>
      <c r="Z1" s="43"/>
      <c r="AA1" s="43"/>
      <c r="AB1" s="43"/>
      <c r="AC1" s="43"/>
      <c r="AD1" s="43"/>
      <c r="AE1" s="43"/>
      <c r="AF1" s="43"/>
      <c r="AG1" s="43"/>
      <c r="AH1" s="43"/>
      <c r="AI1" s="43"/>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row>
    <row r="2" spans="1:70" ht="18.75">
      <c r="A2" s="41"/>
      <c r="B2" s="74" t="s">
        <v>1</v>
      </c>
      <c r="C2" s="174" t="str">
        <f>MAIN!C2</f>
        <v>Spreadsheets to  EC2</v>
      </c>
      <c r="D2" s="235"/>
      <c r="E2" s="236"/>
      <c r="F2" s="237"/>
      <c r="G2" s="236"/>
      <c r="H2" s="236"/>
      <c r="I2" s="235"/>
      <c r="J2" s="236"/>
      <c r="K2" s="237"/>
      <c r="L2" s="238"/>
      <c r="M2" s="63"/>
      <c r="N2" s="63"/>
      <c r="O2" s="63"/>
      <c r="P2" s="35"/>
      <c r="Q2" s="35"/>
      <c r="R2" s="35"/>
      <c r="S2" s="35"/>
      <c r="T2" s="35"/>
      <c r="U2" s="35"/>
      <c r="V2" s="35"/>
      <c r="W2" s="35"/>
      <c r="X2" s="35"/>
      <c r="Y2" s="35"/>
      <c r="Z2" s="63"/>
      <c r="AA2" s="63"/>
      <c r="AB2" s="63"/>
      <c r="AC2" s="63"/>
      <c r="AD2" s="35"/>
      <c r="AE2" s="35"/>
      <c r="AF2" s="35"/>
      <c r="AG2" s="35"/>
      <c r="AH2" s="63"/>
      <c r="AI2" s="39"/>
      <c r="AJ2" s="33"/>
      <c r="AK2" s="35"/>
      <c r="AL2" s="34"/>
      <c r="AM2" s="35"/>
      <c r="AN2" s="35"/>
      <c r="AO2" s="35"/>
      <c r="AP2" s="35"/>
      <c r="AQ2" s="35"/>
      <c r="AR2" s="35"/>
      <c r="AS2" s="35"/>
      <c r="AT2" s="35"/>
      <c r="AU2" s="34"/>
      <c r="AV2" s="63"/>
      <c r="AW2" s="35"/>
      <c r="AX2" s="35"/>
      <c r="AY2" s="35"/>
      <c r="AZ2" s="35"/>
      <c r="BA2" s="35"/>
      <c r="BB2" s="35"/>
      <c r="BC2" s="34"/>
      <c r="BD2" s="34"/>
      <c r="BE2" s="35"/>
      <c r="BF2" s="34"/>
      <c r="BG2" s="63"/>
      <c r="BH2" s="35"/>
      <c r="BI2" s="35"/>
      <c r="BJ2" s="35"/>
      <c r="BK2" s="35"/>
      <c r="BL2" s="35"/>
      <c r="BM2" s="35"/>
      <c r="BN2" s="35"/>
      <c r="BO2" s="35"/>
      <c r="BP2" s="41"/>
      <c r="BQ2" s="41"/>
      <c r="BR2" s="41"/>
    </row>
    <row r="3" spans="1:70" ht="19.5">
      <c r="A3" s="41"/>
      <c r="B3" s="75" t="s">
        <v>6</v>
      </c>
      <c r="C3" s="175" t="str">
        <f>MAIN!C4</f>
        <v>Column D2</v>
      </c>
      <c r="D3" s="231"/>
      <c r="E3" s="232"/>
      <c r="F3" s="233"/>
      <c r="G3" s="232"/>
      <c r="H3" s="232"/>
      <c r="I3" s="231"/>
      <c r="J3" s="231"/>
      <c r="K3" s="233"/>
      <c r="L3" s="239"/>
      <c r="M3" s="1282"/>
      <c r="N3" s="1282"/>
      <c r="O3" s="1282"/>
      <c r="P3" s="1282"/>
      <c r="Q3" s="1282"/>
      <c r="R3" s="1282"/>
      <c r="S3" s="35"/>
      <c r="T3" s="35"/>
      <c r="U3" s="35"/>
      <c r="V3" s="35"/>
      <c r="W3" s="35"/>
      <c r="X3" s="35"/>
      <c r="Y3" s="35"/>
      <c r="Z3" s="63"/>
      <c r="AA3" s="63"/>
      <c r="AB3" s="63"/>
      <c r="AC3" s="63"/>
      <c r="AD3" s="35"/>
      <c r="AE3" s="35"/>
      <c r="AF3" s="35"/>
      <c r="AG3" s="35"/>
      <c r="AH3" s="63"/>
      <c r="AI3" s="39"/>
      <c r="AJ3" s="33"/>
      <c r="AK3" s="35"/>
      <c r="AL3" s="34"/>
      <c r="AM3" s="35"/>
      <c r="AN3" s="35"/>
      <c r="AO3" s="35"/>
      <c r="AP3" s="35"/>
      <c r="AQ3" s="35"/>
      <c r="AR3" s="35"/>
      <c r="AS3" s="35"/>
      <c r="AT3" s="35"/>
      <c r="AU3" s="34"/>
      <c r="AV3" s="1282"/>
      <c r="AW3" s="1282"/>
      <c r="AX3" s="1282"/>
      <c r="AY3" s="1282"/>
      <c r="AZ3" s="1282"/>
      <c r="BA3" s="1282"/>
      <c r="BB3" s="35"/>
      <c r="BC3" s="35"/>
      <c r="BD3" s="34"/>
      <c r="BE3" s="35"/>
      <c r="BF3" s="35"/>
      <c r="BG3" s="63"/>
      <c r="BH3" s="35"/>
      <c r="BI3" s="35"/>
      <c r="BJ3" s="35"/>
      <c r="BK3" s="35"/>
      <c r="BL3" s="35"/>
      <c r="BM3" s="35"/>
      <c r="BN3" s="35"/>
      <c r="BO3" s="35"/>
      <c r="BP3" s="41"/>
      <c r="BQ3" s="41"/>
      <c r="BR3" s="41"/>
    </row>
    <row r="4" spans="1:70" ht="16.5">
      <c r="A4" s="41"/>
      <c r="B4" s="117"/>
      <c r="C4" s="176" t="str">
        <f>MAIN!C5</f>
        <v>SYMMETRICALLY REINFORCED RECTANGULAR COLUMN DESIGN, BENT ABOUT TWO AXES TO EN 1992-1 : 2004</v>
      </c>
      <c r="D4" s="231"/>
      <c r="E4" s="232"/>
      <c r="F4" s="233"/>
      <c r="G4" s="232"/>
      <c r="H4" s="232"/>
      <c r="I4" s="231"/>
      <c r="J4" s="234"/>
      <c r="K4" s="233"/>
      <c r="L4" s="239"/>
      <c r="M4" s="1282"/>
      <c r="N4" s="1282"/>
      <c r="O4" s="1282"/>
      <c r="P4" s="1282"/>
      <c r="Q4" s="1282"/>
      <c r="R4" s="1282"/>
      <c r="S4" s="35"/>
      <c r="T4" s="35"/>
      <c r="U4" s="35"/>
      <c r="V4" s="35"/>
      <c r="W4" s="35"/>
      <c r="X4" s="35"/>
      <c r="Y4" s="35"/>
      <c r="Z4" s="63"/>
      <c r="AA4" s="63"/>
      <c r="AB4" s="63"/>
      <c r="AC4" s="63"/>
      <c r="AD4" s="35"/>
      <c r="AE4" s="37"/>
      <c r="AF4" s="38"/>
      <c r="AG4" s="35"/>
      <c r="AH4" s="63"/>
      <c r="AI4" s="34"/>
      <c r="AJ4" s="36"/>
      <c r="AK4" s="35"/>
      <c r="AL4" s="35"/>
      <c r="AM4" s="35"/>
      <c r="AN4" s="35"/>
      <c r="AO4" s="35"/>
      <c r="AP4" s="35"/>
      <c r="AQ4" s="35"/>
      <c r="AR4" s="35"/>
      <c r="AS4" s="35"/>
      <c r="AT4" s="35"/>
      <c r="AU4" s="34"/>
      <c r="AV4" s="1282"/>
      <c r="AW4" s="1282"/>
      <c r="AX4" s="1282"/>
      <c r="AY4" s="1282"/>
      <c r="AZ4" s="1282"/>
      <c r="BA4" s="1282"/>
      <c r="BB4" s="35"/>
      <c r="BC4" s="34"/>
      <c r="BD4" s="34"/>
      <c r="BE4" s="35"/>
      <c r="BF4" s="37"/>
      <c r="BG4" s="63"/>
      <c r="BH4" s="35"/>
      <c r="BI4" s="35"/>
      <c r="BJ4" s="37"/>
      <c r="BK4" s="38"/>
      <c r="BL4" s="38"/>
      <c r="BM4" s="38"/>
      <c r="BN4" s="38"/>
      <c r="BO4" s="35"/>
      <c r="BP4" s="41"/>
      <c r="BQ4" s="41"/>
      <c r="BR4" s="41"/>
    </row>
    <row r="5" spans="1:70" ht="17.25" thickBot="1">
      <c r="A5" s="41"/>
      <c r="B5" s="143"/>
      <c r="C5" s="144" t="str">
        <f ca="1">CHARTS!C6</f>
        <v>Originated from TCC53.xls  v4.45                     © 2000-19 TCC</v>
      </c>
      <c r="D5" s="240"/>
      <c r="E5" s="241"/>
      <c r="F5" s="242"/>
      <c r="G5" s="242"/>
      <c r="H5" s="242"/>
      <c r="I5" s="242"/>
      <c r="J5" s="242"/>
      <c r="K5" s="242"/>
      <c r="L5" s="243"/>
      <c r="M5" s="63"/>
      <c r="N5" s="63"/>
      <c r="O5" s="63"/>
      <c r="P5" s="35"/>
      <c r="Q5" s="35"/>
      <c r="R5" s="35"/>
      <c r="S5" s="35"/>
      <c r="T5" s="35"/>
      <c r="U5" s="35"/>
      <c r="V5" s="35"/>
      <c r="W5" s="35"/>
      <c r="X5" s="35"/>
      <c r="Y5" s="35"/>
      <c r="Z5" s="63"/>
      <c r="AA5" s="63"/>
      <c r="AB5" s="63"/>
      <c r="AC5" s="63"/>
      <c r="AD5" s="38"/>
      <c r="AE5" s="1281"/>
      <c r="AF5" s="1281"/>
      <c r="AG5" s="35"/>
      <c r="AH5" s="63"/>
      <c r="AI5" s="34"/>
      <c r="AJ5" s="244"/>
      <c r="AK5" s="35"/>
      <c r="AL5" s="37"/>
      <c r="AM5" s="35"/>
      <c r="AN5" s="35"/>
      <c r="AO5" s="35"/>
      <c r="AP5" s="35"/>
      <c r="AQ5" s="35"/>
      <c r="AR5" s="35"/>
      <c r="AS5" s="35"/>
      <c r="AT5" s="35"/>
      <c r="AU5" s="34"/>
      <c r="AV5" s="63"/>
      <c r="AW5" s="35"/>
      <c r="AX5" s="35"/>
      <c r="AY5" s="35"/>
      <c r="AZ5" s="35"/>
      <c r="BA5" s="35"/>
      <c r="BB5" s="35"/>
      <c r="BC5" s="63"/>
      <c r="BD5" s="63"/>
      <c r="BE5" s="63"/>
      <c r="BF5" s="63"/>
      <c r="BG5" s="63"/>
      <c r="BH5" s="35"/>
      <c r="BI5" s="38"/>
      <c r="BJ5" s="1281"/>
      <c r="BK5" s="1281"/>
      <c r="BL5" s="620"/>
      <c r="BM5" s="620"/>
      <c r="BN5" s="620"/>
      <c r="BO5" s="35"/>
      <c r="BP5" s="41"/>
      <c r="BQ5" s="41"/>
      <c r="BR5" s="41"/>
    </row>
    <row r="6" spans="1:70">
      <c r="A6" s="41"/>
      <c r="B6" s="41"/>
      <c r="C6" s="43"/>
      <c r="D6" s="41"/>
      <c r="E6" s="41"/>
      <c r="F6" s="43"/>
      <c r="G6" s="43"/>
      <c r="H6" s="43"/>
      <c r="I6" s="43"/>
      <c r="J6" s="43"/>
      <c r="K6" s="43"/>
      <c r="L6" s="43"/>
      <c r="M6" s="43"/>
      <c r="N6" s="43"/>
      <c r="O6" s="43"/>
      <c r="S6" s="41"/>
      <c r="T6" s="41"/>
      <c r="U6" s="41"/>
      <c r="V6" s="41"/>
      <c r="W6" s="41"/>
      <c r="X6" s="41"/>
      <c r="Y6" s="41"/>
      <c r="Z6" s="43"/>
      <c r="AA6" s="43"/>
      <c r="AB6" s="43"/>
      <c r="AC6" s="43"/>
      <c r="AD6" s="43"/>
      <c r="AE6" s="43"/>
      <c r="AF6" s="43"/>
      <c r="AG6" s="43"/>
      <c r="AH6" s="43"/>
      <c r="AI6" s="43"/>
      <c r="AJ6" s="41"/>
      <c r="AK6" s="43"/>
      <c r="AL6" s="43"/>
      <c r="AM6" s="43"/>
      <c r="AN6" s="43"/>
      <c r="AO6" s="43"/>
      <c r="BP6" s="41"/>
      <c r="BQ6" s="41"/>
      <c r="BR6" s="41"/>
    </row>
    <row r="7" spans="1:70" ht="21">
      <c r="A7" s="41"/>
      <c r="B7" s="230" t="s">
        <v>281</v>
      </c>
      <c r="C7" s="246"/>
      <c r="D7" s="246"/>
      <c r="E7" s="247" t="s">
        <v>149</v>
      </c>
      <c r="F7" s="248">
        <f>Refs!D12</f>
        <v>0.85</v>
      </c>
      <c r="G7" s="246"/>
      <c r="H7" s="246"/>
      <c r="I7" s="246"/>
      <c r="J7" s="41"/>
      <c r="K7" s="43"/>
      <c r="L7" s="41"/>
      <c r="M7" s="41"/>
      <c r="N7" s="43"/>
      <c r="O7" s="43"/>
      <c r="P7" s="41"/>
      <c r="Q7" s="41"/>
      <c r="R7" s="245"/>
      <c r="S7" s="271">
        <f>IF(Cases!E$13=0,0,AR319)</f>
        <v>3942.7189372943099</v>
      </c>
      <c r="T7" s="271">
        <f>IF(Cases!E$12=0,0,AR267)</f>
        <v>3942.7189372943099</v>
      </c>
      <c r="U7" s="271">
        <f>IF(Cases!E$11=0,0,AR215)</f>
        <v>3974.2252407326241</v>
      </c>
      <c r="V7" s="271">
        <f>IF(Cases!E$10=0,0,AR163)</f>
        <v>4024.3144549785898</v>
      </c>
      <c r="W7" s="271">
        <f>IF(Cases!E$9=0,0,AR111)</f>
        <v>4113.3162489408523</v>
      </c>
      <c r="X7" s="271">
        <f>IF(Cases!E$8=0,0,AR59)</f>
        <v>4228.0306554592034</v>
      </c>
      <c r="Y7" s="272">
        <f>IF(S7=0,IF(T7=0,U7,T7),S7)</f>
        <v>3942.7189372943099</v>
      </c>
      <c r="Z7" s="272">
        <f>IF(S8=0,IF(T8=0,U8,T8),S8)</f>
        <v>1434.7892774273887</v>
      </c>
      <c r="AA7" s="43"/>
      <c r="AB7" s="41"/>
      <c r="AC7" s="41"/>
      <c r="AD7" s="41"/>
      <c r="AE7" s="41"/>
      <c r="AF7" s="41"/>
      <c r="AG7" s="41"/>
      <c r="AH7" s="41"/>
      <c r="AI7" s="41"/>
      <c r="AJ7" s="41"/>
      <c r="AK7" s="41"/>
      <c r="AL7" s="41"/>
      <c r="AM7" s="41"/>
      <c r="AN7" s="41"/>
      <c r="AO7" s="41"/>
      <c r="BP7" s="41"/>
      <c r="BQ7" s="41"/>
      <c r="BR7" s="41"/>
    </row>
    <row r="8" spans="1:70" ht="21">
      <c r="A8" s="41"/>
      <c r="B8" s="247" t="s">
        <v>109</v>
      </c>
      <c r="C8" s="249">
        <f>MIN(0.8,0.8-(MAIN!C9-50)/400)</f>
        <v>0.8</v>
      </c>
      <c r="D8" s="246"/>
      <c r="E8" s="247" t="s">
        <v>112</v>
      </c>
      <c r="F8" s="250">
        <f>(MIN(3.5,2.6+0.9*((90-MAIN!C9)/40)^4))/1000</f>
        <v>3.5000000000000001E-3</v>
      </c>
      <c r="G8" s="273"/>
      <c r="H8" s="273"/>
      <c r="I8" s="273"/>
      <c r="J8" s="43"/>
      <c r="K8" s="44"/>
      <c r="L8" s="44"/>
      <c r="M8" s="43"/>
      <c r="N8" s="43"/>
      <c r="O8" s="43"/>
      <c r="P8" s="41"/>
      <c r="Q8" s="41"/>
      <c r="R8" s="245"/>
      <c r="S8" s="271">
        <f>IF(Cases!E13=0,0,AR320)</f>
        <v>1434.7892774273887</v>
      </c>
      <c r="T8" s="271">
        <f>IF(Cases!E12=0,0,AR268)</f>
        <v>1434.7892774273887</v>
      </c>
      <c r="U8" s="271">
        <f>IF(Cases!E11=0,0,AR216)</f>
        <v>1553.6453234739324</v>
      </c>
      <c r="V8" s="271">
        <f>IF(Cases!E10=0,0,AR164)</f>
        <v>1738.1887200999331</v>
      </c>
      <c r="W8" s="271">
        <f>IF(Cases!E9=0,0,AR112)</f>
        <v>2062.6214145023487</v>
      </c>
      <c r="X8" s="271">
        <f>IF(Cases!E8=0,0,AR60)</f>
        <v>2520.4820666546761</v>
      </c>
      <c r="Y8" s="272">
        <f>IF(X7=0,IF(W7=0,V7,W7),X7)</f>
        <v>4228.0306554592034</v>
      </c>
      <c r="Z8" s="272">
        <f>IF(X8=0,IF(W8=0,V8,W8),X8)</f>
        <v>2520.4820666546761</v>
      </c>
      <c r="AA8" s="43"/>
      <c r="AB8" s="43"/>
      <c r="AC8" s="43"/>
      <c r="AD8" s="43"/>
      <c r="AE8" s="43"/>
      <c r="AF8" s="43"/>
      <c r="AG8" s="43"/>
      <c r="AH8" s="43"/>
      <c r="AI8" s="43"/>
      <c r="AJ8" s="41"/>
      <c r="AK8" s="41"/>
      <c r="AL8" s="41"/>
      <c r="AM8" s="41"/>
      <c r="AN8" s="41"/>
      <c r="AO8" s="41"/>
      <c r="AP8" s="41"/>
      <c r="AQ8" s="41"/>
      <c r="AR8" s="41"/>
      <c r="AS8" s="41"/>
      <c r="AT8" s="41"/>
      <c r="AU8" s="41"/>
      <c r="AV8" s="41"/>
      <c r="AW8" s="41"/>
      <c r="AX8" s="41"/>
      <c r="AY8" s="41"/>
      <c r="AZ8" s="41"/>
      <c r="BA8" s="41"/>
      <c r="BB8" s="41"/>
      <c r="BC8" s="41"/>
      <c r="BD8" s="41"/>
      <c r="BE8" s="41"/>
      <c r="BF8" s="41"/>
      <c r="BG8" s="41"/>
      <c r="BH8" s="41"/>
      <c r="BI8" s="41"/>
      <c r="BJ8" s="41"/>
      <c r="BK8" s="41"/>
      <c r="BL8" s="41"/>
      <c r="BM8" s="41"/>
      <c r="BN8" s="41"/>
      <c r="BO8" s="41"/>
      <c r="BP8" s="41"/>
      <c r="BQ8" s="41"/>
      <c r="BR8" s="41"/>
    </row>
    <row r="9" spans="1:70" ht="21">
      <c r="A9" s="41"/>
      <c r="B9" s="251" t="s">
        <v>143</v>
      </c>
      <c r="C9" s="249">
        <f>F7*MAIN!C9/MAIN!F10*MIN(1,1-(MAIN!C9-50)/200)</f>
        <v>22.666666666666668</v>
      </c>
      <c r="D9" s="252" t="s">
        <v>13</v>
      </c>
      <c r="E9" s="247" t="s">
        <v>113</v>
      </c>
      <c r="F9" s="253">
        <f>(IF(MAIN!C9&gt;50,1.75+0.55*((MAIN!C9-50)/40),1.75))/1000</f>
        <v>1.75E-3</v>
      </c>
      <c r="G9" s="256" t="s">
        <v>42</v>
      </c>
      <c r="H9" s="273"/>
      <c r="I9" s="254"/>
      <c r="J9" s="47"/>
      <c r="K9" s="44"/>
      <c r="L9" s="44"/>
      <c r="M9" s="43"/>
      <c r="N9" s="43"/>
      <c r="O9" s="43"/>
      <c r="P9" s="41"/>
      <c r="Q9" s="41"/>
      <c r="R9" s="41"/>
      <c r="S9" s="41"/>
      <c r="T9" s="41"/>
      <c r="U9" s="41"/>
      <c r="V9" s="41"/>
      <c r="W9" s="41"/>
      <c r="X9" s="41"/>
      <c r="Y9" s="41"/>
      <c r="Z9" s="43"/>
      <c r="AA9" s="43"/>
      <c r="AB9" s="43"/>
      <c r="AC9" s="43"/>
      <c r="AD9" s="43"/>
      <c r="AE9" s="43"/>
      <c r="AF9" s="43"/>
      <c r="AG9" s="43"/>
      <c r="AH9" s="43"/>
      <c r="AI9" s="43"/>
      <c r="AJ9" s="41"/>
      <c r="AK9" s="41"/>
      <c r="AL9" s="41"/>
      <c r="AM9" s="41"/>
      <c r="AN9" s="41"/>
      <c r="AO9" s="41"/>
      <c r="AP9" s="41"/>
      <c r="AQ9" s="41"/>
      <c r="AR9" s="41"/>
      <c r="AS9" s="41"/>
      <c r="AT9" s="41"/>
      <c r="AU9" s="41"/>
      <c r="AV9" s="41"/>
      <c r="AW9" s="41"/>
      <c r="AX9" s="41"/>
      <c r="AY9" s="41"/>
      <c r="AZ9" s="41"/>
      <c r="BA9" s="41"/>
      <c r="BB9" s="41"/>
      <c r="BC9" s="41"/>
      <c r="BD9" s="41"/>
      <c r="BE9" s="41"/>
      <c r="BF9" s="41"/>
      <c r="BG9" s="41"/>
      <c r="BH9" s="41"/>
      <c r="BI9" s="41"/>
      <c r="BJ9" s="41"/>
      <c r="BK9" s="41"/>
      <c r="BL9" s="41"/>
      <c r="BM9" s="41"/>
      <c r="BN9" s="41"/>
      <c r="BO9" s="41"/>
      <c r="BP9" s="41"/>
      <c r="BQ9" s="41"/>
      <c r="BR9" s="41"/>
    </row>
    <row r="10" spans="1:70" ht="19.5">
      <c r="A10" s="41"/>
      <c r="B10" s="254" t="s">
        <v>110</v>
      </c>
      <c r="C10" s="249">
        <f>MAIN!C10/MAIN!F9</f>
        <v>434.78260869565219</v>
      </c>
      <c r="D10" s="252" t="s">
        <v>13</v>
      </c>
      <c r="E10" s="254" t="s">
        <v>114</v>
      </c>
      <c r="F10" s="255">
        <f>(1-F9/F8)*MAIN!C13</f>
        <v>600</v>
      </c>
      <c r="G10" s="256" t="s">
        <v>108</v>
      </c>
      <c r="H10" s="274"/>
      <c r="I10" s="274"/>
      <c r="J10" s="48"/>
      <c r="K10" s="44"/>
      <c r="L10" s="44"/>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1"/>
      <c r="AL10" s="41"/>
      <c r="AM10" s="41"/>
      <c r="AN10" s="41"/>
      <c r="AO10" s="41"/>
      <c r="AP10" s="41"/>
      <c r="AQ10" s="41"/>
      <c r="AR10" s="41"/>
      <c r="AS10" s="41"/>
      <c r="AT10" s="41"/>
      <c r="AU10" s="41"/>
      <c r="AV10" s="41"/>
      <c r="AW10" s="41"/>
      <c r="AX10" s="41"/>
      <c r="AY10" s="41"/>
      <c r="AZ10" s="41"/>
      <c r="BA10" s="41"/>
      <c r="BB10" s="41"/>
      <c r="BC10" s="41"/>
      <c r="BD10" s="41"/>
      <c r="BE10" s="41"/>
      <c r="BF10" s="41"/>
      <c r="BG10" s="41"/>
      <c r="BH10" s="41"/>
      <c r="BI10" s="41"/>
      <c r="BJ10" s="41"/>
      <c r="BK10" s="41"/>
      <c r="BL10" s="41"/>
      <c r="BM10" s="41"/>
      <c r="BN10" s="41"/>
      <c r="BO10" s="41"/>
      <c r="BP10" s="41"/>
      <c r="BQ10" s="41"/>
      <c r="BR10" s="41"/>
    </row>
    <row r="11" spans="1:70">
      <c r="A11" s="41"/>
      <c r="B11" s="254" t="s">
        <v>111</v>
      </c>
      <c r="C11" s="249">
        <f>C10-C9</f>
        <v>412.1159420289855</v>
      </c>
      <c r="D11" s="252" t="s">
        <v>13</v>
      </c>
      <c r="E11" s="246"/>
      <c r="F11" s="273"/>
      <c r="G11" s="273"/>
      <c r="H11" s="273"/>
      <c r="I11" s="273"/>
      <c r="J11" s="43"/>
      <c r="K11" s="43"/>
      <c r="L11" s="43"/>
      <c r="M11" s="43"/>
      <c r="N11" s="43"/>
      <c r="O11" s="43"/>
      <c r="P11" s="41"/>
      <c r="Q11" s="41"/>
      <c r="R11" s="41"/>
      <c r="S11" s="41"/>
      <c r="T11" s="41"/>
      <c r="U11" s="41"/>
      <c r="V11" s="41"/>
      <c r="W11" s="41"/>
      <c r="X11" s="41"/>
      <c r="Y11" s="41"/>
      <c r="Z11" s="43"/>
      <c r="AA11" s="43"/>
      <c r="AB11" s="43"/>
      <c r="AC11" s="43"/>
      <c r="AD11" s="43"/>
      <c r="AE11" s="43"/>
      <c r="AF11" s="43"/>
      <c r="AG11" s="43"/>
      <c r="AH11" s="43"/>
      <c r="AI11" s="43"/>
      <c r="AJ11" s="41"/>
      <c r="AK11" s="41"/>
      <c r="AL11" s="41"/>
      <c r="AM11" s="41"/>
      <c r="AN11" s="41"/>
      <c r="AO11" s="41"/>
      <c r="AP11" s="41"/>
      <c r="AQ11" s="41"/>
      <c r="AR11" s="41"/>
      <c r="AS11" s="41"/>
      <c r="AT11" s="41"/>
      <c r="AU11" s="41"/>
      <c r="AV11" s="41"/>
      <c r="AW11" s="41"/>
      <c r="AX11" s="41"/>
      <c r="AY11" s="41"/>
      <c r="AZ11" s="41"/>
      <c r="BA11" s="41"/>
      <c r="BB11" s="41"/>
      <c r="BC11" s="41"/>
      <c r="BD11" s="41"/>
      <c r="BE11" s="41"/>
      <c r="BF11" s="41"/>
      <c r="BG11" s="41"/>
      <c r="BH11" s="41"/>
      <c r="BI11" s="41"/>
      <c r="BJ11" s="41"/>
      <c r="BK11" s="41"/>
      <c r="BL11" s="41"/>
      <c r="BM11" s="41"/>
      <c r="BN11" s="41"/>
      <c r="BO11" s="41"/>
      <c r="BP11" s="41"/>
      <c r="BQ11" s="41"/>
      <c r="BR11" s="41"/>
    </row>
    <row r="12" spans="1:70">
      <c r="A12" s="41"/>
      <c r="B12" s="41"/>
      <c r="C12" s="43"/>
      <c r="D12" s="41"/>
      <c r="E12" s="41"/>
      <c r="F12" s="43"/>
      <c r="G12" s="43"/>
      <c r="H12" s="43"/>
      <c r="I12" s="43"/>
      <c r="J12" s="43"/>
      <c r="K12" s="43"/>
      <c r="L12" s="43"/>
      <c r="M12" s="43"/>
      <c r="N12" s="43"/>
      <c r="O12" s="47"/>
      <c r="P12" s="41"/>
      <c r="Q12" s="41"/>
      <c r="R12" s="41"/>
      <c r="S12" s="41"/>
      <c r="T12" s="41"/>
      <c r="U12" s="41"/>
      <c r="V12" s="41"/>
      <c r="W12" s="41"/>
      <c r="X12" s="41"/>
      <c r="Y12" s="41"/>
      <c r="Z12" s="43"/>
      <c r="AA12" s="43"/>
      <c r="AB12" s="43"/>
      <c r="AC12" s="43"/>
      <c r="AD12" s="43"/>
      <c r="AE12" s="43"/>
      <c r="AF12" s="43"/>
      <c r="AG12" s="43"/>
      <c r="AH12" s="43"/>
      <c r="AI12" s="43"/>
      <c r="AJ12" s="41"/>
      <c r="AK12" s="41"/>
      <c r="AL12" s="41"/>
      <c r="AM12" s="41"/>
      <c r="AN12" s="41"/>
      <c r="AO12" s="41"/>
      <c r="AP12" s="41"/>
      <c r="AQ12" s="41"/>
      <c r="AR12" s="41"/>
      <c r="AS12" s="41"/>
      <c r="AT12" s="41"/>
      <c r="AU12" s="41"/>
      <c r="AV12" s="41"/>
      <c r="AW12" s="41"/>
      <c r="AX12" s="41"/>
      <c r="AY12" s="41"/>
      <c r="AZ12" s="41"/>
      <c r="BA12" s="41"/>
      <c r="BB12" s="41"/>
      <c r="BC12" s="41"/>
      <c r="BD12" s="41"/>
      <c r="BE12" s="41"/>
      <c r="BF12" s="41"/>
      <c r="BG12" s="41"/>
      <c r="BH12" s="41"/>
      <c r="BI12" s="41"/>
      <c r="BJ12" s="41"/>
      <c r="BK12" s="41"/>
      <c r="BL12" s="41"/>
      <c r="BM12" s="41"/>
      <c r="BN12" s="41"/>
      <c r="BO12" s="41"/>
      <c r="BP12" s="41"/>
      <c r="BQ12" s="41"/>
      <c r="BR12" s="41"/>
    </row>
    <row r="13" spans="1:70" ht="18.75">
      <c r="A13" s="41"/>
      <c r="B13" s="275">
        <f>MAIN!C$33</f>
        <v>40</v>
      </c>
      <c r="C13" s="276" t="s">
        <v>43</v>
      </c>
      <c r="D13" s="258"/>
      <c r="E13" s="259"/>
      <c r="F13" s="259"/>
      <c r="G13" s="259"/>
      <c r="H13" s="259"/>
      <c r="I13" s="259"/>
      <c r="J13" s="259"/>
      <c r="K13" s="277"/>
      <c r="L13" s="259"/>
      <c r="M13" s="259"/>
      <c r="N13" s="278" t="s">
        <v>93</v>
      </c>
      <c r="O13" s="279">
        <f>$C$8*$C$9*MAIN!C$14</f>
        <v>5440.0000000000009</v>
      </c>
      <c r="P13" s="73"/>
      <c r="Q13" s="73"/>
      <c r="R13" s="73"/>
      <c r="S13" s="73"/>
      <c r="T13" s="73"/>
      <c r="U13" s="73"/>
      <c r="V13" s="73"/>
      <c r="W13" s="73"/>
      <c r="X13" s="73"/>
      <c r="Y13" s="73"/>
      <c r="Z13" s="73"/>
      <c r="AA13" s="73"/>
      <c r="AB13" s="73"/>
      <c r="AC13" s="73"/>
      <c r="AD13" s="73"/>
      <c r="AE13" s="73"/>
      <c r="AF13" s="73"/>
      <c r="AG13" s="73"/>
      <c r="AH13" s="73"/>
      <c r="AI13" s="73"/>
      <c r="AJ13" s="73"/>
      <c r="AK13" s="73"/>
      <c r="AL13" s="73"/>
      <c r="AM13" s="73"/>
      <c r="AN13" s="73"/>
      <c r="AO13" s="73"/>
      <c r="AP13" s="73"/>
      <c r="AQ13" s="73"/>
      <c r="AR13" s="41"/>
      <c r="AS13" s="73"/>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row>
    <row r="14" spans="1:70" ht="18.75">
      <c r="A14" s="41"/>
      <c r="B14" s="260" t="s">
        <v>44</v>
      </c>
      <c r="C14" s="261">
        <f>MAIN!I$8+MAIN!E33+MAIN!C33/2</f>
        <v>60</v>
      </c>
      <c r="D14" s="262" t="s">
        <v>14</v>
      </c>
      <c r="E14" s="263" t="s">
        <v>45</v>
      </c>
      <c r="F14" s="261">
        <f>IF(I14=0,0,MAIN!C$13-C14)</f>
        <v>1140</v>
      </c>
      <c r="G14" s="262" t="s">
        <v>14</v>
      </c>
      <c r="H14" s="263" t="s">
        <v>46</v>
      </c>
      <c r="I14" s="264">
        <f>IF(MAIN!I33="ok",MAIN!C$13*MAIN!C$14*MAIN!D33/100,0)</f>
        <v>10053.09649148734</v>
      </c>
      <c r="J14" s="262" t="s">
        <v>47</v>
      </c>
      <c r="K14" s="263" t="s">
        <v>48</v>
      </c>
      <c r="L14" s="261">
        <f>(F14-C14)/(MAIN!C$16-1)</f>
        <v>360</v>
      </c>
      <c r="M14" s="262" t="s">
        <v>14</v>
      </c>
      <c r="N14" s="263" t="s">
        <v>17</v>
      </c>
      <c r="O14" s="280">
        <f>I14*MAIN!C$15/MAIN!Q$1*(200000*F$8-C$9-C$10)</f>
        <v>609596.45971569617</v>
      </c>
      <c r="P14" s="45"/>
      <c r="Q14" s="45"/>
      <c r="R14" s="45"/>
      <c r="S14" s="45"/>
      <c r="T14" s="45"/>
      <c r="U14" s="45"/>
      <c r="V14" s="45"/>
      <c r="W14" s="45"/>
      <c r="X14" s="45"/>
      <c r="Y14" s="45"/>
      <c r="Z14" s="45"/>
      <c r="AA14" s="45"/>
      <c r="AB14" s="45"/>
      <c r="AC14" s="45"/>
      <c r="AD14" s="45"/>
      <c r="AE14" s="45"/>
      <c r="AF14" s="45"/>
      <c r="AG14" s="45"/>
      <c r="AH14" s="45"/>
      <c r="AI14" s="289" t="str">
        <f>B13&amp;" Bar diameter continued"</f>
        <v>40 Bar diameter continued</v>
      </c>
      <c r="AJ14" s="45"/>
      <c r="AK14" s="45"/>
      <c r="AL14" s="45"/>
      <c r="AM14" s="45"/>
      <c r="AN14" s="45"/>
      <c r="AO14" s="45"/>
      <c r="AP14" s="45"/>
      <c r="AQ14" s="45"/>
      <c r="AR14" s="41"/>
      <c r="AS14" s="45"/>
      <c r="AT14" s="41"/>
      <c r="AU14" s="41"/>
      <c r="AV14" s="41"/>
      <c r="AW14" s="41"/>
      <c r="AX14" s="41"/>
      <c r="AY14" s="41"/>
      <c r="AZ14" s="41"/>
      <c r="BA14" s="41"/>
      <c r="BB14" s="41"/>
      <c r="BC14" s="41"/>
      <c r="BD14" s="41"/>
      <c r="BE14" s="41"/>
      <c r="BF14" s="41"/>
      <c r="BG14" s="41"/>
      <c r="BH14" s="41"/>
      <c r="BI14" s="41"/>
      <c r="BJ14" s="41"/>
      <c r="BK14" s="41"/>
      <c r="BL14" s="41"/>
      <c r="BM14" s="41"/>
      <c r="BN14" s="41"/>
      <c r="BO14" s="41"/>
      <c r="BP14" s="41"/>
      <c r="BQ14" s="41"/>
      <c r="BR14" s="41"/>
    </row>
    <row r="15" spans="1:70">
      <c r="A15" s="41"/>
      <c r="B15" s="265"/>
      <c r="C15" s="266"/>
      <c r="D15" s="267"/>
      <c r="E15" s="268" t="s">
        <v>49</v>
      </c>
      <c r="F15" s="269">
        <f>(AR17-D17)/40</f>
        <v>15.698162003136542</v>
      </c>
      <c r="G15" s="270" t="s">
        <v>50</v>
      </c>
      <c r="H15" s="281"/>
      <c r="I15" s="281"/>
      <c r="J15" s="281"/>
      <c r="K15" s="281"/>
      <c r="L15" s="281"/>
      <c r="M15" s="281"/>
      <c r="N15" s="282" t="s">
        <v>120</v>
      </c>
      <c r="O15" s="283">
        <f>-100000*F$8*C14*I14*MAIN!C$15/MAIN!Q$1*2</f>
        <v>-105557513.16061707</v>
      </c>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t="s">
        <v>49</v>
      </c>
      <c r="AS15" s="50">
        <f>IF(I14=0,0,(BK17-AR17)/19)</f>
        <v>41.935874168179069</v>
      </c>
      <c r="AT15" s="46" t="s">
        <v>121</v>
      </c>
      <c r="AU15" s="41"/>
      <c r="AV15" s="41"/>
      <c r="AW15" s="41"/>
      <c r="AX15" s="41"/>
      <c r="AY15" s="41"/>
      <c r="AZ15" s="41"/>
      <c r="BA15" s="41"/>
      <c r="BB15" s="41"/>
      <c r="BC15" s="41"/>
      <c r="BD15" s="41"/>
      <c r="BE15" s="41"/>
      <c r="BF15" s="41"/>
      <c r="BG15" s="41"/>
      <c r="BH15" s="41"/>
      <c r="BI15" s="41"/>
      <c r="BJ15" s="41"/>
      <c r="BK15" s="41"/>
      <c r="BL15" s="41"/>
      <c r="BM15" s="41"/>
      <c r="BN15" s="41"/>
      <c r="BO15" s="41"/>
      <c r="BP15" s="41"/>
      <c r="BQ15" s="41"/>
      <c r="BR15" s="41"/>
    </row>
    <row r="16" spans="1:70" ht="15.75">
      <c r="A16" s="41"/>
      <c r="B16" s="41"/>
      <c r="C16" s="51"/>
      <c r="D16" s="52"/>
      <c r="E16" s="52"/>
      <c r="F16" s="52"/>
      <c r="G16" s="52"/>
      <c r="H16" s="52"/>
      <c r="I16" s="52"/>
      <c r="J16" s="52"/>
      <c r="K16" s="52"/>
      <c r="L16" s="52"/>
      <c r="M16" s="52"/>
      <c r="N16" s="45"/>
      <c r="O16" s="52"/>
      <c r="P16" s="52"/>
      <c r="Q16" s="52"/>
      <c r="R16" s="52"/>
      <c r="S16" s="52"/>
      <c r="T16" s="52"/>
      <c r="U16" s="52"/>
      <c r="V16" s="52"/>
      <c r="W16" s="52"/>
      <c r="X16" s="52"/>
      <c r="Y16" s="52"/>
      <c r="Z16" s="52"/>
      <c r="AA16" s="52"/>
      <c r="AB16" s="52"/>
      <c r="AC16" s="52"/>
      <c r="AD16" s="52"/>
      <c r="AE16" s="52"/>
      <c r="AF16" s="52"/>
      <c r="AG16" s="52"/>
      <c r="AH16" s="52"/>
      <c r="AI16" s="52"/>
      <c r="AJ16" s="52"/>
      <c r="AK16" s="52"/>
      <c r="AL16" s="52"/>
      <c r="AM16" s="52"/>
      <c r="AN16" s="52"/>
      <c r="AO16" s="52"/>
      <c r="AP16" s="52"/>
      <c r="AQ16" s="52"/>
      <c r="AR16" s="52"/>
      <c r="AS16" s="52"/>
      <c r="AT16" s="41"/>
      <c r="AU16" s="41"/>
      <c r="AV16" s="41"/>
      <c r="AW16" s="41"/>
      <c r="AX16" s="41"/>
      <c r="AY16" s="41"/>
      <c r="AZ16" s="41"/>
      <c r="BA16" s="41"/>
      <c r="BB16" s="41"/>
      <c r="BC16" s="41"/>
      <c r="BD16" s="41"/>
      <c r="BE16" s="41"/>
      <c r="BF16" s="41"/>
      <c r="BG16" s="41"/>
      <c r="BH16" s="41"/>
      <c r="BI16" s="41"/>
      <c r="BJ16" s="41"/>
      <c r="BK16" s="53"/>
      <c r="BL16" s="53"/>
      <c r="BM16" s="53"/>
      <c r="BN16" s="53"/>
      <c r="BO16" s="288" t="s">
        <v>51</v>
      </c>
      <c r="BP16" s="41"/>
      <c r="BQ16" s="41"/>
      <c r="BR16" s="41"/>
    </row>
    <row r="17" spans="1:70" ht="16.5">
      <c r="A17" s="41"/>
      <c r="B17" s="284" t="s">
        <v>115</v>
      </c>
      <c r="C17" s="297" t="s">
        <v>52</v>
      </c>
      <c r="D17" s="285">
        <f>0.8*(-O14+SQRT(O14^2-4*O13*O15))/2/O13</f>
        <v>75.291910679135995</v>
      </c>
      <c r="E17" s="286">
        <f t="shared" ref="E17:AQ17" si="0">D17+$F15</f>
        <v>90.99007268227254</v>
      </c>
      <c r="F17" s="286">
        <f t="shared" si="0"/>
        <v>106.68823468540909</v>
      </c>
      <c r="G17" s="286">
        <f t="shared" si="0"/>
        <v>122.38639668854563</v>
      </c>
      <c r="H17" s="286">
        <f t="shared" si="0"/>
        <v>138.08455869168216</v>
      </c>
      <c r="I17" s="286">
        <f t="shared" si="0"/>
        <v>153.78272069481869</v>
      </c>
      <c r="J17" s="286">
        <f t="shared" si="0"/>
        <v>169.48088269795522</v>
      </c>
      <c r="K17" s="286">
        <f t="shared" si="0"/>
        <v>185.17904470109175</v>
      </c>
      <c r="L17" s="286">
        <f t="shared" si="0"/>
        <v>200.87720670422829</v>
      </c>
      <c r="M17" s="286">
        <f t="shared" si="0"/>
        <v>216.57536870736482</v>
      </c>
      <c r="N17" s="286">
        <f t="shared" si="0"/>
        <v>232.27353071050135</v>
      </c>
      <c r="O17" s="286">
        <f t="shared" si="0"/>
        <v>247.97169271363788</v>
      </c>
      <c r="P17" s="286">
        <f t="shared" si="0"/>
        <v>263.66985471677441</v>
      </c>
      <c r="Q17" s="286">
        <f t="shared" si="0"/>
        <v>279.36801671991094</v>
      </c>
      <c r="R17" s="286">
        <f t="shared" si="0"/>
        <v>295.06617872304747</v>
      </c>
      <c r="S17" s="286">
        <f t="shared" si="0"/>
        <v>310.764340726184</v>
      </c>
      <c r="T17" s="286">
        <f t="shared" si="0"/>
        <v>326.46250272932053</v>
      </c>
      <c r="U17" s="286">
        <f t="shared" si="0"/>
        <v>342.16066473245706</v>
      </c>
      <c r="V17" s="286">
        <f t="shared" si="0"/>
        <v>357.8588267355936</v>
      </c>
      <c r="W17" s="286">
        <f t="shared" si="0"/>
        <v>373.55698873873013</v>
      </c>
      <c r="X17" s="286">
        <f t="shared" si="0"/>
        <v>389.25515074186666</v>
      </c>
      <c r="Y17" s="286">
        <f t="shared" si="0"/>
        <v>404.95331274500319</v>
      </c>
      <c r="Z17" s="286">
        <f t="shared" si="0"/>
        <v>420.65147474813972</v>
      </c>
      <c r="AA17" s="286">
        <f t="shared" si="0"/>
        <v>436.34963675127625</v>
      </c>
      <c r="AB17" s="286">
        <f t="shared" si="0"/>
        <v>452.04779875441278</v>
      </c>
      <c r="AC17" s="286">
        <f t="shared" si="0"/>
        <v>467.74596075754931</v>
      </c>
      <c r="AD17" s="286">
        <f t="shared" si="0"/>
        <v>483.44412276068584</v>
      </c>
      <c r="AE17" s="286">
        <f t="shared" si="0"/>
        <v>499.14228476382237</v>
      </c>
      <c r="AF17" s="286">
        <f t="shared" si="0"/>
        <v>514.84044676695896</v>
      </c>
      <c r="AG17" s="286">
        <f t="shared" si="0"/>
        <v>530.53860877009549</v>
      </c>
      <c r="AH17" s="286">
        <f t="shared" si="0"/>
        <v>546.23677077323202</v>
      </c>
      <c r="AI17" s="286">
        <f t="shared" si="0"/>
        <v>561.93493277636856</v>
      </c>
      <c r="AJ17" s="286">
        <f t="shared" si="0"/>
        <v>577.63309477950509</v>
      </c>
      <c r="AK17" s="286">
        <f t="shared" si="0"/>
        <v>593.33125678264162</v>
      </c>
      <c r="AL17" s="286">
        <f t="shared" si="0"/>
        <v>609.02941878577815</v>
      </c>
      <c r="AM17" s="286">
        <f t="shared" si="0"/>
        <v>624.72758078891468</v>
      </c>
      <c r="AN17" s="286">
        <f t="shared" si="0"/>
        <v>640.42574279205121</v>
      </c>
      <c r="AO17" s="286">
        <f t="shared" si="0"/>
        <v>656.12390479518774</v>
      </c>
      <c r="AP17" s="286">
        <f t="shared" si="0"/>
        <v>671.82206679832427</v>
      </c>
      <c r="AQ17" s="286">
        <f t="shared" si="0"/>
        <v>687.5202288014608</v>
      </c>
      <c r="AR17" s="62">
        <f>200000*F$8/C$10*F14/(1+200000*F$8/C$10)</f>
        <v>703.21839080459768</v>
      </c>
      <c r="AS17" s="286">
        <f t="shared" ref="AS17:BJ17" si="1">AR17+$AS15</f>
        <v>745.15426497277679</v>
      </c>
      <c r="AT17" s="286">
        <f t="shared" si="1"/>
        <v>787.0901391409559</v>
      </c>
      <c r="AU17" s="286">
        <f t="shared" si="1"/>
        <v>829.02601330913501</v>
      </c>
      <c r="AV17" s="286">
        <f t="shared" si="1"/>
        <v>870.96188747731412</v>
      </c>
      <c r="AW17" s="286">
        <f t="shared" si="1"/>
        <v>912.89776164549323</v>
      </c>
      <c r="AX17" s="286">
        <f t="shared" si="1"/>
        <v>954.83363581367234</v>
      </c>
      <c r="AY17" s="286">
        <f t="shared" si="1"/>
        <v>996.76950998185146</v>
      </c>
      <c r="AZ17" s="286">
        <f t="shared" si="1"/>
        <v>1038.7053841500306</v>
      </c>
      <c r="BA17" s="286">
        <f t="shared" si="1"/>
        <v>1080.6412583182096</v>
      </c>
      <c r="BB17" s="286">
        <f t="shared" si="1"/>
        <v>1122.5771324863886</v>
      </c>
      <c r="BC17" s="286">
        <f t="shared" si="1"/>
        <v>1164.5130066545676</v>
      </c>
      <c r="BD17" s="286">
        <f t="shared" si="1"/>
        <v>1206.4488808227466</v>
      </c>
      <c r="BE17" s="286">
        <f t="shared" si="1"/>
        <v>1248.3847549909256</v>
      </c>
      <c r="BF17" s="286">
        <f t="shared" si="1"/>
        <v>1290.3206291591046</v>
      </c>
      <c r="BG17" s="286">
        <f t="shared" si="1"/>
        <v>1332.2565033272836</v>
      </c>
      <c r="BH17" s="286">
        <f t="shared" si="1"/>
        <v>1374.1923774954626</v>
      </c>
      <c r="BI17" s="286">
        <f t="shared" si="1"/>
        <v>1416.1282516636415</v>
      </c>
      <c r="BJ17" s="286">
        <f t="shared" si="1"/>
        <v>1458.0641258318205</v>
      </c>
      <c r="BK17" s="286">
        <f>MAIN!C13/C8</f>
        <v>1500</v>
      </c>
      <c r="BL17" s="286">
        <f>BK17+(BN17-BK17)/3</f>
        <v>2200</v>
      </c>
      <c r="BM17" s="286">
        <f>BL17/2+BN17/2</f>
        <v>2900</v>
      </c>
      <c r="BN17" s="286">
        <f>MAIN!C13*3</f>
        <v>3600</v>
      </c>
      <c r="BO17" s="287"/>
      <c r="BP17" s="41"/>
      <c r="BQ17" s="41"/>
      <c r="BR17" s="41"/>
    </row>
    <row r="18" spans="1:70" ht="16.5">
      <c r="A18" s="41"/>
      <c r="B18" s="290" t="s">
        <v>53</v>
      </c>
      <c r="C18" s="298" t="s">
        <v>54</v>
      </c>
      <c r="D18" s="3">
        <f>MIN($C$8*D17,MAIN!$C$13)*MAIN!$C$14*$C$9</f>
        <v>409587.99409449985</v>
      </c>
      <c r="E18" s="304">
        <f>MIN($C$8*E17,MAIN!$C$13)*MAIN!$C$14*$C$9</f>
        <v>494985.99539156264</v>
      </c>
      <c r="F18" s="304">
        <f>MIN($C$8*F17,MAIN!$C$13)*MAIN!$C$14*$C$9</f>
        <v>580383.99668862543</v>
      </c>
      <c r="G18" s="304">
        <f>MIN($C$8*G17,MAIN!$C$13)*MAIN!$C$14*$C$9</f>
        <v>665781.99798568827</v>
      </c>
      <c r="H18" s="304">
        <f>MIN($C$8*H17,MAIN!$C$13)*MAIN!$C$14*$C$9</f>
        <v>751179.999282751</v>
      </c>
      <c r="I18" s="304">
        <f>MIN($C$8*I17,MAIN!$C$13)*MAIN!$C$14*$C$9</f>
        <v>836578.00057981373</v>
      </c>
      <c r="J18" s="304">
        <f>MIN($C$8*J17,MAIN!$C$13)*MAIN!$C$14*$C$9</f>
        <v>921976.00187687646</v>
      </c>
      <c r="K18" s="304">
        <f>MIN($C$8*K17,MAIN!$C$13)*MAIN!$C$14*$C$9</f>
        <v>1007374.0031739392</v>
      </c>
      <c r="L18" s="304">
        <f>MIN($C$8*L17,MAIN!$C$13)*MAIN!$C$14*$C$9</f>
        <v>1092772.0044710019</v>
      </c>
      <c r="M18" s="304">
        <f>MIN($C$8*M17,MAIN!$C$13)*MAIN!$C$14*$C$9</f>
        <v>1178170.0057680646</v>
      </c>
      <c r="N18" s="304">
        <f>MIN($C$8*N17,MAIN!$C$13)*MAIN!$C$14*$C$9</f>
        <v>1263568.0070651274</v>
      </c>
      <c r="O18" s="304">
        <f>MIN($C$8*O17,MAIN!$C$13)*MAIN!$C$14*$C$9</f>
        <v>1348966.0083621901</v>
      </c>
      <c r="P18" s="304">
        <f>MIN($C$8*P17,MAIN!$C$13)*MAIN!$C$14*$C$9</f>
        <v>1434364.0096592528</v>
      </c>
      <c r="Q18" s="304">
        <f>MIN($C$8*Q17,MAIN!$C$13)*MAIN!$C$14*$C$9</f>
        <v>1519762.0109563156</v>
      </c>
      <c r="R18" s="304">
        <f>MIN($C$8*R17,MAIN!$C$13)*MAIN!$C$14*$C$9</f>
        <v>1605160.0122533783</v>
      </c>
      <c r="S18" s="304">
        <f>MIN($C$8*S17,MAIN!$C$13)*MAIN!$C$14*$C$9</f>
        <v>1690558.013550441</v>
      </c>
      <c r="T18" s="304">
        <f>MIN($C$8*T17,MAIN!$C$13)*MAIN!$C$14*$C$9</f>
        <v>1775956.0148475042</v>
      </c>
      <c r="U18" s="304">
        <f>MIN($C$8*U17,MAIN!$C$13)*MAIN!$C$14*$C$9</f>
        <v>1861354.0161445669</v>
      </c>
      <c r="V18" s="304">
        <f>MIN($C$8*V17,MAIN!$C$13)*MAIN!$C$14*$C$9</f>
        <v>1946752.0174416297</v>
      </c>
      <c r="W18" s="304">
        <f>MIN($C$8*W17,MAIN!$C$13)*MAIN!$C$14*$C$9</f>
        <v>2032150.0187386924</v>
      </c>
      <c r="X18" s="304">
        <f>MIN($C$8*X17,MAIN!$C$13)*MAIN!$C$14*$C$9</f>
        <v>2117548.0200357549</v>
      </c>
      <c r="Y18" s="304">
        <f>MIN($C$8*Y17,MAIN!$C$13)*MAIN!$C$14*$C$9</f>
        <v>2202946.0213328176</v>
      </c>
      <c r="Z18" s="304">
        <f>MIN($C$8*Z17,MAIN!$C$13)*MAIN!$C$14*$C$9</f>
        <v>2288344.0226298803</v>
      </c>
      <c r="AA18" s="304">
        <f>MIN($C$8*AA17,MAIN!$C$13)*MAIN!$C$14*$C$9</f>
        <v>2373742.0239269431</v>
      </c>
      <c r="AB18" s="304">
        <f>MIN($C$8*AB17,MAIN!$C$13)*MAIN!$C$14*$C$9</f>
        <v>2459140.0252240058</v>
      </c>
      <c r="AC18" s="304">
        <f>MIN($C$8*AC17,MAIN!$C$13)*MAIN!$C$14*$C$9</f>
        <v>2544538.0265210685</v>
      </c>
      <c r="AD18" s="304">
        <f>MIN($C$8*AD17,MAIN!$C$13)*MAIN!$C$14*$C$9</f>
        <v>2629936.0278181313</v>
      </c>
      <c r="AE18" s="304">
        <f>MIN($C$8*AE17,MAIN!$C$13)*MAIN!$C$14*$C$9</f>
        <v>2715334.029115194</v>
      </c>
      <c r="AF18" s="304">
        <f>MIN($C$8*AF17,MAIN!$C$13)*MAIN!$C$14*$C$9</f>
        <v>2800732.0304122572</v>
      </c>
      <c r="AG18" s="304">
        <f>MIN($C$8*AG17,MAIN!$C$13)*MAIN!$C$14*$C$9</f>
        <v>2886130.0317093199</v>
      </c>
      <c r="AH18" s="304">
        <f>MIN($C$8*AH17,MAIN!$C$13)*MAIN!$C$14*$C$9</f>
        <v>2971528.0330063822</v>
      </c>
      <c r="AI18" s="304">
        <f>MIN($C$8*AI17,MAIN!$C$13)*MAIN!$C$14*$C$9</f>
        <v>3056926.0343034454</v>
      </c>
      <c r="AJ18" s="304">
        <f>MIN($C$8*AJ17,MAIN!$C$13)*MAIN!$C$14*$C$9</f>
        <v>3142324.0356005081</v>
      </c>
      <c r="AK18" s="304">
        <f>MIN($C$8*AK17,MAIN!$C$13)*MAIN!$C$14*$C$9</f>
        <v>3227722.0368975708</v>
      </c>
      <c r="AL18" s="304">
        <f>MIN($C$8*AL17,MAIN!$C$13)*MAIN!$C$14*$C$9</f>
        <v>3313120.0381946336</v>
      </c>
      <c r="AM18" s="304">
        <f>MIN($C$8*AM17,MAIN!$C$13)*MAIN!$C$14*$C$9</f>
        <v>3398518.0394916963</v>
      </c>
      <c r="AN18" s="304">
        <f>MIN($C$8*AN17,MAIN!$C$13)*MAIN!$C$14*$C$9</f>
        <v>3483916.040788759</v>
      </c>
      <c r="AO18" s="304">
        <f>MIN($C$8*AO17,MAIN!$C$13)*MAIN!$C$14*$C$9</f>
        <v>3569314.0420858217</v>
      </c>
      <c r="AP18" s="304">
        <f>MIN($C$8*AP17,MAIN!$C$13)*MAIN!$C$14*$C$9</f>
        <v>3654712.0433828845</v>
      </c>
      <c r="AQ18" s="304">
        <f>MIN($C$8*AQ17,MAIN!$C$13)*MAIN!$C$14*$C$9</f>
        <v>3740110.0446799472</v>
      </c>
      <c r="AR18" s="56">
        <f>MIN($C$8*AR17,MAIN!$C$13)*MAIN!$C$14*$C$9</f>
        <v>3825508.0459770118</v>
      </c>
      <c r="AS18" s="304">
        <f>MIN($C$8*AS17,MAIN!$C$13)*MAIN!$C$14*$C$9</f>
        <v>4053639.201451906</v>
      </c>
      <c r="AT18" s="304">
        <f>MIN($C$8*AT17,MAIN!$C$13)*MAIN!$C$14*$C$9</f>
        <v>4281770.3569268007</v>
      </c>
      <c r="AU18" s="304">
        <f>MIN($C$8*AU17,MAIN!$C$13)*MAIN!$C$14*$C$9</f>
        <v>4509901.5124016954</v>
      </c>
      <c r="AV18" s="304">
        <f>MIN($C$8*AV17,MAIN!$C$13)*MAIN!$C$14*$C$9</f>
        <v>4738032.6678765891</v>
      </c>
      <c r="AW18" s="304">
        <f>MIN($C$8*AW17,MAIN!$C$13)*MAIN!$C$14*$C$9</f>
        <v>4966163.8233514829</v>
      </c>
      <c r="AX18" s="304">
        <f>MIN($C$8*AX17,MAIN!$C$13)*MAIN!$C$14*$C$9</f>
        <v>5194294.9788263785</v>
      </c>
      <c r="AY18" s="304">
        <f>MIN($C$8*AY17,MAIN!$C$13)*MAIN!$C$14*$C$9</f>
        <v>5422426.1343012722</v>
      </c>
      <c r="AZ18" s="304">
        <f>MIN($C$8*AZ17,MAIN!$C$13)*MAIN!$C$14*$C$9</f>
        <v>5650557.2897761669</v>
      </c>
      <c r="BA18" s="304">
        <f>MIN($C$8*BA17,MAIN!$C$13)*MAIN!$C$14*$C$9</f>
        <v>5878688.4452510597</v>
      </c>
      <c r="BB18" s="304">
        <f>MIN($C$8*BB17,MAIN!$C$13)*MAIN!$C$14*$C$9</f>
        <v>6106819.6007259544</v>
      </c>
      <c r="BC18" s="304">
        <f>MIN($C$8*BC17,MAIN!$C$13)*MAIN!$C$14*$C$9</f>
        <v>6334950.7562008481</v>
      </c>
      <c r="BD18" s="304">
        <f>MIN($C$8*BD17,MAIN!$C$13)*MAIN!$C$14*$C$9</f>
        <v>6563081.9116757419</v>
      </c>
      <c r="BE18" s="304">
        <f>MIN($C$8*BE17,MAIN!$C$13)*MAIN!$C$14*$C$9</f>
        <v>6791213.0671506366</v>
      </c>
      <c r="BF18" s="304">
        <f>MIN($C$8*BF17,MAIN!$C$13)*MAIN!$C$14*$C$9</f>
        <v>7019344.2226255303</v>
      </c>
      <c r="BG18" s="304">
        <f>MIN($C$8*BG17,MAIN!$C$13)*MAIN!$C$14*$C$9</f>
        <v>7247475.3781004231</v>
      </c>
      <c r="BH18" s="304">
        <f>MIN($C$8*BH17,MAIN!$C$13)*MAIN!$C$14*$C$9</f>
        <v>7475606.5335753169</v>
      </c>
      <c r="BI18" s="304">
        <f>MIN($C$8*BI17,MAIN!$C$13)*MAIN!$C$14*$C$9</f>
        <v>7703737.6890502106</v>
      </c>
      <c r="BJ18" s="304">
        <f>MIN($C$8*BJ17,MAIN!$C$13)*MAIN!$C$14*$C$9</f>
        <v>7931868.8445251053</v>
      </c>
      <c r="BK18" s="304">
        <f>MIN($C$8*BK17,MAIN!$C$13)*MAIN!$C$14*$C$9</f>
        <v>8160000</v>
      </c>
      <c r="BL18" s="304">
        <f>MIN($C$8*BL17,MAIN!$C$13)*MAIN!$C$14*$C$9</f>
        <v>8160000</v>
      </c>
      <c r="BM18" s="304">
        <f>MIN($C$8*BM17,MAIN!$C$13)*MAIN!$C$14*$C$9</f>
        <v>8160000</v>
      </c>
      <c r="BN18" s="304">
        <f>MIN($C$8*BN17,MAIN!$C$13)*MAIN!$C$14*$C$9</f>
        <v>8160000</v>
      </c>
      <c r="BO18" s="3">
        <f>MAIN!$C$13*MAIN!$C$14*$C$9</f>
        <v>8160000</v>
      </c>
      <c r="BP18" s="41"/>
      <c r="BQ18" s="41"/>
      <c r="BR18" s="41"/>
    </row>
    <row r="19" spans="1:70" ht="16.5">
      <c r="A19" s="41"/>
      <c r="B19" s="4">
        <v>2</v>
      </c>
      <c r="C19" s="299" t="s">
        <v>55</v>
      </c>
      <c r="D19" s="5">
        <f>IF(C14+L14&gt;=F14,0,C14+L14)</f>
        <v>420</v>
      </c>
      <c r="E19" s="6"/>
      <c r="F19" s="6"/>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6"/>
      <c r="AI19" s="6"/>
      <c r="AJ19" s="6"/>
      <c r="AK19" s="6"/>
      <c r="AL19" s="6"/>
      <c r="AM19" s="6"/>
      <c r="AN19" s="6"/>
      <c r="AO19" s="6"/>
      <c r="AP19" s="6"/>
      <c r="AQ19" s="6"/>
      <c r="AR19" s="57"/>
      <c r="AS19" s="6"/>
      <c r="AT19" s="6"/>
      <c r="AU19" s="6"/>
      <c r="AV19" s="6"/>
      <c r="AW19" s="6"/>
      <c r="AX19" s="6"/>
      <c r="AY19" s="6"/>
      <c r="AZ19" s="6"/>
      <c r="BA19" s="6"/>
      <c r="BB19" s="6"/>
      <c r="BC19" s="6"/>
      <c r="BD19" s="6"/>
      <c r="BE19" s="6"/>
      <c r="BF19" s="6"/>
      <c r="BG19" s="6"/>
      <c r="BH19" s="6"/>
      <c r="BI19" s="6"/>
      <c r="BJ19" s="6"/>
      <c r="BK19" s="6"/>
      <c r="BL19" s="6"/>
      <c r="BM19" s="6"/>
      <c r="BN19" s="6"/>
      <c r="BO19" s="7"/>
      <c r="BP19" s="41"/>
      <c r="BQ19" s="41"/>
      <c r="BR19" s="41"/>
    </row>
    <row r="20" spans="1:70" ht="16.5">
      <c r="A20" s="41"/>
      <c r="B20" s="4">
        <f t="shared" ref="B20:B26" si="2">1+B19</f>
        <v>3</v>
      </c>
      <c r="C20" s="299" t="s">
        <v>55</v>
      </c>
      <c r="D20" s="5">
        <f>IF(C14+B19*L14&gt;=F14,0,C14+B19*L14)</f>
        <v>780</v>
      </c>
      <c r="E20" s="6"/>
      <c r="F20" s="6"/>
      <c r="G20" s="6"/>
      <c r="H20" s="6"/>
      <c r="I20" s="6"/>
      <c r="J20" s="6"/>
      <c r="K20" s="6"/>
      <c r="L20" s="6"/>
      <c r="M20" s="6"/>
      <c r="N20" s="6"/>
      <c r="O20" s="6"/>
      <c r="P20" s="6"/>
      <c r="Q20" s="6"/>
      <c r="R20" s="6"/>
      <c r="S20" s="6"/>
      <c r="T20" s="6"/>
      <c r="U20" s="6"/>
      <c r="V20" s="6"/>
      <c r="W20" s="6"/>
      <c r="X20" s="6"/>
      <c r="Y20" s="6"/>
      <c r="Z20" s="6"/>
      <c r="AA20" s="6"/>
      <c r="AB20" s="6"/>
      <c r="AC20" s="6"/>
      <c r="AD20" s="6"/>
      <c r="AE20" s="6"/>
      <c r="AF20" s="6"/>
      <c r="AG20" s="6"/>
      <c r="AH20" s="6"/>
      <c r="AI20" s="6"/>
      <c r="AJ20" s="6"/>
      <c r="AK20" s="6"/>
      <c r="AL20" s="6"/>
      <c r="AM20" s="6"/>
      <c r="AN20" s="6"/>
      <c r="AO20" s="6"/>
      <c r="AP20" s="6"/>
      <c r="AQ20" s="6"/>
      <c r="AR20" s="57"/>
      <c r="AS20" s="6"/>
      <c r="AT20" s="6"/>
      <c r="AU20" s="6"/>
      <c r="AV20" s="6"/>
      <c r="AW20" s="6"/>
      <c r="AX20" s="6"/>
      <c r="AY20" s="6"/>
      <c r="AZ20" s="6"/>
      <c r="BA20" s="6"/>
      <c r="BB20" s="6"/>
      <c r="BC20" s="6"/>
      <c r="BD20" s="6"/>
      <c r="BE20" s="6"/>
      <c r="BF20" s="6"/>
      <c r="BG20" s="6"/>
      <c r="BH20" s="6"/>
      <c r="BI20" s="6"/>
      <c r="BJ20" s="6"/>
      <c r="BK20" s="6"/>
      <c r="BL20" s="6"/>
      <c r="BM20" s="6"/>
      <c r="BN20" s="6"/>
      <c r="BO20" s="7"/>
      <c r="BP20" s="41"/>
      <c r="BQ20" s="41"/>
      <c r="BR20" s="41"/>
    </row>
    <row r="21" spans="1:70" ht="16.5">
      <c r="A21" s="41"/>
      <c r="B21" s="4">
        <f t="shared" si="2"/>
        <v>4</v>
      </c>
      <c r="C21" s="299" t="s">
        <v>55</v>
      </c>
      <c r="D21" s="5">
        <f>IF(C14+B20*L14&gt;=F14,0,C14+B20*L14)</f>
        <v>0</v>
      </c>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6"/>
      <c r="AK21" s="6"/>
      <c r="AL21" s="6"/>
      <c r="AM21" s="6"/>
      <c r="AN21" s="6"/>
      <c r="AO21" s="6"/>
      <c r="AP21" s="6"/>
      <c r="AQ21" s="6"/>
      <c r="AR21" s="57"/>
      <c r="AS21" s="6"/>
      <c r="AT21" s="6"/>
      <c r="AU21" s="6"/>
      <c r="AV21" s="6"/>
      <c r="AW21" s="6"/>
      <c r="AX21" s="6"/>
      <c r="AY21" s="6"/>
      <c r="AZ21" s="6"/>
      <c r="BA21" s="6"/>
      <c r="BB21" s="6"/>
      <c r="BC21" s="6"/>
      <c r="BD21" s="6"/>
      <c r="BE21" s="6"/>
      <c r="BF21" s="6"/>
      <c r="BG21" s="6"/>
      <c r="BH21" s="6"/>
      <c r="BI21" s="6"/>
      <c r="BJ21" s="6"/>
      <c r="BK21" s="6"/>
      <c r="BL21" s="6"/>
      <c r="BM21" s="6"/>
      <c r="BN21" s="6"/>
      <c r="BO21" s="7"/>
      <c r="BP21" s="41"/>
      <c r="BQ21" s="41"/>
      <c r="BR21" s="41"/>
    </row>
    <row r="22" spans="1:70" ht="16.5">
      <c r="A22" s="41"/>
      <c r="B22" s="4">
        <f t="shared" si="2"/>
        <v>5</v>
      </c>
      <c r="C22" s="299" t="s">
        <v>55</v>
      </c>
      <c r="D22" s="5">
        <f>IF(C14+B21*L14&gt;=F14,0,C14+B21*L14)</f>
        <v>0</v>
      </c>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6"/>
      <c r="AK22" s="6"/>
      <c r="AL22" s="6"/>
      <c r="AM22" s="6"/>
      <c r="AN22" s="6"/>
      <c r="AO22" s="6"/>
      <c r="AP22" s="6"/>
      <c r="AQ22" s="6"/>
      <c r="AR22" s="57"/>
      <c r="AS22" s="6"/>
      <c r="AT22" s="6"/>
      <c r="AU22" s="6"/>
      <c r="AV22" s="6"/>
      <c r="AW22" s="6"/>
      <c r="AX22" s="6"/>
      <c r="AY22" s="6"/>
      <c r="AZ22" s="6"/>
      <c r="BA22" s="6"/>
      <c r="BB22" s="6"/>
      <c r="BC22" s="6"/>
      <c r="BD22" s="6"/>
      <c r="BE22" s="6"/>
      <c r="BF22" s="6"/>
      <c r="BG22" s="6"/>
      <c r="BH22" s="6"/>
      <c r="BI22" s="6"/>
      <c r="BJ22" s="6"/>
      <c r="BK22" s="6"/>
      <c r="BL22" s="6"/>
      <c r="BM22" s="6"/>
      <c r="BN22" s="6"/>
      <c r="BO22" s="7"/>
      <c r="BP22" s="41"/>
      <c r="BQ22" s="41"/>
      <c r="BR22" s="41"/>
    </row>
    <row r="23" spans="1:70" ht="16.5">
      <c r="A23" s="41"/>
      <c r="B23" s="4">
        <f t="shared" si="2"/>
        <v>6</v>
      </c>
      <c r="C23" s="299" t="s">
        <v>55</v>
      </c>
      <c r="D23" s="5">
        <f>IF(C14+B22*L14&gt;=F14,0,C14+B22*L14)</f>
        <v>0</v>
      </c>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6"/>
      <c r="AK23" s="6"/>
      <c r="AL23" s="6"/>
      <c r="AM23" s="6"/>
      <c r="AN23" s="6"/>
      <c r="AO23" s="6"/>
      <c r="AP23" s="6"/>
      <c r="AQ23" s="6"/>
      <c r="AR23" s="57"/>
      <c r="AS23" s="6"/>
      <c r="AT23" s="6"/>
      <c r="AU23" s="6"/>
      <c r="AV23" s="6"/>
      <c r="AW23" s="6"/>
      <c r="AX23" s="6"/>
      <c r="AY23" s="6"/>
      <c r="AZ23" s="6"/>
      <c r="BA23" s="6"/>
      <c r="BB23" s="6"/>
      <c r="BC23" s="6"/>
      <c r="BD23" s="6"/>
      <c r="BE23" s="6"/>
      <c r="BF23" s="6"/>
      <c r="BG23" s="6"/>
      <c r="BH23" s="6"/>
      <c r="BI23" s="6"/>
      <c r="BJ23" s="6"/>
      <c r="BK23" s="6"/>
      <c r="BL23" s="6"/>
      <c r="BM23" s="6"/>
      <c r="BN23" s="6"/>
      <c r="BO23" s="7"/>
      <c r="BP23" s="41"/>
      <c r="BQ23" s="41"/>
      <c r="BR23" s="41"/>
    </row>
    <row r="24" spans="1:70" ht="16.5">
      <c r="A24" s="41"/>
      <c r="B24" s="4">
        <f t="shared" si="2"/>
        <v>7</v>
      </c>
      <c r="C24" s="299" t="s">
        <v>55</v>
      </c>
      <c r="D24" s="5">
        <f>IF(C14+B23*L14&gt;=F14,0,C14+B23*L14)</f>
        <v>0</v>
      </c>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c r="AH24" s="6"/>
      <c r="AI24" s="6"/>
      <c r="AJ24" s="6"/>
      <c r="AK24" s="6"/>
      <c r="AL24" s="6"/>
      <c r="AM24" s="6"/>
      <c r="AN24" s="6"/>
      <c r="AO24" s="6"/>
      <c r="AP24" s="6"/>
      <c r="AQ24" s="6"/>
      <c r="AR24" s="57"/>
      <c r="AS24" s="6"/>
      <c r="AT24" s="6"/>
      <c r="AU24" s="6"/>
      <c r="AV24" s="6"/>
      <c r="AW24" s="6"/>
      <c r="AX24" s="6"/>
      <c r="AY24" s="6"/>
      <c r="AZ24" s="6"/>
      <c r="BA24" s="6"/>
      <c r="BB24" s="6"/>
      <c r="BC24" s="6"/>
      <c r="BD24" s="6"/>
      <c r="BE24" s="6"/>
      <c r="BF24" s="6"/>
      <c r="BG24" s="6"/>
      <c r="BH24" s="6"/>
      <c r="BI24" s="6"/>
      <c r="BJ24" s="6"/>
      <c r="BK24" s="6"/>
      <c r="BL24" s="6"/>
      <c r="BM24" s="6"/>
      <c r="BN24" s="6"/>
      <c r="BO24" s="7"/>
      <c r="BP24" s="41"/>
      <c r="BQ24" s="41"/>
      <c r="BR24" s="41"/>
    </row>
    <row r="25" spans="1:70" ht="16.5">
      <c r="A25" s="41"/>
      <c r="B25" s="4">
        <f t="shared" si="2"/>
        <v>8</v>
      </c>
      <c r="C25" s="299" t="s">
        <v>55</v>
      </c>
      <c r="D25" s="5">
        <f>IF(C14+B24*L14&gt;=F14,0,C14+B24*L14)</f>
        <v>0</v>
      </c>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6"/>
      <c r="AK25" s="6"/>
      <c r="AL25" s="6"/>
      <c r="AM25" s="6"/>
      <c r="AN25" s="6"/>
      <c r="AO25" s="6"/>
      <c r="AP25" s="6"/>
      <c r="AQ25" s="6"/>
      <c r="AR25" s="57"/>
      <c r="AS25" s="6"/>
      <c r="AT25" s="6"/>
      <c r="AU25" s="6"/>
      <c r="AV25" s="6"/>
      <c r="AW25" s="6"/>
      <c r="AX25" s="6"/>
      <c r="AY25" s="6"/>
      <c r="AZ25" s="6"/>
      <c r="BA25" s="6"/>
      <c r="BB25" s="6"/>
      <c r="BC25" s="6"/>
      <c r="BD25" s="6"/>
      <c r="BE25" s="6"/>
      <c r="BF25" s="6"/>
      <c r="BG25" s="6"/>
      <c r="BH25" s="6"/>
      <c r="BI25" s="6"/>
      <c r="BJ25" s="6"/>
      <c r="BK25" s="6"/>
      <c r="BL25" s="6"/>
      <c r="BM25" s="6"/>
      <c r="BN25" s="6"/>
      <c r="BO25" s="7"/>
      <c r="BP25" s="41"/>
      <c r="BQ25" s="228"/>
      <c r="BR25" s="228"/>
    </row>
    <row r="26" spans="1:70" ht="16.5">
      <c r="A26" s="41"/>
      <c r="B26" s="4">
        <f t="shared" si="2"/>
        <v>9</v>
      </c>
      <c r="C26" s="299" t="s">
        <v>55</v>
      </c>
      <c r="D26" s="5">
        <f>IF(C14+B25*L14&gt;=F14,0,C14+B25*L14)</f>
        <v>0</v>
      </c>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6"/>
      <c r="AK26" s="6"/>
      <c r="AL26" s="6"/>
      <c r="AM26" s="6"/>
      <c r="AN26" s="6"/>
      <c r="AO26" s="6"/>
      <c r="AP26" s="6"/>
      <c r="AQ26" s="6"/>
      <c r="AR26" s="57"/>
      <c r="AS26" s="6"/>
      <c r="AT26" s="6"/>
      <c r="AU26" s="6"/>
      <c r="AV26" s="6"/>
      <c r="AW26" s="6"/>
      <c r="AX26" s="6"/>
      <c r="AY26" s="6"/>
      <c r="AZ26" s="6"/>
      <c r="BA26" s="6"/>
      <c r="BB26" s="6"/>
      <c r="BC26" s="6"/>
      <c r="BD26" s="6"/>
      <c r="BE26" s="6"/>
      <c r="BF26" s="6"/>
      <c r="BG26" s="6"/>
      <c r="BH26" s="6"/>
      <c r="BI26" s="6"/>
      <c r="BJ26" s="6"/>
      <c r="BK26" s="6"/>
      <c r="BL26" s="6"/>
      <c r="BM26" s="6"/>
      <c r="BN26" s="6"/>
      <c r="BO26" s="7"/>
      <c r="BP26" s="41"/>
      <c r="BQ26" s="228"/>
      <c r="BR26" s="228"/>
    </row>
    <row r="27" spans="1:70" ht="16.5">
      <c r="A27" s="41"/>
      <c r="B27" s="291" t="s">
        <v>116</v>
      </c>
      <c r="C27" s="298" t="s">
        <v>117</v>
      </c>
      <c r="D27" s="3">
        <f>IF(D17&gt;MAIN!$C$13,MAX($F$9,$F$9*D17/(D17-$F$10)),$F$8)</f>
        <v>3.5000000000000001E-3</v>
      </c>
      <c r="E27" s="304">
        <f>IF(E17&gt;MAIN!$C$13,MAX($F$9,$F$9*E17/(E17-$F$10)),$F$8)</f>
        <v>3.5000000000000001E-3</v>
      </c>
      <c r="F27" s="304">
        <f>IF(F17&gt;MAIN!$C$13,MAX($F$9,$F$9*F17/(F17-$F$10)),$F$8)</f>
        <v>3.5000000000000001E-3</v>
      </c>
      <c r="G27" s="304">
        <f>IF(G17&gt;MAIN!$C$13,MAX($F$9,$F$9*G17/(G17-$F$10)),$F$8)</f>
        <v>3.5000000000000001E-3</v>
      </c>
      <c r="H27" s="304">
        <f>IF(H17&gt;MAIN!$C$13,MAX($F$9,$F$9*H17/(H17-$F$10)),$F$8)</f>
        <v>3.5000000000000001E-3</v>
      </c>
      <c r="I27" s="304">
        <f>IF(I17&gt;MAIN!$C$13,MAX($F$9,$F$9*I17/(I17-$F$10)),$F$8)</f>
        <v>3.5000000000000001E-3</v>
      </c>
      <c r="J27" s="304">
        <f>IF(J17&gt;MAIN!$C$13,MAX($F$9,$F$9*J17/(J17-$F$10)),$F$8)</f>
        <v>3.5000000000000001E-3</v>
      </c>
      <c r="K27" s="304">
        <f>IF(K17&gt;MAIN!$C$13,MAX($F$9,$F$9*K17/(K17-$F$10)),$F$8)</f>
        <v>3.5000000000000001E-3</v>
      </c>
      <c r="L27" s="304">
        <f>IF(L17&gt;MAIN!$C$13,MAX($F$9,$F$9*L17/(L17-$F$10)),$F$8)</f>
        <v>3.5000000000000001E-3</v>
      </c>
      <c r="M27" s="304">
        <f>IF(M17&gt;MAIN!$C$13,MAX($F$9,$F$9*M17/(M17-$F$10)),$F$8)</f>
        <v>3.5000000000000001E-3</v>
      </c>
      <c r="N27" s="304">
        <f>IF(N17&gt;MAIN!$C$13,MAX($F$9,$F$9*N17/(N17-$F$10)),$F$8)</f>
        <v>3.5000000000000001E-3</v>
      </c>
      <c r="O27" s="304">
        <f>IF(O17&gt;MAIN!$C$13,MAX($F$9,$F$9*O17/(O17-$F$10)),$F$8)</f>
        <v>3.5000000000000001E-3</v>
      </c>
      <c r="P27" s="304">
        <f>IF(P17&gt;MAIN!$C$13,MAX($F$9,$F$9*P17/(P17-$F$10)),$F$8)</f>
        <v>3.5000000000000001E-3</v>
      </c>
      <c r="Q27" s="304">
        <f>IF(Q17&gt;MAIN!$C$13,MAX($F$9,$F$9*Q17/(Q17-$F$10)),$F$8)</f>
        <v>3.5000000000000001E-3</v>
      </c>
      <c r="R27" s="304">
        <f>IF(R17&gt;MAIN!$C$13,MAX($F$9,$F$9*R17/(R17-$F$10)),$F$8)</f>
        <v>3.5000000000000001E-3</v>
      </c>
      <c r="S27" s="304">
        <f>IF(S17&gt;MAIN!$C$13,MAX($F$9,$F$9*S17/(S17-$F$10)),$F$8)</f>
        <v>3.5000000000000001E-3</v>
      </c>
      <c r="T27" s="304">
        <f>IF(T17&gt;MAIN!$C$13,MAX($F$9,$F$9*T17/(T17-$F$10)),$F$8)</f>
        <v>3.5000000000000001E-3</v>
      </c>
      <c r="U27" s="304">
        <f>IF(U17&gt;MAIN!$C$13,MAX($F$9,$F$9*U17/(U17-$F$10)),$F$8)</f>
        <v>3.5000000000000001E-3</v>
      </c>
      <c r="V27" s="304">
        <f>IF(V17&gt;MAIN!$C$13,MAX($F$9,$F$9*V17/(V17-$F$10)),$F$8)</f>
        <v>3.5000000000000001E-3</v>
      </c>
      <c r="W27" s="304">
        <f>IF(W17&gt;MAIN!$C$13,MAX($F$9,$F$9*W17/(W17-$F$10)),$F$8)</f>
        <v>3.5000000000000001E-3</v>
      </c>
      <c r="X27" s="304">
        <f>IF(X17&gt;MAIN!$C$13,MAX($F$9,$F$9*X17/(X17-$F$10)),$F$8)</f>
        <v>3.5000000000000001E-3</v>
      </c>
      <c r="Y27" s="304">
        <f>IF(Y17&gt;MAIN!$C$13,MAX($F$9,$F$9*Y17/(Y17-$F$10)),$F$8)</f>
        <v>3.5000000000000001E-3</v>
      </c>
      <c r="Z27" s="304">
        <f>IF(Z17&gt;MAIN!$C$13,MAX($F$9,$F$9*Z17/(Z17-$F$10)),$F$8)</f>
        <v>3.5000000000000001E-3</v>
      </c>
      <c r="AA27" s="304">
        <f>IF(AA17&gt;MAIN!$C$13,MAX($F$9,$F$9*AA17/(AA17-$F$10)),$F$8)</f>
        <v>3.5000000000000001E-3</v>
      </c>
      <c r="AB27" s="304">
        <f>IF(AB17&gt;MAIN!$C$13,MAX($F$9,$F$9*AB17/(AB17-$F$10)),$F$8)</f>
        <v>3.5000000000000001E-3</v>
      </c>
      <c r="AC27" s="304">
        <f>IF(AC17&gt;MAIN!$C$13,MAX($F$9,$F$9*AC17/(AC17-$F$10)),$F$8)</f>
        <v>3.5000000000000001E-3</v>
      </c>
      <c r="AD27" s="304">
        <f>IF(AD17&gt;MAIN!$C$13,MAX($F$9,$F$9*AD17/(AD17-$F$10)),$F$8)</f>
        <v>3.5000000000000001E-3</v>
      </c>
      <c r="AE27" s="304">
        <f>IF(AE17&gt;MAIN!$C$13,MAX($F$9,$F$9*AE17/(AE17-$F$10)),$F$8)</f>
        <v>3.5000000000000001E-3</v>
      </c>
      <c r="AF27" s="304">
        <f>IF(AF17&gt;MAIN!$C$13,MAX($F$9,$F$9*AF17/(AF17-$F$10)),$F$8)</f>
        <v>3.5000000000000001E-3</v>
      </c>
      <c r="AG27" s="304">
        <f>IF(AG17&gt;MAIN!$C$13,MAX($F$9,$F$9*AG17/(AG17-$F$10)),$F$8)</f>
        <v>3.5000000000000001E-3</v>
      </c>
      <c r="AH27" s="304">
        <f>IF(AH17&gt;MAIN!$C$13,MAX($F$9,$F$9*AH17/(AH17-$F$10)),$F$8)</f>
        <v>3.5000000000000001E-3</v>
      </c>
      <c r="AI27" s="304">
        <f>IF(AI17&gt;MAIN!$C$13,MAX($F$9,$F$9*AI17/(AI17-$F$10)),$F$8)</f>
        <v>3.5000000000000001E-3</v>
      </c>
      <c r="AJ27" s="304">
        <f>IF(AJ17&gt;MAIN!$C$13,MAX($F$9,$F$9*AJ17/(AJ17-$F$10)),$F$8)</f>
        <v>3.5000000000000001E-3</v>
      </c>
      <c r="AK27" s="304">
        <f>IF(AK17&gt;MAIN!$C$13,MAX($F$9,$F$9*AK17/(AK17-$F$10)),$F$8)</f>
        <v>3.5000000000000001E-3</v>
      </c>
      <c r="AL27" s="304">
        <f>IF(AL17&gt;MAIN!$C$13,MAX($F$9,$F$9*AL17/(AL17-$F$10)),$F$8)</f>
        <v>3.5000000000000001E-3</v>
      </c>
      <c r="AM27" s="304">
        <f>IF(AM17&gt;MAIN!$C$13,MAX($F$9,$F$9*AM17/(AM17-$F$10)),$F$8)</f>
        <v>3.5000000000000001E-3</v>
      </c>
      <c r="AN27" s="304">
        <f>IF(AN17&gt;MAIN!$C$13,MAX($F$9,$F$9*AN17/(AN17-$F$10)),$F$8)</f>
        <v>3.5000000000000001E-3</v>
      </c>
      <c r="AO27" s="304">
        <f>IF(AO17&gt;MAIN!$C$13,MAX($F$9,$F$9*AO17/(AO17-$F$10)),$F$8)</f>
        <v>3.5000000000000001E-3</v>
      </c>
      <c r="AP27" s="304">
        <f>IF(AP17&gt;MAIN!$C$13,MAX($F$9,$F$9*AP17/(AP17-$F$10)),$F$8)</f>
        <v>3.5000000000000001E-3</v>
      </c>
      <c r="AQ27" s="304">
        <f>IF(AQ17&gt;MAIN!$C$13,MAX($F$9,$F$9*AQ17/(AQ17-$F$10)),$F$8)</f>
        <v>3.5000000000000001E-3</v>
      </c>
      <c r="AR27" s="56">
        <f>IF(AR17&gt;MAIN!$C$13,MAX($F$9,$F$9*AR17/(AR17-$F$10)),$F$8)</f>
        <v>3.5000000000000001E-3</v>
      </c>
      <c r="AS27" s="304">
        <f>IF(AS17&gt;MAIN!$C$13,MAX($F$9,$F$9*AS17/(AS17-$F$10)),$F$8)</f>
        <v>3.5000000000000001E-3</v>
      </c>
      <c r="AT27" s="304">
        <f>IF(AT17&gt;MAIN!$C$13,MAX($F$9,$F$9*AT17/(AT17-$F$10)),$F$8)</f>
        <v>3.5000000000000001E-3</v>
      </c>
      <c r="AU27" s="304">
        <f>IF(AU17&gt;MAIN!$C$13,MAX($F$9,$F$9*AU17/(AU17-$F$10)),$F$8)</f>
        <v>3.5000000000000001E-3</v>
      </c>
      <c r="AV27" s="304">
        <f>IF(AV17&gt;MAIN!$C$13,MAX($F$9,$F$9*AV17/(AV17-$F$10)),$F$8)</f>
        <v>3.5000000000000001E-3</v>
      </c>
      <c r="AW27" s="304">
        <f>IF(AW17&gt;MAIN!$C$13,MAX($F$9,$F$9*AW17/(AW17-$F$10)),$F$8)</f>
        <v>3.5000000000000001E-3</v>
      </c>
      <c r="AX27" s="304">
        <f>IF(AX17&gt;MAIN!$C$13,MAX($F$9,$F$9*AX17/(AX17-$F$10)),$F$8)</f>
        <v>3.5000000000000001E-3</v>
      </c>
      <c r="AY27" s="304">
        <f>IF(AY17&gt;MAIN!$C$13,MAX($F$9,$F$9*AY17/(AY17-$F$10)),$F$8)</f>
        <v>3.5000000000000001E-3</v>
      </c>
      <c r="AZ27" s="304">
        <f>IF(AZ17&gt;MAIN!$C$13,MAX($F$9,$F$9*AZ17/(AZ17-$F$10)),$F$8)</f>
        <v>3.5000000000000001E-3</v>
      </c>
      <c r="BA27" s="304">
        <f>IF(BA17&gt;MAIN!$C$13,MAX($F$9,$F$9*BA17/(BA17-$F$10)),$F$8)</f>
        <v>3.5000000000000001E-3</v>
      </c>
      <c r="BB27" s="304">
        <f>IF(BB17&gt;MAIN!$C$13,MAX($F$9,$F$9*BB17/(BB17-$F$10)),$F$8)</f>
        <v>3.5000000000000001E-3</v>
      </c>
      <c r="BC27" s="304">
        <f>IF(BC17&gt;MAIN!$C$13,MAX($F$9,$F$9*BC17/(BC17-$F$10)),$F$8)</f>
        <v>3.5000000000000001E-3</v>
      </c>
      <c r="BD27" s="304">
        <f>IF(BD17&gt;MAIN!$C$13,MAX($F$9,$F$9*BD17/(BD17-$F$10)),$F$8)</f>
        <v>3.4813907786844359E-3</v>
      </c>
      <c r="BE27" s="304">
        <f>IF(BE17&gt;MAIN!$C$13,MAX($F$9,$F$9*BE17/(BE17-$F$10)),$F$8)</f>
        <v>3.3694088339024804E-3</v>
      </c>
      <c r="BF27" s="304">
        <f>IF(BF17&gt;MAIN!$C$13,MAX($F$9,$F$9*BF17/(BF17-$F$10)),$F$8)</f>
        <v>3.2710323372184733E-3</v>
      </c>
      <c r="BG27" s="304">
        <f>IF(BG17&gt;MAIN!$C$13,MAX($F$9,$F$9*BG17/(BG17-$F$10)),$F$8)</f>
        <v>3.1839237619999674E-3</v>
      </c>
      <c r="BH27" s="304">
        <f>IF(BH17&gt;MAIN!$C$13,MAX($F$9,$F$9*BH17/(BH17-$F$10)),$F$8)</f>
        <v>3.1062520511979004E-3</v>
      </c>
      <c r="BI27" s="304">
        <f>IF(BI17&gt;MAIN!$C$13,MAX($F$9,$F$9*BI17/(BI17-$F$10)),$F$8)</f>
        <v>3.0365624953671449E-3</v>
      </c>
      <c r="BJ27" s="304">
        <f>IF(BJ17&gt;MAIN!$C$13,MAX($F$9,$F$9*BJ17/(BJ17-$F$10)),$F$8)</f>
        <v>2.9736847671286968E-3</v>
      </c>
      <c r="BK27" s="304">
        <f>IF(BK17&gt;MAIN!$C$13,MAX($F$9,$F$9*BK17/(BK17-$F$10)),$F$8)</f>
        <v>2.9166666666666668E-3</v>
      </c>
      <c r="BL27" s="304">
        <f>IF(BL17&gt;MAIN!$C$13,MAX($F$9,$F$9*BL17/(BL17-$F$10)),$F$8)</f>
        <v>2.40625E-3</v>
      </c>
      <c r="BM27" s="304">
        <f>IF(BM17&gt;MAIN!$C$13,MAX($F$9,$F$9*BM17/(BM17-$F$10)),$F$8)</f>
        <v>2.2065217391304347E-3</v>
      </c>
      <c r="BN27" s="304">
        <f>IF(BN17&gt;MAIN!$C$13,MAX($F$9,$F$9*BN17/(BN17-$F$10)),$F$8)</f>
        <v>2.0999999999999999E-3</v>
      </c>
      <c r="BO27" s="3">
        <f>$F$9</f>
        <v>1.75E-3</v>
      </c>
      <c r="BP27" s="41"/>
      <c r="BQ27" s="228"/>
      <c r="BR27" s="228"/>
    </row>
    <row r="28" spans="1:70" ht="16.5">
      <c r="A28" s="41"/>
      <c r="B28" s="292" t="s">
        <v>118</v>
      </c>
      <c r="C28" s="300" t="s">
        <v>56</v>
      </c>
      <c r="D28" s="8">
        <f>D27*(D17-$C14)/D17</f>
        <v>7.1085574657633551E-4</v>
      </c>
      <c r="E28" s="305">
        <f t="shared" ref="E28:BK28" si="3">E27*(E17-$C14)/E17</f>
        <v>1.1920559154480817E-3</v>
      </c>
      <c r="F28" s="305">
        <f t="shared" si="3"/>
        <v>1.5316480011200331E-3</v>
      </c>
      <c r="G28" s="305">
        <f t="shared" si="3"/>
        <v>1.7841230260711297E-3</v>
      </c>
      <c r="H28" s="305">
        <f t="shared" si="3"/>
        <v>1.9791927353087178E-3</v>
      </c>
      <c r="I28" s="305">
        <f t="shared" si="3"/>
        <v>2.1344369572135202E-3</v>
      </c>
      <c r="J28" s="305">
        <f t="shared" si="3"/>
        <v>2.2609221957248303E-3</v>
      </c>
      <c r="K28" s="305">
        <f t="shared" si="3"/>
        <v>2.3659623968847383E-3</v>
      </c>
      <c r="L28" s="305">
        <f t="shared" si="3"/>
        <v>2.4545852242499363E-3</v>
      </c>
      <c r="M28" s="305">
        <f t="shared" si="3"/>
        <v>2.5303606487968142E-3</v>
      </c>
      <c r="N28" s="305">
        <f t="shared" si="3"/>
        <v>2.5958935382881074E-3</v>
      </c>
      <c r="O28" s="305">
        <f t="shared" si="3"/>
        <v>2.6531291426779438E-3</v>
      </c>
      <c r="P28" s="305">
        <f t="shared" si="3"/>
        <v>2.7035494530629027E-3</v>
      </c>
      <c r="Q28" s="305">
        <f t="shared" si="3"/>
        <v>2.7483033581809689E-3</v>
      </c>
      <c r="R28" s="305">
        <f t="shared" si="3"/>
        <v>2.7882952532587327E-3</v>
      </c>
      <c r="S28" s="305">
        <f t="shared" si="3"/>
        <v>2.824246792571893E-3</v>
      </c>
      <c r="T28" s="305">
        <f t="shared" si="3"/>
        <v>2.8567408255332862E-3</v>
      </c>
      <c r="U28" s="305">
        <f t="shared" si="3"/>
        <v>2.8862532381850395E-3</v>
      </c>
      <c r="V28" s="305">
        <f t="shared" si="3"/>
        <v>2.913176413962929E-3</v>
      </c>
      <c r="W28" s="305">
        <f t="shared" si="3"/>
        <v>2.9378367790439696E-3</v>
      </c>
      <c r="X28" s="305">
        <f t="shared" si="3"/>
        <v>2.9605081022055354E-3</v>
      </c>
      <c r="Y28" s="305">
        <f t="shared" si="3"/>
        <v>2.9814217012413087E-3</v>
      </c>
      <c r="Z28" s="305">
        <f t="shared" si="3"/>
        <v>3.0007743640367954E-3</v>
      </c>
      <c r="AA28" s="305">
        <f t="shared" si="3"/>
        <v>3.018734559827989E-3</v>
      </c>
      <c r="AB28" s="305">
        <f t="shared" si="3"/>
        <v>3.0354473562781616E-3</v>
      </c>
      <c r="AC28" s="305">
        <f t="shared" si="3"/>
        <v>3.0510383464137469E-3</v>
      </c>
      <c r="AD28" s="305">
        <f t="shared" si="3"/>
        <v>3.065616810478935E-3</v>
      </c>
      <c r="AE28" s="305">
        <f t="shared" si="3"/>
        <v>3.0792782811430914E-3</v>
      </c>
      <c r="AF28" s="305">
        <f t="shared" si="3"/>
        <v>3.0921066394088963E-3</v>
      </c>
      <c r="AG28" s="305">
        <f t="shared" si="3"/>
        <v>3.1041758384242274E-3</v>
      </c>
      <c r="AH28" s="305">
        <f t="shared" si="3"/>
        <v>3.1155513300528417E-3</v>
      </c>
      <c r="AI28" s="305">
        <f t="shared" si="3"/>
        <v>3.126291252329791E-3</v>
      </c>
      <c r="AJ28" s="305">
        <f t="shared" si="3"/>
        <v>3.1364474232901049E-3</v>
      </c>
      <c r="AK28" s="305">
        <f t="shared" si="3"/>
        <v>3.1460661770311379E-3</v>
      </c>
      <c r="AL28" s="305">
        <f t="shared" si="3"/>
        <v>3.1551890704743348E-3</v>
      </c>
      <c r="AM28" s="305">
        <f t="shared" si="3"/>
        <v>3.1638534835698963E-3</v>
      </c>
      <c r="AN28" s="305">
        <f t="shared" si="3"/>
        <v>3.172093131227881E-3</v>
      </c>
      <c r="AO28" s="305">
        <f t="shared" si="3"/>
        <v>3.1799385017597364E-3</v>
      </c>
      <c r="AP28" s="305">
        <f t="shared" si="3"/>
        <v>3.1874172338506404E-3</v>
      </c>
      <c r="AQ28" s="305">
        <f t="shared" si="3"/>
        <v>3.1945544418873488E-3</v>
      </c>
      <c r="AR28" s="58">
        <f t="shared" si="3"/>
        <v>3.2013729977116703E-3</v>
      </c>
      <c r="AS28" s="305">
        <f t="shared" si="3"/>
        <v>3.2181791611866138E-3</v>
      </c>
      <c r="AT28" s="305">
        <f t="shared" si="3"/>
        <v>3.2331944721995911E-3</v>
      </c>
      <c r="AU28" s="305">
        <f t="shared" si="3"/>
        <v>3.246690698930224E-3</v>
      </c>
      <c r="AV28" s="305">
        <f t="shared" si="3"/>
        <v>3.2588872681808714E-3</v>
      </c>
      <c r="AW28" s="305">
        <f t="shared" si="3"/>
        <v>3.2699632874315784E-3</v>
      </c>
      <c r="AX28" s="305">
        <f t="shared" si="3"/>
        <v>3.2800663988747673E-3</v>
      </c>
      <c r="AY28" s="305">
        <f t="shared" si="3"/>
        <v>3.289319398419577E-3</v>
      </c>
      <c r="AZ28" s="305">
        <f t="shared" si="3"/>
        <v>3.2978252513133528E-3</v>
      </c>
      <c r="BA28" s="305">
        <f t="shared" si="3"/>
        <v>3.3056709399317025E-3</v>
      </c>
      <c r="BB28" s="305">
        <f t="shared" si="3"/>
        <v>3.3129304491221262E-3</v>
      </c>
      <c r="BC28" s="305">
        <f t="shared" si="3"/>
        <v>3.3196671065072159E-3</v>
      </c>
      <c r="BD28" s="305">
        <f t="shared" si="3"/>
        <v>3.3082517008159924E-3</v>
      </c>
      <c r="BE28" s="305">
        <f t="shared" si="3"/>
        <v>3.2074679505122326E-3</v>
      </c>
      <c r="BF28" s="305">
        <f t="shared" si="3"/>
        <v>3.1189291034966261E-3</v>
      </c>
      <c r="BG28" s="305">
        <f t="shared" si="3"/>
        <v>3.0405313857999705E-3</v>
      </c>
      <c r="BH28" s="305">
        <f t="shared" si="3"/>
        <v>2.9706268460781109E-3</v>
      </c>
      <c r="BI28" s="305">
        <f t="shared" si="3"/>
        <v>2.9079062458304307E-3</v>
      </c>
      <c r="BJ28" s="305">
        <f t="shared" si="3"/>
        <v>2.8513162904158272E-3</v>
      </c>
      <c r="BK28" s="305">
        <f t="shared" si="3"/>
        <v>2.8E-3</v>
      </c>
      <c r="BL28" s="305">
        <f>BL27*(BL17-$C14)/BL17</f>
        <v>2.3406249999999998E-3</v>
      </c>
      <c r="BM28" s="305">
        <f>BM27*(BM17-$C14)/BM17</f>
        <v>2.1608695652173913E-3</v>
      </c>
      <c r="BN28" s="305">
        <f>BN27*(BN17-$C14)/BN17</f>
        <v>2.065E-3</v>
      </c>
      <c r="BO28" s="8">
        <f>BO27</f>
        <v>1.75E-3</v>
      </c>
      <c r="BP28" s="41"/>
      <c r="BQ28" s="41"/>
      <c r="BR28" s="228"/>
    </row>
    <row r="29" spans="1:70" ht="16.5">
      <c r="A29" s="41"/>
      <c r="B29" s="9">
        <v>2</v>
      </c>
      <c r="C29" s="300" t="s">
        <v>57</v>
      </c>
      <c r="D29" s="8">
        <f>IF($D19=0,0,D27*(D17-$D19)/D17)</f>
        <v>-1.6024009773965651E-2</v>
      </c>
      <c r="E29" s="305">
        <f t="shared" ref="E29:BK29" si="4">IF($D19=0,0,E27*(E17-$D19)/E17)</f>
        <v>-1.2655608591863429E-2</v>
      </c>
      <c r="F29" s="305">
        <f t="shared" si="4"/>
        <v>-1.0278463992159769E-2</v>
      </c>
      <c r="G29" s="305">
        <f t="shared" si="4"/>
        <v>-8.5111388175020935E-3</v>
      </c>
      <c r="H29" s="305">
        <f t="shared" si="4"/>
        <v>-7.1456508528389773E-3</v>
      </c>
      <c r="I29" s="305">
        <f t="shared" si="4"/>
        <v>-6.0589412995053606E-3</v>
      </c>
      <c r="J29" s="305">
        <f t="shared" si="4"/>
        <v>-5.1735446299261897E-3</v>
      </c>
      <c r="K29" s="305">
        <f t="shared" si="4"/>
        <v>-4.438263221806832E-3</v>
      </c>
      <c r="L29" s="305">
        <f t="shared" si="4"/>
        <v>-3.8179034302504456E-3</v>
      </c>
      <c r="M29" s="305">
        <f t="shared" si="4"/>
        <v>-3.2874754584223021E-3</v>
      </c>
      <c r="N29" s="305">
        <f t="shared" si="4"/>
        <v>-2.8287452319832483E-3</v>
      </c>
      <c r="O29" s="305">
        <f t="shared" si="4"/>
        <v>-2.428096001254394E-3</v>
      </c>
      <c r="P29" s="305">
        <f t="shared" si="4"/>
        <v>-2.075153828559682E-3</v>
      </c>
      <c r="Q29" s="305">
        <f t="shared" si="4"/>
        <v>-1.7618764927332181E-3</v>
      </c>
      <c r="R29" s="305">
        <f t="shared" si="4"/>
        <v>-1.4819332271888707E-3</v>
      </c>
      <c r="S29" s="305">
        <f t="shared" si="4"/>
        <v>-1.2302724519967505E-3</v>
      </c>
      <c r="T29" s="305">
        <f t="shared" si="4"/>
        <v>-1.0028142212669961E-3</v>
      </c>
      <c r="U29" s="305">
        <f t="shared" si="4"/>
        <v>-7.9622733270472601E-4</v>
      </c>
      <c r="V29" s="305">
        <f t="shared" si="4"/>
        <v>-6.0776510225949907E-4</v>
      </c>
      <c r="W29" s="305">
        <f t="shared" si="4"/>
        <v>-4.3514254669221083E-4</v>
      </c>
      <c r="X29" s="305">
        <f t="shared" si="4"/>
        <v>-2.7644328456125154E-4</v>
      </c>
      <c r="Y29" s="305">
        <f t="shared" si="4"/>
        <v>-1.3004809131083881E-4</v>
      </c>
      <c r="Z29" s="305">
        <f t="shared" si="4"/>
        <v>5.4205482575670005E-6</v>
      </c>
      <c r="AA29" s="305">
        <f t="shared" si="4"/>
        <v>1.3114191879592417E-4</v>
      </c>
      <c r="AB29" s="305">
        <f t="shared" si="4"/>
        <v>2.4813149394713158E-4</v>
      </c>
      <c r="AC29" s="305">
        <f t="shared" si="4"/>
        <v>3.5726842489622822E-4</v>
      </c>
      <c r="AD29" s="305">
        <f t="shared" si="4"/>
        <v>4.5931767335254521E-4</v>
      </c>
      <c r="AE29" s="305">
        <f t="shared" si="4"/>
        <v>5.5494796800163824E-4</v>
      </c>
      <c r="AF29" s="305">
        <f t="shared" si="4"/>
        <v>6.4474647586227577E-4</v>
      </c>
      <c r="AG29" s="305">
        <f t="shared" si="4"/>
        <v>7.2923086896959039E-4</v>
      </c>
      <c r="AH29" s="305">
        <f t="shared" si="4"/>
        <v>8.0885931036988993E-4</v>
      </c>
      <c r="AI29" s="305">
        <f t="shared" si="4"/>
        <v>8.8403876630853417E-4</v>
      </c>
      <c r="AJ29" s="305">
        <f t="shared" si="4"/>
        <v>9.5513196303073579E-4</v>
      </c>
      <c r="AK29" s="305">
        <f t="shared" si="4"/>
        <v>1.0224632392179646E-3</v>
      </c>
      <c r="AL29" s="305">
        <f t="shared" si="4"/>
        <v>1.0863234933203411E-3</v>
      </c>
      <c r="AM29" s="305">
        <f t="shared" si="4"/>
        <v>1.1469743849892725E-3</v>
      </c>
      <c r="AN29" s="305">
        <f t="shared" si="4"/>
        <v>1.2046519185951669E-3</v>
      </c>
      <c r="AO29" s="305">
        <f t="shared" si="4"/>
        <v>1.2595695123181533E-3</v>
      </c>
      <c r="AP29" s="305">
        <f t="shared" si="4"/>
        <v>1.3119206369544834E-3</v>
      </c>
      <c r="AQ29" s="305">
        <f t="shared" si="4"/>
        <v>1.36188109321144E-3</v>
      </c>
      <c r="AR29" s="58">
        <f t="shared" si="4"/>
        <v>1.4096109839816932E-3</v>
      </c>
      <c r="AS29" s="305">
        <f t="shared" si="4"/>
        <v>1.5272541283062986E-3</v>
      </c>
      <c r="AT29" s="305">
        <f t="shared" si="4"/>
        <v>1.6323613053971378E-3</v>
      </c>
      <c r="AU29" s="305">
        <f t="shared" si="4"/>
        <v>1.7268348925115664E-3</v>
      </c>
      <c r="AV29" s="305">
        <f t="shared" si="4"/>
        <v>1.8122108772660973E-3</v>
      </c>
      <c r="AW29" s="305">
        <f t="shared" si="4"/>
        <v>1.8897430120210471E-3</v>
      </c>
      <c r="AX29" s="305">
        <f t="shared" si="4"/>
        <v>1.9604647921233707E-3</v>
      </c>
      <c r="AY29" s="305">
        <f t="shared" si="4"/>
        <v>2.0252357889370383E-3</v>
      </c>
      <c r="AZ29" s="305">
        <f t="shared" si="4"/>
        <v>2.0847767591934681E-3</v>
      </c>
      <c r="BA29" s="305">
        <f t="shared" si="4"/>
        <v>2.139696579521917E-3</v>
      </c>
      <c r="BB29" s="305">
        <f t="shared" si="4"/>
        <v>2.1905131438548844E-3</v>
      </c>
      <c r="BC29" s="305">
        <f t="shared" si="4"/>
        <v>2.2376697455505109E-3</v>
      </c>
      <c r="BD29" s="305">
        <f t="shared" si="4"/>
        <v>2.2694172336053305E-3</v>
      </c>
      <c r="BE29" s="305">
        <f t="shared" si="4"/>
        <v>2.2358226501707442E-3</v>
      </c>
      <c r="BF29" s="305">
        <f t="shared" si="4"/>
        <v>2.2063097011655419E-3</v>
      </c>
      <c r="BG29" s="305">
        <f t="shared" si="4"/>
        <v>2.1801771285999902E-3</v>
      </c>
      <c r="BH29" s="305">
        <f t="shared" si="4"/>
        <v>2.1568756153593702E-3</v>
      </c>
      <c r="BI29" s="305">
        <f t="shared" si="4"/>
        <v>2.1359687486101437E-3</v>
      </c>
      <c r="BJ29" s="305">
        <f t="shared" si="4"/>
        <v>2.1171054301386094E-3</v>
      </c>
      <c r="BK29" s="305">
        <f t="shared" si="4"/>
        <v>2.1000000000000003E-3</v>
      </c>
      <c r="BL29" s="305">
        <f>IF($D19=0,0,BL27*(BL17-$D19)/BL17)</f>
        <v>1.946875E-3</v>
      </c>
      <c r="BM29" s="305">
        <f>IF($D19=0,0,BM27*(BM17-$D19)/BM17)</f>
        <v>1.8869565217391304E-3</v>
      </c>
      <c r="BN29" s="305">
        <f>IF($D19=0,0,BN27*(BN17-$D19)/BN17)</f>
        <v>1.8549999999999999E-3</v>
      </c>
      <c r="BO29" s="8">
        <f>IF(D29=0,0,BO28)</f>
        <v>1.75E-3</v>
      </c>
      <c r="BP29" s="41"/>
      <c r="BQ29" s="41"/>
      <c r="BR29" s="228"/>
    </row>
    <row r="30" spans="1:70" ht="16.5">
      <c r="A30" s="41"/>
      <c r="B30" s="9">
        <f t="shared" ref="B30:B36" si="5">1+B29</f>
        <v>3</v>
      </c>
      <c r="C30" s="300" t="s">
        <v>57</v>
      </c>
      <c r="D30" s="8">
        <f>IF($D20=0,0,D27*(D17-$D20)/D17)</f>
        <v>-3.275887529450764E-2</v>
      </c>
      <c r="E30" s="305">
        <f t="shared" ref="E30:BK30" si="6">IF($D20=0,0,E27*(E17-$D20)/E17)</f>
        <v>-2.650327309917494E-2</v>
      </c>
      <c r="F30" s="305">
        <f t="shared" si="6"/>
        <v>-2.2088575985439573E-2</v>
      </c>
      <c r="G30" s="305">
        <f t="shared" si="6"/>
        <v>-1.8806400661075317E-2</v>
      </c>
      <c r="H30" s="305">
        <f t="shared" si="6"/>
        <v>-1.6270494440986674E-2</v>
      </c>
      <c r="I30" s="305">
        <f t="shared" si="6"/>
        <v>-1.4252319556224241E-2</v>
      </c>
      <c r="J30" s="305">
        <f t="shared" si="6"/>
        <v>-1.260801145557721E-2</v>
      </c>
      <c r="K30" s="305">
        <f t="shared" si="6"/>
        <v>-1.1242488840498402E-2</v>
      </c>
      <c r="L30" s="305">
        <f t="shared" si="6"/>
        <v>-1.009039208475083E-2</v>
      </c>
      <c r="M30" s="305">
        <f t="shared" si="6"/>
        <v>-9.1053115656414187E-3</v>
      </c>
      <c r="N30" s="305">
        <f t="shared" si="6"/>
        <v>-8.2533840022546053E-3</v>
      </c>
      <c r="O30" s="305">
        <f t="shared" si="6"/>
        <v>-7.5093211451867327E-3</v>
      </c>
      <c r="P30" s="305">
        <f t="shared" si="6"/>
        <v>-6.8538571101822675E-3</v>
      </c>
      <c r="Q30" s="305">
        <f t="shared" si="6"/>
        <v>-6.2720563436474046E-3</v>
      </c>
      <c r="R30" s="305">
        <f t="shared" si="6"/>
        <v>-5.752161707636475E-3</v>
      </c>
      <c r="S30" s="305">
        <f t="shared" si="6"/>
        <v>-5.2847916965653935E-3</v>
      </c>
      <c r="T30" s="305">
        <f t="shared" si="6"/>
        <v>-4.8623692680672785E-3</v>
      </c>
      <c r="U30" s="305">
        <f t="shared" si="6"/>
        <v>-4.4787079035944911E-3</v>
      </c>
      <c r="V30" s="305">
        <f t="shared" si="6"/>
        <v>-4.1287066184819265E-3</v>
      </c>
      <c r="W30" s="305">
        <f t="shared" si="6"/>
        <v>-3.8081218724283919E-3</v>
      </c>
      <c r="X30" s="305">
        <f t="shared" si="6"/>
        <v>-3.5133946713280387E-3</v>
      </c>
      <c r="Y30" s="305">
        <f t="shared" si="6"/>
        <v>-3.2415178838629865E-3</v>
      </c>
      <c r="Z30" s="305">
        <f t="shared" si="6"/>
        <v>-2.9899332675216612E-3</v>
      </c>
      <c r="AA30" s="305">
        <f t="shared" si="6"/>
        <v>-2.7564507222361413E-3</v>
      </c>
      <c r="AB30" s="305">
        <f t="shared" si="6"/>
        <v>-2.5391843683838988E-3</v>
      </c>
      <c r="AC30" s="305">
        <f t="shared" si="6"/>
        <v>-2.3365014966212905E-3</v>
      </c>
      <c r="AD30" s="305">
        <f t="shared" si="6"/>
        <v>-2.1469814637738445E-3</v>
      </c>
      <c r="AE30" s="305">
        <f t="shared" si="6"/>
        <v>-1.9693823451398147E-3</v>
      </c>
      <c r="AF30" s="305">
        <f t="shared" si="6"/>
        <v>-1.802613687684345E-3</v>
      </c>
      <c r="AG30" s="305">
        <f t="shared" si="6"/>
        <v>-1.6457141004850467E-3</v>
      </c>
      <c r="AH30" s="305">
        <f t="shared" si="6"/>
        <v>-1.4978327093130618E-3</v>
      </c>
      <c r="AI30" s="305">
        <f t="shared" si="6"/>
        <v>-1.3582137197127222E-3</v>
      </c>
      <c r="AJ30" s="305">
        <f t="shared" si="6"/>
        <v>-1.2261834972286335E-3</v>
      </c>
      <c r="AK30" s="305">
        <f t="shared" si="6"/>
        <v>-1.1011396985952087E-3</v>
      </c>
      <c r="AL30" s="305">
        <f t="shared" si="6"/>
        <v>-9.8254208383365214E-4</v>
      </c>
      <c r="AM30" s="305">
        <f t="shared" si="6"/>
        <v>-8.6990471359135128E-4</v>
      </c>
      <c r="AN30" s="305">
        <f t="shared" si="6"/>
        <v>-7.6278929403754761E-4</v>
      </c>
      <c r="AO30" s="305">
        <f t="shared" si="6"/>
        <v>-6.6079947712342952E-4</v>
      </c>
      <c r="AP30" s="305">
        <f t="shared" si="6"/>
        <v>-5.6357595994167397E-4</v>
      </c>
      <c r="AQ30" s="305">
        <f t="shared" si="6"/>
        <v>-4.7079225546446852E-4</v>
      </c>
      <c r="AR30" s="58">
        <f t="shared" si="6"/>
        <v>-3.8215102974828392E-4</v>
      </c>
      <c r="AS30" s="305">
        <f t="shared" si="6"/>
        <v>-1.6367090457401716E-4</v>
      </c>
      <c r="AT30" s="305">
        <f t="shared" si="6"/>
        <v>3.1528138594684598E-5</v>
      </c>
      <c r="AU30" s="305">
        <f t="shared" si="6"/>
        <v>2.0697908609290896E-4</v>
      </c>
      <c r="AV30" s="305">
        <f t="shared" si="6"/>
        <v>3.6553448635132373E-4</v>
      </c>
      <c r="AW30" s="305">
        <f t="shared" si="6"/>
        <v>5.0952273661051606E-4</v>
      </c>
      <c r="AX30" s="305">
        <f t="shared" si="6"/>
        <v>6.4086318537197383E-4</v>
      </c>
      <c r="AY30" s="305">
        <f t="shared" si="6"/>
        <v>7.6115217945449995E-4</v>
      </c>
      <c r="AZ30" s="305">
        <f t="shared" si="6"/>
        <v>8.7172826707358352E-4</v>
      </c>
      <c r="BA30" s="305">
        <f t="shared" si="6"/>
        <v>9.7372221911213187E-4</v>
      </c>
      <c r="BB30" s="305">
        <f t="shared" si="6"/>
        <v>1.0680958385876423E-3</v>
      </c>
      <c r="BC30" s="305">
        <f t="shared" si="6"/>
        <v>1.1556723845938058E-3</v>
      </c>
      <c r="BD30" s="305">
        <f t="shared" si="6"/>
        <v>1.2305827663946691E-3</v>
      </c>
      <c r="BE30" s="305">
        <f t="shared" si="6"/>
        <v>1.2641773498292561E-3</v>
      </c>
      <c r="BF30" s="305">
        <f t="shared" si="6"/>
        <v>1.2936902988344577E-3</v>
      </c>
      <c r="BG30" s="305">
        <f t="shared" si="6"/>
        <v>1.3198228714000099E-3</v>
      </c>
      <c r="BH30" s="305">
        <f t="shared" si="6"/>
        <v>1.3431243846406301E-3</v>
      </c>
      <c r="BI30" s="305">
        <f t="shared" si="6"/>
        <v>1.3640312513898563E-3</v>
      </c>
      <c r="BJ30" s="305">
        <f t="shared" si="6"/>
        <v>1.3828945698613911E-3</v>
      </c>
      <c r="BK30" s="305">
        <f t="shared" si="6"/>
        <v>1.4E-3</v>
      </c>
      <c r="BL30" s="305">
        <f>IF($D20=0,0,BL27*(BL17-$D20)/BL17)</f>
        <v>1.553125E-3</v>
      </c>
      <c r="BM30" s="305">
        <f>IF($D20=0,0,BM27*(BM17-$D20)/BM17)</f>
        <v>1.6130434782608695E-3</v>
      </c>
      <c r="BN30" s="305">
        <f>IF($D20=0,0,BN27*(BN17-$D20)/BN17)</f>
        <v>1.645E-3</v>
      </c>
      <c r="BO30" s="8">
        <f>IF(D30=0,0,BO28)</f>
        <v>1.75E-3</v>
      </c>
      <c r="BP30" s="41"/>
      <c r="BQ30" s="41"/>
      <c r="BR30" s="41"/>
    </row>
    <row r="31" spans="1:70" ht="16.5">
      <c r="A31" s="41"/>
      <c r="B31" s="9">
        <f t="shared" si="5"/>
        <v>4</v>
      </c>
      <c r="C31" s="300" t="s">
        <v>57</v>
      </c>
      <c r="D31" s="8">
        <f>IF($D21=0,0,D27*(D17-$D21)/D17)</f>
        <v>0</v>
      </c>
      <c r="E31" s="305">
        <f t="shared" ref="E31:BK31" si="7">IF($D21=0,0,E27*(E17-$D21)/E17)</f>
        <v>0</v>
      </c>
      <c r="F31" s="305">
        <f t="shared" si="7"/>
        <v>0</v>
      </c>
      <c r="G31" s="305">
        <f t="shared" si="7"/>
        <v>0</v>
      </c>
      <c r="H31" s="305">
        <f t="shared" si="7"/>
        <v>0</v>
      </c>
      <c r="I31" s="305">
        <f t="shared" si="7"/>
        <v>0</v>
      </c>
      <c r="J31" s="305">
        <f t="shared" si="7"/>
        <v>0</v>
      </c>
      <c r="K31" s="305">
        <f t="shared" si="7"/>
        <v>0</v>
      </c>
      <c r="L31" s="305">
        <f t="shared" si="7"/>
        <v>0</v>
      </c>
      <c r="M31" s="305">
        <f t="shared" si="7"/>
        <v>0</v>
      </c>
      <c r="N31" s="305">
        <f t="shared" si="7"/>
        <v>0</v>
      </c>
      <c r="O31" s="305">
        <f t="shared" si="7"/>
        <v>0</v>
      </c>
      <c r="P31" s="305">
        <f t="shared" si="7"/>
        <v>0</v>
      </c>
      <c r="Q31" s="305">
        <f t="shared" si="7"/>
        <v>0</v>
      </c>
      <c r="R31" s="305">
        <f t="shared" si="7"/>
        <v>0</v>
      </c>
      <c r="S31" s="305">
        <f t="shared" si="7"/>
        <v>0</v>
      </c>
      <c r="T31" s="305">
        <f t="shared" si="7"/>
        <v>0</v>
      </c>
      <c r="U31" s="305">
        <f t="shared" si="7"/>
        <v>0</v>
      </c>
      <c r="V31" s="305">
        <f t="shared" si="7"/>
        <v>0</v>
      </c>
      <c r="W31" s="305">
        <f t="shared" si="7"/>
        <v>0</v>
      </c>
      <c r="X31" s="305">
        <f t="shared" si="7"/>
        <v>0</v>
      </c>
      <c r="Y31" s="305">
        <f t="shared" si="7"/>
        <v>0</v>
      </c>
      <c r="Z31" s="305">
        <f t="shared" si="7"/>
        <v>0</v>
      </c>
      <c r="AA31" s="305">
        <f t="shared" si="7"/>
        <v>0</v>
      </c>
      <c r="AB31" s="305">
        <f t="shared" si="7"/>
        <v>0</v>
      </c>
      <c r="AC31" s="305">
        <f t="shared" si="7"/>
        <v>0</v>
      </c>
      <c r="AD31" s="305">
        <f t="shared" si="7"/>
        <v>0</v>
      </c>
      <c r="AE31" s="305">
        <f t="shared" si="7"/>
        <v>0</v>
      </c>
      <c r="AF31" s="305">
        <f t="shared" si="7"/>
        <v>0</v>
      </c>
      <c r="AG31" s="305">
        <f t="shared" si="7"/>
        <v>0</v>
      </c>
      <c r="AH31" s="305">
        <f t="shared" si="7"/>
        <v>0</v>
      </c>
      <c r="AI31" s="305">
        <f t="shared" si="7"/>
        <v>0</v>
      </c>
      <c r="AJ31" s="305">
        <f t="shared" si="7"/>
        <v>0</v>
      </c>
      <c r="AK31" s="305">
        <f t="shared" si="7"/>
        <v>0</v>
      </c>
      <c r="AL31" s="305">
        <f t="shared" si="7"/>
        <v>0</v>
      </c>
      <c r="AM31" s="305">
        <f t="shared" si="7"/>
        <v>0</v>
      </c>
      <c r="AN31" s="305">
        <f t="shared" si="7"/>
        <v>0</v>
      </c>
      <c r="AO31" s="305">
        <f t="shared" si="7"/>
        <v>0</v>
      </c>
      <c r="AP31" s="305">
        <f t="shared" si="7"/>
        <v>0</v>
      </c>
      <c r="AQ31" s="305">
        <f t="shared" si="7"/>
        <v>0</v>
      </c>
      <c r="AR31" s="58">
        <f t="shared" si="7"/>
        <v>0</v>
      </c>
      <c r="AS31" s="305">
        <f t="shared" si="7"/>
        <v>0</v>
      </c>
      <c r="AT31" s="305">
        <f t="shared" si="7"/>
        <v>0</v>
      </c>
      <c r="AU31" s="305">
        <f t="shared" si="7"/>
        <v>0</v>
      </c>
      <c r="AV31" s="305">
        <f t="shared" si="7"/>
        <v>0</v>
      </c>
      <c r="AW31" s="305">
        <f t="shared" si="7"/>
        <v>0</v>
      </c>
      <c r="AX31" s="305">
        <f t="shared" si="7"/>
        <v>0</v>
      </c>
      <c r="AY31" s="305">
        <f t="shared" si="7"/>
        <v>0</v>
      </c>
      <c r="AZ31" s="305">
        <f t="shared" si="7"/>
        <v>0</v>
      </c>
      <c r="BA31" s="305">
        <f t="shared" si="7"/>
        <v>0</v>
      </c>
      <c r="BB31" s="305">
        <f t="shared" si="7"/>
        <v>0</v>
      </c>
      <c r="BC31" s="305">
        <f t="shared" si="7"/>
        <v>0</v>
      </c>
      <c r="BD31" s="305">
        <f t="shared" si="7"/>
        <v>0</v>
      </c>
      <c r="BE31" s="305">
        <f t="shared" si="7"/>
        <v>0</v>
      </c>
      <c r="BF31" s="305">
        <f t="shared" si="7"/>
        <v>0</v>
      </c>
      <c r="BG31" s="305">
        <f t="shared" si="7"/>
        <v>0</v>
      </c>
      <c r="BH31" s="305">
        <f t="shared" si="7"/>
        <v>0</v>
      </c>
      <c r="BI31" s="305">
        <f t="shared" si="7"/>
        <v>0</v>
      </c>
      <c r="BJ31" s="305">
        <f t="shared" si="7"/>
        <v>0</v>
      </c>
      <c r="BK31" s="305">
        <f t="shared" si="7"/>
        <v>0</v>
      </c>
      <c r="BL31" s="305">
        <f>IF($D21=0,0,BL27*(BL17-$D21)/BL17)</f>
        <v>0</v>
      </c>
      <c r="BM31" s="305">
        <f>IF($D21=0,0,BM27*(BM17-$D21)/BM17)</f>
        <v>0</v>
      </c>
      <c r="BN31" s="305">
        <f>IF($D21=0,0,BN27*(BN17-$D21)/BN17)</f>
        <v>0</v>
      </c>
      <c r="BO31" s="8">
        <f>IF(D31=0,0,BO28)</f>
        <v>0</v>
      </c>
      <c r="BP31" s="41"/>
      <c r="BQ31" s="41"/>
      <c r="BR31" s="41"/>
    </row>
    <row r="32" spans="1:70" ht="16.5">
      <c r="A32" s="41"/>
      <c r="B32" s="9">
        <f t="shared" si="5"/>
        <v>5</v>
      </c>
      <c r="C32" s="300" t="s">
        <v>57</v>
      </c>
      <c r="D32" s="8">
        <f>IF($D22=0,0,D27*(D17-$D22)/D17)</f>
        <v>0</v>
      </c>
      <c r="E32" s="305">
        <f t="shared" ref="E32:BK32" si="8">IF($D22=0,0,E27*(E17-$D22)/E17)</f>
        <v>0</v>
      </c>
      <c r="F32" s="305">
        <f t="shared" si="8"/>
        <v>0</v>
      </c>
      <c r="G32" s="305">
        <f t="shared" si="8"/>
        <v>0</v>
      </c>
      <c r="H32" s="305">
        <f t="shared" si="8"/>
        <v>0</v>
      </c>
      <c r="I32" s="305">
        <f t="shared" si="8"/>
        <v>0</v>
      </c>
      <c r="J32" s="305">
        <f t="shared" si="8"/>
        <v>0</v>
      </c>
      <c r="K32" s="305">
        <f t="shared" si="8"/>
        <v>0</v>
      </c>
      <c r="L32" s="305">
        <f t="shared" si="8"/>
        <v>0</v>
      </c>
      <c r="M32" s="305">
        <f t="shared" si="8"/>
        <v>0</v>
      </c>
      <c r="N32" s="305">
        <f t="shared" si="8"/>
        <v>0</v>
      </c>
      <c r="O32" s="305">
        <f t="shared" si="8"/>
        <v>0</v>
      </c>
      <c r="P32" s="305">
        <f t="shared" si="8"/>
        <v>0</v>
      </c>
      <c r="Q32" s="305">
        <f t="shared" si="8"/>
        <v>0</v>
      </c>
      <c r="R32" s="305">
        <f t="shared" si="8"/>
        <v>0</v>
      </c>
      <c r="S32" s="305">
        <f t="shared" si="8"/>
        <v>0</v>
      </c>
      <c r="T32" s="305">
        <f t="shared" si="8"/>
        <v>0</v>
      </c>
      <c r="U32" s="305">
        <f t="shared" si="8"/>
        <v>0</v>
      </c>
      <c r="V32" s="305">
        <f t="shared" si="8"/>
        <v>0</v>
      </c>
      <c r="W32" s="305">
        <f t="shared" si="8"/>
        <v>0</v>
      </c>
      <c r="X32" s="305">
        <f t="shared" si="8"/>
        <v>0</v>
      </c>
      <c r="Y32" s="305">
        <f t="shared" si="8"/>
        <v>0</v>
      </c>
      <c r="Z32" s="305">
        <f t="shared" si="8"/>
        <v>0</v>
      </c>
      <c r="AA32" s="305">
        <f t="shared" si="8"/>
        <v>0</v>
      </c>
      <c r="AB32" s="305">
        <f t="shared" si="8"/>
        <v>0</v>
      </c>
      <c r="AC32" s="305">
        <f t="shared" si="8"/>
        <v>0</v>
      </c>
      <c r="AD32" s="305">
        <f t="shared" si="8"/>
        <v>0</v>
      </c>
      <c r="AE32" s="305">
        <f t="shared" si="8"/>
        <v>0</v>
      </c>
      <c r="AF32" s="305">
        <f t="shared" si="8"/>
        <v>0</v>
      </c>
      <c r="AG32" s="305">
        <f t="shared" si="8"/>
        <v>0</v>
      </c>
      <c r="AH32" s="305">
        <f t="shared" si="8"/>
        <v>0</v>
      </c>
      <c r="AI32" s="305">
        <f t="shared" si="8"/>
        <v>0</v>
      </c>
      <c r="AJ32" s="305">
        <f t="shared" si="8"/>
        <v>0</v>
      </c>
      <c r="AK32" s="305">
        <f t="shared" si="8"/>
        <v>0</v>
      </c>
      <c r="AL32" s="305">
        <f t="shared" si="8"/>
        <v>0</v>
      </c>
      <c r="AM32" s="305">
        <f t="shared" si="8"/>
        <v>0</v>
      </c>
      <c r="AN32" s="305">
        <f t="shared" si="8"/>
        <v>0</v>
      </c>
      <c r="AO32" s="305">
        <f t="shared" si="8"/>
        <v>0</v>
      </c>
      <c r="AP32" s="305">
        <f t="shared" si="8"/>
        <v>0</v>
      </c>
      <c r="AQ32" s="305">
        <f t="shared" si="8"/>
        <v>0</v>
      </c>
      <c r="AR32" s="58">
        <f t="shared" si="8"/>
        <v>0</v>
      </c>
      <c r="AS32" s="305">
        <f t="shared" si="8"/>
        <v>0</v>
      </c>
      <c r="AT32" s="305">
        <f t="shared" si="8"/>
        <v>0</v>
      </c>
      <c r="AU32" s="305">
        <f t="shared" si="8"/>
        <v>0</v>
      </c>
      <c r="AV32" s="305">
        <f t="shared" si="8"/>
        <v>0</v>
      </c>
      <c r="AW32" s="305">
        <f t="shared" si="8"/>
        <v>0</v>
      </c>
      <c r="AX32" s="305">
        <f t="shared" si="8"/>
        <v>0</v>
      </c>
      <c r="AY32" s="305">
        <f t="shared" si="8"/>
        <v>0</v>
      </c>
      <c r="AZ32" s="305">
        <f t="shared" si="8"/>
        <v>0</v>
      </c>
      <c r="BA32" s="305">
        <f t="shared" si="8"/>
        <v>0</v>
      </c>
      <c r="BB32" s="305">
        <f t="shared" si="8"/>
        <v>0</v>
      </c>
      <c r="BC32" s="305">
        <f t="shared" si="8"/>
        <v>0</v>
      </c>
      <c r="BD32" s="305">
        <f t="shared" si="8"/>
        <v>0</v>
      </c>
      <c r="BE32" s="305">
        <f t="shared" si="8"/>
        <v>0</v>
      </c>
      <c r="BF32" s="305">
        <f t="shared" si="8"/>
        <v>0</v>
      </c>
      <c r="BG32" s="305">
        <f t="shared" si="8"/>
        <v>0</v>
      </c>
      <c r="BH32" s="305">
        <f t="shared" si="8"/>
        <v>0</v>
      </c>
      <c r="BI32" s="305">
        <f t="shared" si="8"/>
        <v>0</v>
      </c>
      <c r="BJ32" s="305">
        <f t="shared" si="8"/>
        <v>0</v>
      </c>
      <c r="BK32" s="305">
        <f t="shared" si="8"/>
        <v>0</v>
      </c>
      <c r="BL32" s="305">
        <f>IF($D22=0,0,BL27*(BL17-$D22)/BL17)</f>
        <v>0</v>
      </c>
      <c r="BM32" s="305">
        <f>IF($D22=0,0,BM27*(BM17-$D22)/BM17)</f>
        <v>0</v>
      </c>
      <c r="BN32" s="305">
        <f>IF($D22=0,0,BN27*(BN17-$D22)/BN17)</f>
        <v>0</v>
      </c>
      <c r="BO32" s="8">
        <f>IF(D32=0,0,BO28)</f>
        <v>0</v>
      </c>
      <c r="BP32" s="41"/>
      <c r="BQ32" s="41"/>
      <c r="BR32" s="41"/>
    </row>
    <row r="33" spans="1:70" ht="16.5">
      <c r="A33" s="41"/>
      <c r="B33" s="9">
        <f t="shared" si="5"/>
        <v>6</v>
      </c>
      <c r="C33" s="300" t="s">
        <v>57</v>
      </c>
      <c r="D33" s="8">
        <f>IF($D23=0,0,D27*(D17-$D23)/D17)</f>
        <v>0</v>
      </c>
      <c r="E33" s="305">
        <f t="shared" ref="E33:BK33" si="9">IF($D23=0,0,E27*(E17-$D23)/E17)</f>
        <v>0</v>
      </c>
      <c r="F33" s="306">
        <f t="shared" si="9"/>
        <v>0</v>
      </c>
      <c r="G33" s="306">
        <f t="shared" si="9"/>
        <v>0</v>
      </c>
      <c r="H33" s="306">
        <f t="shared" si="9"/>
        <v>0</v>
      </c>
      <c r="I33" s="305">
        <f t="shared" si="9"/>
        <v>0</v>
      </c>
      <c r="J33" s="305">
        <f t="shared" si="9"/>
        <v>0</v>
      </c>
      <c r="K33" s="305">
        <f t="shared" si="9"/>
        <v>0</v>
      </c>
      <c r="L33" s="305">
        <f t="shared" si="9"/>
        <v>0</v>
      </c>
      <c r="M33" s="305">
        <f t="shared" si="9"/>
        <v>0</v>
      </c>
      <c r="N33" s="305">
        <f t="shared" si="9"/>
        <v>0</v>
      </c>
      <c r="O33" s="305">
        <f t="shared" si="9"/>
        <v>0</v>
      </c>
      <c r="P33" s="305">
        <f t="shared" si="9"/>
        <v>0</v>
      </c>
      <c r="Q33" s="305">
        <f t="shared" si="9"/>
        <v>0</v>
      </c>
      <c r="R33" s="305">
        <f t="shared" si="9"/>
        <v>0</v>
      </c>
      <c r="S33" s="305">
        <f t="shared" si="9"/>
        <v>0</v>
      </c>
      <c r="T33" s="305">
        <f t="shared" si="9"/>
        <v>0</v>
      </c>
      <c r="U33" s="305">
        <f t="shared" si="9"/>
        <v>0</v>
      </c>
      <c r="V33" s="305">
        <f t="shared" si="9"/>
        <v>0</v>
      </c>
      <c r="W33" s="305">
        <f t="shared" si="9"/>
        <v>0</v>
      </c>
      <c r="X33" s="305">
        <f t="shared" si="9"/>
        <v>0</v>
      </c>
      <c r="Y33" s="305">
        <f t="shared" si="9"/>
        <v>0</v>
      </c>
      <c r="Z33" s="305">
        <f t="shared" si="9"/>
        <v>0</v>
      </c>
      <c r="AA33" s="305">
        <f t="shared" si="9"/>
        <v>0</v>
      </c>
      <c r="AB33" s="305">
        <f t="shared" si="9"/>
        <v>0</v>
      </c>
      <c r="AC33" s="305">
        <f t="shared" si="9"/>
        <v>0</v>
      </c>
      <c r="AD33" s="305">
        <f t="shared" si="9"/>
        <v>0</v>
      </c>
      <c r="AE33" s="305">
        <f t="shared" si="9"/>
        <v>0</v>
      </c>
      <c r="AF33" s="305">
        <f t="shared" si="9"/>
        <v>0</v>
      </c>
      <c r="AG33" s="305">
        <f t="shared" si="9"/>
        <v>0</v>
      </c>
      <c r="AH33" s="305">
        <f t="shared" si="9"/>
        <v>0</v>
      </c>
      <c r="AI33" s="305">
        <f t="shared" si="9"/>
        <v>0</v>
      </c>
      <c r="AJ33" s="305">
        <f t="shared" si="9"/>
        <v>0</v>
      </c>
      <c r="AK33" s="305">
        <f t="shared" si="9"/>
        <v>0</v>
      </c>
      <c r="AL33" s="305">
        <f t="shared" si="9"/>
        <v>0</v>
      </c>
      <c r="AM33" s="305">
        <f t="shared" si="9"/>
        <v>0</v>
      </c>
      <c r="AN33" s="305">
        <f t="shared" si="9"/>
        <v>0</v>
      </c>
      <c r="AO33" s="305">
        <f t="shared" si="9"/>
        <v>0</v>
      </c>
      <c r="AP33" s="305">
        <f t="shared" si="9"/>
        <v>0</v>
      </c>
      <c r="AQ33" s="305">
        <f t="shared" si="9"/>
        <v>0</v>
      </c>
      <c r="AR33" s="58">
        <f t="shared" si="9"/>
        <v>0</v>
      </c>
      <c r="AS33" s="305">
        <f t="shared" si="9"/>
        <v>0</v>
      </c>
      <c r="AT33" s="305">
        <f t="shared" si="9"/>
        <v>0</v>
      </c>
      <c r="AU33" s="305">
        <f t="shared" si="9"/>
        <v>0</v>
      </c>
      <c r="AV33" s="305">
        <f t="shared" si="9"/>
        <v>0</v>
      </c>
      <c r="AW33" s="305">
        <f t="shared" si="9"/>
        <v>0</v>
      </c>
      <c r="AX33" s="305">
        <f t="shared" si="9"/>
        <v>0</v>
      </c>
      <c r="AY33" s="305">
        <f t="shared" si="9"/>
        <v>0</v>
      </c>
      <c r="AZ33" s="305">
        <f t="shared" si="9"/>
        <v>0</v>
      </c>
      <c r="BA33" s="305">
        <f t="shared" si="9"/>
        <v>0</v>
      </c>
      <c r="BB33" s="305">
        <f t="shared" si="9"/>
        <v>0</v>
      </c>
      <c r="BC33" s="305">
        <f t="shared" si="9"/>
        <v>0</v>
      </c>
      <c r="BD33" s="305">
        <f t="shared" si="9"/>
        <v>0</v>
      </c>
      <c r="BE33" s="305">
        <f t="shared" si="9"/>
        <v>0</v>
      </c>
      <c r="BF33" s="305">
        <f t="shared" si="9"/>
        <v>0</v>
      </c>
      <c r="BG33" s="305">
        <f t="shared" si="9"/>
        <v>0</v>
      </c>
      <c r="BH33" s="305">
        <f t="shared" si="9"/>
        <v>0</v>
      </c>
      <c r="BI33" s="305">
        <f t="shared" si="9"/>
        <v>0</v>
      </c>
      <c r="BJ33" s="305">
        <f t="shared" si="9"/>
        <v>0</v>
      </c>
      <c r="BK33" s="305">
        <f t="shared" si="9"/>
        <v>0</v>
      </c>
      <c r="BL33" s="305">
        <f>IF($D23=0,0,BL27*(BL17-$D23)/BL17)</f>
        <v>0</v>
      </c>
      <c r="BM33" s="305">
        <f>IF($D23=0,0,BM27*(BM17-$D23)/BM17)</f>
        <v>0</v>
      </c>
      <c r="BN33" s="305">
        <f>IF($D23=0,0,BN27*(BN17-$D23)/BN17)</f>
        <v>0</v>
      </c>
      <c r="BO33" s="8">
        <f>IF(D33=0,0,BO28)</f>
        <v>0</v>
      </c>
      <c r="BP33" s="41"/>
      <c r="BQ33" s="41"/>
      <c r="BR33" s="41"/>
    </row>
    <row r="34" spans="1:70" ht="16.5">
      <c r="A34" s="41"/>
      <c r="B34" s="9">
        <f t="shared" si="5"/>
        <v>7</v>
      </c>
      <c r="C34" s="300" t="s">
        <v>57</v>
      </c>
      <c r="D34" s="8">
        <f>IF($D24=0,0,D27*(D17-$D24)/D17)</f>
        <v>0</v>
      </c>
      <c r="E34" s="305">
        <f t="shared" ref="E34:BK34" si="10">IF($D24=0,0,E27*(E17-$D24)/E17)</f>
        <v>0</v>
      </c>
      <c r="F34" s="306">
        <f t="shared" si="10"/>
        <v>0</v>
      </c>
      <c r="G34" s="306">
        <f t="shared" si="10"/>
        <v>0</v>
      </c>
      <c r="H34" s="306">
        <f t="shared" si="10"/>
        <v>0</v>
      </c>
      <c r="I34" s="305">
        <f t="shared" si="10"/>
        <v>0</v>
      </c>
      <c r="J34" s="305">
        <f t="shared" si="10"/>
        <v>0</v>
      </c>
      <c r="K34" s="305">
        <f t="shared" si="10"/>
        <v>0</v>
      </c>
      <c r="L34" s="305">
        <f t="shared" si="10"/>
        <v>0</v>
      </c>
      <c r="M34" s="305">
        <f t="shared" si="10"/>
        <v>0</v>
      </c>
      <c r="N34" s="305">
        <f t="shared" si="10"/>
        <v>0</v>
      </c>
      <c r="O34" s="305">
        <f t="shared" si="10"/>
        <v>0</v>
      </c>
      <c r="P34" s="305">
        <f t="shared" si="10"/>
        <v>0</v>
      </c>
      <c r="Q34" s="305">
        <f t="shared" si="10"/>
        <v>0</v>
      </c>
      <c r="R34" s="305">
        <f t="shared" si="10"/>
        <v>0</v>
      </c>
      <c r="S34" s="305">
        <f t="shared" si="10"/>
        <v>0</v>
      </c>
      <c r="T34" s="305">
        <f t="shared" si="10"/>
        <v>0</v>
      </c>
      <c r="U34" s="305">
        <f t="shared" si="10"/>
        <v>0</v>
      </c>
      <c r="V34" s="305">
        <f t="shared" si="10"/>
        <v>0</v>
      </c>
      <c r="W34" s="305">
        <f t="shared" si="10"/>
        <v>0</v>
      </c>
      <c r="X34" s="305">
        <f t="shared" si="10"/>
        <v>0</v>
      </c>
      <c r="Y34" s="305">
        <f t="shared" si="10"/>
        <v>0</v>
      </c>
      <c r="Z34" s="305">
        <f t="shared" si="10"/>
        <v>0</v>
      </c>
      <c r="AA34" s="305">
        <f t="shared" si="10"/>
        <v>0</v>
      </c>
      <c r="AB34" s="305">
        <f t="shared" si="10"/>
        <v>0</v>
      </c>
      <c r="AC34" s="305">
        <f t="shared" si="10"/>
        <v>0</v>
      </c>
      <c r="AD34" s="305">
        <f t="shared" si="10"/>
        <v>0</v>
      </c>
      <c r="AE34" s="305">
        <f t="shared" si="10"/>
        <v>0</v>
      </c>
      <c r="AF34" s="305">
        <f t="shared" si="10"/>
        <v>0</v>
      </c>
      <c r="AG34" s="305">
        <f t="shared" si="10"/>
        <v>0</v>
      </c>
      <c r="AH34" s="305">
        <f t="shared" si="10"/>
        <v>0</v>
      </c>
      <c r="AI34" s="305">
        <f t="shared" si="10"/>
        <v>0</v>
      </c>
      <c r="AJ34" s="305">
        <f t="shared" si="10"/>
        <v>0</v>
      </c>
      <c r="AK34" s="305">
        <f t="shared" si="10"/>
        <v>0</v>
      </c>
      <c r="AL34" s="305">
        <f t="shared" si="10"/>
        <v>0</v>
      </c>
      <c r="AM34" s="305">
        <f t="shared" si="10"/>
        <v>0</v>
      </c>
      <c r="AN34" s="305">
        <f t="shared" si="10"/>
        <v>0</v>
      </c>
      <c r="AO34" s="305">
        <f t="shared" si="10"/>
        <v>0</v>
      </c>
      <c r="AP34" s="305">
        <f t="shared" si="10"/>
        <v>0</v>
      </c>
      <c r="AQ34" s="305">
        <f t="shared" si="10"/>
        <v>0</v>
      </c>
      <c r="AR34" s="58">
        <f t="shared" si="10"/>
        <v>0</v>
      </c>
      <c r="AS34" s="305">
        <f t="shared" si="10"/>
        <v>0</v>
      </c>
      <c r="AT34" s="305">
        <f t="shared" si="10"/>
        <v>0</v>
      </c>
      <c r="AU34" s="305">
        <f t="shared" si="10"/>
        <v>0</v>
      </c>
      <c r="AV34" s="305">
        <f t="shared" si="10"/>
        <v>0</v>
      </c>
      <c r="AW34" s="305">
        <f t="shared" si="10"/>
        <v>0</v>
      </c>
      <c r="AX34" s="305">
        <f t="shared" si="10"/>
        <v>0</v>
      </c>
      <c r="AY34" s="305">
        <f t="shared" si="10"/>
        <v>0</v>
      </c>
      <c r="AZ34" s="305">
        <f t="shared" si="10"/>
        <v>0</v>
      </c>
      <c r="BA34" s="305">
        <f t="shared" si="10"/>
        <v>0</v>
      </c>
      <c r="BB34" s="305">
        <f t="shared" si="10"/>
        <v>0</v>
      </c>
      <c r="BC34" s="305">
        <f t="shared" si="10"/>
        <v>0</v>
      </c>
      <c r="BD34" s="305">
        <f t="shared" si="10"/>
        <v>0</v>
      </c>
      <c r="BE34" s="305">
        <f t="shared" si="10"/>
        <v>0</v>
      </c>
      <c r="BF34" s="305">
        <f t="shared" si="10"/>
        <v>0</v>
      </c>
      <c r="BG34" s="305">
        <f t="shared" si="10"/>
        <v>0</v>
      </c>
      <c r="BH34" s="305">
        <f t="shared" si="10"/>
        <v>0</v>
      </c>
      <c r="BI34" s="305">
        <f t="shared" si="10"/>
        <v>0</v>
      </c>
      <c r="BJ34" s="305">
        <f t="shared" si="10"/>
        <v>0</v>
      </c>
      <c r="BK34" s="305">
        <f t="shared" si="10"/>
        <v>0</v>
      </c>
      <c r="BL34" s="305">
        <f>IF($D24=0,0,BL27*(BL17-$D24)/BL17)</f>
        <v>0</v>
      </c>
      <c r="BM34" s="305">
        <f>IF($D24=0,0,BM27*(BM17-$D24)/BM17)</f>
        <v>0</v>
      </c>
      <c r="BN34" s="305">
        <f>IF($D24=0,0,BN27*(BN17-$D24)/BN17)</f>
        <v>0</v>
      </c>
      <c r="BO34" s="8">
        <f>IF(D34=0,0,BO28)</f>
        <v>0</v>
      </c>
      <c r="BP34" s="41"/>
      <c r="BQ34" s="41"/>
      <c r="BR34" s="41"/>
    </row>
    <row r="35" spans="1:70" ht="16.5">
      <c r="A35" s="41"/>
      <c r="B35" s="9">
        <f t="shared" si="5"/>
        <v>8</v>
      </c>
      <c r="C35" s="300" t="s">
        <v>57</v>
      </c>
      <c r="D35" s="8">
        <f>IF($D25=0,0,D27*(D17-$D25)/D17)</f>
        <v>0</v>
      </c>
      <c r="E35" s="305">
        <f t="shared" ref="E35:BK35" si="11">IF($D25=0,0,E27*(E17-$D25)/E17)</f>
        <v>0</v>
      </c>
      <c r="F35" s="306">
        <f t="shared" si="11"/>
        <v>0</v>
      </c>
      <c r="G35" s="306">
        <f t="shared" si="11"/>
        <v>0</v>
      </c>
      <c r="H35" s="306">
        <f t="shared" si="11"/>
        <v>0</v>
      </c>
      <c r="I35" s="305">
        <f t="shared" si="11"/>
        <v>0</v>
      </c>
      <c r="J35" s="305">
        <f t="shared" si="11"/>
        <v>0</v>
      </c>
      <c r="K35" s="305">
        <f t="shared" si="11"/>
        <v>0</v>
      </c>
      <c r="L35" s="305">
        <f t="shared" si="11"/>
        <v>0</v>
      </c>
      <c r="M35" s="305">
        <f t="shared" si="11"/>
        <v>0</v>
      </c>
      <c r="N35" s="305">
        <f t="shared" si="11"/>
        <v>0</v>
      </c>
      <c r="O35" s="305">
        <f t="shared" si="11"/>
        <v>0</v>
      </c>
      <c r="P35" s="305">
        <f t="shared" si="11"/>
        <v>0</v>
      </c>
      <c r="Q35" s="305">
        <f t="shared" si="11"/>
        <v>0</v>
      </c>
      <c r="R35" s="305">
        <f t="shared" si="11"/>
        <v>0</v>
      </c>
      <c r="S35" s="305">
        <f t="shared" si="11"/>
        <v>0</v>
      </c>
      <c r="T35" s="305">
        <f t="shared" si="11"/>
        <v>0</v>
      </c>
      <c r="U35" s="305">
        <f t="shared" si="11"/>
        <v>0</v>
      </c>
      <c r="V35" s="305">
        <f t="shared" si="11"/>
        <v>0</v>
      </c>
      <c r="W35" s="305">
        <f t="shared" si="11"/>
        <v>0</v>
      </c>
      <c r="X35" s="305">
        <f t="shared" si="11"/>
        <v>0</v>
      </c>
      <c r="Y35" s="305">
        <f t="shared" si="11"/>
        <v>0</v>
      </c>
      <c r="Z35" s="305">
        <f t="shared" si="11"/>
        <v>0</v>
      </c>
      <c r="AA35" s="305">
        <f t="shared" si="11"/>
        <v>0</v>
      </c>
      <c r="AB35" s="305">
        <f t="shared" si="11"/>
        <v>0</v>
      </c>
      <c r="AC35" s="305">
        <f t="shared" si="11"/>
        <v>0</v>
      </c>
      <c r="AD35" s="305">
        <f t="shared" si="11"/>
        <v>0</v>
      </c>
      <c r="AE35" s="305">
        <f t="shared" si="11"/>
        <v>0</v>
      </c>
      <c r="AF35" s="305">
        <f t="shared" si="11"/>
        <v>0</v>
      </c>
      <c r="AG35" s="305">
        <f t="shared" si="11"/>
        <v>0</v>
      </c>
      <c r="AH35" s="305">
        <f t="shared" si="11"/>
        <v>0</v>
      </c>
      <c r="AI35" s="305">
        <f t="shared" si="11"/>
        <v>0</v>
      </c>
      <c r="AJ35" s="305">
        <f t="shared" si="11"/>
        <v>0</v>
      </c>
      <c r="AK35" s="305">
        <f t="shared" si="11"/>
        <v>0</v>
      </c>
      <c r="AL35" s="305">
        <f t="shared" si="11"/>
        <v>0</v>
      </c>
      <c r="AM35" s="305">
        <f t="shared" si="11"/>
        <v>0</v>
      </c>
      <c r="AN35" s="305">
        <f t="shared" si="11"/>
        <v>0</v>
      </c>
      <c r="AO35" s="305">
        <f t="shared" si="11"/>
        <v>0</v>
      </c>
      <c r="AP35" s="305">
        <f t="shared" si="11"/>
        <v>0</v>
      </c>
      <c r="AQ35" s="305">
        <f t="shared" si="11"/>
        <v>0</v>
      </c>
      <c r="AR35" s="58">
        <f t="shared" si="11"/>
        <v>0</v>
      </c>
      <c r="AS35" s="305">
        <f t="shared" si="11"/>
        <v>0</v>
      </c>
      <c r="AT35" s="305">
        <f t="shared" si="11"/>
        <v>0</v>
      </c>
      <c r="AU35" s="305">
        <f t="shared" si="11"/>
        <v>0</v>
      </c>
      <c r="AV35" s="305">
        <f t="shared" si="11"/>
        <v>0</v>
      </c>
      <c r="AW35" s="305">
        <f t="shared" si="11"/>
        <v>0</v>
      </c>
      <c r="AX35" s="305">
        <f t="shared" si="11"/>
        <v>0</v>
      </c>
      <c r="AY35" s="305">
        <f t="shared" si="11"/>
        <v>0</v>
      </c>
      <c r="AZ35" s="305">
        <f t="shared" si="11"/>
        <v>0</v>
      </c>
      <c r="BA35" s="305">
        <f t="shared" si="11"/>
        <v>0</v>
      </c>
      <c r="BB35" s="305">
        <f t="shared" si="11"/>
        <v>0</v>
      </c>
      <c r="BC35" s="305">
        <f t="shared" si="11"/>
        <v>0</v>
      </c>
      <c r="BD35" s="305">
        <f t="shared" si="11"/>
        <v>0</v>
      </c>
      <c r="BE35" s="305">
        <f t="shared" si="11"/>
        <v>0</v>
      </c>
      <c r="BF35" s="305">
        <f t="shared" si="11"/>
        <v>0</v>
      </c>
      <c r="BG35" s="305">
        <f t="shared" si="11"/>
        <v>0</v>
      </c>
      <c r="BH35" s="305">
        <f t="shared" si="11"/>
        <v>0</v>
      </c>
      <c r="BI35" s="305">
        <f t="shared" si="11"/>
        <v>0</v>
      </c>
      <c r="BJ35" s="305">
        <f t="shared" si="11"/>
        <v>0</v>
      </c>
      <c r="BK35" s="305">
        <f t="shared" si="11"/>
        <v>0</v>
      </c>
      <c r="BL35" s="305">
        <f>IF($D25=0,0,BL27*(BL17-$D25)/BL17)</f>
        <v>0</v>
      </c>
      <c r="BM35" s="305">
        <f>IF($D25=0,0,BM27*(BM17-$D25)/BM17)</f>
        <v>0</v>
      </c>
      <c r="BN35" s="305">
        <f>IF($D25=0,0,BN27*(BN17-$D25)/BN17)</f>
        <v>0</v>
      </c>
      <c r="BO35" s="8">
        <f>IF(D35=0,0,BO28)</f>
        <v>0</v>
      </c>
      <c r="BP35" s="41"/>
      <c r="BQ35" s="41"/>
      <c r="BR35" s="41"/>
    </row>
    <row r="36" spans="1:70" ht="16.5">
      <c r="A36" s="41"/>
      <c r="B36" s="9">
        <f t="shared" si="5"/>
        <v>9</v>
      </c>
      <c r="C36" s="300" t="s">
        <v>57</v>
      </c>
      <c r="D36" s="8">
        <f>IF($D26=0,0,D27*(D17-$D26)/D17)</f>
        <v>0</v>
      </c>
      <c r="E36" s="305">
        <f t="shared" ref="E36:BK36" si="12">IF($D26=0,0,E27*(E17-$D26)/E17)</f>
        <v>0</v>
      </c>
      <c r="F36" s="306">
        <f t="shared" si="12"/>
        <v>0</v>
      </c>
      <c r="G36" s="306">
        <f t="shared" si="12"/>
        <v>0</v>
      </c>
      <c r="H36" s="306">
        <f t="shared" si="12"/>
        <v>0</v>
      </c>
      <c r="I36" s="305">
        <f t="shared" si="12"/>
        <v>0</v>
      </c>
      <c r="J36" s="305">
        <f t="shared" si="12"/>
        <v>0</v>
      </c>
      <c r="K36" s="305">
        <f t="shared" si="12"/>
        <v>0</v>
      </c>
      <c r="L36" s="305">
        <f t="shared" si="12"/>
        <v>0</v>
      </c>
      <c r="M36" s="305">
        <f t="shared" si="12"/>
        <v>0</v>
      </c>
      <c r="N36" s="305">
        <f t="shared" si="12"/>
        <v>0</v>
      </c>
      <c r="O36" s="305">
        <f t="shared" si="12"/>
        <v>0</v>
      </c>
      <c r="P36" s="305">
        <f t="shared" si="12"/>
        <v>0</v>
      </c>
      <c r="Q36" s="305">
        <f t="shared" si="12"/>
        <v>0</v>
      </c>
      <c r="R36" s="305">
        <f t="shared" si="12"/>
        <v>0</v>
      </c>
      <c r="S36" s="305">
        <f t="shared" si="12"/>
        <v>0</v>
      </c>
      <c r="T36" s="305">
        <f t="shared" si="12"/>
        <v>0</v>
      </c>
      <c r="U36" s="305">
        <f t="shared" si="12"/>
        <v>0</v>
      </c>
      <c r="V36" s="305">
        <f t="shared" si="12"/>
        <v>0</v>
      </c>
      <c r="W36" s="305">
        <f t="shared" si="12"/>
        <v>0</v>
      </c>
      <c r="X36" s="305">
        <f t="shared" si="12"/>
        <v>0</v>
      </c>
      <c r="Y36" s="305">
        <f t="shared" si="12"/>
        <v>0</v>
      </c>
      <c r="Z36" s="305">
        <f t="shared" si="12"/>
        <v>0</v>
      </c>
      <c r="AA36" s="305">
        <f t="shared" si="12"/>
        <v>0</v>
      </c>
      <c r="AB36" s="305">
        <f t="shared" si="12"/>
        <v>0</v>
      </c>
      <c r="AC36" s="305">
        <f t="shared" si="12"/>
        <v>0</v>
      </c>
      <c r="AD36" s="305">
        <f t="shared" si="12"/>
        <v>0</v>
      </c>
      <c r="AE36" s="305">
        <f t="shared" si="12"/>
        <v>0</v>
      </c>
      <c r="AF36" s="305">
        <f t="shared" si="12"/>
        <v>0</v>
      </c>
      <c r="AG36" s="305">
        <f t="shared" si="12"/>
        <v>0</v>
      </c>
      <c r="AH36" s="305">
        <f t="shared" si="12"/>
        <v>0</v>
      </c>
      <c r="AI36" s="305">
        <f t="shared" si="12"/>
        <v>0</v>
      </c>
      <c r="AJ36" s="305">
        <f t="shared" si="12"/>
        <v>0</v>
      </c>
      <c r="AK36" s="305">
        <f t="shared" si="12"/>
        <v>0</v>
      </c>
      <c r="AL36" s="305">
        <f t="shared" si="12"/>
        <v>0</v>
      </c>
      <c r="AM36" s="305">
        <f t="shared" si="12"/>
        <v>0</v>
      </c>
      <c r="AN36" s="305">
        <f t="shared" si="12"/>
        <v>0</v>
      </c>
      <c r="AO36" s="305">
        <f t="shared" si="12"/>
        <v>0</v>
      </c>
      <c r="AP36" s="305">
        <f t="shared" si="12"/>
        <v>0</v>
      </c>
      <c r="AQ36" s="305">
        <f t="shared" si="12"/>
        <v>0</v>
      </c>
      <c r="AR36" s="58">
        <f t="shared" si="12"/>
        <v>0</v>
      </c>
      <c r="AS36" s="305">
        <f t="shared" si="12"/>
        <v>0</v>
      </c>
      <c r="AT36" s="305">
        <f t="shared" si="12"/>
        <v>0</v>
      </c>
      <c r="AU36" s="305">
        <f t="shared" si="12"/>
        <v>0</v>
      </c>
      <c r="AV36" s="305">
        <f t="shared" si="12"/>
        <v>0</v>
      </c>
      <c r="AW36" s="305">
        <f t="shared" si="12"/>
        <v>0</v>
      </c>
      <c r="AX36" s="305">
        <f t="shared" si="12"/>
        <v>0</v>
      </c>
      <c r="AY36" s="305">
        <f t="shared" si="12"/>
        <v>0</v>
      </c>
      <c r="AZ36" s="305">
        <f t="shared" si="12"/>
        <v>0</v>
      </c>
      <c r="BA36" s="305">
        <f t="shared" si="12"/>
        <v>0</v>
      </c>
      <c r="BB36" s="305">
        <f t="shared" si="12"/>
        <v>0</v>
      </c>
      <c r="BC36" s="305">
        <f t="shared" si="12"/>
        <v>0</v>
      </c>
      <c r="BD36" s="305">
        <f t="shared" si="12"/>
        <v>0</v>
      </c>
      <c r="BE36" s="305">
        <f t="shared" si="12"/>
        <v>0</v>
      </c>
      <c r="BF36" s="305">
        <f t="shared" si="12"/>
        <v>0</v>
      </c>
      <c r="BG36" s="305">
        <f t="shared" si="12"/>
        <v>0</v>
      </c>
      <c r="BH36" s="305">
        <f t="shared" si="12"/>
        <v>0</v>
      </c>
      <c r="BI36" s="305">
        <f t="shared" si="12"/>
        <v>0</v>
      </c>
      <c r="BJ36" s="305">
        <f t="shared" si="12"/>
        <v>0</v>
      </c>
      <c r="BK36" s="305">
        <f t="shared" si="12"/>
        <v>0</v>
      </c>
      <c r="BL36" s="305">
        <f>IF($D26=0,0,BL27*(BL17-$D26)/BL17)</f>
        <v>0</v>
      </c>
      <c r="BM36" s="305">
        <f>IF($D26=0,0,BM27*(BM17-$D26)/BM17)</f>
        <v>0</v>
      </c>
      <c r="BN36" s="305">
        <f>IF($D26=0,0,BN27*(BN17-$D26)/BN17)</f>
        <v>0</v>
      </c>
      <c r="BO36" s="8">
        <f>IF(D36=0,0,BO28)</f>
        <v>0</v>
      </c>
      <c r="BP36" s="41"/>
      <c r="BQ36" s="41"/>
      <c r="BR36" s="41"/>
    </row>
    <row r="37" spans="1:70" ht="16.5">
      <c r="A37" s="41"/>
      <c r="B37" s="292" t="s">
        <v>119</v>
      </c>
      <c r="C37" s="300" t="s">
        <v>58</v>
      </c>
      <c r="D37" s="8">
        <f>D27*(D17-$F14)/D17</f>
        <v>-4.9493740815049626E-2</v>
      </c>
      <c r="E37" s="10">
        <f t="shared" ref="E37:BK37" si="13">E27*(E17-$F14)/E17</f>
        <v>-4.0350937606486448E-2</v>
      </c>
      <c r="F37" s="32">
        <f t="shared" si="13"/>
        <v>-3.3898687978719373E-2</v>
      </c>
      <c r="G37" s="32">
        <f t="shared" si="13"/>
        <v>-2.9101662504648539E-2</v>
      </c>
      <c r="H37" s="32">
        <f t="shared" si="13"/>
        <v>-2.5395338029134368E-2</v>
      </c>
      <c r="I37" s="10">
        <f t="shared" si="13"/>
        <v>-2.2445697812943123E-2</v>
      </c>
      <c r="J37" s="10">
        <f t="shared" si="13"/>
        <v>-2.0042478281228231E-2</v>
      </c>
      <c r="K37" s="10">
        <f t="shared" si="13"/>
        <v>-1.8046714459189973E-2</v>
      </c>
      <c r="L37" s="10">
        <f t="shared" si="13"/>
        <v>-1.6362880739251212E-2</v>
      </c>
      <c r="M37" s="10">
        <f t="shared" si="13"/>
        <v>-1.4923147672860534E-2</v>
      </c>
      <c r="N37" s="10">
        <f t="shared" si="13"/>
        <v>-1.367802277252596E-2</v>
      </c>
      <c r="O37" s="10">
        <f t="shared" si="13"/>
        <v>-1.2590546289119068E-2</v>
      </c>
      <c r="P37" s="10">
        <f t="shared" si="13"/>
        <v>-1.1632560391804853E-2</v>
      </c>
      <c r="Q37" s="10">
        <f t="shared" si="13"/>
        <v>-1.0782236194561593E-2</v>
      </c>
      <c r="R37" s="10">
        <f t="shared" si="13"/>
        <v>-1.0022390188084079E-2</v>
      </c>
      <c r="S37" s="10">
        <f t="shared" si="13"/>
        <v>-9.339310941134037E-3</v>
      </c>
      <c r="T37" s="10">
        <f t="shared" si="13"/>
        <v>-8.7219243148675615E-3</v>
      </c>
      <c r="U37" s="10">
        <f t="shared" si="13"/>
        <v>-8.1611884744842572E-3</v>
      </c>
      <c r="V37" s="10">
        <f t="shared" si="13"/>
        <v>-7.6496481347043555E-3</v>
      </c>
      <c r="W37" s="10">
        <f t="shared" si="13"/>
        <v>-7.1811011981645729E-3</v>
      </c>
      <c r="X37" s="10">
        <f t="shared" si="13"/>
        <v>-6.7503460580948258E-3</v>
      </c>
      <c r="Y37" s="10">
        <f t="shared" si="13"/>
        <v>-6.3529876764151349E-3</v>
      </c>
      <c r="Z37" s="10">
        <f t="shared" si="13"/>
        <v>-5.9852870833008902E-3</v>
      </c>
      <c r="AA37" s="10">
        <f t="shared" si="13"/>
        <v>-5.6440433632682068E-3</v>
      </c>
      <c r="AB37" s="10">
        <f t="shared" si="13"/>
        <v>-5.3265002307149294E-3</v>
      </c>
      <c r="AC37" s="10">
        <f t="shared" si="13"/>
        <v>-5.0302714181388094E-3</v>
      </c>
      <c r="AD37" s="10">
        <f t="shared" si="13"/>
        <v>-4.7532806009002344E-3</v>
      </c>
      <c r="AE37" s="10">
        <f t="shared" si="13"/>
        <v>-4.4937126582812676E-3</v>
      </c>
      <c r="AF37" s="10">
        <f t="shared" si="13"/>
        <v>-4.2499738512309666E-3</v>
      </c>
      <c r="AG37" s="10">
        <f t="shared" si="13"/>
        <v>-4.0206590699396836E-3</v>
      </c>
      <c r="AH37" s="10">
        <f t="shared" si="13"/>
        <v>-3.8045247289960134E-3</v>
      </c>
      <c r="AI37" s="10">
        <f t="shared" si="13"/>
        <v>-3.600466205733979E-3</v>
      </c>
      <c r="AJ37" s="10">
        <f t="shared" si="13"/>
        <v>-3.4074989574880026E-3</v>
      </c>
      <c r="AK37" s="10">
        <f t="shared" si="13"/>
        <v>-3.2247426364083818E-3</v>
      </c>
      <c r="AL37" s="10">
        <f t="shared" si="13"/>
        <v>-3.0514076609876452E-3</v>
      </c>
      <c r="AM37" s="10">
        <f t="shared" si="13"/>
        <v>-2.886783812171975E-3</v>
      </c>
      <c r="AN37" s="10">
        <f t="shared" si="13"/>
        <v>-2.7302305066702619E-3</v>
      </c>
      <c r="AO37" s="10">
        <f t="shared" si="13"/>
        <v>-2.5811684665650123E-3</v>
      </c>
      <c r="AP37" s="10">
        <f t="shared" si="13"/>
        <v>-2.4390725568378311E-3</v>
      </c>
      <c r="AQ37" s="10">
        <f t="shared" si="13"/>
        <v>-2.3034656041403772E-3</v>
      </c>
      <c r="AR37" s="58">
        <f t="shared" si="13"/>
        <v>-2.1739130434782609E-3</v>
      </c>
      <c r="AS37" s="10">
        <f t="shared" si="13"/>
        <v>-1.8545959374543328E-3</v>
      </c>
      <c r="AT37" s="10">
        <f t="shared" si="13"/>
        <v>-1.5693050282077686E-3</v>
      </c>
      <c r="AU37" s="10">
        <f t="shared" si="13"/>
        <v>-1.3128767203257484E-3</v>
      </c>
      <c r="AV37" s="10">
        <f t="shared" si="13"/>
        <v>-1.0811419045634501E-3</v>
      </c>
      <c r="AW37" s="10">
        <f t="shared" si="13"/>
        <v>-8.7069753880001505E-4</v>
      </c>
      <c r="AX37" s="10">
        <f t="shared" si="13"/>
        <v>-6.7873842137942302E-4</v>
      </c>
      <c r="AY37" s="10">
        <f t="shared" si="13"/>
        <v>-5.0293143002803865E-4</v>
      </c>
      <c r="AZ37" s="10">
        <f t="shared" si="13"/>
        <v>-3.4132022504630103E-4</v>
      </c>
      <c r="BA37" s="10">
        <f t="shared" si="13"/>
        <v>-1.9225214129765352E-4</v>
      </c>
      <c r="BB37" s="10">
        <f t="shared" si="13"/>
        <v>-5.432146667959978E-5</v>
      </c>
      <c r="BC37" s="10">
        <f t="shared" si="13"/>
        <v>7.3675023637100701E-5</v>
      </c>
      <c r="BD37" s="10">
        <f t="shared" si="13"/>
        <v>1.9174829918400742E-4</v>
      </c>
      <c r="BE37" s="10">
        <f t="shared" si="13"/>
        <v>2.9253204948776797E-4</v>
      </c>
      <c r="BF37" s="10">
        <f t="shared" si="13"/>
        <v>3.8107089650337366E-4</v>
      </c>
      <c r="BG37" s="10">
        <f t="shared" si="13"/>
        <v>4.5946861420002947E-4</v>
      </c>
      <c r="BH37" s="10">
        <f t="shared" si="13"/>
        <v>5.2937315392189007E-4</v>
      </c>
      <c r="BI37" s="10">
        <f t="shared" si="13"/>
        <v>5.9209375416956948E-4</v>
      </c>
      <c r="BJ37" s="10">
        <f t="shared" si="13"/>
        <v>6.4868370958417305E-4</v>
      </c>
      <c r="BK37" s="10">
        <f t="shared" si="13"/>
        <v>6.9999999999999999E-4</v>
      </c>
      <c r="BL37" s="10">
        <f>BL27*(BL17-$F14)/BL17</f>
        <v>1.159375E-3</v>
      </c>
      <c r="BM37" s="10">
        <f>BM27*(BM17-$F14)/BM17</f>
        <v>1.3391304347826088E-3</v>
      </c>
      <c r="BN37" s="10">
        <f>BN27*(BN17-$F14)/BN17</f>
        <v>1.4349999999999999E-3</v>
      </c>
      <c r="BO37" s="8">
        <f>BO28</f>
        <v>1.75E-3</v>
      </c>
      <c r="BP37" s="229"/>
      <c r="BQ37" s="229"/>
      <c r="BR37" s="229"/>
    </row>
    <row r="38" spans="1:70" s="55" customFormat="1" ht="16.5">
      <c r="A38" s="226"/>
      <c r="B38" s="293" t="s">
        <v>59</v>
      </c>
      <c r="C38" s="301" t="s">
        <v>60</v>
      </c>
      <c r="D38" s="12">
        <f t="shared" ref="D38:BJ38" si="14">IF(D28&lt;0,MAX(-$C$10,200000*D28),MIN(200000*D28,$C$10)-IF(AND($C14&lt;$C$8*D17,$C14&gt;0),$C$9,0))</f>
        <v>119.50448264860044</v>
      </c>
      <c r="E38" s="307">
        <f t="shared" si="14"/>
        <v>215.74451642294969</v>
      </c>
      <c r="F38" s="307">
        <f t="shared" si="14"/>
        <v>283.66293355733995</v>
      </c>
      <c r="G38" s="307">
        <f t="shared" si="14"/>
        <v>334.15793854755924</v>
      </c>
      <c r="H38" s="307">
        <f t="shared" si="14"/>
        <v>373.17188039507687</v>
      </c>
      <c r="I38" s="307">
        <f t="shared" si="14"/>
        <v>404.22072477603734</v>
      </c>
      <c r="J38" s="307">
        <f t="shared" si="14"/>
        <v>412.1159420289855</v>
      </c>
      <c r="K38" s="307">
        <f t="shared" si="14"/>
        <v>412.1159420289855</v>
      </c>
      <c r="L38" s="307">
        <f t="shared" si="14"/>
        <v>412.1159420289855</v>
      </c>
      <c r="M38" s="307">
        <f t="shared" si="14"/>
        <v>412.1159420289855</v>
      </c>
      <c r="N38" s="307">
        <f t="shared" si="14"/>
        <v>412.1159420289855</v>
      </c>
      <c r="O38" s="307">
        <f t="shared" si="14"/>
        <v>412.1159420289855</v>
      </c>
      <c r="P38" s="307">
        <f t="shared" si="14"/>
        <v>412.1159420289855</v>
      </c>
      <c r="Q38" s="307">
        <f t="shared" si="14"/>
        <v>412.1159420289855</v>
      </c>
      <c r="R38" s="307">
        <f t="shared" si="14"/>
        <v>412.1159420289855</v>
      </c>
      <c r="S38" s="307">
        <f t="shared" si="14"/>
        <v>412.1159420289855</v>
      </c>
      <c r="T38" s="307">
        <f t="shared" si="14"/>
        <v>412.1159420289855</v>
      </c>
      <c r="U38" s="307">
        <f t="shared" si="14"/>
        <v>412.1159420289855</v>
      </c>
      <c r="V38" s="307">
        <f t="shared" si="14"/>
        <v>412.1159420289855</v>
      </c>
      <c r="W38" s="307">
        <f t="shared" si="14"/>
        <v>412.1159420289855</v>
      </c>
      <c r="X38" s="307">
        <f t="shared" si="14"/>
        <v>412.1159420289855</v>
      </c>
      <c r="Y38" s="307">
        <f t="shared" si="14"/>
        <v>412.1159420289855</v>
      </c>
      <c r="Z38" s="307">
        <f t="shared" si="14"/>
        <v>412.1159420289855</v>
      </c>
      <c r="AA38" s="307">
        <f t="shared" si="14"/>
        <v>412.1159420289855</v>
      </c>
      <c r="AB38" s="307">
        <f t="shared" si="14"/>
        <v>412.1159420289855</v>
      </c>
      <c r="AC38" s="307">
        <f t="shared" si="14"/>
        <v>412.1159420289855</v>
      </c>
      <c r="AD38" s="307">
        <f t="shared" si="14"/>
        <v>412.1159420289855</v>
      </c>
      <c r="AE38" s="307">
        <f t="shared" si="14"/>
        <v>412.1159420289855</v>
      </c>
      <c r="AF38" s="307">
        <f t="shared" si="14"/>
        <v>412.1159420289855</v>
      </c>
      <c r="AG38" s="307">
        <f t="shared" si="14"/>
        <v>412.1159420289855</v>
      </c>
      <c r="AH38" s="307">
        <f t="shared" si="14"/>
        <v>412.1159420289855</v>
      </c>
      <c r="AI38" s="307">
        <f t="shared" si="14"/>
        <v>412.1159420289855</v>
      </c>
      <c r="AJ38" s="307">
        <f t="shared" si="14"/>
        <v>412.1159420289855</v>
      </c>
      <c r="AK38" s="307">
        <f t="shared" si="14"/>
        <v>412.1159420289855</v>
      </c>
      <c r="AL38" s="307">
        <f t="shared" si="14"/>
        <v>412.1159420289855</v>
      </c>
      <c r="AM38" s="307">
        <f t="shared" si="14"/>
        <v>412.1159420289855</v>
      </c>
      <c r="AN38" s="307">
        <f t="shared" si="14"/>
        <v>412.1159420289855</v>
      </c>
      <c r="AO38" s="307">
        <f t="shared" si="14"/>
        <v>412.1159420289855</v>
      </c>
      <c r="AP38" s="307">
        <f t="shared" si="14"/>
        <v>412.1159420289855</v>
      </c>
      <c r="AQ38" s="307">
        <f t="shared" si="14"/>
        <v>412.1159420289855</v>
      </c>
      <c r="AR38" s="61">
        <f t="shared" si="14"/>
        <v>412.1159420289855</v>
      </c>
      <c r="AS38" s="307">
        <f t="shared" si="14"/>
        <v>412.1159420289855</v>
      </c>
      <c r="AT38" s="307">
        <f t="shared" si="14"/>
        <v>412.1159420289855</v>
      </c>
      <c r="AU38" s="307">
        <f t="shared" si="14"/>
        <v>412.1159420289855</v>
      </c>
      <c r="AV38" s="307">
        <f t="shared" si="14"/>
        <v>412.1159420289855</v>
      </c>
      <c r="AW38" s="307">
        <f t="shared" si="14"/>
        <v>412.1159420289855</v>
      </c>
      <c r="AX38" s="307">
        <f t="shared" si="14"/>
        <v>412.1159420289855</v>
      </c>
      <c r="AY38" s="307">
        <f t="shared" si="14"/>
        <v>412.1159420289855</v>
      </c>
      <c r="AZ38" s="307">
        <f t="shared" si="14"/>
        <v>412.1159420289855</v>
      </c>
      <c r="BA38" s="307">
        <f t="shared" si="14"/>
        <v>412.1159420289855</v>
      </c>
      <c r="BB38" s="307">
        <f t="shared" si="14"/>
        <v>412.1159420289855</v>
      </c>
      <c r="BC38" s="307">
        <f t="shared" si="14"/>
        <v>412.1159420289855</v>
      </c>
      <c r="BD38" s="307">
        <f t="shared" si="14"/>
        <v>412.1159420289855</v>
      </c>
      <c r="BE38" s="307">
        <f t="shared" si="14"/>
        <v>412.1159420289855</v>
      </c>
      <c r="BF38" s="307">
        <f t="shared" si="14"/>
        <v>412.1159420289855</v>
      </c>
      <c r="BG38" s="307">
        <f t="shared" si="14"/>
        <v>412.1159420289855</v>
      </c>
      <c r="BH38" s="307">
        <f t="shared" si="14"/>
        <v>412.1159420289855</v>
      </c>
      <c r="BI38" s="307">
        <f t="shared" si="14"/>
        <v>412.1159420289855</v>
      </c>
      <c r="BJ38" s="307">
        <f t="shared" si="14"/>
        <v>412.1159420289855</v>
      </c>
      <c r="BK38" s="307">
        <f>IF(BK28&lt;0,MAX(-$C$10,200000*BK28),MIN(200000*BK28,$C$10)-IF(AND($C14&lt;$C$8*BK17,$C14&gt;0),$C$9,0))</f>
        <v>412.1159420289855</v>
      </c>
      <c r="BL38" s="307">
        <f>IF(BL28&lt;0,MAX(-$C$10,200000*BL28),MIN(200000*BL28,$C$10)-IF(AND($C14&lt;$C$8*BL17,$C14&gt;0),$C$9,0))</f>
        <v>412.1159420289855</v>
      </c>
      <c r="BM38" s="307">
        <f>IF(BM28&lt;0,MAX(-$C$10,200000*BM28),MIN(200000*BM28,$C$10)-IF(AND($C14&lt;$C$8*BM17,$C14&gt;0),$C$9,0))</f>
        <v>409.50724637681157</v>
      </c>
      <c r="BN38" s="307">
        <f>IF(BN28&lt;0,MAX(-$C$10,200000*BN28),MIN(200000*BN28,$C$10)-IF(AND($C14&lt;$C$8*BN17,$C14&gt;0),$C$9,0))</f>
        <v>390.33333333333331</v>
      </c>
      <c r="BO38" s="12">
        <f>200000*BO28-C$9</f>
        <v>327.33333333333331</v>
      </c>
      <c r="BP38" s="41"/>
      <c r="BQ38" s="41"/>
      <c r="BR38" s="41"/>
    </row>
    <row r="39" spans="1:70" ht="16.5">
      <c r="A39" s="41"/>
      <c r="B39" s="11">
        <v>2</v>
      </c>
      <c r="C39" s="302" t="s">
        <v>61</v>
      </c>
      <c r="D39" s="12">
        <f t="shared" ref="D39:AI39" si="15">IF(D29&lt;0,MAX(-$C$10,200000*D29),MIN(200000*D29,$C$10)-IF(AND($D19&lt;$C$8*D17,$D19&gt;0),$C$9,0))</f>
        <v>-434.78260869565219</v>
      </c>
      <c r="E39" s="307">
        <f t="shared" si="15"/>
        <v>-434.78260869565219</v>
      </c>
      <c r="F39" s="307">
        <f t="shared" si="15"/>
        <v>-434.78260869565219</v>
      </c>
      <c r="G39" s="307">
        <f t="shared" si="15"/>
        <v>-434.78260869565219</v>
      </c>
      <c r="H39" s="307">
        <f t="shared" si="15"/>
        <v>-434.78260869565219</v>
      </c>
      <c r="I39" s="307">
        <f t="shared" si="15"/>
        <v>-434.78260869565219</v>
      </c>
      <c r="J39" s="307">
        <f t="shared" si="15"/>
        <v>-434.78260869565219</v>
      </c>
      <c r="K39" s="307">
        <f t="shared" si="15"/>
        <v>-434.78260869565219</v>
      </c>
      <c r="L39" s="307">
        <f t="shared" si="15"/>
        <v>-434.78260869565219</v>
      </c>
      <c r="M39" s="307">
        <f t="shared" si="15"/>
        <v>-434.78260869565219</v>
      </c>
      <c r="N39" s="307">
        <f t="shared" si="15"/>
        <v>-434.78260869565219</v>
      </c>
      <c r="O39" s="307">
        <f t="shared" si="15"/>
        <v>-434.78260869565219</v>
      </c>
      <c r="P39" s="307">
        <f t="shared" si="15"/>
        <v>-415.0307657119364</v>
      </c>
      <c r="Q39" s="307">
        <f t="shared" si="15"/>
        <v>-352.37529854664359</v>
      </c>
      <c r="R39" s="307">
        <f t="shared" si="15"/>
        <v>-296.38664543777418</v>
      </c>
      <c r="S39" s="307">
        <f t="shared" si="15"/>
        <v>-246.0544903993501</v>
      </c>
      <c r="T39" s="307">
        <f t="shared" si="15"/>
        <v>-200.56284425339922</v>
      </c>
      <c r="U39" s="307">
        <f t="shared" si="15"/>
        <v>-159.24546654094522</v>
      </c>
      <c r="V39" s="307">
        <f t="shared" si="15"/>
        <v>-121.55302045189981</v>
      </c>
      <c r="W39" s="307">
        <f t="shared" si="15"/>
        <v>-87.028509338442163</v>
      </c>
      <c r="X39" s="307">
        <f t="shared" si="15"/>
        <v>-55.28865691225031</v>
      </c>
      <c r="Y39" s="307">
        <f t="shared" si="15"/>
        <v>-26.009618262167763</v>
      </c>
      <c r="Z39" s="307">
        <f t="shared" si="15"/>
        <v>1.0841096515134001</v>
      </c>
      <c r="AA39" s="307">
        <f t="shared" si="15"/>
        <v>26.228383759184833</v>
      </c>
      <c r="AB39" s="307">
        <f t="shared" si="15"/>
        <v>49.626298789426315</v>
      </c>
      <c r="AC39" s="307">
        <f t="shared" si="15"/>
        <v>71.453684979245651</v>
      </c>
      <c r="AD39" s="307">
        <f t="shared" si="15"/>
        <v>91.86353467050904</v>
      </c>
      <c r="AE39" s="307">
        <f t="shared" si="15"/>
        <v>110.98959360032765</v>
      </c>
      <c r="AF39" s="307">
        <f t="shared" si="15"/>
        <v>128.94929517245515</v>
      </c>
      <c r="AG39" s="307">
        <f t="shared" si="15"/>
        <v>123.1795071272514</v>
      </c>
      <c r="AH39" s="307">
        <f t="shared" si="15"/>
        <v>139.10519540731133</v>
      </c>
      <c r="AI39" s="307">
        <f t="shared" si="15"/>
        <v>154.14108659504018</v>
      </c>
      <c r="AJ39" s="307">
        <f t="shared" ref="AJ39:BK39" si="16">IF(AJ29&lt;0,MAX(-$C$10,200000*AJ29),MIN(200000*AJ29,$C$10)-IF(AND($D19&lt;$C$8*AJ17,$D19&gt;0),$C$9,0))</f>
        <v>168.35972593948051</v>
      </c>
      <c r="AK39" s="307">
        <f t="shared" si="16"/>
        <v>181.82598117692626</v>
      </c>
      <c r="AL39" s="307">
        <f t="shared" si="16"/>
        <v>194.59803199740156</v>
      </c>
      <c r="AM39" s="307">
        <f t="shared" si="16"/>
        <v>206.72821033118785</v>
      </c>
      <c r="AN39" s="307">
        <f t="shared" si="16"/>
        <v>218.26371705236673</v>
      </c>
      <c r="AO39" s="307">
        <f t="shared" si="16"/>
        <v>229.24723579696399</v>
      </c>
      <c r="AP39" s="307">
        <f t="shared" si="16"/>
        <v>239.71746072422999</v>
      </c>
      <c r="AQ39" s="307">
        <f t="shared" si="16"/>
        <v>249.70955197562134</v>
      </c>
      <c r="AR39" s="61">
        <f t="shared" si="16"/>
        <v>259.25553012967197</v>
      </c>
      <c r="AS39" s="307">
        <f t="shared" si="16"/>
        <v>282.78415899459304</v>
      </c>
      <c r="AT39" s="307">
        <f t="shared" si="16"/>
        <v>303.80559441276091</v>
      </c>
      <c r="AU39" s="307">
        <f t="shared" si="16"/>
        <v>322.70031183564657</v>
      </c>
      <c r="AV39" s="307">
        <f t="shared" si="16"/>
        <v>339.77550878655279</v>
      </c>
      <c r="AW39" s="307">
        <f t="shared" si="16"/>
        <v>355.28193573754271</v>
      </c>
      <c r="AX39" s="307">
        <f t="shared" si="16"/>
        <v>369.42629175800744</v>
      </c>
      <c r="AY39" s="307">
        <f t="shared" si="16"/>
        <v>382.380491120741</v>
      </c>
      <c r="AZ39" s="307">
        <f t="shared" si="16"/>
        <v>394.28868517202693</v>
      </c>
      <c r="BA39" s="307">
        <f t="shared" si="16"/>
        <v>405.27264923771668</v>
      </c>
      <c r="BB39" s="307">
        <f t="shared" si="16"/>
        <v>412.1159420289855</v>
      </c>
      <c r="BC39" s="307">
        <f t="shared" si="16"/>
        <v>412.1159420289855</v>
      </c>
      <c r="BD39" s="307">
        <f t="shared" si="16"/>
        <v>412.1159420289855</v>
      </c>
      <c r="BE39" s="307">
        <f t="shared" si="16"/>
        <v>412.1159420289855</v>
      </c>
      <c r="BF39" s="307">
        <f t="shared" si="16"/>
        <v>412.1159420289855</v>
      </c>
      <c r="BG39" s="307">
        <f t="shared" si="16"/>
        <v>412.1159420289855</v>
      </c>
      <c r="BH39" s="307">
        <f t="shared" si="16"/>
        <v>408.70845640520736</v>
      </c>
      <c r="BI39" s="307">
        <f t="shared" si="16"/>
        <v>404.52708305536208</v>
      </c>
      <c r="BJ39" s="307">
        <f t="shared" si="16"/>
        <v>400.75441936105517</v>
      </c>
      <c r="BK39" s="307">
        <f t="shared" si="16"/>
        <v>397.33333333333337</v>
      </c>
      <c r="BL39" s="307">
        <f>IF(BL29&lt;0,MAX(-$C$10,200000*BL29),MIN(200000*BL29,$C$10)-IF(AND($D19&lt;$C$8*BL17,$D19&gt;0),$C$9,0))</f>
        <v>366.70833333333331</v>
      </c>
      <c r="BM39" s="307">
        <f>IF(BM29&lt;0,MAX(-$C$10,200000*BM29),MIN(200000*BM29,$C$10)-IF(AND($D19&lt;$C$8*BM17,$D19&gt;0),$C$9,0))</f>
        <v>354.72463768115938</v>
      </c>
      <c r="BN39" s="307">
        <f>IF(BN29&lt;0,MAX(-$C$10,200000*BN29),MIN(200000*BN29,$C$10)-IF(AND($D19&lt;$C$8*BN17,$D19&gt;0),$C$9,0))</f>
        <v>348.33333333333331</v>
      </c>
      <c r="BO39" s="12">
        <f>IF(D39=0,0,BO38)</f>
        <v>327.33333333333331</v>
      </c>
      <c r="BP39" s="229"/>
      <c r="BQ39" s="229"/>
      <c r="BR39" s="229"/>
    </row>
    <row r="40" spans="1:70" ht="16.5">
      <c r="A40" s="41"/>
      <c r="B40" s="11">
        <f t="shared" ref="B40:B46" si="17">1+B39</f>
        <v>3</v>
      </c>
      <c r="C40" s="302" t="s">
        <v>61</v>
      </c>
      <c r="D40" s="12">
        <f t="shared" ref="D40:AI40" si="18">IF(D30&lt;0,MAX(-$C$10,200000*D30),MIN(200000*D30,$C$10)-IF(AND($D20&lt;$C$8*D17,$D20&gt;0),$C$9,0))</f>
        <v>-434.78260869565219</v>
      </c>
      <c r="E40" s="307">
        <f t="shared" si="18"/>
        <v>-434.78260869565219</v>
      </c>
      <c r="F40" s="307">
        <f t="shared" si="18"/>
        <v>-434.78260869565219</v>
      </c>
      <c r="G40" s="307">
        <f t="shared" si="18"/>
        <v>-434.78260869565219</v>
      </c>
      <c r="H40" s="307">
        <f t="shared" si="18"/>
        <v>-434.78260869565219</v>
      </c>
      <c r="I40" s="307">
        <f t="shared" si="18"/>
        <v>-434.78260869565219</v>
      </c>
      <c r="J40" s="307">
        <f t="shared" si="18"/>
        <v>-434.78260869565219</v>
      </c>
      <c r="K40" s="307">
        <f t="shared" si="18"/>
        <v>-434.78260869565219</v>
      </c>
      <c r="L40" s="307">
        <f t="shared" si="18"/>
        <v>-434.78260869565219</v>
      </c>
      <c r="M40" s="307">
        <f t="shared" si="18"/>
        <v>-434.78260869565219</v>
      </c>
      <c r="N40" s="307">
        <f t="shared" si="18"/>
        <v>-434.78260869565219</v>
      </c>
      <c r="O40" s="307">
        <f t="shared" si="18"/>
        <v>-434.78260869565219</v>
      </c>
      <c r="P40" s="307">
        <f t="shared" si="18"/>
        <v>-434.78260869565219</v>
      </c>
      <c r="Q40" s="307">
        <f t="shared" si="18"/>
        <v>-434.78260869565219</v>
      </c>
      <c r="R40" s="307">
        <f t="shared" si="18"/>
        <v>-434.78260869565219</v>
      </c>
      <c r="S40" s="307">
        <f t="shared" si="18"/>
        <v>-434.78260869565219</v>
      </c>
      <c r="T40" s="307">
        <f t="shared" si="18"/>
        <v>-434.78260869565219</v>
      </c>
      <c r="U40" s="307">
        <f t="shared" si="18"/>
        <v>-434.78260869565219</v>
      </c>
      <c r="V40" s="307">
        <f t="shared" si="18"/>
        <v>-434.78260869565219</v>
      </c>
      <c r="W40" s="307">
        <f t="shared" si="18"/>
        <v>-434.78260869565219</v>
      </c>
      <c r="X40" s="307">
        <f t="shared" si="18"/>
        <v>-434.78260869565219</v>
      </c>
      <c r="Y40" s="307">
        <f t="shared" si="18"/>
        <v>-434.78260869565219</v>
      </c>
      <c r="Z40" s="307">
        <f t="shared" si="18"/>
        <v>-434.78260869565219</v>
      </c>
      <c r="AA40" s="307">
        <f t="shared" si="18"/>
        <v>-434.78260869565219</v>
      </c>
      <c r="AB40" s="307">
        <f t="shared" si="18"/>
        <v>-434.78260869565219</v>
      </c>
      <c r="AC40" s="307">
        <f t="shared" si="18"/>
        <v>-434.78260869565219</v>
      </c>
      <c r="AD40" s="307">
        <f t="shared" si="18"/>
        <v>-429.39629275476892</v>
      </c>
      <c r="AE40" s="307">
        <f t="shared" si="18"/>
        <v>-393.87646902796297</v>
      </c>
      <c r="AF40" s="307">
        <f t="shared" si="18"/>
        <v>-360.52273753686899</v>
      </c>
      <c r="AG40" s="307">
        <f t="shared" si="18"/>
        <v>-329.14282009700935</v>
      </c>
      <c r="AH40" s="307">
        <f t="shared" si="18"/>
        <v>-299.56654186261238</v>
      </c>
      <c r="AI40" s="307">
        <f t="shared" si="18"/>
        <v>-271.64274394254443</v>
      </c>
      <c r="AJ40" s="307">
        <f t="shared" ref="AJ40:BK40" si="19">IF(AJ30&lt;0,MAX(-$C$10,200000*AJ30),MIN(200000*AJ30,$C$10)-IF(AND($D20&lt;$C$8*AJ17,$D20&gt;0),$C$9,0))</f>
        <v>-245.23669944572671</v>
      </c>
      <c r="AK40" s="307">
        <f t="shared" si="19"/>
        <v>-220.22793971904173</v>
      </c>
      <c r="AL40" s="307">
        <f t="shared" si="19"/>
        <v>-196.50841676673042</v>
      </c>
      <c r="AM40" s="307">
        <f t="shared" si="19"/>
        <v>-173.98094271827026</v>
      </c>
      <c r="AN40" s="307">
        <f t="shared" si="19"/>
        <v>-152.55785880750952</v>
      </c>
      <c r="AO40" s="307">
        <f t="shared" si="19"/>
        <v>-132.15989542468591</v>
      </c>
      <c r="AP40" s="307">
        <f t="shared" si="19"/>
        <v>-112.71519198833479</v>
      </c>
      <c r="AQ40" s="307">
        <f t="shared" si="19"/>
        <v>-94.158451092893699</v>
      </c>
      <c r="AR40" s="61">
        <f t="shared" si="19"/>
        <v>-76.430205949656781</v>
      </c>
      <c r="AS40" s="307">
        <f t="shared" si="19"/>
        <v>-32.734180914803432</v>
      </c>
      <c r="AT40" s="307">
        <f t="shared" si="19"/>
        <v>6.3056277189369192</v>
      </c>
      <c r="AU40" s="307">
        <f t="shared" si="19"/>
        <v>41.39581721858179</v>
      </c>
      <c r="AV40" s="307">
        <f t="shared" si="19"/>
        <v>73.106897270264753</v>
      </c>
      <c r="AW40" s="307">
        <f t="shared" si="19"/>
        <v>101.90454732210321</v>
      </c>
      <c r="AX40" s="307">
        <f t="shared" si="19"/>
        <v>128.17263707439477</v>
      </c>
      <c r="AY40" s="307">
        <f t="shared" si="19"/>
        <v>129.56376922423334</v>
      </c>
      <c r="AZ40" s="307">
        <f t="shared" si="19"/>
        <v>151.67898674805005</v>
      </c>
      <c r="BA40" s="307">
        <f t="shared" si="19"/>
        <v>172.07777715575972</v>
      </c>
      <c r="BB40" s="307">
        <f t="shared" si="19"/>
        <v>190.9525010508618</v>
      </c>
      <c r="BC40" s="307">
        <f t="shared" si="19"/>
        <v>208.46781025209449</v>
      </c>
      <c r="BD40" s="307">
        <f t="shared" si="19"/>
        <v>223.44988661226716</v>
      </c>
      <c r="BE40" s="307">
        <f t="shared" si="19"/>
        <v>230.16880329918456</v>
      </c>
      <c r="BF40" s="307">
        <f t="shared" si="19"/>
        <v>236.07139310022487</v>
      </c>
      <c r="BG40" s="307">
        <f t="shared" si="19"/>
        <v>241.2979076133353</v>
      </c>
      <c r="BH40" s="307">
        <f t="shared" si="19"/>
        <v>245.95821026145936</v>
      </c>
      <c r="BI40" s="307">
        <f t="shared" si="19"/>
        <v>250.13958361130463</v>
      </c>
      <c r="BJ40" s="307">
        <f t="shared" si="19"/>
        <v>253.91224730561154</v>
      </c>
      <c r="BK40" s="307">
        <f t="shared" si="19"/>
        <v>257.33333333333331</v>
      </c>
      <c r="BL40" s="307">
        <f>IF(BL30&lt;0,MAX(-$C$10,200000*BL30),MIN(200000*BL30,$C$10)-IF(AND($D20&lt;$C$8*BL17,$D20&gt;0),$C$9,0))</f>
        <v>287.95833333333331</v>
      </c>
      <c r="BM40" s="307">
        <f>IF(BM30&lt;0,MAX(-$C$10,200000*BM30),MIN(200000*BM30,$C$10)-IF(AND($D20&lt;$C$8*BM17,$D20&gt;0),$C$9,0))</f>
        <v>299.94202898550719</v>
      </c>
      <c r="BN40" s="307">
        <f>IF(BN30&lt;0,MAX(-$C$10,200000*BN30),MIN(200000*BN30,$C$10)-IF(AND($D20&lt;$C$8*BN17,$D20&gt;0),$C$9,0))</f>
        <v>306.33333333333331</v>
      </c>
      <c r="BO40" s="12">
        <f>IF(D40=0,0,BO38)</f>
        <v>327.33333333333331</v>
      </c>
      <c r="BP40" s="41"/>
      <c r="BQ40" s="41"/>
      <c r="BR40" s="41"/>
    </row>
    <row r="41" spans="1:70" ht="16.5">
      <c r="A41" s="41"/>
      <c r="B41" s="11">
        <f t="shared" si="17"/>
        <v>4</v>
      </c>
      <c r="C41" s="302" t="s">
        <v>61</v>
      </c>
      <c r="D41" s="12">
        <f t="shared" ref="D41:AI41" si="20">IF(D31&lt;0,MAX(-$C$10,200000*D31),MIN(200000*D31,$C$10)-IF(AND($D21&lt;$C$8*D17,$D21&gt;0),$C$9,0))</f>
        <v>0</v>
      </c>
      <c r="E41" s="307">
        <f t="shared" si="20"/>
        <v>0</v>
      </c>
      <c r="F41" s="307">
        <f t="shared" si="20"/>
        <v>0</v>
      </c>
      <c r="G41" s="307">
        <f t="shared" si="20"/>
        <v>0</v>
      </c>
      <c r="H41" s="307">
        <f t="shared" si="20"/>
        <v>0</v>
      </c>
      <c r="I41" s="307">
        <f t="shared" si="20"/>
        <v>0</v>
      </c>
      <c r="J41" s="307">
        <f t="shared" si="20"/>
        <v>0</v>
      </c>
      <c r="K41" s="307">
        <f t="shared" si="20"/>
        <v>0</v>
      </c>
      <c r="L41" s="307">
        <f t="shared" si="20"/>
        <v>0</v>
      </c>
      <c r="M41" s="307">
        <f t="shared" si="20"/>
        <v>0</v>
      </c>
      <c r="N41" s="307">
        <f t="shared" si="20"/>
        <v>0</v>
      </c>
      <c r="O41" s="307">
        <f t="shared" si="20"/>
        <v>0</v>
      </c>
      <c r="P41" s="307">
        <f t="shared" si="20"/>
        <v>0</v>
      </c>
      <c r="Q41" s="307">
        <f t="shared" si="20"/>
        <v>0</v>
      </c>
      <c r="R41" s="307">
        <f t="shared" si="20"/>
        <v>0</v>
      </c>
      <c r="S41" s="307">
        <f t="shared" si="20"/>
        <v>0</v>
      </c>
      <c r="T41" s="307">
        <f t="shared" si="20"/>
        <v>0</v>
      </c>
      <c r="U41" s="307">
        <f t="shared" si="20"/>
        <v>0</v>
      </c>
      <c r="V41" s="307">
        <f t="shared" si="20"/>
        <v>0</v>
      </c>
      <c r="W41" s="307">
        <f t="shared" si="20"/>
        <v>0</v>
      </c>
      <c r="X41" s="307">
        <f t="shared" si="20"/>
        <v>0</v>
      </c>
      <c r="Y41" s="307">
        <f t="shared" si="20"/>
        <v>0</v>
      </c>
      <c r="Z41" s="307">
        <f t="shared" si="20"/>
        <v>0</v>
      </c>
      <c r="AA41" s="307">
        <f t="shared" si="20"/>
        <v>0</v>
      </c>
      <c r="AB41" s="307">
        <f t="shared" si="20"/>
        <v>0</v>
      </c>
      <c r="AC41" s="307">
        <f t="shared" si="20"/>
        <v>0</v>
      </c>
      <c r="AD41" s="307">
        <f t="shared" si="20"/>
        <v>0</v>
      </c>
      <c r="AE41" s="307">
        <f t="shared" si="20"/>
        <v>0</v>
      </c>
      <c r="AF41" s="307">
        <f t="shared" si="20"/>
        <v>0</v>
      </c>
      <c r="AG41" s="307">
        <f t="shared" si="20"/>
        <v>0</v>
      </c>
      <c r="AH41" s="307">
        <f t="shared" si="20"/>
        <v>0</v>
      </c>
      <c r="AI41" s="307">
        <f t="shared" si="20"/>
        <v>0</v>
      </c>
      <c r="AJ41" s="307">
        <f t="shared" ref="AJ41:BK41" si="21">IF(AJ31&lt;0,MAX(-$C$10,200000*AJ31),MIN(200000*AJ31,$C$10)-IF(AND($D21&lt;$C$8*AJ17,$D21&gt;0),$C$9,0))</f>
        <v>0</v>
      </c>
      <c r="AK41" s="307">
        <f t="shared" si="21"/>
        <v>0</v>
      </c>
      <c r="AL41" s="307">
        <f t="shared" si="21"/>
        <v>0</v>
      </c>
      <c r="AM41" s="307">
        <f t="shared" si="21"/>
        <v>0</v>
      </c>
      <c r="AN41" s="307">
        <f t="shared" si="21"/>
        <v>0</v>
      </c>
      <c r="AO41" s="307">
        <f t="shared" si="21"/>
        <v>0</v>
      </c>
      <c r="AP41" s="307">
        <f t="shared" si="21"/>
        <v>0</v>
      </c>
      <c r="AQ41" s="307">
        <f t="shared" si="21"/>
        <v>0</v>
      </c>
      <c r="AR41" s="61">
        <f t="shared" si="21"/>
        <v>0</v>
      </c>
      <c r="AS41" s="307">
        <f t="shared" si="21"/>
        <v>0</v>
      </c>
      <c r="AT41" s="307">
        <f t="shared" si="21"/>
        <v>0</v>
      </c>
      <c r="AU41" s="307">
        <f t="shared" si="21"/>
        <v>0</v>
      </c>
      <c r="AV41" s="307">
        <f t="shared" si="21"/>
        <v>0</v>
      </c>
      <c r="AW41" s="307">
        <f t="shared" si="21"/>
        <v>0</v>
      </c>
      <c r="AX41" s="307">
        <f t="shared" si="21"/>
        <v>0</v>
      </c>
      <c r="AY41" s="307">
        <f t="shared" si="21"/>
        <v>0</v>
      </c>
      <c r="AZ41" s="307">
        <f t="shared" si="21"/>
        <v>0</v>
      </c>
      <c r="BA41" s="307">
        <f t="shared" si="21"/>
        <v>0</v>
      </c>
      <c r="BB41" s="307">
        <f t="shared" si="21"/>
        <v>0</v>
      </c>
      <c r="BC41" s="307">
        <f t="shared" si="21"/>
        <v>0</v>
      </c>
      <c r="BD41" s="307">
        <f t="shared" si="21"/>
        <v>0</v>
      </c>
      <c r="BE41" s="307">
        <f t="shared" si="21"/>
        <v>0</v>
      </c>
      <c r="BF41" s="307">
        <f t="shared" si="21"/>
        <v>0</v>
      </c>
      <c r="BG41" s="307">
        <f t="shared" si="21"/>
        <v>0</v>
      </c>
      <c r="BH41" s="307">
        <f t="shared" si="21"/>
        <v>0</v>
      </c>
      <c r="BI41" s="307">
        <f t="shared" si="21"/>
        <v>0</v>
      </c>
      <c r="BJ41" s="307">
        <f t="shared" si="21"/>
        <v>0</v>
      </c>
      <c r="BK41" s="307">
        <f t="shared" si="21"/>
        <v>0</v>
      </c>
      <c r="BL41" s="307">
        <f>IF(BL31&lt;0,MAX(-$C$10,200000*BL31),MIN(200000*BL31,$C$10)-IF(AND($D21&lt;$C$8*BL17,$D21&gt;0),$C$9,0))</f>
        <v>0</v>
      </c>
      <c r="BM41" s="307">
        <f>IF(BM31&lt;0,MAX(-$C$10,200000*BM31),MIN(200000*BM31,$C$10)-IF(AND($D21&lt;$C$8*BM17,$D21&gt;0),$C$9,0))</f>
        <v>0</v>
      </c>
      <c r="BN41" s="307">
        <f>IF(BN31&lt;0,MAX(-$C$10,200000*BN31),MIN(200000*BN31,$C$10)-IF(AND($D21&lt;$C$8*BN17,$D21&gt;0),$C$9,0))</f>
        <v>0</v>
      </c>
      <c r="BO41" s="12">
        <f>IF(D41=0,0,BO38)</f>
        <v>0</v>
      </c>
      <c r="BP41" s="41"/>
      <c r="BQ41" s="41"/>
      <c r="BR41" s="41"/>
    </row>
    <row r="42" spans="1:70" ht="16.5">
      <c r="A42" s="41"/>
      <c r="B42" s="11">
        <f t="shared" si="17"/>
        <v>5</v>
      </c>
      <c r="C42" s="302" t="s">
        <v>61</v>
      </c>
      <c r="D42" s="12">
        <f t="shared" ref="D42:AI42" si="22">IF(D32&lt;0,MAX(-$C$10,200000*D32),MIN(200000*D32,$C$10)-IF(AND($D22&lt;$C$8*D17,$D22&gt;0),$C$9,0))</f>
        <v>0</v>
      </c>
      <c r="E42" s="307">
        <f t="shared" si="22"/>
        <v>0</v>
      </c>
      <c r="F42" s="307">
        <f t="shared" si="22"/>
        <v>0</v>
      </c>
      <c r="G42" s="307">
        <f t="shared" si="22"/>
        <v>0</v>
      </c>
      <c r="H42" s="307">
        <f t="shared" si="22"/>
        <v>0</v>
      </c>
      <c r="I42" s="307">
        <f t="shared" si="22"/>
        <v>0</v>
      </c>
      <c r="J42" s="307">
        <f t="shared" si="22"/>
        <v>0</v>
      </c>
      <c r="K42" s="307">
        <f t="shared" si="22"/>
        <v>0</v>
      </c>
      <c r="L42" s="307">
        <f t="shared" si="22"/>
        <v>0</v>
      </c>
      <c r="M42" s="307">
        <f t="shared" si="22"/>
        <v>0</v>
      </c>
      <c r="N42" s="307">
        <f t="shared" si="22"/>
        <v>0</v>
      </c>
      <c r="O42" s="307">
        <f t="shared" si="22"/>
        <v>0</v>
      </c>
      <c r="P42" s="307">
        <f t="shared" si="22"/>
        <v>0</v>
      </c>
      <c r="Q42" s="307">
        <f t="shared" si="22"/>
        <v>0</v>
      </c>
      <c r="R42" s="307">
        <f t="shared" si="22"/>
        <v>0</v>
      </c>
      <c r="S42" s="307">
        <f t="shared" si="22"/>
        <v>0</v>
      </c>
      <c r="T42" s="307">
        <f t="shared" si="22"/>
        <v>0</v>
      </c>
      <c r="U42" s="307">
        <f t="shared" si="22"/>
        <v>0</v>
      </c>
      <c r="V42" s="307">
        <f t="shared" si="22"/>
        <v>0</v>
      </c>
      <c r="W42" s="307">
        <f t="shared" si="22"/>
        <v>0</v>
      </c>
      <c r="X42" s="307">
        <f t="shared" si="22"/>
        <v>0</v>
      </c>
      <c r="Y42" s="307">
        <f t="shared" si="22"/>
        <v>0</v>
      </c>
      <c r="Z42" s="307">
        <f t="shared" si="22"/>
        <v>0</v>
      </c>
      <c r="AA42" s="307">
        <f t="shared" si="22"/>
        <v>0</v>
      </c>
      <c r="AB42" s="307">
        <f t="shared" si="22"/>
        <v>0</v>
      </c>
      <c r="AC42" s="307">
        <f t="shared" si="22"/>
        <v>0</v>
      </c>
      <c r="AD42" s="307">
        <f t="shared" si="22"/>
        <v>0</v>
      </c>
      <c r="AE42" s="307">
        <f t="shared" si="22"/>
        <v>0</v>
      </c>
      <c r="AF42" s="307">
        <f t="shared" si="22"/>
        <v>0</v>
      </c>
      <c r="AG42" s="307">
        <f t="shared" si="22"/>
        <v>0</v>
      </c>
      <c r="AH42" s="307">
        <f t="shared" si="22"/>
        <v>0</v>
      </c>
      <c r="AI42" s="307">
        <f t="shared" si="22"/>
        <v>0</v>
      </c>
      <c r="AJ42" s="307">
        <f t="shared" ref="AJ42:BK42" si="23">IF(AJ32&lt;0,MAX(-$C$10,200000*AJ32),MIN(200000*AJ32,$C$10)-IF(AND($D22&lt;$C$8*AJ17,$D22&gt;0),$C$9,0))</f>
        <v>0</v>
      </c>
      <c r="AK42" s="307">
        <f t="shared" si="23"/>
        <v>0</v>
      </c>
      <c r="AL42" s="307">
        <f t="shared" si="23"/>
        <v>0</v>
      </c>
      <c r="AM42" s="307">
        <f t="shared" si="23"/>
        <v>0</v>
      </c>
      <c r="AN42" s="307">
        <f t="shared" si="23"/>
        <v>0</v>
      </c>
      <c r="AO42" s="307">
        <f t="shared" si="23"/>
        <v>0</v>
      </c>
      <c r="AP42" s="307">
        <f t="shared" si="23"/>
        <v>0</v>
      </c>
      <c r="AQ42" s="307">
        <f t="shared" si="23"/>
        <v>0</v>
      </c>
      <c r="AR42" s="61">
        <f t="shared" si="23"/>
        <v>0</v>
      </c>
      <c r="AS42" s="307">
        <f t="shared" si="23"/>
        <v>0</v>
      </c>
      <c r="AT42" s="307">
        <f t="shared" si="23"/>
        <v>0</v>
      </c>
      <c r="AU42" s="307">
        <f t="shared" si="23"/>
        <v>0</v>
      </c>
      <c r="AV42" s="307">
        <f t="shared" si="23"/>
        <v>0</v>
      </c>
      <c r="AW42" s="307">
        <f t="shared" si="23"/>
        <v>0</v>
      </c>
      <c r="AX42" s="307">
        <f t="shared" si="23"/>
        <v>0</v>
      </c>
      <c r="AY42" s="307">
        <f t="shared" si="23"/>
        <v>0</v>
      </c>
      <c r="AZ42" s="307">
        <f t="shared" si="23"/>
        <v>0</v>
      </c>
      <c r="BA42" s="307">
        <f t="shared" si="23"/>
        <v>0</v>
      </c>
      <c r="BB42" s="307">
        <f t="shared" si="23"/>
        <v>0</v>
      </c>
      <c r="BC42" s="307">
        <f t="shared" si="23"/>
        <v>0</v>
      </c>
      <c r="BD42" s="307">
        <f t="shared" si="23"/>
        <v>0</v>
      </c>
      <c r="BE42" s="307">
        <f t="shared" si="23"/>
        <v>0</v>
      </c>
      <c r="BF42" s="307">
        <f t="shared" si="23"/>
        <v>0</v>
      </c>
      <c r="BG42" s="307">
        <f t="shared" si="23"/>
        <v>0</v>
      </c>
      <c r="BH42" s="307">
        <f t="shared" si="23"/>
        <v>0</v>
      </c>
      <c r="BI42" s="307">
        <f t="shared" si="23"/>
        <v>0</v>
      </c>
      <c r="BJ42" s="307">
        <f t="shared" si="23"/>
        <v>0</v>
      </c>
      <c r="BK42" s="307">
        <f t="shared" si="23"/>
        <v>0</v>
      </c>
      <c r="BL42" s="307">
        <f>IF(BL32&lt;0,MAX(-$C$10,200000*BL32),MIN(200000*BL32,$C$10)-IF(AND($D22&lt;$C$8*BL17,$D22&gt;0),$C$9,0))</f>
        <v>0</v>
      </c>
      <c r="BM42" s="307">
        <f>IF(BM32&lt;0,MAX(-$C$10,200000*BM32),MIN(200000*BM32,$C$10)-IF(AND($D22&lt;$C$8*BM17,$D22&gt;0),$C$9,0))</f>
        <v>0</v>
      </c>
      <c r="BN42" s="307">
        <f>IF(BN32&lt;0,MAX(-$C$10,200000*BN32),MIN(200000*BN32,$C$10)-IF(AND($D22&lt;$C$8*BN17,$D22&gt;0),$C$9,0))</f>
        <v>0</v>
      </c>
      <c r="BO42" s="12">
        <f>IF(D42=0,0,BO38)</f>
        <v>0</v>
      </c>
      <c r="BP42" s="41"/>
      <c r="BQ42" s="41"/>
      <c r="BR42" s="41"/>
    </row>
    <row r="43" spans="1:70" ht="16.5">
      <c r="A43" s="41"/>
      <c r="B43" s="11">
        <f t="shared" si="17"/>
        <v>6</v>
      </c>
      <c r="C43" s="302" t="s">
        <v>61</v>
      </c>
      <c r="D43" s="12">
        <f t="shared" ref="D43:AI43" si="24">IF(D33&lt;0,MAX(-$C$10,200000*D33),MIN(200000*D33,$C$10)-IF(AND($D23&lt;$C$8*D17,$D23&gt;0),$C$9,0))</f>
        <v>0</v>
      </c>
      <c r="E43" s="307">
        <f t="shared" si="24"/>
        <v>0</v>
      </c>
      <c r="F43" s="307">
        <f t="shared" si="24"/>
        <v>0</v>
      </c>
      <c r="G43" s="307">
        <f t="shared" si="24"/>
        <v>0</v>
      </c>
      <c r="H43" s="307">
        <f t="shared" si="24"/>
        <v>0</v>
      </c>
      <c r="I43" s="307">
        <f t="shared" si="24"/>
        <v>0</v>
      </c>
      <c r="J43" s="307">
        <f t="shared" si="24"/>
        <v>0</v>
      </c>
      <c r="K43" s="307">
        <f t="shared" si="24"/>
        <v>0</v>
      </c>
      <c r="L43" s="307">
        <f t="shared" si="24"/>
        <v>0</v>
      </c>
      <c r="M43" s="307">
        <f t="shared" si="24"/>
        <v>0</v>
      </c>
      <c r="N43" s="307">
        <f t="shared" si="24"/>
        <v>0</v>
      </c>
      <c r="O43" s="307">
        <f t="shared" si="24"/>
        <v>0</v>
      </c>
      <c r="P43" s="307">
        <f t="shared" si="24"/>
        <v>0</v>
      </c>
      <c r="Q43" s="307">
        <f t="shared" si="24"/>
        <v>0</v>
      </c>
      <c r="R43" s="307">
        <f t="shared" si="24"/>
        <v>0</v>
      </c>
      <c r="S43" s="307">
        <f t="shared" si="24"/>
        <v>0</v>
      </c>
      <c r="T43" s="307">
        <f t="shared" si="24"/>
        <v>0</v>
      </c>
      <c r="U43" s="307">
        <f t="shared" si="24"/>
        <v>0</v>
      </c>
      <c r="V43" s="307">
        <f t="shared" si="24"/>
        <v>0</v>
      </c>
      <c r="W43" s="307">
        <f t="shared" si="24"/>
        <v>0</v>
      </c>
      <c r="X43" s="307">
        <f t="shared" si="24"/>
        <v>0</v>
      </c>
      <c r="Y43" s="307">
        <f t="shared" si="24"/>
        <v>0</v>
      </c>
      <c r="Z43" s="307">
        <f t="shared" si="24"/>
        <v>0</v>
      </c>
      <c r="AA43" s="307">
        <f t="shared" si="24"/>
        <v>0</v>
      </c>
      <c r="AB43" s="307">
        <f t="shared" si="24"/>
        <v>0</v>
      </c>
      <c r="AC43" s="307">
        <f t="shared" si="24"/>
        <v>0</v>
      </c>
      <c r="AD43" s="307">
        <f t="shared" si="24"/>
        <v>0</v>
      </c>
      <c r="AE43" s="307">
        <f t="shared" si="24"/>
        <v>0</v>
      </c>
      <c r="AF43" s="307">
        <f t="shared" si="24"/>
        <v>0</v>
      </c>
      <c r="AG43" s="307">
        <f t="shared" si="24"/>
        <v>0</v>
      </c>
      <c r="AH43" s="307">
        <f t="shared" si="24"/>
        <v>0</v>
      </c>
      <c r="AI43" s="307">
        <f t="shared" si="24"/>
        <v>0</v>
      </c>
      <c r="AJ43" s="307">
        <f t="shared" ref="AJ43:BK43" si="25">IF(AJ33&lt;0,MAX(-$C$10,200000*AJ33),MIN(200000*AJ33,$C$10)-IF(AND($D23&lt;$C$8*AJ17,$D23&gt;0),$C$9,0))</f>
        <v>0</v>
      </c>
      <c r="AK43" s="307">
        <f t="shared" si="25"/>
        <v>0</v>
      </c>
      <c r="AL43" s="307">
        <f t="shared" si="25"/>
        <v>0</v>
      </c>
      <c r="AM43" s="307">
        <f t="shared" si="25"/>
        <v>0</v>
      </c>
      <c r="AN43" s="307">
        <f t="shared" si="25"/>
        <v>0</v>
      </c>
      <c r="AO43" s="307">
        <f t="shared" si="25"/>
        <v>0</v>
      </c>
      <c r="AP43" s="307">
        <f t="shared" si="25"/>
        <v>0</v>
      </c>
      <c r="AQ43" s="307">
        <f t="shared" si="25"/>
        <v>0</v>
      </c>
      <c r="AR43" s="61">
        <f t="shared" si="25"/>
        <v>0</v>
      </c>
      <c r="AS43" s="307">
        <f t="shared" si="25"/>
        <v>0</v>
      </c>
      <c r="AT43" s="307">
        <f t="shared" si="25"/>
        <v>0</v>
      </c>
      <c r="AU43" s="307">
        <f t="shared" si="25"/>
        <v>0</v>
      </c>
      <c r="AV43" s="307">
        <f t="shared" si="25"/>
        <v>0</v>
      </c>
      <c r="AW43" s="307">
        <f t="shared" si="25"/>
        <v>0</v>
      </c>
      <c r="AX43" s="307">
        <f t="shared" si="25"/>
        <v>0</v>
      </c>
      <c r="AY43" s="307">
        <f t="shared" si="25"/>
        <v>0</v>
      </c>
      <c r="AZ43" s="307">
        <f t="shared" si="25"/>
        <v>0</v>
      </c>
      <c r="BA43" s="307">
        <f t="shared" si="25"/>
        <v>0</v>
      </c>
      <c r="BB43" s="307">
        <f t="shared" si="25"/>
        <v>0</v>
      </c>
      <c r="BC43" s="307">
        <f t="shared" si="25"/>
        <v>0</v>
      </c>
      <c r="BD43" s="307">
        <f t="shared" si="25"/>
        <v>0</v>
      </c>
      <c r="BE43" s="307">
        <f t="shared" si="25"/>
        <v>0</v>
      </c>
      <c r="BF43" s="307">
        <f t="shared" si="25"/>
        <v>0</v>
      </c>
      <c r="BG43" s="307">
        <f t="shared" si="25"/>
        <v>0</v>
      </c>
      <c r="BH43" s="307">
        <f t="shared" si="25"/>
        <v>0</v>
      </c>
      <c r="BI43" s="307">
        <f t="shared" si="25"/>
        <v>0</v>
      </c>
      <c r="BJ43" s="307">
        <f t="shared" si="25"/>
        <v>0</v>
      </c>
      <c r="BK43" s="307">
        <f t="shared" si="25"/>
        <v>0</v>
      </c>
      <c r="BL43" s="307">
        <f>IF(BL33&lt;0,MAX(-$C$10,200000*BL33),MIN(200000*BL33,$C$10)-IF(AND($D23&lt;$C$8*BL17,$D23&gt;0),$C$9,0))</f>
        <v>0</v>
      </c>
      <c r="BM43" s="307">
        <f>IF(BM33&lt;0,MAX(-$C$10,200000*BM33),MIN(200000*BM33,$C$10)-IF(AND($D23&lt;$C$8*BM17,$D23&gt;0),$C$9,0))</f>
        <v>0</v>
      </c>
      <c r="BN43" s="307">
        <f>IF(BN33&lt;0,MAX(-$C$10,200000*BN33),MIN(200000*BN33,$C$10)-IF(AND($D23&lt;$C$8*BN17,$D23&gt;0),$C$9,0))</f>
        <v>0</v>
      </c>
      <c r="BO43" s="12">
        <f>IF(D43=0,0,BO38)</f>
        <v>0</v>
      </c>
      <c r="BP43" s="41"/>
      <c r="BQ43" s="41"/>
      <c r="BR43" s="41"/>
    </row>
    <row r="44" spans="1:70" ht="16.5">
      <c r="A44" s="41"/>
      <c r="B44" s="11">
        <f t="shared" si="17"/>
        <v>7</v>
      </c>
      <c r="C44" s="302" t="s">
        <v>61</v>
      </c>
      <c r="D44" s="12">
        <f t="shared" ref="D44:AI44" si="26">IF(D34&lt;0,MAX(-$C$10,200000*D34),MIN(200000*D34,$C$10)-IF(AND($D24&lt;$C$8*D17,$D24&gt;0),$C$9,0))</f>
        <v>0</v>
      </c>
      <c r="E44" s="307">
        <f t="shared" si="26"/>
        <v>0</v>
      </c>
      <c r="F44" s="307">
        <f t="shared" si="26"/>
        <v>0</v>
      </c>
      <c r="G44" s="307">
        <f t="shared" si="26"/>
        <v>0</v>
      </c>
      <c r="H44" s="307">
        <f t="shared" si="26"/>
        <v>0</v>
      </c>
      <c r="I44" s="307">
        <f t="shared" si="26"/>
        <v>0</v>
      </c>
      <c r="J44" s="307">
        <f t="shared" si="26"/>
        <v>0</v>
      </c>
      <c r="K44" s="307">
        <f t="shared" si="26"/>
        <v>0</v>
      </c>
      <c r="L44" s="307">
        <f t="shared" si="26"/>
        <v>0</v>
      </c>
      <c r="M44" s="307">
        <f t="shared" si="26"/>
        <v>0</v>
      </c>
      <c r="N44" s="307">
        <f t="shared" si="26"/>
        <v>0</v>
      </c>
      <c r="O44" s="307">
        <f t="shared" si="26"/>
        <v>0</v>
      </c>
      <c r="P44" s="307">
        <f t="shared" si="26"/>
        <v>0</v>
      </c>
      <c r="Q44" s="307">
        <f t="shared" si="26"/>
        <v>0</v>
      </c>
      <c r="R44" s="307">
        <f t="shared" si="26"/>
        <v>0</v>
      </c>
      <c r="S44" s="307">
        <f t="shared" si="26"/>
        <v>0</v>
      </c>
      <c r="T44" s="307">
        <f t="shared" si="26"/>
        <v>0</v>
      </c>
      <c r="U44" s="307">
        <f t="shared" si="26"/>
        <v>0</v>
      </c>
      <c r="V44" s="307">
        <f t="shared" si="26"/>
        <v>0</v>
      </c>
      <c r="W44" s="307">
        <f t="shared" si="26"/>
        <v>0</v>
      </c>
      <c r="X44" s="307">
        <f t="shared" si="26"/>
        <v>0</v>
      </c>
      <c r="Y44" s="307">
        <f t="shared" si="26"/>
        <v>0</v>
      </c>
      <c r="Z44" s="307">
        <f t="shared" si="26"/>
        <v>0</v>
      </c>
      <c r="AA44" s="307">
        <f t="shared" si="26"/>
        <v>0</v>
      </c>
      <c r="AB44" s="307">
        <f t="shared" si="26"/>
        <v>0</v>
      </c>
      <c r="AC44" s="307">
        <f t="shared" si="26"/>
        <v>0</v>
      </c>
      <c r="AD44" s="307">
        <f t="shared" si="26"/>
        <v>0</v>
      </c>
      <c r="AE44" s="307">
        <f t="shared" si="26"/>
        <v>0</v>
      </c>
      <c r="AF44" s="307">
        <f t="shared" si="26"/>
        <v>0</v>
      </c>
      <c r="AG44" s="307">
        <f t="shared" si="26"/>
        <v>0</v>
      </c>
      <c r="AH44" s="307">
        <f t="shared" si="26"/>
        <v>0</v>
      </c>
      <c r="AI44" s="307">
        <f t="shared" si="26"/>
        <v>0</v>
      </c>
      <c r="AJ44" s="307">
        <f t="shared" ref="AJ44:BK44" si="27">IF(AJ34&lt;0,MAX(-$C$10,200000*AJ34),MIN(200000*AJ34,$C$10)-IF(AND($D24&lt;$C$8*AJ17,$D24&gt;0),$C$9,0))</f>
        <v>0</v>
      </c>
      <c r="AK44" s="307">
        <f t="shared" si="27"/>
        <v>0</v>
      </c>
      <c r="AL44" s="307">
        <f t="shared" si="27"/>
        <v>0</v>
      </c>
      <c r="AM44" s="307">
        <f t="shared" si="27"/>
        <v>0</v>
      </c>
      <c r="AN44" s="307">
        <f t="shared" si="27"/>
        <v>0</v>
      </c>
      <c r="AO44" s="307">
        <f t="shared" si="27"/>
        <v>0</v>
      </c>
      <c r="AP44" s="307">
        <f t="shared" si="27"/>
        <v>0</v>
      </c>
      <c r="AQ44" s="307">
        <f t="shared" si="27"/>
        <v>0</v>
      </c>
      <c r="AR44" s="61">
        <f t="shared" si="27"/>
        <v>0</v>
      </c>
      <c r="AS44" s="307">
        <f t="shared" si="27"/>
        <v>0</v>
      </c>
      <c r="AT44" s="307">
        <f t="shared" si="27"/>
        <v>0</v>
      </c>
      <c r="AU44" s="307">
        <f t="shared" si="27"/>
        <v>0</v>
      </c>
      <c r="AV44" s="307">
        <f t="shared" si="27"/>
        <v>0</v>
      </c>
      <c r="AW44" s="307">
        <f t="shared" si="27"/>
        <v>0</v>
      </c>
      <c r="AX44" s="307">
        <f t="shared" si="27"/>
        <v>0</v>
      </c>
      <c r="AY44" s="307">
        <f t="shared" si="27"/>
        <v>0</v>
      </c>
      <c r="AZ44" s="307">
        <f t="shared" si="27"/>
        <v>0</v>
      </c>
      <c r="BA44" s="307">
        <f t="shared" si="27"/>
        <v>0</v>
      </c>
      <c r="BB44" s="307">
        <f t="shared" si="27"/>
        <v>0</v>
      </c>
      <c r="BC44" s="307">
        <f t="shared" si="27"/>
        <v>0</v>
      </c>
      <c r="BD44" s="307">
        <f t="shared" si="27"/>
        <v>0</v>
      </c>
      <c r="BE44" s="307">
        <f t="shared" si="27"/>
        <v>0</v>
      </c>
      <c r="BF44" s="307">
        <f t="shared" si="27"/>
        <v>0</v>
      </c>
      <c r="BG44" s="307">
        <f t="shared" si="27"/>
        <v>0</v>
      </c>
      <c r="BH44" s="307">
        <f t="shared" si="27"/>
        <v>0</v>
      </c>
      <c r="BI44" s="307">
        <f t="shared" si="27"/>
        <v>0</v>
      </c>
      <c r="BJ44" s="307">
        <f t="shared" si="27"/>
        <v>0</v>
      </c>
      <c r="BK44" s="307">
        <f t="shared" si="27"/>
        <v>0</v>
      </c>
      <c r="BL44" s="307">
        <f>IF(BL34&lt;0,MAX(-$C$10,200000*BL34),MIN(200000*BL34,$C$10)-IF(AND($D24&lt;$C$8*BL17,$D24&gt;0),$C$9,0))</f>
        <v>0</v>
      </c>
      <c r="BM44" s="307">
        <f>IF(BM34&lt;0,MAX(-$C$10,200000*BM34),MIN(200000*BM34,$C$10)-IF(AND($D24&lt;$C$8*BM17,$D24&gt;0),$C$9,0))</f>
        <v>0</v>
      </c>
      <c r="BN44" s="307">
        <f>IF(BN34&lt;0,MAX(-$C$10,200000*BN34),MIN(200000*BN34,$C$10)-IF(AND($D24&lt;$C$8*BN17,$D24&gt;0),$C$9,0))</f>
        <v>0</v>
      </c>
      <c r="BO44" s="12">
        <f>IF(D44=0,0,BO38)</f>
        <v>0</v>
      </c>
      <c r="BP44" s="41"/>
      <c r="BQ44" s="41"/>
      <c r="BR44" s="41"/>
    </row>
    <row r="45" spans="1:70" ht="16.5">
      <c r="A45" s="41"/>
      <c r="B45" s="11">
        <f t="shared" si="17"/>
        <v>8</v>
      </c>
      <c r="C45" s="302" t="s">
        <v>61</v>
      </c>
      <c r="D45" s="12">
        <f t="shared" ref="D45:AI45" si="28">IF(D35&lt;0,MAX(-$C$10,200000*D35),MIN(200000*D35,$C$10)-IF(AND($D25&lt;$C$8*D17,$D25&gt;0),$C$9,0))</f>
        <v>0</v>
      </c>
      <c r="E45" s="307">
        <f t="shared" si="28"/>
        <v>0</v>
      </c>
      <c r="F45" s="307">
        <f t="shared" si="28"/>
        <v>0</v>
      </c>
      <c r="G45" s="307">
        <f t="shared" si="28"/>
        <v>0</v>
      </c>
      <c r="H45" s="307">
        <f t="shared" si="28"/>
        <v>0</v>
      </c>
      <c r="I45" s="307">
        <f t="shared" si="28"/>
        <v>0</v>
      </c>
      <c r="J45" s="307">
        <f t="shared" si="28"/>
        <v>0</v>
      </c>
      <c r="K45" s="307">
        <f t="shared" si="28"/>
        <v>0</v>
      </c>
      <c r="L45" s="307">
        <f t="shared" si="28"/>
        <v>0</v>
      </c>
      <c r="M45" s="307">
        <f t="shared" si="28"/>
        <v>0</v>
      </c>
      <c r="N45" s="307">
        <f t="shared" si="28"/>
        <v>0</v>
      </c>
      <c r="O45" s="307">
        <f t="shared" si="28"/>
        <v>0</v>
      </c>
      <c r="P45" s="307">
        <f t="shared" si="28"/>
        <v>0</v>
      </c>
      <c r="Q45" s="307">
        <f t="shared" si="28"/>
        <v>0</v>
      </c>
      <c r="R45" s="307">
        <f t="shared" si="28"/>
        <v>0</v>
      </c>
      <c r="S45" s="307">
        <f t="shared" si="28"/>
        <v>0</v>
      </c>
      <c r="T45" s="307">
        <f t="shared" si="28"/>
        <v>0</v>
      </c>
      <c r="U45" s="307">
        <f t="shared" si="28"/>
        <v>0</v>
      </c>
      <c r="V45" s="307">
        <f t="shared" si="28"/>
        <v>0</v>
      </c>
      <c r="W45" s="307">
        <f t="shared" si="28"/>
        <v>0</v>
      </c>
      <c r="X45" s="307">
        <f t="shared" si="28"/>
        <v>0</v>
      </c>
      <c r="Y45" s="307">
        <f t="shared" si="28"/>
        <v>0</v>
      </c>
      <c r="Z45" s="307">
        <f t="shared" si="28"/>
        <v>0</v>
      </c>
      <c r="AA45" s="307">
        <f t="shared" si="28"/>
        <v>0</v>
      </c>
      <c r="AB45" s="307">
        <f t="shared" si="28"/>
        <v>0</v>
      </c>
      <c r="AC45" s="307">
        <f t="shared" si="28"/>
        <v>0</v>
      </c>
      <c r="AD45" s="307">
        <f t="shared" si="28"/>
        <v>0</v>
      </c>
      <c r="AE45" s="307">
        <f t="shared" si="28"/>
        <v>0</v>
      </c>
      <c r="AF45" s="307">
        <f t="shared" si="28"/>
        <v>0</v>
      </c>
      <c r="AG45" s="307">
        <f t="shared" si="28"/>
        <v>0</v>
      </c>
      <c r="AH45" s="307">
        <f t="shared" si="28"/>
        <v>0</v>
      </c>
      <c r="AI45" s="307">
        <f t="shared" si="28"/>
        <v>0</v>
      </c>
      <c r="AJ45" s="307">
        <f t="shared" ref="AJ45:BK45" si="29">IF(AJ35&lt;0,MAX(-$C$10,200000*AJ35),MIN(200000*AJ35,$C$10)-IF(AND($D25&lt;$C$8*AJ17,$D25&gt;0),$C$9,0))</f>
        <v>0</v>
      </c>
      <c r="AK45" s="307">
        <f t="shared" si="29"/>
        <v>0</v>
      </c>
      <c r="AL45" s="307">
        <f t="shared" si="29"/>
        <v>0</v>
      </c>
      <c r="AM45" s="307">
        <f t="shared" si="29"/>
        <v>0</v>
      </c>
      <c r="AN45" s="307">
        <f t="shared" si="29"/>
        <v>0</v>
      </c>
      <c r="AO45" s="307">
        <f t="shared" si="29"/>
        <v>0</v>
      </c>
      <c r="AP45" s="307">
        <f t="shared" si="29"/>
        <v>0</v>
      </c>
      <c r="AQ45" s="307">
        <f t="shared" si="29"/>
        <v>0</v>
      </c>
      <c r="AR45" s="61">
        <f t="shared" si="29"/>
        <v>0</v>
      </c>
      <c r="AS45" s="307">
        <f t="shared" si="29"/>
        <v>0</v>
      </c>
      <c r="AT45" s="307">
        <f t="shared" si="29"/>
        <v>0</v>
      </c>
      <c r="AU45" s="307">
        <f t="shared" si="29"/>
        <v>0</v>
      </c>
      <c r="AV45" s="307">
        <f t="shared" si="29"/>
        <v>0</v>
      </c>
      <c r="AW45" s="307">
        <f t="shared" si="29"/>
        <v>0</v>
      </c>
      <c r="AX45" s="307">
        <f t="shared" si="29"/>
        <v>0</v>
      </c>
      <c r="AY45" s="307">
        <f t="shared" si="29"/>
        <v>0</v>
      </c>
      <c r="AZ45" s="307">
        <f t="shared" si="29"/>
        <v>0</v>
      </c>
      <c r="BA45" s="307">
        <f t="shared" si="29"/>
        <v>0</v>
      </c>
      <c r="BB45" s="307">
        <f t="shared" si="29"/>
        <v>0</v>
      </c>
      <c r="BC45" s="307">
        <f t="shared" si="29"/>
        <v>0</v>
      </c>
      <c r="BD45" s="307">
        <f t="shared" si="29"/>
        <v>0</v>
      </c>
      <c r="BE45" s="307">
        <f t="shared" si="29"/>
        <v>0</v>
      </c>
      <c r="BF45" s="307">
        <f t="shared" si="29"/>
        <v>0</v>
      </c>
      <c r="BG45" s="307">
        <f t="shared" si="29"/>
        <v>0</v>
      </c>
      <c r="BH45" s="307">
        <f t="shared" si="29"/>
        <v>0</v>
      </c>
      <c r="BI45" s="307">
        <f t="shared" si="29"/>
        <v>0</v>
      </c>
      <c r="BJ45" s="307">
        <f t="shared" si="29"/>
        <v>0</v>
      </c>
      <c r="BK45" s="307">
        <f t="shared" si="29"/>
        <v>0</v>
      </c>
      <c r="BL45" s="307">
        <f>IF(BL35&lt;0,MAX(-$C$10,200000*BL35),MIN(200000*BL35,$C$10)-IF(AND($D25&lt;$C$8*BL17,$D25&gt;0),$C$9,0))</f>
        <v>0</v>
      </c>
      <c r="BM45" s="307">
        <f>IF(BM35&lt;0,MAX(-$C$10,200000*BM35),MIN(200000*BM35,$C$10)-IF(AND($D25&lt;$C$8*BM17,$D25&gt;0),$C$9,0))</f>
        <v>0</v>
      </c>
      <c r="BN45" s="307">
        <f>IF(BN35&lt;0,MAX(-$C$10,200000*BN35),MIN(200000*BN35,$C$10)-IF(AND($D25&lt;$C$8*BN17,$D25&gt;0),$C$9,0))</f>
        <v>0</v>
      </c>
      <c r="BO45" s="12">
        <f>IF(D45=0,0,BO38)</f>
        <v>0</v>
      </c>
      <c r="BP45" s="41"/>
      <c r="BQ45" s="41"/>
      <c r="BR45" s="41"/>
    </row>
    <row r="46" spans="1:70" ht="16.5">
      <c r="A46" s="41"/>
      <c r="B46" s="11">
        <f t="shared" si="17"/>
        <v>9</v>
      </c>
      <c r="C46" s="302" t="s">
        <v>61</v>
      </c>
      <c r="D46" s="12">
        <f t="shared" ref="D46:AI46" si="30">IF(D36&lt;0,MAX(-$C$10,200000*D36),MIN(200000*D36,$C$10)-IF(AND($D26&lt;$C$8*D17,$D26&gt;0),$C$9,0))</f>
        <v>0</v>
      </c>
      <c r="E46" s="307">
        <f t="shared" si="30"/>
        <v>0</v>
      </c>
      <c r="F46" s="307">
        <f t="shared" si="30"/>
        <v>0</v>
      </c>
      <c r="G46" s="307">
        <f t="shared" si="30"/>
        <v>0</v>
      </c>
      <c r="H46" s="307">
        <f t="shared" si="30"/>
        <v>0</v>
      </c>
      <c r="I46" s="307">
        <f t="shared" si="30"/>
        <v>0</v>
      </c>
      <c r="J46" s="307">
        <f t="shared" si="30"/>
        <v>0</v>
      </c>
      <c r="K46" s="307">
        <f t="shared" si="30"/>
        <v>0</v>
      </c>
      <c r="L46" s="307">
        <f t="shared" si="30"/>
        <v>0</v>
      </c>
      <c r="M46" s="307">
        <f t="shared" si="30"/>
        <v>0</v>
      </c>
      <c r="N46" s="307">
        <f t="shared" si="30"/>
        <v>0</v>
      </c>
      <c r="O46" s="307">
        <f t="shared" si="30"/>
        <v>0</v>
      </c>
      <c r="P46" s="307">
        <f t="shared" si="30"/>
        <v>0</v>
      </c>
      <c r="Q46" s="307">
        <f t="shared" si="30"/>
        <v>0</v>
      </c>
      <c r="R46" s="307">
        <f t="shared" si="30"/>
        <v>0</v>
      </c>
      <c r="S46" s="307">
        <f t="shared" si="30"/>
        <v>0</v>
      </c>
      <c r="T46" s="307">
        <f t="shared" si="30"/>
        <v>0</v>
      </c>
      <c r="U46" s="307">
        <f t="shared" si="30"/>
        <v>0</v>
      </c>
      <c r="V46" s="307">
        <f t="shared" si="30"/>
        <v>0</v>
      </c>
      <c r="W46" s="307">
        <f t="shared" si="30"/>
        <v>0</v>
      </c>
      <c r="X46" s="307">
        <f t="shared" si="30"/>
        <v>0</v>
      </c>
      <c r="Y46" s="307">
        <f t="shared" si="30"/>
        <v>0</v>
      </c>
      <c r="Z46" s="307">
        <f t="shared" si="30"/>
        <v>0</v>
      </c>
      <c r="AA46" s="307">
        <f t="shared" si="30"/>
        <v>0</v>
      </c>
      <c r="AB46" s="307">
        <f t="shared" si="30"/>
        <v>0</v>
      </c>
      <c r="AC46" s="307">
        <f t="shared" si="30"/>
        <v>0</v>
      </c>
      <c r="AD46" s="307">
        <f t="shared" si="30"/>
        <v>0</v>
      </c>
      <c r="AE46" s="307">
        <f t="shared" si="30"/>
        <v>0</v>
      </c>
      <c r="AF46" s="307">
        <f t="shared" si="30"/>
        <v>0</v>
      </c>
      <c r="AG46" s="307">
        <f t="shared" si="30"/>
        <v>0</v>
      </c>
      <c r="AH46" s="307">
        <f t="shared" si="30"/>
        <v>0</v>
      </c>
      <c r="AI46" s="307">
        <f t="shared" si="30"/>
        <v>0</v>
      </c>
      <c r="AJ46" s="307">
        <f t="shared" ref="AJ46:BK46" si="31">IF(AJ36&lt;0,MAX(-$C$10,200000*AJ36),MIN(200000*AJ36,$C$10)-IF(AND($D26&lt;$C$8*AJ17,$D26&gt;0),$C$9,0))</f>
        <v>0</v>
      </c>
      <c r="AK46" s="307">
        <f t="shared" si="31"/>
        <v>0</v>
      </c>
      <c r="AL46" s="307">
        <f t="shared" si="31"/>
        <v>0</v>
      </c>
      <c r="AM46" s="307">
        <f t="shared" si="31"/>
        <v>0</v>
      </c>
      <c r="AN46" s="307">
        <f t="shared" si="31"/>
        <v>0</v>
      </c>
      <c r="AO46" s="307">
        <f t="shared" si="31"/>
        <v>0</v>
      </c>
      <c r="AP46" s="307">
        <f t="shared" si="31"/>
        <v>0</v>
      </c>
      <c r="AQ46" s="307">
        <f t="shared" si="31"/>
        <v>0</v>
      </c>
      <c r="AR46" s="61">
        <f t="shared" si="31"/>
        <v>0</v>
      </c>
      <c r="AS46" s="307">
        <f t="shared" si="31"/>
        <v>0</v>
      </c>
      <c r="AT46" s="307">
        <f t="shared" si="31"/>
        <v>0</v>
      </c>
      <c r="AU46" s="307">
        <f t="shared" si="31"/>
        <v>0</v>
      </c>
      <c r="AV46" s="307">
        <f t="shared" si="31"/>
        <v>0</v>
      </c>
      <c r="AW46" s="307">
        <f t="shared" si="31"/>
        <v>0</v>
      </c>
      <c r="AX46" s="307">
        <f t="shared" si="31"/>
        <v>0</v>
      </c>
      <c r="AY46" s="307">
        <f t="shared" si="31"/>
        <v>0</v>
      </c>
      <c r="AZ46" s="307">
        <f t="shared" si="31"/>
        <v>0</v>
      </c>
      <c r="BA46" s="307">
        <f t="shared" si="31"/>
        <v>0</v>
      </c>
      <c r="BB46" s="307">
        <f t="shared" si="31"/>
        <v>0</v>
      </c>
      <c r="BC46" s="307">
        <f t="shared" si="31"/>
        <v>0</v>
      </c>
      <c r="BD46" s="307">
        <f t="shared" si="31"/>
        <v>0</v>
      </c>
      <c r="BE46" s="307">
        <f t="shared" si="31"/>
        <v>0</v>
      </c>
      <c r="BF46" s="307">
        <f t="shared" si="31"/>
        <v>0</v>
      </c>
      <c r="BG46" s="307">
        <f t="shared" si="31"/>
        <v>0</v>
      </c>
      <c r="BH46" s="307">
        <f t="shared" si="31"/>
        <v>0</v>
      </c>
      <c r="BI46" s="307">
        <f t="shared" si="31"/>
        <v>0</v>
      </c>
      <c r="BJ46" s="307">
        <f t="shared" si="31"/>
        <v>0</v>
      </c>
      <c r="BK46" s="307">
        <f t="shared" si="31"/>
        <v>0</v>
      </c>
      <c r="BL46" s="307">
        <f>IF(BL36&lt;0,MAX(-$C$10,200000*BL36),MIN(200000*BL36,$C$10)-IF(AND($D26&lt;$C$8*BL17,$D26&gt;0),$C$9,0))</f>
        <v>0</v>
      </c>
      <c r="BM46" s="307">
        <f>IF(BM36&lt;0,MAX(-$C$10,200000*BM36),MIN(200000*BM36,$C$10)-IF(AND($D26&lt;$C$8*BM17,$D26&gt;0),$C$9,0))</f>
        <v>0</v>
      </c>
      <c r="BN46" s="307">
        <f>IF(BN36&lt;0,MAX(-$C$10,200000*BN36),MIN(200000*BN36,$C$10)-IF(AND($D26&lt;$C$8*BN17,$D26&gt;0),$C$9,0))</f>
        <v>0</v>
      </c>
      <c r="BO46" s="12">
        <f>IF(D46=0,0,BO38)</f>
        <v>0</v>
      </c>
      <c r="BP46" s="41"/>
      <c r="BQ46" s="41"/>
      <c r="BR46" s="41"/>
    </row>
    <row r="47" spans="1:70" ht="16.5">
      <c r="A47" s="41"/>
      <c r="B47" s="294" t="s">
        <v>62</v>
      </c>
      <c r="C47" s="302" t="s">
        <v>63</v>
      </c>
      <c r="D47" s="12">
        <f t="shared" ref="D47:BJ47" si="32">IF(D37&lt;0,MAX(-$C$10,200000*D37),MIN(200000*D37,$C$10)-IF(AND($F14&lt;$C$8*D17,$D27&gt;0),$C$9,0))</f>
        <v>-434.78260869565219</v>
      </c>
      <c r="E47" s="307">
        <f t="shared" si="32"/>
        <v>-434.78260869565219</v>
      </c>
      <c r="F47" s="307">
        <f t="shared" si="32"/>
        <v>-434.78260869565219</v>
      </c>
      <c r="G47" s="307">
        <f t="shared" si="32"/>
        <v>-434.78260869565219</v>
      </c>
      <c r="H47" s="307">
        <f t="shared" si="32"/>
        <v>-434.78260869565219</v>
      </c>
      <c r="I47" s="307">
        <f t="shared" si="32"/>
        <v>-434.78260869565219</v>
      </c>
      <c r="J47" s="307">
        <f t="shared" si="32"/>
        <v>-434.78260869565219</v>
      </c>
      <c r="K47" s="307">
        <f t="shared" si="32"/>
        <v>-434.78260869565219</v>
      </c>
      <c r="L47" s="307">
        <f t="shared" si="32"/>
        <v>-434.78260869565219</v>
      </c>
      <c r="M47" s="307">
        <f t="shared" si="32"/>
        <v>-434.78260869565219</v>
      </c>
      <c r="N47" s="307">
        <f t="shared" si="32"/>
        <v>-434.78260869565219</v>
      </c>
      <c r="O47" s="307">
        <f t="shared" si="32"/>
        <v>-434.78260869565219</v>
      </c>
      <c r="P47" s="307">
        <f t="shared" si="32"/>
        <v>-434.78260869565219</v>
      </c>
      <c r="Q47" s="307">
        <f t="shared" si="32"/>
        <v>-434.78260869565219</v>
      </c>
      <c r="R47" s="307">
        <f t="shared" si="32"/>
        <v>-434.78260869565219</v>
      </c>
      <c r="S47" s="307">
        <f t="shared" si="32"/>
        <v>-434.78260869565219</v>
      </c>
      <c r="T47" s="307">
        <f t="shared" si="32"/>
        <v>-434.78260869565219</v>
      </c>
      <c r="U47" s="307">
        <f t="shared" si="32"/>
        <v>-434.78260869565219</v>
      </c>
      <c r="V47" s="307">
        <f t="shared" si="32"/>
        <v>-434.78260869565219</v>
      </c>
      <c r="W47" s="307">
        <f t="shared" si="32"/>
        <v>-434.78260869565219</v>
      </c>
      <c r="X47" s="307">
        <f t="shared" si="32"/>
        <v>-434.78260869565219</v>
      </c>
      <c r="Y47" s="307">
        <f t="shared" si="32"/>
        <v>-434.78260869565219</v>
      </c>
      <c r="Z47" s="307">
        <f t="shared" si="32"/>
        <v>-434.78260869565219</v>
      </c>
      <c r="AA47" s="307">
        <f t="shared" si="32"/>
        <v>-434.78260869565219</v>
      </c>
      <c r="AB47" s="307">
        <f t="shared" si="32"/>
        <v>-434.78260869565219</v>
      </c>
      <c r="AC47" s="307">
        <f t="shared" si="32"/>
        <v>-434.78260869565219</v>
      </c>
      <c r="AD47" s="307">
        <f t="shared" si="32"/>
        <v>-434.78260869565219</v>
      </c>
      <c r="AE47" s="307">
        <f t="shared" si="32"/>
        <v>-434.78260869565219</v>
      </c>
      <c r="AF47" s="307">
        <f t="shared" si="32"/>
        <v>-434.78260869565219</v>
      </c>
      <c r="AG47" s="307">
        <f t="shared" si="32"/>
        <v>-434.78260869565219</v>
      </c>
      <c r="AH47" s="307">
        <f t="shared" si="32"/>
        <v>-434.78260869565219</v>
      </c>
      <c r="AI47" s="307">
        <f t="shared" si="32"/>
        <v>-434.78260869565219</v>
      </c>
      <c r="AJ47" s="307">
        <f t="shared" si="32"/>
        <v>-434.78260869565219</v>
      </c>
      <c r="AK47" s="307">
        <f t="shared" si="32"/>
        <v>-434.78260869565219</v>
      </c>
      <c r="AL47" s="307">
        <f t="shared" si="32"/>
        <v>-434.78260869565219</v>
      </c>
      <c r="AM47" s="307">
        <f t="shared" si="32"/>
        <v>-434.78260869565219</v>
      </c>
      <c r="AN47" s="307">
        <f t="shared" si="32"/>
        <v>-434.78260869565219</v>
      </c>
      <c r="AO47" s="307">
        <f t="shared" si="32"/>
        <v>-434.78260869565219</v>
      </c>
      <c r="AP47" s="307">
        <f t="shared" si="32"/>
        <v>-434.78260869565219</v>
      </c>
      <c r="AQ47" s="307">
        <f t="shared" si="32"/>
        <v>-434.78260869565219</v>
      </c>
      <c r="AR47" s="61">
        <f t="shared" si="32"/>
        <v>-434.78260869565219</v>
      </c>
      <c r="AS47" s="307">
        <f t="shared" si="32"/>
        <v>-370.91918749086653</v>
      </c>
      <c r="AT47" s="307">
        <f t="shared" si="32"/>
        <v>-313.86100564155373</v>
      </c>
      <c r="AU47" s="307">
        <f t="shared" si="32"/>
        <v>-262.57534406514969</v>
      </c>
      <c r="AV47" s="307">
        <f t="shared" si="32"/>
        <v>-216.22838091269</v>
      </c>
      <c r="AW47" s="307">
        <f t="shared" si="32"/>
        <v>-174.139507760003</v>
      </c>
      <c r="AX47" s="307">
        <f t="shared" si="32"/>
        <v>-135.74768427588461</v>
      </c>
      <c r="AY47" s="307">
        <f t="shared" si="32"/>
        <v>-100.58628600560773</v>
      </c>
      <c r="AZ47" s="307">
        <f t="shared" si="32"/>
        <v>-68.264045009260201</v>
      </c>
      <c r="BA47" s="307">
        <f t="shared" si="32"/>
        <v>-38.450428259530703</v>
      </c>
      <c r="BB47" s="307">
        <f t="shared" si="32"/>
        <v>-10.864293335919957</v>
      </c>
      <c r="BC47" s="307">
        <f t="shared" si="32"/>
        <v>14.73500472742014</v>
      </c>
      <c r="BD47" s="307">
        <f t="shared" si="32"/>
        <v>38.349659836801486</v>
      </c>
      <c r="BE47" s="307">
        <f t="shared" si="32"/>
        <v>58.506409897553596</v>
      </c>
      <c r="BF47" s="307">
        <f t="shared" si="32"/>
        <v>76.214179300674729</v>
      </c>
      <c r="BG47" s="307">
        <f t="shared" si="32"/>
        <v>91.893722840005893</v>
      </c>
      <c r="BH47" s="307">
        <f t="shared" si="32"/>
        <v>105.87463078437801</v>
      </c>
      <c r="BI47" s="307">
        <f t="shared" si="32"/>
        <v>118.41875083391389</v>
      </c>
      <c r="BJ47" s="307">
        <f t="shared" si="32"/>
        <v>107.07007525016793</v>
      </c>
      <c r="BK47" s="307">
        <f>IF(BK37&lt;0,MAX(-$C$10,200000*BK37),MIN(200000*BK37,$C$10)-IF(AND($F14&lt;$C$8*BK17,$D27&gt;0),$C$9,0))</f>
        <v>117.33333333333333</v>
      </c>
      <c r="BL47" s="307">
        <f>IF(BL37&lt;0,MAX(-$C$10,200000*BL37),MIN(200000*BL37,$C$10)-IF(AND($F14&lt;$C$8*BL17,$D27&gt;0),$C$9,0))</f>
        <v>209.20833333333334</v>
      </c>
      <c r="BM47" s="307">
        <f>IF(BM37&lt;0,MAX(-$C$10,200000*BM37),MIN(200000*BM37,$C$10)-IF(AND($F14&lt;$C$8*BM17,$D27&gt;0),$C$9,0))</f>
        <v>245.15942028985509</v>
      </c>
      <c r="BN47" s="307">
        <f>IF(BN37&lt;0,MAX(-$C$10,200000*BN37),MIN(200000*BN37,$C$10)-IF(AND($F14&lt;$C$8*BN17,$D27&gt;0),$C$9,0))</f>
        <v>264.33333333333331</v>
      </c>
      <c r="BO47" s="12">
        <f>BO38</f>
        <v>327.33333333333331</v>
      </c>
      <c r="BP47" s="41"/>
      <c r="BQ47" s="41"/>
      <c r="BR47" s="41"/>
    </row>
    <row r="48" spans="1:70" ht="16.5">
      <c r="A48" s="41"/>
      <c r="B48" s="290" t="s">
        <v>64</v>
      </c>
      <c r="C48" s="298" t="s">
        <v>65</v>
      </c>
      <c r="D48" s="3">
        <f>D38*$I14*MAIN!$C$15/MAIN!$Q$1</f>
        <v>300347.52380791371</v>
      </c>
      <c r="E48" s="13">
        <f>E38*$I14*MAIN!$C$15/MAIN!$Q$1</f>
        <v>542225.11027729709</v>
      </c>
      <c r="F48" s="13">
        <f>F38*$I14*MAIN!$C$15/MAIN!$Q$1</f>
        <v>712922.71052757523</v>
      </c>
      <c r="G48" s="13">
        <f>G38*$I14*MAIN!$C$15/MAIN!$Q$1</f>
        <v>839830.4999037775</v>
      </c>
      <c r="H48" s="13">
        <f>H38*$I14*MAIN!$C$15/MAIN!$Q$1</f>
        <v>937883.23038037017</v>
      </c>
      <c r="I48" s="13">
        <f>I38*$I14*MAIN!$C$15/MAIN!$Q$1</f>
        <v>1015917.4875081127</v>
      </c>
      <c r="J48" s="13">
        <f>J38*$I14*MAIN!$C$15/MAIN!$Q$1</f>
        <v>1035760.3327243986</v>
      </c>
      <c r="K48" s="13">
        <f>K38*$I14*MAIN!$C$15/MAIN!$Q$1</f>
        <v>1035760.3327243986</v>
      </c>
      <c r="L48" s="13">
        <f>L38*$I14*MAIN!$C$15/MAIN!$Q$1</f>
        <v>1035760.3327243986</v>
      </c>
      <c r="M48" s="13">
        <f>M38*$I14*MAIN!$C$15/MAIN!$Q$1</f>
        <v>1035760.3327243986</v>
      </c>
      <c r="N48" s="13">
        <f>N38*$I14*MAIN!$C$15/MAIN!$Q$1</f>
        <v>1035760.3327243986</v>
      </c>
      <c r="O48" s="13">
        <f>O38*$I14*MAIN!$C$15/MAIN!$Q$1</f>
        <v>1035760.3327243986</v>
      </c>
      <c r="P48" s="13">
        <f>P38*$I14*MAIN!$C$15/MAIN!$Q$1</f>
        <v>1035760.3327243986</v>
      </c>
      <c r="Q48" s="13">
        <f>Q38*$I14*MAIN!$C$15/MAIN!$Q$1</f>
        <v>1035760.3327243986</v>
      </c>
      <c r="R48" s="13">
        <f>R38*$I14*MAIN!$C$15/MAIN!$Q$1</f>
        <v>1035760.3327243986</v>
      </c>
      <c r="S48" s="13">
        <f>S38*$I14*MAIN!$C$15/MAIN!$Q$1</f>
        <v>1035760.3327243986</v>
      </c>
      <c r="T48" s="13">
        <f>T38*$I14*MAIN!$C$15/MAIN!$Q$1</f>
        <v>1035760.3327243986</v>
      </c>
      <c r="U48" s="13">
        <f>U38*$I14*MAIN!$C$15/MAIN!$Q$1</f>
        <v>1035760.3327243986</v>
      </c>
      <c r="V48" s="13">
        <f>V38*$I14*MAIN!$C$15/MAIN!$Q$1</f>
        <v>1035760.3327243986</v>
      </c>
      <c r="W48" s="13">
        <f>W38*$I14*MAIN!$C$15/MAIN!$Q$1</f>
        <v>1035760.3327243986</v>
      </c>
      <c r="X48" s="13">
        <f>X38*$I14*MAIN!$C$15/MAIN!$Q$1</f>
        <v>1035760.3327243986</v>
      </c>
      <c r="Y48" s="13">
        <f>Y38*$I14*MAIN!$C$15/MAIN!$Q$1</f>
        <v>1035760.3327243986</v>
      </c>
      <c r="Z48" s="13">
        <f>Z38*$I14*MAIN!$C$15/MAIN!$Q$1</f>
        <v>1035760.3327243986</v>
      </c>
      <c r="AA48" s="13">
        <f>AA38*$I14*MAIN!$C$15/MAIN!$Q$1</f>
        <v>1035760.3327243986</v>
      </c>
      <c r="AB48" s="13">
        <f>AB38*$I14*MAIN!$C$15/MAIN!$Q$1</f>
        <v>1035760.3327243986</v>
      </c>
      <c r="AC48" s="13">
        <f>AC38*$I14*MAIN!$C$15/MAIN!$Q$1</f>
        <v>1035760.3327243986</v>
      </c>
      <c r="AD48" s="13">
        <f>AD38*$I14*MAIN!$C$15/MAIN!$Q$1</f>
        <v>1035760.3327243986</v>
      </c>
      <c r="AE48" s="13">
        <f>AE38*$I14*MAIN!$C$15/MAIN!$Q$1</f>
        <v>1035760.3327243986</v>
      </c>
      <c r="AF48" s="13">
        <f>AF38*$I14*MAIN!$C$15/MAIN!$Q$1</f>
        <v>1035760.3327243986</v>
      </c>
      <c r="AG48" s="13">
        <f>AG38*$I14*MAIN!$C$15/MAIN!$Q$1</f>
        <v>1035760.3327243986</v>
      </c>
      <c r="AH48" s="13">
        <f>AH38*$I14*MAIN!$C$15/MAIN!$Q$1</f>
        <v>1035760.3327243986</v>
      </c>
      <c r="AI48" s="13">
        <f>AI38*$I14*MAIN!$C$15/MAIN!$Q$1</f>
        <v>1035760.3327243986</v>
      </c>
      <c r="AJ48" s="13">
        <f>AJ38*$I14*MAIN!$C$15/MAIN!$Q$1</f>
        <v>1035760.3327243986</v>
      </c>
      <c r="AK48" s="13">
        <f>AK38*$I14*MAIN!$C$15/MAIN!$Q$1</f>
        <v>1035760.3327243986</v>
      </c>
      <c r="AL48" s="13">
        <f>AL38*$I14*MAIN!$C$15/MAIN!$Q$1</f>
        <v>1035760.3327243986</v>
      </c>
      <c r="AM48" s="13">
        <f>AM38*$I14*MAIN!$C$15/MAIN!$Q$1</f>
        <v>1035760.3327243986</v>
      </c>
      <c r="AN48" s="13">
        <f>AN38*$I14*MAIN!$C$15/MAIN!$Q$1</f>
        <v>1035760.3327243986</v>
      </c>
      <c r="AO48" s="13">
        <f>AO38*$I14*MAIN!$C$15/MAIN!$Q$1</f>
        <v>1035760.3327243986</v>
      </c>
      <c r="AP48" s="13">
        <f>AP38*$I14*MAIN!$C$15/MAIN!$Q$1</f>
        <v>1035760.3327243986</v>
      </c>
      <c r="AQ48" s="13">
        <f>AQ38*$I14*MAIN!$C$15/MAIN!$Q$1</f>
        <v>1035760.3327243986</v>
      </c>
      <c r="AR48" s="56">
        <f>AR38*$I14*MAIN!$C$15/MAIN!$Q$1</f>
        <v>1035760.3327243986</v>
      </c>
      <c r="AS48" s="13">
        <f>AS38*$I14*MAIN!$C$15/MAIN!$Q$1</f>
        <v>1035760.3327243986</v>
      </c>
      <c r="AT48" s="13">
        <f>AT38*$I14*MAIN!$C$15/MAIN!$Q$1</f>
        <v>1035760.3327243986</v>
      </c>
      <c r="AU48" s="13">
        <f>AU38*$I14*MAIN!$C$15/MAIN!$Q$1</f>
        <v>1035760.3327243986</v>
      </c>
      <c r="AV48" s="13">
        <f>AV38*$I14*MAIN!$C$15/MAIN!$Q$1</f>
        <v>1035760.3327243986</v>
      </c>
      <c r="AW48" s="13">
        <f>AW38*$I14*MAIN!$C$15/MAIN!$Q$1</f>
        <v>1035760.3327243986</v>
      </c>
      <c r="AX48" s="13">
        <f>AX38*$I14*MAIN!$C$15/MAIN!$Q$1</f>
        <v>1035760.3327243986</v>
      </c>
      <c r="AY48" s="13">
        <f>AY38*$I14*MAIN!$C$15/MAIN!$Q$1</f>
        <v>1035760.3327243986</v>
      </c>
      <c r="AZ48" s="13">
        <f>AZ38*$I14*MAIN!$C$15/MAIN!$Q$1</f>
        <v>1035760.3327243986</v>
      </c>
      <c r="BA48" s="13">
        <f>BA38*$I14*MAIN!$C$15/MAIN!$Q$1</f>
        <v>1035760.3327243986</v>
      </c>
      <c r="BB48" s="13">
        <f>BB38*$I14*MAIN!$C$15/MAIN!$Q$1</f>
        <v>1035760.3327243986</v>
      </c>
      <c r="BC48" s="13">
        <f>BC38*$I14*MAIN!$C$15/MAIN!$Q$1</f>
        <v>1035760.3327243986</v>
      </c>
      <c r="BD48" s="13">
        <f>BD38*$I14*MAIN!$C$15/MAIN!$Q$1</f>
        <v>1035760.3327243986</v>
      </c>
      <c r="BE48" s="13">
        <f>BE38*$I14*MAIN!$C$15/MAIN!$Q$1</f>
        <v>1035760.3327243986</v>
      </c>
      <c r="BF48" s="13">
        <f>BF38*$I14*MAIN!$C$15/MAIN!$Q$1</f>
        <v>1035760.3327243986</v>
      </c>
      <c r="BG48" s="13">
        <f>BG38*$I14*MAIN!$C$15/MAIN!$Q$1</f>
        <v>1035760.3327243986</v>
      </c>
      <c r="BH48" s="13">
        <f>BH38*$I14*MAIN!$C$15/MAIN!$Q$1</f>
        <v>1035760.3327243986</v>
      </c>
      <c r="BI48" s="13">
        <f>BI38*$I14*MAIN!$C$15/MAIN!$Q$1</f>
        <v>1035760.3327243986</v>
      </c>
      <c r="BJ48" s="13">
        <f>BJ38*$I14*MAIN!$C$15/MAIN!$Q$1</f>
        <v>1035760.3327243986</v>
      </c>
      <c r="BK48" s="13">
        <f>BK38*$I14*MAIN!$C$15/MAIN!$Q$1</f>
        <v>1035760.3327243986</v>
      </c>
      <c r="BL48" s="13">
        <f>BL38*$I14*MAIN!$C$15/MAIN!$Q$1</f>
        <v>1035760.3327243986</v>
      </c>
      <c r="BM48" s="13">
        <f>BM38*$I14*MAIN!$C$15/MAIN!$Q$1</f>
        <v>1029203.9654473416</v>
      </c>
      <c r="BN48" s="13">
        <f>BN38*$I14*MAIN!$C$15/MAIN!$Q$1</f>
        <v>981014.6659609729</v>
      </c>
      <c r="BO48" s="3">
        <f>BO38*$I14*MAIN!$C$15/MAIN!$Q$1</f>
        <v>822678.39622004726</v>
      </c>
      <c r="BP48" s="41"/>
      <c r="BQ48" s="41"/>
      <c r="BR48" s="41"/>
    </row>
    <row r="49" spans="1:70" ht="16.5">
      <c r="A49" s="41"/>
      <c r="B49" s="14">
        <v>2</v>
      </c>
      <c r="C49" s="298" t="s">
        <v>66</v>
      </c>
      <c r="D49" s="3">
        <f>D39*$I14*2/MAIN!$Q$1</f>
        <v>-1092727.8795094935</v>
      </c>
      <c r="E49" s="13">
        <f>E39*$I14*2/MAIN!$Q$1</f>
        <v>-1092727.8795094935</v>
      </c>
      <c r="F49" s="13">
        <f>F39*$I14*2/MAIN!$Q$1</f>
        <v>-1092727.8795094935</v>
      </c>
      <c r="G49" s="13">
        <f>G39*$I14*2/MAIN!$Q$1</f>
        <v>-1092727.8795094935</v>
      </c>
      <c r="H49" s="13">
        <f>H39*$I14*2/MAIN!$Q$1</f>
        <v>-1092727.8795094935</v>
      </c>
      <c r="I49" s="13">
        <f>I39*$I14*2/MAIN!$Q$1</f>
        <v>-1092727.8795094935</v>
      </c>
      <c r="J49" s="13">
        <f>J39*$I14*2/MAIN!$Q$1</f>
        <v>-1092727.8795094935</v>
      </c>
      <c r="K49" s="13">
        <f>K39*$I14*2/MAIN!$Q$1</f>
        <v>-1092727.8795094935</v>
      </c>
      <c r="L49" s="13">
        <f>L39*$I14*2/MAIN!$Q$1</f>
        <v>-1092727.8795094935</v>
      </c>
      <c r="M49" s="13">
        <f>M39*$I14*2/MAIN!$Q$1</f>
        <v>-1092727.8795094935</v>
      </c>
      <c r="N49" s="13">
        <f>N39*$I14*2/MAIN!$Q$1</f>
        <v>-1092727.8795094935</v>
      </c>
      <c r="O49" s="13">
        <f>O39*$I14*2/MAIN!$Q$1</f>
        <v>-1092727.8795094935</v>
      </c>
      <c r="P49" s="13">
        <f>P39*$I14*2/MAIN!$Q$1</f>
        <v>-1043086.083659493</v>
      </c>
      <c r="Q49" s="13">
        <f>Q39*$I14*2/MAIN!$Q$1</f>
        <v>-885615.71937651664</v>
      </c>
      <c r="R49" s="13">
        <f>R39*$I14*2/MAIN!$Q$1</f>
        <v>-744900.88634354749</v>
      </c>
      <c r="S49" s="13">
        <f>S39*$I14*2/MAIN!$Q$1</f>
        <v>-618402.38353710296</v>
      </c>
      <c r="T49" s="13">
        <f>T39*$I14*2/MAIN!$Q$1</f>
        <v>-504069.40647164237</v>
      </c>
      <c r="U49" s="13">
        <f>U39*$I14*2/MAIN!$Q$1</f>
        <v>-400227.51024201023</v>
      </c>
      <c r="V49" s="13">
        <f>V39*$I14*2/MAIN!$Q$1</f>
        <v>-305496.06085867074</v>
      </c>
      <c r="W49" s="13">
        <f>W39*$I14*2/MAIN!$Q$1</f>
        <v>-218726.50047241652</v>
      </c>
      <c r="X49" s="13">
        <f>X39*$I14*2/MAIN!$Q$1</f>
        <v>-138955.55070589771</v>
      </c>
      <c r="Y49" s="13">
        <f>Y39*$I14*2/MAIN!$Q$1</f>
        <v>-65369.300524080943</v>
      </c>
      <c r="Z49" s="13">
        <f>Z39*$I14*2/MAIN!$Q$1</f>
        <v>2724.6647335042312</v>
      </c>
      <c r="AA49" s="13">
        <f>AA39*$I14*2/MAIN!$Q$1</f>
        <v>65919.118186711145</v>
      </c>
      <c r="AB49" s="13">
        <f>AB39*$I14*2/MAIN!$Q$1</f>
        <v>124724.49256137104</v>
      </c>
      <c r="AC49" s="13">
        <f>AC39*$I14*2/MAIN!$Q$1</f>
        <v>179582.69744217402</v>
      </c>
      <c r="AD49" s="13">
        <f>AD39*$I14*2/MAIN!$Q$1</f>
        <v>230878.24452293001</v>
      </c>
      <c r="AE49" s="13">
        <f>AE39*$I14*2/MAIN!$Q$1</f>
        <v>278947.27350376494</v>
      </c>
      <c r="AF49" s="13">
        <f>AF39*$I14*2/MAIN!$Q$1</f>
        <v>324084.92671949358</v>
      </c>
      <c r="AG49" s="13">
        <f>AG39*$I14*2/MAIN!$Q$1</f>
        <v>309583.86773102771</v>
      </c>
      <c r="AH49" s="13">
        <f>AH39*$I14*2/MAIN!$Q$1</f>
        <v>349609.4879742256</v>
      </c>
      <c r="AI49" s="13">
        <f>AI39*$I14*2/MAIN!$Q$1</f>
        <v>387398.80421066115</v>
      </c>
      <c r="AJ49" s="13">
        <f>AJ39*$I14*2/MAIN!$Q$1</f>
        <v>423134.14253749041</v>
      </c>
      <c r="AK49" s="13">
        <f>AK39*$I14*2/MAIN!$Q$1</f>
        <v>456978.53335775016</v>
      </c>
      <c r="AL49" s="13">
        <f>AL39*$I14*2/MAIN!$Q$1</f>
        <v>489078.19818085473</v>
      </c>
      <c r="AM49" s="13">
        <f>AM39*$I14*2/MAIN!$Q$1</f>
        <v>519564.66149298038</v>
      </c>
      <c r="AN49" s="13">
        <f>AN39*$I14*2/MAIN!$Q$1</f>
        <v>548556.55202953343</v>
      </c>
      <c r="AO49" s="13">
        <f>AO39*$I14*2/MAIN!$Q$1</f>
        <v>576161.14546840743</v>
      </c>
      <c r="AP49" s="13">
        <f>AP39*$I14*2/MAIN!$Q$1</f>
        <v>602475.69083875266</v>
      </c>
      <c r="AQ49" s="13">
        <f>AQ39*$I14*2/MAIN!$Q$1</f>
        <v>627588.5552142486</v>
      </c>
      <c r="AR49" s="56">
        <f>AR39*$I14*2/MAIN!$Q$1</f>
        <v>651580.21508632391</v>
      </c>
      <c r="AS49" s="13">
        <f>AS39*$I14*2/MAIN!$Q$1</f>
        <v>710714.10915918532</v>
      </c>
      <c r="AT49" s="13">
        <f>AT39*$I14*2/MAIN!$Q$1</f>
        <v>763546.73882128811</v>
      </c>
      <c r="AU49" s="13">
        <f>AU39*$I14*2/MAIN!$Q$1</f>
        <v>811034.34317920229</v>
      </c>
      <c r="AV49" s="13">
        <f>AV39*$I14*2/MAIN!$Q$1</f>
        <v>853948.99381885491</v>
      </c>
      <c r="AW49" s="13">
        <f>AW39*$I14*2/MAIN!$Q$1</f>
        <v>892920.89541298035</v>
      </c>
      <c r="AX49" s="13">
        <f>AX39*$I14*2/MAIN!$Q$1</f>
        <v>928469.53938390082</v>
      </c>
      <c r="AY49" s="13">
        <f>AY39*$I14*2/MAIN!$Q$1</f>
        <v>961026.99342478183</v>
      </c>
      <c r="AZ49" s="13">
        <f>AZ39*$I14*2/MAIN!$Q$1</f>
        <v>990955.54938401515</v>
      </c>
      <c r="BA49" s="13">
        <f>BA39*$I14*2/MAIN!$Q$1</f>
        <v>1018561.2620368672</v>
      </c>
      <c r="BB49" s="13">
        <f>BB39*$I14*2/MAIN!$Q$1</f>
        <v>1035760.3327243986</v>
      </c>
      <c r="BC49" s="13">
        <f>BC39*$I14*2/MAIN!$Q$1</f>
        <v>1035760.3327243986</v>
      </c>
      <c r="BD49" s="13">
        <f>BD39*$I14*2/MAIN!$Q$1</f>
        <v>1035760.3327243986</v>
      </c>
      <c r="BE49" s="13">
        <f>BE39*$I14*2/MAIN!$Q$1</f>
        <v>1035760.3327243986</v>
      </c>
      <c r="BF49" s="13">
        <f>BF39*$I14*2/MAIN!$Q$1</f>
        <v>1035760.3327243986</v>
      </c>
      <c r="BG49" s="13">
        <f>BG39*$I14*2/MAIN!$Q$1</f>
        <v>1035760.3327243986</v>
      </c>
      <c r="BH49" s="13">
        <f>BH39*$I14*2/MAIN!$Q$1</f>
        <v>1027196.3872820991</v>
      </c>
      <c r="BI49" s="13">
        <f>BI39*$I14*2/MAIN!$Q$1</f>
        <v>1016687.4498438671</v>
      </c>
      <c r="BJ49" s="13">
        <f>BJ39*$I14*2/MAIN!$Q$1</f>
        <v>1007205.7118066675</v>
      </c>
      <c r="BK49" s="13">
        <f>BK39*$I14*2/MAIN!$Q$1</f>
        <v>998607.5848210759</v>
      </c>
      <c r="BL49" s="13">
        <f>BL39*$I14*2/MAIN!$Q$1</f>
        <v>921638.56480812584</v>
      </c>
      <c r="BM49" s="13">
        <f>BM39*$I14*2/MAIN!$Q$1</f>
        <v>891520.25262914528</v>
      </c>
      <c r="BN49" s="13">
        <f>BN39*$I14*2/MAIN!$Q$1</f>
        <v>875457.15280035581</v>
      </c>
      <c r="BO49" s="3">
        <f>BO39*$I14*2/MAIN!$Q$1</f>
        <v>822678.39622004726</v>
      </c>
      <c r="BP49" s="41"/>
      <c r="BQ49" s="41"/>
      <c r="BR49" s="41"/>
    </row>
    <row r="50" spans="1:70" ht="16.5">
      <c r="A50" s="41"/>
      <c r="B50" s="14">
        <f t="shared" ref="B50:B56" si="33">1+B49</f>
        <v>3</v>
      </c>
      <c r="C50" s="298" t="s">
        <v>66</v>
      </c>
      <c r="D50" s="3">
        <f>D40*$I14*2/MAIN!$Q$1</f>
        <v>-1092727.8795094935</v>
      </c>
      <c r="E50" s="13">
        <f>E40*$I14*2/MAIN!$Q$1</f>
        <v>-1092727.8795094935</v>
      </c>
      <c r="F50" s="13">
        <f>F40*$I14*2/MAIN!$Q$1</f>
        <v>-1092727.8795094935</v>
      </c>
      <c r="G50" s="13">
        <f>G40*$I14*2/MAIN!$Q$1</f>
        <v>-1092727.8795094935</v>
      </c>
      <c r="H50" s="13">
        <f>H40*$I14*2/MAIN!$Q$1</f>
        <v>-1092727.8795094935</v>
      </c>
      <c r="I50" s="13">
        <f>I40*$I14*2/MAIN!$Q$1</f>
        <v>-1092727.8795094935</v>
      </c>
      <c r="J50" s="13">
        <f>J40*$I14*2/MAIN!$Q$1</f>
        <v>-1092727.8795094935</v>
      </c>
      <c r="K50" s="13">
        <f>K40*$I14*2/MAIN!$Q$1</f>
        <v>-1092727.8795094935</v>
      </c>
      <c r="L50" s="13">
        <f>L40*$I14*2/MAIN!$Q$1</f>
        <v>-1092727.8795094935</v>
      </c>
      <c r="M50" s="13">
        <f>M40*$I14*2/MAIN!$Q$1</f>
        <v>-1092727.8795094935</v>
      </c>
      <c r="N50" s="13">
        <f>N40*$I14*2/MAIN!$Q$1</f>
        <v>-1092727.8795094935</v>
      </c>
      <c r="O50" s="13">
        <f>O40*$I14*2/MAIN!$Q$1</f>
        <v>-1092727.8795094935</v>
      </c>
      <c r="P50" s="13">
        <f>P40*$I14*2/MAIN!$Q$1</f>
        <v>-1092727.8795094935</v>
      </c>
      <c r="Q50" s="13">
        <f>Q40*$I14*2/MAIN!$Q$1</f>
        <v>-1092727.8795094935</v>
      </c>
      <c r="R50" s="13">
        <f>R40*$I14*2/MAIN!$Q$1</f>
        <v>-1092727.8795094935</v>
      </c>
      <c r="S50" s="13">
        <f>S40*$I14*2/MAIN!$Q$1</f>
        <v>-1092727.8795094935</v>
      </c>
      <c r="T50" s="13">
        <f>T40*$I14*2/MAIN!$Q$1</f>
        <v>-1092727.8795094935</v>
      </c>
      <c r="U50" s="13">
        <f>U40*$I14*2/MAIN!$Q$1</f>
        <v>-1092727.8795094935</v>
      </c>
      <c r="V50" s="13">
        <f>V40*$I14*2/MAIN!$Q$1</f>
        <v>-1092727.8795094935</v>
      </c>
      <c r="W50" s="13">
        <f>W40*$I14*2/MAIN!$Q$1</f>
        <v>-1092727.8795094935</v>
      </c>
      <c r="X50" s="13">
        <f>X40*$I14*2/MAIN!$Q$1</f>
        <v>-1092727.8795094935</v>
      </c>
      <c r="Y50" s="13">
        <f>Y40*$I14*2/MAIN!$Q$1</f>
        <v>-1092727.8795094935</v>
      </c>
      <c r="Z50" s="13">
        <f>Z40*$I14*2/MAIN!$Q$1</f>
        <v>-1092727.8795094935</v>
      </c>
      <c r="AA50" s="13">
        <f>AA40*$I14*2/MAIN!$Q$1</f>
        <v>-1092727.8795094935</v>
      </c>
      <c r="AB50" s="13">
        <f>AB40*$I14*2/MAIN!$Q$1</f>
        <v>-1092727.8795094935</v>
      </c>
      <c r="AC50" s="13">
        <f>AC40*$I14*2/MAIN!$Q$1</f>
        <v>-1092727.8795094935</v>
      </c>
      <c r="AD50" s="13">
        <f>AD40*$I14*2/MAIN!$Q$1</f>
        <v>-1079190.5910376597</v>
      </c>
      <c r="AE50" s="13">
        <f>AE40*$I14*2/MAIN!$Q$1</f>
        <v>-989919.53721610911</v>
      </c>
      <c r="AF50" s="13">
        <f>AF40*$I14*2/MAIN!$Q$1</f>
        <v>-906092.46695832722</v>
      </c>
      <c r="AG50" s="13">
        <f>AG40*$I14*2/MAIN!$Q$1</f>
        <v>-827226.13247887336</v>
      </c>
      <c r="AH50" s="13">
        <f>AH40*$I14*2/MAIN!$Q$1</f>
        <v>-752892.83774150594</v>
      </c>
      <c r="AI50" s="13">
        <f>AI40*$I14*2/MAIN!$Q$1</f>
        <v>-682712.67901669687</v>
      </c>
      <c r="AJ50" s="13">
        <f>AJ40*$I14*2/MAIN!$Q$1</f>
        <v>-616347.05069544259</v>
      </c>
      <c r="AK50" s="13">
        <f>AK40*$I14*2/MAIN!$Q$1</f>
        <v>-553493.182029246</v>
      </c>
      <c r="AL50" s="13">
        <f>AL40*$I14*2/MAIN!$Q$1</f>
        <v>-493879.5187863374</v>
      </c>
      <c r="AM50" s="13">
        <f>AM40*$I14*2/MAIN!$Q$1</f>
        <v>-437261.80120667565</v>
      </c>
      <c r="AN50" s="13">
        <f>AN40*$I14*2/MAIN!$Q$1</f>
        <v>-383419.71878164873</v>
      </c>
      <c r="AO50" s="13">
        <f>AO40*$I14*2/MAIN!$Q$1</f>
        <v>-332154.04525231093</v>
      </c>
      <c r="AP50" s="13">
        <f>AP40*$I14*2/MAIN!$Q$1</f>
        <v>-283284.17527881265</v>
      </c>
      <c r="AQ50" s="13">
        <f>AQ40*$I14*2/MAIN!$Q$1</f>
        <v>-236645.99858146301</v>
      </c>
      <c r="AR50" s="59">
        <f>AR40*$I14*2/MAIN!$Q$1</f>
        <v>-192090.05881903737</v>
      </c>
      <c r="AS50" s="13">
        <f>AS40*$I14*2/MAIN!$Q$1</f>
        <v>-82269.969826580564</v>
      </c>
      <c r="AT50" s="13">
        <f>AT40*$I14*2/MAIN!$Q$1</f>
        <v>15847.770974467516</v>
      </c>
      <c r="AU50" s="13">
        <f>AU40*$I14*2/MAIN!$Q$1</f>
        <v>104039.03621059396</v>
      </c>
      <c r="AV50" s="13">
        <f>AV40*$I14*2/MAIN!$Q$1</f>
        <v>183737.67311280599</v>
      </c>
      <c r="AW50" s="13">
        <f>AW40*$I14*2/MAIN!$Q$1</f>
        <v>256114.06178761035</v>
      </c>
      <c r="AX50" s="13">
        <f>AX40*$I14*2/MAIN!$Q$1</f>
        <v>322132.97201931954</v>
      </c>
      <c r="AY50" s="13">
        <f>AY40*$I14*2/MAIN!$Q$1</f>
        <v>325629.2684530039</v>
      </c>
      <c r="AZ50" s="13">
        <f>AZ40*$I14*2/MAIN!$Q$1</f>
        <v>381210.87237729417</v>
      </c>
      <c r="BA50" s="13">
        <f>BA40*$I14*2/MAIN!$Q$1</f>
        <v>432478.6244468771</v>
      </c>
      <c r="BB50" s="13">
        <f>BB40*$I14*2/MAIN!$Q$1</f>
        <v>479915.97958878783</v>
      </c>
      <c r="BC50" s="13">
        <f>BC40*$I14*2/MAIN!$Q$1</f>
        <v>523936.75295834494</v>
      </c>
      <c r="BD50" s="13">
        <f>BD40*$I14*2/MAIN!$Q$1</f>
        <v>561590.81778125674</v>
      </c>
      <c r="BE50" s="13">
        <f>BE40*$I14*2/MAIN!$Q$1</f>
        <v>578477.29722421803</v>
      </c>
      <c r="BF50" s="13">
        <f>BF40*$I14*2/MAIN!$Q$1</f>
        <v>593312.1234290998</v>
      </c>
      <c r="BG50" s="13">
        <f>BG40*$I14*2/MAIN!$Q$1</f>
        <v>606447.78710771434</v>
      </c>
      <c r="BH50" s="13">
        <f>BH40*$I14*2/MAIN!$Q$1</f>
        <v>618160.40515799564</v>
      </c>
      <c r="BI50" s="13">
        <f>BI40*$I14*2/MAIN!$Q$1</f>
        <v>628669.34259622765</v>
      </c>
      <c r="BJ50" s="13">
        <f>BJ40*$I14*2/MAIN!$Q$1</f>
        <v>638151.08063342737</v>
      </c>
      <c r="BK50" s="13">
        <f>BK40*$I14*2/MAIN!$Q$1</f>
        <v>646749.20761901885</v>
      </c>
      <c r="BL50" s="13">
        <f>BL40*$I14*2/MAIN!$Q$1</f>
        <v>723718.2276319688</v>
      </c>
      <c r="BM50" s="13">
        <f>BM40*$I14*2/MAIN!$Q$1</f>
        <v>753836.53981094912</v>
      </c>
      <c r="BN50" s="13">
        <f>BN40*$I14*2/MAIN!$Q$1</f>
        <v>769899.63963973871</v>
      </c>
      <c r="BO50" s="3">
        <f>BO40*$I14*2/MAIN!$Q$1</f>
        <v>822678.39622004726</v>
      </c>
      <c r="BP50" s="41"/>
      <c r="BQ50" s="41"/>
      <c r="BR50" s="41"/>
    </row>
    <row r="51" spans="1:70" ht="16.5">
      <c r="A51" s="41"/>
      <c r="B51" s="14">
        <f t="shared" si="33"/>
        <v>4</v>
      </c>
      <c r="C51" s="298" t="s">
        <v>66</v>
      </c>
      <c r="D51" s="3">
        <f>D41*$I14*2/MAIN!$Q$1</f>
        <v>0</v>
      </c>
      <c r="E51" s="13">
        <f>E41*$I14*2/MAIN!$Q$1</f>
        <v>0</v>
      </c>
      <c r="F51" s="13">
        <f>F41*$I14*2/MAIN!$Q$1</f>
        <v>0</v>
      </c>
      <c r="G51" s="13">
        <f>G41*$I14*2/MAIN!$Q$1</f>
        <v>0</v>
      </c>
      <c r="H51" s="13">
        <f>H41*$I14*2/MAIN!$Q$1</f>
        <v>0</v>
      </c>
      <c r="I51" s="13">
        <f>I41*$I14*2/MAIN!$Q$1</f>
        <v>0</v>
      </c>
      <c r="J51" s="13">
        <f>J41*$I14*2/MAIN!$Q$1</f>
        <v>0</v>
      </c>
      <c r="K51" s="13">
        <f>K41*$I14*2/MAIN!$Q$1</f>
        <v>0</v>
      </c>
      <c r="L51" s="13">
        <f>L41*$I14*2/MAIN!$Q$1</f>
        <v>0</v>
      </c>
      <c r="M51" s="13">
        <f>M41*$I14*2/MAIN!$Q$1</f>
        <v>0</v>
      </c>
      <c r="N51" s="13">
        <f>N41*$I14*2/MAIN!$Q$1</f>
        <v>0</v>
      </c>
      <c r="O51" s="13">
        <f>O41*$I14*2/MAIN!$Q$1</f>
        <v>0</v>
      </c>
      <c r="P51" s="13">
        <f>P41*$I14*2/MAIN!$Q$1</f>
        <v>0</v>
      </c>
      <c r="Q51" s="13">
        <f>Q41*$I14*2/MAIN!$Q$1</f>
        <v>0</v>
      </c>
      <c r="R51" s="13">
        <f>R41*$I14*2/MAIN!$Q$1</f>
        <v>0</v>
      </c>
      <c r="S51" s="13">
        <f>S41*$I14*2/MAIN!$Q$1</f>
        <v>0</v>
      </c>
      <c r="T51" s="13">
        <f>T41*$I14*2/MAIN!$Q$1</f>
        <v>0</v>
      </c>
      <c r="U51" s="13">
        <f>U41*$I14*2/MAIN!$Q$1</f>
        <v>0</v>
      </c>
      <c r="V51" s="13">
        <f>V41*$I14*2/MAIN!$Q$1</f>
        <v>0</v>
      </c>
      <c r="W51" s="13">
        <f>W41*$I14*2/MAIN!$Q$1</f>
        <v>0</v>
      </c>
      <c r="X51" s="13">
        <f>X41*$I14*2/MAIN!$Q$1</f>
        <v>0</v>
      </c>
      <c r="Y51" s="13">
        <f>Y41*$I14*2/MAIN!$Q$1</f>
        <v>0</v>
      </c>
      <c r="Z51" s="13">
        <f>Z41*$I14*2/MAIN!$Q$1</f>
        <v>0</v>
      </c>
      <c r="AA51" s="13">
        <f>AA41*$I14*2/MAIN!$Q$1</f>
        <v>0</v>
      </c>
      <c r="AB51" s="13">
        <f>AB41*$I14*2/MAIN!$Q$1</f>
        <v>0</v>
      </c>
      <c r="AC51" s="13">
        <f>AC41*$I14*2/MAIN!$Q$1</f>
        <v>0</v>
      </c>
      <c r="AD51" s="13">
        <f>AD41*$I14*2/MAIN!$Q$1</f>
        <v>0</v>
      </c>
      <c r="AE51" s="13">
        <f>AE41*$I14*2/MAIN!$Q$1</f>
        <v>0</v>
      </c>
      <c r="AF51" s="13">
        <f>AF41*$I14*2/MAIN!$Q$1</f>
        <v>0</v>
      </c>
      <c r="AG51" s="13">
        <f>AG41*$I14*2/MAIN!$Q$1</f>
        <v>0</v>
      </c>
      <c r="AH51" s="13">
        <f>AH41*$I14*2/MAIN!$Q$1</f>
        <v>0</v>
      </c>
      <c r="AI51" s="13">
        <f>AI41*$I14*2/MAIN!$Q$1</f>
        <v>0</v>
      </c>
      <c r="AJ51" s="13">
        <f>AJ41*$I14*2/MAIN!$Q$1</f>
        <v>0</v>
      </c>
      <c r="AK51" s="13">
        <f>AK41*$I14*2/MAIN!$Q$1</f>
        <v>0</v>
      </c>
      <c r="AL51" s="13">
        <f>AL41*$I14*2/MAIN!$Q$1</f>
        <v>0</v>
      </c>
      <c r="AM51" s="13">
        <f>AM41*$I14*2/MAIN!$Q$1</f>
        <v>0</v>
      </c>
      <c r="AN51" s="13">
        <f>AN41*$I14*2/MAIN!$Q$1</f>
        <v>0</v>
      </c>
      <c r="AO51" s="13">
        <f>AO41*$I14*2/MAIN!$Q$1</f>
        <v>0</v>
      </c>
      <c r="AP51" s="13">
        <f>AP41*$I14*2/MAIN!$Q$1</f>
        <v>0</v>
      </c>
      <c r="AQ51" s="13">
        <f>AQ41*$I14*2/MAIN!$Q$1</f>
        <v>0</v>
      </c>
      <c r="AR51" s="59">
        <f>AR41*$I14*2/MAIN!$Q$1</f>
        <v>0</v>
      </c>
      <c r="AS51" s="13">
        <f>AS41*$I14*2/MAIN!$Q$1</f>
        <v>0</v>
      </c>
      <c r="AT51" s="13">
        <f>AT41*$I14*2/MAIN!$Q$1</f>
        <v>0</v>
      </c>
      <c r="AU51" s="13">
        <f>AU41*$I14*2/MAIN!$Q$1</f>
        <v>0</v>
      </c>
      <c r="AV51" s="13">
        <f>AV41*$I14*2/MAIN!$Q$1</f>
        <v>0</v>
      </c>
      <c r="AW51" s="13">
        <f>AW41*$I14*2/MAIN!$Q$1</f>
        <v>0</v>
      </c>
      <c r="AX51" s="13">
        <f>AX41*$I14*2/MAIN!$Q$1</f>
        <v>0</v>
      </c>
      <c r="AY51" s="13">
        <f>AY41*$I14*2/MAIN!$Q$1</f>
        <v>0</v>
      </c>
      <c r="AZ51" s="13">
        <f>AZ41*$I14*2/MAIN!$Q$1</f>
        <v>0</v>
      </c>
      <c r="BA51" s="13">
        <f>BA41*$I14*2/MAIN!$Q$1</f>
        <v>0</v>
      </c>
      <c r="BB51" s="13">
        <f>BB41*$I14*2/MAIN!$Q$1</f>
        <v>0</v>
      </c>
      <c r="BC51" s="13">
        <f>BC41*$I14*2/MAIN!$Q$1</f>
        <v>0</v>
      </c>
      <c r="BD51" s="13">
        <f>BD41*$I14*2/MAIN!$Q$1</f>
        <v>0</v>
      </c>
      <c r="BE51" s="13">
        <f>BE41*$I14*2/MAIN!$Q$1</f>
        <v>0</v>
      </c>
      <c r="BF51" s="13">
        <f>BF41*$I14*2/MAIN!$Q$1</f>
        <v>0</v>
      </c>
      <c r="BG51" s="13">
        <f>BG41*$I14*2/MAIN!$Q$1</f>
        <v>0</v>
      </c>
      <c r="BH51" s="13">
        <f>BH41*$I14*2/MAIN!$Q$1</f>
        <v>0</v>
      </c>
      <c r="BI51" s="13">
        <f>BI41*$I14*2/MAIN!$Q$1</f>
        <v>0</v>
      </c>
      <c r="BJ51" s="13">
        <f>BJ41*$I14*2/MAIN!$Q$1</f>
        <v>0</v>
      </c>
      <c r="BK51" s="13">
        <f>BK41*$I14*2/MAIN!$Q$1</f>
        <v>0</v>
      </c>
      <c r="BL51" s="13">
        <f>BL41*$I14*2/MAIN!$Q$1</f>
        <v>0</v>
      </c>
      <c r="BM51" s="13">
        <f>BM41*$I14*2/MAIN!$Q$1</f>
        <v>0</v>
      </c>
      <c r="BN51" s="13">
        <f>BN41*$I14*2/MAIN!$Q$1</f>
        <v>0</v>
      </c>
      <c r="BO51" s="3">
        <f>BO41*$I14*2/MAIN!$Q$1</f>
        <v>0</v>
      </c>
      <c r="BP51" s="41"/>
      <c r="BQ51" s="41"/>
      <c r="BR51" s="41"/>
    </row>
    <row r="52" spans="1:70" ht="16.5">
      <c r="A52" s="41"/>
      <c r="B52" s="14">
        <f t="shared" si="33"/>
        <v>5</v>
      </c>
      <c r="C52" s="298" t="s">
        <v>66</v>
      </c>
      <c r="D52" s="3">
        <f>D42*$I14*2/MAIN!$Q$1</f>
        <v>0</v>
      </c>
      <c r="E52" s="13">
        <f>E42*$I14*2/MAIN!$Q$1</f>
        <v>0</v>
      </c>
      <c r="F52" s="13">
        <f>F42*$I14*2/MAIN!$Q$1</f>
        <v>0</v>
      </c>
      <c r="G52" s="13">
        <f>G42*$I14*2/MAIN!$Q$1</f>
        <v>0</v>
      </c>
      <c r="H52" s="13">
        <f>H42*$I14*2/MAIN!$Q$1</f>
        <v>0</v>
      </c>
      <c r="I52" s="13">
        <f>I42*$I14*2/MAIN!$Q$1</f>
        <v>0</v>
      </c>
      <c r="J52" s="13">
        <f>J42*$I14*2/MAIN!$Q$1</f>
        <v>0</v>
      </c>
      <c r="K52" s="13">
        <f>K42*$I14*2/MAIN!$Q$1</f>
        <v>0</v>
      </c>
      <c r="L52" s="13">
        <f>L42*$I14*2/MAIN!$Q$1</f>
        <v>0</v>
      </c>
      <c r="M52" s="13">
        <f>M42*$I14*2/MAIN!$Q$1</f>
        <v>0</v>
      </c>
      <c r="N52" s="13">
        <f>N42*$I14*2/MAIN!$Q$1</f>
        <v>0</v>
      </c>
      <c r="O52" s="13">
        <f>O42*$I14*2/MAIN!$Q$1</f>
        <v>0</v>
      </c>
      <c r="P52" s="13">
        <f>P42*$I14*2/MAIN!$Q$1</f>
        <v>0</v>
      </c>
      <c r="Q52" s="13">
        <f>Q42*$I14*2/MAIN!$Q$1</f>
        <v>0</v>
      </c>
      <c r="R52" s="13">
        <f>R42*$I14*2/MAIN!$Q$1</f>
        <v>0</v>
      </c>
      <c r="S52" s="13">
        <f>S42*$I14*2/MAIN!$Q$1</f>
        <v>0</v>
      </c>
      <c r="T52" s="13">
        <f>T42*$I14*2/MAIN!$Q$1</f>
        <v>0</v>
      </c>
      <c r="U52" s="13">
        <f>U42*$I14*2/MAIN!$Q$1</f>
        <v>0</v>
      </c>
      <c r="V52" s="13">
        <f>V42*$I14*2/MAIN!$Q$1</f>
        <v>0</v>
      </c>
      <c r="W52" s="13">
        <f>W42*$I14*2/MAIN!$Q$1</f>
        <v>0</v>
      </c>
      <c r="X52" s="13">
        <f>X42*$I14*2/MAIN!$Q$1</f>
        <v>0</v>
      </c>
      <c r="Y52" s="13">
        <f>Y42*$I14*2/MAIN!$Q$1</f>
        <v>0</v>
      </c>
      <c r="Z52" s="13">
        <f>Z42*$I14*2/MAIN!$Q$1</f>
        <v>0</v>
      </c>
      <c r="AA52" s="13">
        <f>AA42*$I14*2/MAIN!$Q$1</f>
        <v>0</v>
      </c>
      <c r="AB52" s="13">
        <f>AB42*$I14*2/MAIN!$Q$1</f>
        <v>0</v>
      </c>
      <c r="AC52" s="13">
        <f>AC42*$I14*2/MAIN!$Q$1</f>
        <v>0</v>
      </c>
      <c r="AD52" s="13">
        <f>AD42*$I14*2/MAIN!$Q$1</f>
        <v>0</v>
      </c>
      <c r="AE52" s="13">
        <f>AE42*$I14*2/MAIN!$Q$1</f>
        <v>0</v>
      </c>
      <c r="AF52" s="13">
        <f>AF42*$I14*2/MAIN!$Q$1</f>
        <v>0</v>
      </c>
      <c r="AG52" s="13">
        <f>AG42*$I14*2/MAIN!$Q$1</f>
        <v>0</v>
      </c>
      <c r="AH52" s="13">
        <f>AH42*$I14*2/MAIN!$Q$1</f>
        <v>0</v>
      </c>
      <c r="AI52" s="13">
        <f>AI42*$I14*2/MAIN!$Q$1</f>
        <v>0</v>
      </c>
      <c r="AJ52" s="13">
        <f>AJ42*$I14*2/MAIN!$Q$1</f>
        <v>0</v>
      </c>
      <c r="AK52" s="13">
        <f>AK42*$I14*2/MAIN!$Q$1</f>
        <v>0</v>
      </c>
      <c r="AL52" s="13">
        <f>AL42*$I14*2/MAIN!$Q$1</f>
        <v>0</v>
      </c>
      <c r="AM52" s="13">
        <f>AM42*$I14*2/MAIN!$Q$1</f>
        <v>0</v>
      </c>
      <c r="AN52" s="13">
        <f>AN42*$I14*2/MAIN!$Q$1</f>
        <v>0</v>
      </c>
      <c r="AO52" s="13">
        <f>AO42*$I14*2/MAIN!$Q$1</f>
        <v>0</v>
      </c>
      <c r="AP52" s="13">
        <f>AP42*$I14*2/MAIN!$Q$1</f>
        <v>0</v>
      </c>
      <c r="AQ52" s="13">
        <f>AQ42*$I14*2/MAIN!$Q$1</f>
        <v>0</v>
      </c>
      <c r="AR52" s="59">
        <f>AR42*$I14*2/MAIN!$Q$1</f>
        <v>0</v>
      </c>
      <c r="AS52" s="13">
        <f>AS42*$I14*2/MAIN!$Q$1</f>
        <v>0</v>
      </c>
      <c r="AT52" s="13">
        <f>AT42*$I14*2/MAIN!$Q$1</f>
        <v>0</v>
      </c>
      <c r="AU52" s="13">
        <f>AU42*$I14*2/MAIN!$Q$1</f>
        <v>0</v>
      </c>
      <c r="AV52" s="13">
        <f>AV42*$I14*2/MAIN!$Q$1</f>
        <v>0</v>
      </c>
      <c r="AW52" s="13">
        <f>AW42*$I14*2/MAIN!$Q$1</f>
        <v>0</v>
      </c>
      <c r="AX52" s="13">
        <f>AX42*$I14*2/MAIN!$Q$1</f>
        <v>0</v>
      </c>
      <c r="AY52" s="13">
        <f>AY42*$I14*2/MAIN!$Q$1</f>
        <v>0</v>
      </c>
      <c r="AZ52" s="13">
        <f>AZ42*$I14*2/MAIN!$Q$1</f>
        <v>0</v>
      </c>
      <c r="BA52" s="13">
        <f>BA42*$I14*2/MAIN!$Q$1</f>
        <v>0</v>
      </c>
      <c r="BB52" s="13">
        <f>BB42*$I14*2/MAIN!$Q$1</f>
        <v>0</v>
      </c>
      <c r="BC52" s="13">
        <f>BC42*$I14*2/MAIN!$Q$1</f>
        <v>0</v>
      </c>
      <c r="BD52" s="13">
        <f>BD42*$I14*2/MAIN!$Q$1</f>
        <v>0</v>
      </c>
      <c r="BE52" s="13">
        <f>BE42*$I14*2/MAIN!$Q$1</f>
        <v>0</v>
      </c>
      <c r="BF52" s="13">
        <f>BF42*$I14*2/MAIN!$Q$1</f>
        <v>0</v>
      </c>
      <c r="BG52" s="13">
        <f>BG42*$I14*2/MAIN!$Q$1</f>
        <v>0</v>
      </c>
      <c r="BH52" s="13">
        <f>BH42*$I14*2/MAIN!$Q$1</f>
        <v>0</v>
      </c>
      <c r="BI52" s="13">
        <f>BI42*$I14*2/MAIN!$Q$1</f>
        <v>0</v>
      </c>
      <c r="BJ52" s="13">
        <f>BJ42*$I14*2/MAIN!$Q$1</f>
        <v>0</v>
      </c>
      <c r="BK52" s="13">
        <f>BK42*$I14*2/MAIN!$Q$1</f>
        <v>0</v>
      </c>
      <c r="BL52" s="13">
        <f>BL42*$I14*2/MAIN!$Q$1</f>
        <v>0</v>
      </c>
      <c r="BM52" s="13">
        <f>BM42*$I14*2/MAIN!$Q$1</f>
        <v>0</v>
      </c>
      <c r="BN52" s="13">
        <f>BN42*$I14*2/MAIN!$Q$1</f>
        <v>0</v>
      </c>
      <c r="BO52" s="3">
        <f>BO42*$I14*2/MAIN!$Q$1</f>
        <v>0</v>
      </c>
      <c r="BP52" s="41"/>
      <c r="BQ52" s="41"/>
      <c r="BR52" s="41"/>
    </row>
    <row r="53" spans="1:70" ht="16.5">
      <c r="A53" s="41"/>
      <c r="B53" s="14">
        <f t="shared" si="33"/>
        <v>6</v>
      </c>
      <c r="C53" s="298" t="s">
        <v>66</v>
      </c>
      <c r="D53" s="3">
        <f>D43*$I14*2/MAIN!$Q$1</f>
        <v>0</v>
      </c>
      <c r="E53" s="13">
        <f>E43*$I14*2/MAIN!$Q$1</f>
        <v>0</v>
      </c>
      <c r="F53" s="13">
        <f>F43*$I14*2/MAIN!$Q$1</f>
        <v>0</v>
      </c>
      <c r="G53" s="13">
        <f>G43*$I14*2/MAIN!$Q$1</f>
        <v>0</v>
      </c>
      <c r="H53" s="13">
        <f>H43*$I14*2/MAIN!$Q$1</f>
        <v>0</v>
      </c>
      <c r="I53" s="13">
        <f>I43*$I14*2/MAIN!$Q$1</f>
        <v>0</v>
      </c>
      <c r="J53" s="13">
        <f>J43*$I14*2/MAIN!$Q$1</f>
        <v>0</v>
      </c>
      <c r="K53" s="13">
        <f>K43*$I14*2/MAIN!$Q$1</f>
        <v>0</v>
      </c>
      <c r="L53" s="13">
        <f>L43*$I14*2/MAIN!$Q$1</f>
        <v>0</v>
      </c>
      <c r="M53" s="13">
        <f>M43*$I14*2/MAIN!$Q$1</f>
        <v>0</v>
      </c>
      <c r="N53" s="13">
        <f>N43*$I14*2/MAIN!$Q$1</f>
        <v>0</v>
      </c>
      <c r="O53" s="13">
        <f>O43*$I14*2/MAIN!$Q$1</f>
        <v>0</v>
      </c>
      <c r="P53" s="13">
        <f>P43*$I14*2/MAIN!$Q$1</f>
        <v>0</v>
      </c>
      <c r="Q53" s="13">
        <f>Q43*$I14*2/MAIN!$Q$1</f>
        <v>0</v>
      </c>
      <c r="R53" s="13">
        <f>R43*$I14*2/MAIN!$Q$1</f>
        <v>0</v>
      </c>
      <c r="S53" s="13">
        <f>S43*$I14*2/MAIN!$Q$1</f>
        <v>0</v>
      </c>
      <c r="T53" s="13">
        <f>T43*$I14*2/MAIN!$Q$1</f>
        <v>0</v>
      </c>
      <c r="U53" s="13">
        <f>U43*$I14*2/MAIN!$Q$1</f>
        <v>0</v>
      </c>
      <c r="V53" s="13">
        <f>V43*$I14*2/MAIN!$Q$1</f>
        <v>0</v>
      </c>
      <c r="W53" s="13">
        <f>W43*$I14*2/MAIN!$Q$1</f>
        <v>0</v>
      </c>
      <c r="X53" s="13">
        <f>X43*$I14*2/MAIN!$Q$1</f>
        <v>0</v>
      </c>
      <c r="Y53" s="13">
        <f>Y43*$I14*2/MAIN!$Q$1</f>
        <v>0</v>
      </c>
      <c r="Z53" s="13">
        <f>Z43*$I14*2/MAIN!$Q$1</f>
        <v>0</v>
      </c>
      <c r="AA53" s="13">
        <f>AA43*$I14*2/MAIN!$Q$1</f>
        <v>0</v>
      </c>
      <c r="AB53" s="13">
        <f>AB43*$I14*2/MAIN!$Q$1</f>
        <v>0</v>
      </c>
      <c r="AC53" s="13">
        <f>AC43*$I14*2/MAIN!$Q$1</f>
        <v>0</v>
      </c>
      <c r="AD53" s="13">
        <f>AD43*$I14*2/MAIN!$Q$1</f>
        <v>0</v>
      </c>
      <c r="AE53" s="13">
        <f>AE43*$I14*2/MAIN!$Q$1</f>
        <v>0</v>
      </c>
      <c r="AF53" s="13">
        <f>AF43*$I14*2/MAIN!$Q$1</f>
        <v>0</v>
      </c>
      <c r="AG53" s="13">
        <f>AG43*$I14*2/MAIN!$Q$1</f>
        <v>0</v>
      </c>
      <c r="AH53" s="13">
        <f>AH43*$I14*2/MAIN!$Q$1</f>
        <v>0</v>
      </c>
      <c r="AI53" s="13">
        <f>AI43*$I14*2/MAIN!$Q$1</f>
        <v>0</v>
      </c>
      <c r="AJ53" s="13">
        <f>AJ43*$I14*2/MAIN!$Q$1</f>
        <v>0</v>
      </c>
      <c r="AK53" s="13">
        <f>AK43*$I14*2/MAIN!$Q$1</f>
        <v>0</v>
      </c>
      <c r="AL53" s="13">
        <f>AL43*$I14*2/MAIN!$Q$1</f>
        <v>0</v>
      </c>
      <c r="AM53" s="13">
        <f>AM43*$I14*2/MAIN!$Q$1</f>
        <v>0</v>
      </c>
      <c r="AN53" s="13">
        <f>AN43*$I14*2/MAIN!$Q$1</f>
        <v>0</v>
      </c>
      <c r="AO53" s="13">
        <f>AO43*$I14*2/MAIN!$Q$1</f>
        <v>0</v>
      </c>
      <c r="AP53" s="13">
        <f>AP43*$I14*2/MAIN!$Q$1</f>
        <v>0</v>
      </c>
      <c r="AQ53" s="13">
        <f>AQ43*$I14*2/MAIN!$Q$1</f>
        <v>0</v>
      </c>
      <c r="AR53" s="59">
        <f>AR43*$I14*2/MAIN!$Q$1</f>
        <v>0</v>
      </c>
      <c r="AS53" s="13">
        <f>AS43*$I14*2/MAIN!$Q$1</f>
        <v>0</v>
      </c>
      <c r="AT53" s="13">
        <f>AT43*$I14*2/MAIN!$Q$1</f>
        <v>0</v>
      </c>
      <c r="AU53" s="13">
        <f>AU43*$I14*2/MAIN!$Q$1</f>
        <v>0</v>
      </c>
      <c r="AV53" s="13">
        <f>AV43*$I14*2/MAIN!$Q$1</f>
        <v>0</v>
      </c>
      <c r="AW53" s="13">
        <f>AW43*$I14*2/MAIN!$Q$1</f>
        <v>0</v>
      </c>
      <c r="AX53" s="13">
        <f>AX43*$I14*2/MAIN!$Q$1</f>
        <v>0</v>
      </c>
      <c r="AY53" s="13">
        <f>AY43*$I14*2/MAIN!$Q$1</f>
        <v>0</v>
      </c>
      <c r="AZ53" s="13">
        <f>AZ43*$I14*2/MAIN!$Q$1</f>
        <v>0</v>
      </c>
      <c r="BA53" s="13">
        <f>BA43*$I14*2/MAIN!$Q$1</f>
        <v>0</v>
      </c>
      <c r="BB53" s="13">
        <f>BB43*$I14*2/MAIN!$Q$1</f>
        <v>0</v>
      </c>
      <c r="BC53" s="13">
        <f>BC43*$I14*2/MAIN!$Q$1</f>
        <v>0</v>
      </c>
      <c r="BD53" s="13">
        <f>BD43*$I14*2/MAIN!$Q$1</f>
        <v>0</v>
      </c>
      <c r="BE53" s="13">
        <f>BE43*$I14*2/MAIN!$Q$1</f>
        <v>0</v>
      </c>
      <c r="BF53" s="13">
        <f>BF43*$I14*2/MAIN!$Q$1</f>
        <v>0</v>
      </c>
      <c r="BG53" s="13">
        <f>BG43*$I14*2/MAIN!$Q$1</f>
        <v>0</v>
      </c>
      <c r="BH53" s="13">
        <f>BH43*$I14*2/MAIN!$Q$1</f>
        <v>0</v>
      </c>
      <c r="BI53" s="13">
        <f>BI43*$I14*2/MAIN!$Q$1</f>
        <v>0</v>
      </c>
      <c r="BJ53" s="13">
        <f>BJ43*$I14*2/MAIN!$Q$1</f>
        <v>0</v>
      </c>
      <c r="BK53" s="13">
        <f>BK43*$I14*2/MAIN!$Q$1</f>
        <v>0</v>
      </c>
      <c r="BL53" s="13">
        <f>BL43*$I14*2/MAIN!$Q$1</f>
        <v>0</v>
      </c>
      <c r="BM53" s="13">
        <f>BM43*$I14*2/MAIN!$Q$1</f>
        <v>0</v>
      </c>
      <c r="BN53" s="13">
        <f>BN43*$I14*2/MAIN!$Q$1</f>
        <v>0</v>
      </c>
      <c r="BO53" s="3">
        <f>BO43*$I14*2/MAIN!$Q$1</f>
        <v>0</v>
      </c>
      <c r="BP53" s="41"/>
      <c r="BQ53" s="41"/>
      <c r="BR53" s="41"/>
    </row>
    <row r="54" spans="1:70" ht="16.5">
      <c r="A54" s="41"/>
      <c r="B54" s="14">
        <f t="shared" si="33"/>
        <v>7</v>
      </c>
      <c r="C54" s="298" t="s">
        <v>66</v>
      </c>
      <c r="D54" s="3">
        <f>D44*$I14*2/MAIN!$Q$1</f>
        <v>0</v>
      </c>
      <c r="E54" s="13">
        <f>E44*$I14*2/MAIN!$Q$1</f>
        <v>0</v>
      </c>
      <c r="F54" s="13">
        <f>F44*$I14*2/MAIN!$Q$1</f>
        <v>0</v>
      </c>
      <c r="G54" s="13">
        <f>G44*$I14*2/MAIN!$Q$1</f>
        <v>0</v>
      </c>
      <c r="H54" s="13">
        <f>H44*$I14*2/MAIN!$Q$1</f>
        <v>0</v>
      </c>
      <c r="I54" s="13">
        <f>I44*$I14*2/MAIN!$Q$1</f>
        <v>0</v>
      </c>
      <c r="J54" s="13">
        <f>J44*$I14*2/MAIN!$Q$1</f>
        <v>0</v>
      </c>
      <c r="K54" s="13">
        <f>K44*$I14*2/MAIN!$Q$1</f>
        <v>0</v>
      </c>
      <c r="L54" s="13">
        <f>L44*$I14*2/MAIN!$Q$1</f>
        <v>0</v>
      </c>
      <c r="M54" s="13">
        <f>M44*$I14*2/MAIN!$Q$1</f>
        <v>0</v>
      </c>
      <c r="N54" s="13">
        <f>N44*$I14*2/MAIN!$Q$1</f>
        <v>0</v>
      </c>
      <c r="O54" s="13">
        <f>O44*$I14*2/MAIN!$Q$1</f>
        <v>0</v>
      </c>
      <c r="P54" s="13">
        <f>P44*$I14*2/MAIN!$Q$1</f>
        <v>0</v>
      </c>
      <c r="Q54" s="13">
        <f>Q44*$I14*2/MAIN!$Q$1</f>
        <v>0</v>
      </c>
      <c r="R54" s="13">
        <f>R44*$I14*2/MAIN!$Q$1</f>
        <v>0</v>
      </c>
      <c r="S54" s="13">
        <f>S44*$I14*2/MAIN!$Q$1</f>
        <v>0</v>
      </c>
      <c r="T54" s="13">
        <f>T44*$I14*2/MAIN!$Q$1</f>
        <v>0</v>
      </c>
      <c r="U54" s="13">
        <f>U44*$I14*2/MAIN!$Q$1</f>
        <v>0</v>
      </c>
      <c r="V54" s="13">
        <f>V44*$I14*2/MAIN!$Q$1</f>
        <v>0</v>
      </c>
      <c r="W54" s="13">
        <f>W44*$I14*2/MAIN!$Q$1</f>
        <v>0</v>
      </c>
      <c r="X54" s="13">
        <f>X44*$I14*2/MAIN!$Q$1</f>
        <v>0</v>
      </c>
      <c r="Y54" s="13">
        <f>Y44*$I14*2/MAIN!$Q$1</f>
        <v>0</v>
      </c>
      <c r="Z54" s="13">
        <f>Z44*$I14*2/MAIN!$Q$1</f>
        <v>0</v>
      </c>
      <c r="AA54" s="13">
        <f>AA44*$I14*2/MAIN!$Q$1</f>
        <v>0</v>
      </c>
      <c r="AB54" s="13">
        <f>AB44*$I14*2/MAIN!$Q$1</f>
        <v>0</v>
      </c>
      <c r="AC54" s="13">
        <f>AC44*$I14*2/MAIN!$Q$1</f>
        <v>0</v>
      </c>
      <c r="AD54" s="13">
        <f>AD44*$I14*2/MAIN!$Q$1</f>
        <v>0</v>
      </c>
      <c r="AE54" s="13">
        <f>AE44*$I14*2/MAIN!$Q$1</f>
        <v>0</v>
      </c>
      <c r="AF54" s="13">
        <f>AF44*$I14*2/MAIN!$Q$1</f>
        <v>0</v>
      </c>
      <c r="AG54" s="13">
        <f>AG44*$I14*2/MAIN!$Q$1</f>
        <v>0</v>
      </c>
      <c r="AH54" s="13">
        <f>AH44*$I14*2/MAIN!$Q$1</f>
        <v>0</v>
      </c>
      <c r="AI54" s="13">
        <f>AI44*$I14*2/MAIN!$Q$1</f>
        <v>0</v>
      </c>
      <c r="AJ54" s="13">
        <f>AJ44*$I14*2/MAIN!$Q$1</f>
        <v>0</v>
      </c>
      <c r="AK54" s="13">
        <f>AK44*$I14*2/MAIN!$Q$1</f>
        <v>0</v>
      </c>
      <c r="AL54" s="13">
        <f>AL44*$I14*2/MAIN!$Q$1</f>
        <v>0</v>
      </c>
      <c r="AM54" s="13">
        <f>AM44*$I14*2/MAIN!$Q$1</f>
        <v>0</v>
      </c>
      <c r="AN54" s="13">
        <f>AN44*$I14*2/MAIN!$Q$1</f>
        <v>0</v>
      </c>
      <c r="AO54" s="13">
        <f>AO44*$I14*2/MAIN!$Q$1</f>
        <v>0</v>
      </c>
      <c r="AP54" s="13">
        <f>AP44*$I14*2/MAIN!$Q$1</f>
        <v>0</v>
      </c>
      <c r="AQ54" s="13">
        <f>AQ44*$I14*2/MAIN!$Q$1</f>
        <v>0</v>
      </c>
      <c r="AR54" s="59">
        <f>AR44*$I14*2/MAIN!$Q$1</f>
        <v>0</v>
      </c>
      <c r="AS54" s="13">
        <f>AS44*$I14*2/MAIN!$Q$1</f>
        <v>0</v>
      </c>
      <c r="AT54" s="13">
        <f>AT44*$I14*2/MAIN!$Q$1</f>
        <v>0</v>
      </c>
      <c r="AU54" s="13">
        <f>AU44*$I14*2/MAIN!$Q$1</f>
        <v>0</v>
      </c>
      <c r="AV54" s="13">
        <f>AV44*$I14*2/MAIN!$Q$1</f>
        <v>0</v>
      </c>
      <c r="AW54" s="13">
        <f>AW44*$I14*2/MAIN!$Q$1</f>
        <v>0</v>
      </c>
      <c r="AX54" s="13">
        <f>AX44*$I14*2/MAIN!$Q$1</f>
        <v>0</v>
      </c>
      <c r="AY54" s="13">
        <f>AY44*$I14*2/MAIN!$Q$1</f>
        <v>0</v>
      </c>
      <c r="AZ54" s="13">
        <f>AZ44*$I14*2/MAIN!$Q$1</f>
        <v>0</v>
      </c>
      <c r="BA54" s="13">
        <f>BA44*$I14*2/MAIN!$Q$1</f>
        <v>0</v>
      </c>
      <c r="BB54" s="13">
        <f>BB44*$I14*2/MAIN!$Q$1</f>
        <v>0</v>
      </c>
      <c r="BC54" s="13">
        <f>BC44*$I14*2/MAIN!$Q$1</f>
        <v>0</v>
      </c>
      <c r="BD54" s="13">
        <f>BD44*$I14*2/MAIN!$Q$1</f>
        <v>0</v>
      </c>
      <c r="BE54" s="13">
        <f>BE44*$I14*2/MAIN!$Q$1</f>
        <v>0</v>
      </c>
      <c r="BF54" s="13">
        <f>BF44*$I14*2/MAIN!$Q$1</f>
        <v>0</v>
      </c>
      <c r="BG54" s="13">
        <f>BG44*$I14*2/MAIN!$Q$1</f>
        <v>0</v>
      </c>
      <c r="BH54" s="13">
        <f>BH44*$I14*2/MAIN!$Q$1</f>
        <v>0</v>
      </c>
      <c r="BI54" s="13">
        <f>BI44*$I14*2/MAIN!$Q$1</f>
        <v>0</v>
      </c>
      <c r="BJ54" s="13">
        <f>BJ44*$I14*2/MAIN!$Q$1</f>
        <v>0</v>
      </c>
      <c r="BK54" s="13">
        <f>BK44*$I14*2/MAIN!$Q$1</f>
        <v>0</v>
      </c>
      <c r="BL54" s="13">
        <f>BL44*$I14*2/MAIN!$Q$1</f>
        <v>0</v>
      </c>
      <c r="BM54" s="13">
        <f>BM44*$I14*2/MAIN!$Q$1</f>
        <v>0</v>
      </c>
      <c r="BN54" s="13">
        <f>BN44*$I14*2/MAIN!$Q$1</f>
        <v>0</v>
      </c>
      <c r="BO54" s="3">
        <f>BO44*$I14*2/MAIN!$Q$1</f>
        <v>0</v>
      </c>
      <c r="BP54" s="41"/>
      <c r="BQ54" s="41"/>
      <c r="BR54" s="41"/>
    </row>
    <row r="55" spans="1:70" ht="16.5">
      <c r="A55" s="41"/>
      <c r="B55" s="14">
        <f t="shared" si="33"/>
        <v>8</v>
      </c>
      <c r="C55" s="298" t="s">
        <v>66</v>
      </c>
      <c r="D55" s="3">
        <f>D45*$I14*2/MAIN!$Q$1</f>
        <v>0</v>
      </c>
      <c r="E55" s="13">
        <f>E45*$I14*2/MAIN!$Q$1</f>
        <v>0</v>
      </c>
      <c r="F55" s="13">
        <f>F45*$I14*2/MAIN!$Q$1</f>
        <v>0</v>
      </c>
      <c r="G55" s="13">
        <f>G45*$I14*2/MAIN!$Q$1</f>
        <v>0</v>
      </c>
      <c r="H55" s="13">
        <f>H45*$I14*2/MAIN!$Q$1</f>
        <v>0</v>
      </c>
      <c r="I55" s="13">
        <f>I45*$I14*2/MAIN!$Q$1</f>
        <v>0</v>
      </c>
      <c r="J55" s="13">
        <f>J45*$I14*2/MAIN!$Q$1</f>
        <v>0</v>
      </c>
      <c r="K55" s="13">
        <f>K45*$I14*2/MAIN!$Q$1</f>
        <v>0</v>
      </c>
      <c r="L55" s="13">
        <f>L45*$I14*2/MAIN!$Q$1</f>
        <v>0</v>
      </c>
      <c r="M55" s="13">
        <f>M45*$I14*2/MAIN!$Q$1</f>
        <v>0</v>
      </c>
      <c r="N55" s="13">
        <f>N45*$I14*2/MAIN!$Q$1</f>
        <v>0</v>
      </c>
      <c r="O55" s="13">
        <f>O45*$I14*2/MAIN!$Q$1</f>
        <v>0</v>
      </c>
      <c r="P55" s="13">
        <f>P45*$I14*2/MAIN!$Q$1</f>
        <v>0</v>
      </c>
      <c r="Q55" s="13">
        <f>Q45*$I14*2/MAIN!$Q$1</f>
        <v>0</v>
      </c>
      <c r="R55" s="13">
        <f>R45*$I14*2/MAIN!$Q$1</f>
        <v>0</v>
      </c>
      <c r="S55" s="13">
        <f>S45*$I14*2/MAIN!$Q$1</f>
        <v>0</v>
      </c>
      <c r="T55" s="13">
        <f>T45*$I14*2/MAIN!$Q$1</f>
        <v>0</v>
      </c>
      <c r="U55" s="13">
        <f>U45*$I14*2/MAIN!$Q$1</f>
        <v>0</v>
      </c>
      <c r="V55" s="13">
        <f>V45*$I14*2/MAIN!$Q$1</f>
        <v>0</v>
      </c>
      <c r="W55" s="13">
        <f>W45*$I14*2/MAIN!$Q$1</f>
        <v>0</v>
      </c>
      <c r="X55" s="13">
        <f>X45*$I14*2/MAIN!$Q$1</f>
        <v>0</v>
      </c>
      <c r="Y55" s="13">
        <f>Y45*$I14*2/MAIN!$Q$1</f>
        <v>0</v>
      </c>
      <c r="Z55" s="13">
        <f>Z45*$I14*2/MAIN!$Q$1</f>
        <v>0</v>
      </c>
      <c r="AA55" s="13">
        <f>AA45*$I14*2/MAIN!$Q$1</f>
        <v>0</v>
      </c>
      <c r="AB55" s="13">
        <f>AB45*$I14*2/MAIN!$Q$1</f>
        <v>0</v>
      </c>
      <c r="AC55" s="13">
        <f>AC45*$I14*2/MAIN!$Q$1</f>
        <v>0</v>
      </c>
      <c r="AD55" s="13">
        <f>AD45*$I14*2/MAIN!$Q$1</f>
        <v>0</v>
      </c>
      <c r="AE55" s="13">
        <f>AE45*$I14*2/MAIN!$Q$1</f>
        <v>0</v>
      </c>
      <c r="AF55" s="13">
        <f>AF45*$I14*2/MAIN!$Q$1</f>
        <v>0</v>
      </c>
      <c r="AG55" s="13">
        <f>AG45*$I14*2/MAIN!$Q$1</f>
        <v>0</v>
      </c>
      <c r="AH55" s="13">
        <f>AH45*$I14*2/MAIN!$Q$1</f>
        <v>0</v>
      </c>
      <c r="AI55" s="13">
        <f>AI45*$I14*2/MAIN!$Q$1</f>
        <v>0</v>
      </c>
      <c r="AJ55" s="13">
        <f>AJ45*$I14*2/MAIN!$Q$1</f>
        <v>0</v>
      </c>
      <c r="AK55" s="13">
        <f>AK45*$I14*2/MAIN!$Q$1</f>
        <v>0</v>
      </c>
      <c r="AL55" s="13">
        <f>AL45*$I14*2/MAIN!$Q$1</f>
        <v>0</v>
      </c>
      <c r="AM55" s="13">
        <f>AM45*$I14*2/MAIN!$Q$1</f>
        <v>0</v>
      </c>
      <c r="AN55" s="13">
        <f>AN45*$I14*2/MAIN!$Q$1</f>
        <v>0</v>
      </c>
      <c r="AO55" s="13">
        <f>AO45*$I14*2/MAIN!$Q$1</f>
        <v>0</v>
      </c>
      <c r="AP55" s="13">
        <f>AP45*$I14*2/MAIN!$Q$1</f>
        <v>0</v>
      </c>
      <c r="AQ55" s="13">
        <f>AQ45*$I14*2/MAIN!$Q$1</f>
        <v>0</v>
      </c>
      <c r="AR55" s="59">
        <f>AR45*$I14*2/MAIN!$Q$1</f>
        <v>0</v>
      </c>
      <c r="AS55" s="13">
        <f>AS45*$I14*2/MAIN!$Q$1</f>
        <v>0</v>
      </c>
      <c r="AT55" s="13">
        <f>AT45*$I14*2/MAIN!$Q$1</f>
        <v>0</v>
      </c>
      <c r="AU55" s="13">
        <f>AU45*$I14*2/MAIN!$Q$1</f>
        <v>0</v>
      </c>
      <c r="AV55" s="13">
        <f>AV45*$I14*2/MAIN!$Q$1</f>
        <v>0</v>
      </c>
      <c r="AW55" s="13">
        <f>AW45*$I14*2/MAIN!$Q$1</f>
        <v>0</v>
      </c>
      <c r="AX55" s="13">
        <f>AX45*$I14*2/MAIN!$Q$1</f>
        <v>0</v>
      </c>
      <c r="AY55" s="13">
        <f>AY45*$I14*2/MAIN!$Q$1</f>
        <v>0</v>
      </c>
      <c r="AZ55" s="13">
        <f>AZ45*$I14*2/MAIN!$Q$1</f>
        <v>0</v>
      </c>
      <c r="BA55" s="13">
        <f>BA45*$I14*2/MAIN!$Q$1</f>
        <v>0</v>
      </c>
      <c r="BB55" s="13">
        <f>BB45*$I14*2/MAIN!$Q$1</f>
        <v>0</v>
      </c>
      <c r="BC55" s="13">
        <f>BC45*$I14*2/MAIN!$Q$1</f>
        <v>0</v>
      </c>
      <c r="BD55" s="13">
        <f>BD45*$I14*2/MAIN!$Q$1</f>
        <v>0</v>
      </c>
      <c r="BE55" s="13">
        <f>BE45*$I14*2/MAIN!$Q$1</f>
        <v>0</v>
      </c>
      <c r="BF55" s="13">
        <f>BF45*$I14*2/MAIN!$Q$1</f>
        <v>0</v>
      </c>
      <c r="BG55" s="13">
        <f>BG45*$I14*2/MAIN!$Q$1</f>
        <v>0</v>
      </c>
      <c r="BH55" s="13">
        <f>BH45*$I14*2/MAIN!$Q$1</f>
        <v>0</v>
      </c>
      <c r="BI55" s="13">
        <f>BI45*$I14*2/MAIN!$Q$1</f>
        <v>0</v>
      </c>
      <c r="BJ55" s="13">
        <f>BJ45*$I14*2/MAIN!$Q$1</f>
        <v>0</v>
      </c>
      <c r="BK55" s="13">
        <f>BK45*$I14*2/MAIN!$Q$1</f>
        <v>0</v>
      </c>
      <c r="BL55" s="13">
        <f>BL45*$I14*2/MAIN!$Q$1</f>
        <v>0</v>
      </c>
      <c r="BM55" s="13">
        <f>BM45*$I14*2/MAIN!$Q$1</f>
        <v>0</v>
      </c>
      <c r="BN55" s="13">
        <f>BN45*$I14*2/MAIN!$Q$1</f>
        <v>0</v>
      </c>
      <c r="BO55" s="3">
        <f>BO45*$I14*2/MAIN!$Q$1</f>
        <v>0</v>
      </c>
      <c r="BP55" s="41"/>
      <c r="BQ55" s="41"/>
      <c r="BR55" s="41"/>
    </row>
    <row r="56" spans="1:70" ht="16.5">
      <c r="A56" s="41"/>
      <c r="B56" s="14">
        <f t="shared" si="33"/>
        <v>9</v>
      </c>
      <c r="C56" s="298" t="s">
        <v>66</v>
      </c>
      <c r="D56" s="3">
        <f>D46*$I14*2/MAIN!$Q$1</f>
        <v>0</v>
      </c>
      <c r="E56" s="13">
        <f>E46*$I14*2/MAIN!$Q$1</f>
        <v>0</v>
      </c>
      <c r="F56" s="13">
        <f>F46*$I14*2/MAIN!$Q$1</f>
        <v>0</v>
      </c>
      <c r="G56" s="13">
        <f>G46*$I14*2/MAIN!$Q$1</f>
        <v>0</v>
      </c>
      <c r="H56" s="13">
        <f>H46*$I14*2/MAIN!$Q$1</f>
        <v>0</v>
      </c>
      <c r="I56" s="13">
        <f>I46*$I14*2/MAIN!$Q$1</f>
        <v>0</v>
      </c>
      <c r="J56" s="13">
        <f>J46*$I14*2/MAIN!$Q$1</f>
        <v>0</v>
      </c>
      <c r="K56" s="13">
        <f>K46*$I14*2/MAIN!$Q$1</f>
        <v>0</v>
      </c>
      <c r="L56" s="13">
        <f>L46*$I14*2/MAIN!$Q$1</f>
        <v>0</v>
      </c>
      <c r="M56" s="13">
        <f>M46*$I14*2/MAIN!$Q$1</f>
        <v>0</v>
      </c>
      <c r="N56" s="13">
        <f>N46*$I14*2/MAIN!$Q$1</f>
        <v>0</v>
      </c>
      <c r="O56" s="13">
        <f>O46*$I14*2/MAIN!$Q$1</f>
        <v>0</v>
      </c>
      <c r="P56" s="13">
        <f>P46*$I14*2/MAIN!$Q$1</f>
        <v>0</v>
      </c>
      <c r="Q56" s="13">
        <f>Q46*$I14*2/MAIN!$Q$1</f>
        <v>0</v>
      </c>
      <c r="R56" s="13">
        <f>R46*$I14*2/MAIN!$Q$1</f>
        <v>0</v>
      </c>
      <c r="S56" s="13">
        <f>S46*$I14*2/MAIN!$Q$1</f>
        <v>0</v>
      </c>
      <c r="T56" s="13">
        <f>T46*$I14*2/MAIN!$Q$1</f>
        <v>0</v>
      </c>
      <c r="U56" s="13">
        <f>U46*$I14*2/MAIN!$Q$1</f>
        <v>0</v>
      </c>
      <c r="V56" s="13">
        <f>V46*$I14*2/MAIN!$Q$1</f>
        <v>0</v>
      </c>
      <c r="W56" s="13">
        <f>W46*$I14*2/MAIN!$Q$1</f>
        <v>0</v>
      </c>
      <c r="X56" s="13">
        <f>X46*$I14*2/MAIN!$Q$1</f>
        <v>0</v>
      </c>
      <c r="Y56" s="13">
        <f>Y46*$I14*2/MAIN!$Q$1</f>
        <v>0</v>
      </c>
      <c r="Z56" s="13">
        <f>Z46*$I14*2/MAIN!$Q$1</f>
        <v>0</v>
      </c>
      <c r="AA56" s="13">
        <f>AA46*$I14*2/MAIN!$Q$1</f>
        <v>0</v>
      </c>
      <c r="AB56" s="13">
        <f>AB46*$I14*2/MAIN!$Q$1</f>
        <v>0</v>
      </c>
      <c r="AC56" s="13">
        <f>AC46*$I14*2/MAIN!$Q$1</f>
        <v>0</v>
      </c>
      <c r="AD56" s="13">
        <f>AD46*$I14*2/MAIN!$Q$1</f>
        <v>0</v>
      </c>
      <c r="AE56" s="13">
        <f>AE46*$I14*2/MAIN!$Q$1</f>
        <v>0</v>
      </c>
      <c r="AF56" s="13">
        <f>AF46*$I14*2/MAIN!$Q$1</f>
        <v>0</v>
      </c>
      <c r="AG56" s="13">
        <f>AG46*$I14*2/MAIN!$Q$1</f>
        <v>0</v>
      </c>
      <c r="AH56" s="13">
        <f>AH46*$I14*2/MAIN!$Q$1</f>
        <v>0</v>
      </c>
      <c r="AI56" s="13">
        <f>AI46*$I14*2/MAIN!$Q$1</f>
        <v>0</v>
      </c>
      <c r="AJ56" s="13">
        <f>AJ46*$I14*2/MAIN!$Q$1</f>
        <v>0</v>
      </c>
      <c r="AK56" s="13">
        <f>AK46*$I14*2/MAIN!$Q$1</f>
        <v>0</v>
      </c>
      <c r="AL56" s="13">
        <f>AL46*$I14*2/MAIN!$Q$1</f>
        <v>0</v>
      </c>
      <c r="AM56" s="13">
        <f>AM46*$I14*2/MAIN!$Q$1</f>
        <v>0</v>
      </c>
      <c r="AN56" s="13">
        <f>AN46*$I14*2/MAIN!$Q$1</f>
        <v>0</v>
      </c>
      <c r="AO56" s="13">
        <f>AO46*$I14*2/MAIN!$Q$1</f>
        <v>0</v>
      </c>
      <c r="AP56" s="13">
        <f>AP46*$I14*2/MAIN!$Q$1</f>
        <v>0</v>
      </c>
      <c r="AQ56" s="13">
        <f>AQ46*$I14*2/MAIN!$Q$1</f>
        <v>0</v>
      </c>
      <c r="AR56" s="59">
        <f>AR46*$I14*2/MAIN!$Q$1</f>
        <v>0</v>
      </c>
      <c r="AS56" s="13">
        <f>AS46*$I14*2/MAIN!$Q$1</f>
        <v>0</v>
      </c>
      <c r="AT56" s="13">
        <f>AT46*$I14*2/MAIN!$Q$1</f>
        <v>0</v>
      </c>
      <c r="AU56" s="13">
        <f>AU46*$I14*2/MAIN!$Q$1</f>
        <v>0</v>
      </c>
      <c r="AV56" s="13">
        <f>AV46*$I14*2/MAIN!$Q$1</f>
        <v>0</v>
      </c>
      <c r="AW56" s="13">
        <f>AW46*$I14*2/MAIN!$Q$1</f>
        <v>0</v>
      </c>
      <c r="AX56" s="13">
        <f>AX46*$I14*2/MAIN!$Q$1</f>
        <v>0</v>
      </c>
      <c r="AY56" s="13">
        <f>AY46*$I14*2/MAIN!$Q$1</f>
        <v>0</v>
      </c>
      <c r="AZ56" s="13">
        <f>AZ46*$I14*2/MAIN!$Q$1</f>
        <v>0</v>
      </c>
      <c r="BA56" s="13">
        <f>BA46*$I14*2/MAIN!$Q$1</f>
        <v>0</v>
      </c>
      <c r="BB56" s="13">
        <f>BB46*$I14*2/MAIN!$Q$1</f>
        <v>0</v>
      </c>
      <c r="BC56" s="13">
        <f>BC46*$I14*2/MAIN!$Q$1</f>
        <v>0</v>
      </c>
      <c r="BD56" s="13">
        <f>BD46*$I14*2/MAIN!$Q$1</f>
        <v>0</v>
      </c>
      <c r="BE56" s="13">
        <f>BE46*$I14*2/MAIN!$Q$1</f>
        <v>0</v>
      </c>
      <c r="BF56" s="13">
        <f>BF46*$I14*2/MAIN!$Q$1</f>
        <v>0</v>
      </c>
      <c r="BG56" s="13">
        <f>BG46*$I14*2/MAIN!$Q$1</f>
        <v>0</v>
      </c>
      <c r="BH56" s="13">
        <f>BH46*$I14*2/MAIN!$Q$1</f>
        <v>0</v>
      </c>
      <c r="BI56" s="13">
        <f>BI46*$I14*2/MAIN!$Q$1</f>
        <v>0</v>
      </c>
      <c r="BJ56" s="13">
        <f>BJ46*$I14*2/MAIN!$Q$1</f>
        <v>0</v>
      </c>
      <c r="BK56" s="13">
        <f>BK46*$I14*2/MAIN!$Q$1</f>
        <v>0</v>
      </c>
      <c r="BL56" s="13">
        <f>BL46*$I14*2/MAIN!$Q$1</f>
        <v>0</v>
      </c>
      <c r="BM56" s="13">
        <f>BM46*$I14*2/MAIN!$Q$1</f>
        <v>0</v>
      </c>
      <c r="BN56" s="13">
        <f>BN46*$I14*2/MAIN!$Q$1</f>
        <v>0</v>
      </c>
      <c r="BO56" s="3">
        <f>BO46*$I14*2/MAIN!$Q$1</f>
        <v>0</v>
      </c>
      <c r="BP56" s="41"/>
      <c r="BQ56" s="41"/>
      <c r="BR56" s="41"/>
    </row>
    <row r="57" spans="1:70" ht="16.5">
      <c r="A57" s="41"/>
      <c r="B57" s="290" t="s">
        <v>67</v>
      </c>
      <c r="C57" s="298" t="s">
        <v>68</v>
      </c>
      <c r="D57" s="3">
        <f>D47*$I14*MAIN!$C$15/MAIN!$Q$1</f>
        <v>-1092727.8795094935</v>
      </c>
      <c r="E57" s="13">
        <f>E47*$I14*MAIN!$C$15/MAIN!$Q$1</f>
        <v>-1092727.8795094935</v>
      </c>
      <c r="F57" s="13">
        <f>F47*$I14*MAIN!$C$15/MAIN!$Q$1</f>
        <v>-1092727.8795094935</v>
      </c>
      <c r="G57" s="13">
        <f>G47*$I14*MAIN!$C$15/MAIN!$Q$1</f>
        <v>-1092727.8795094935</v>
      </c>
      <c r="H57" s="13">
        <f>H47*$I14*MAIN!$C$15/MAIN!$Q$1</f>
        <v>-1092727.8795094935</v>
      </c>
      <c r="I57" s="13">
        <f>I47*$I14*MAIN!$C$15/MAIN!$Q$1</f>
        <v>-1092727.8795094935</v>
      </c>
      <c r="J57" s="13">
        <f>J47*$I14*MAIN!$C$15/MAIN!$Q$1</f>
        <v>-1092727.8795094935</v>
      </c>
      <c r="K57" s="13">
        <f>K47*$I14*MAIN!$C$15/MAIN!$Q$1</f>
        <v>-1092727.8795094935</v>
      </c>
      <c r="L57" s="13">
        <f>L47*$I14*MAIN!$C$15/MAIN!$Q$1</f>
        <v>-1092727.8795094935</v>
      </c>
      <c r="M57" s="13">
        <f>M47*$I14*MAIN!$C$15/MAIN!$Q$1</f>
        <v>-1092727.8795094935</v>
      </c>
      <c r="N57" s="13">
        <f>N47*$I14*MAIN!$C$15/MAIN!$Q$1</f>
        <v>-1092727.8795094935</v>
      </c>
      <c r="O57" s="13">
        <f>O47*$I14*MAIN!$C$15/MAIN!$Q$1</f>
        <v>-1092727.8795094935</v>
      </c>
      <c r="P57" s="13">
        <f>P47*$I14*MAIN!$C$15/MAIN!$Q$1</f>
        <v>-1092727.8795094935</v>
      </c>
      <c r="Q57" s="13">
        <f>Q47*$I14*MAIN!$C$15/MAIN!$Q$1</f>
        <v>-1092727.8795094935</v>
      </c>
      <c r="R57" s="13">
        <f>R47*$I14*MAIN!$C$15/MAIN!$Q$1</f>
        <v>-1092727.8795094935</v>
      </c>
      <c r="S57" s="13">
        <f>S47*$I14*MAIN!$C$15/MAIN!$Q$1</f>
        <v>-1092727.8795094935</v>
      </c>
      <c r="T57" s="13">
        <f>T47*$I14*MAIN!$C$15/MAIN!$Q$1</f>
        <v>-1092727.8795094935</v>
      </c>
      <c r="U57" s="13">
        <f>U47*$I14*MAIN!$C$15/MAIN!$Q$1</f>
        <v>-1092727.8795094935</v>
      </c>
      <c r="V57" s="13">
        <f>V47*$I14*MAIN!$C$15/MAIN!$Q$1</f>
        <v>-1092727.8795094935</v>
      </c>
      <c r="W57" s="13">
        <f>W47*$I14*MAIN!$C$15/MAIN!$Q$1</f>
        <v>-1092727.8795094935</v>
      </c>
      <c r="X57" s="13">
        <f>X47*$I14*MAIN!$C$15/MAIN!$Q$1</f>
        <v>-1092727.8795094935</v>
      </c>
      <c r="Y57" s="13">
        <f>Y47*$I14*MAIN!$C$15/MAIN!$Q$1</f>
        <v>-1092727.8795094935</v>
      </c>
      <c r="Z57" s="13">
        <f>Z47*$I14*MAIN!$C$15/MAIN!$Q$1</f>
        <v>-1092727.8795094935</v>
      </c>
      <c r="AA57" s="13">
        <f>AA47*$I14*MAIN!$C$15/MAIN!$Q$1</f>
        <v>-1092727.8795094935</v>
      </c>
      <c r="AB57" s="13">
        <f>AB47*$I14*MAIN!$C$15/MAIN!$Q$1</f>
        <v>-1092727.8795094935</v>
      </c>
      <c r="AC57" s="13">
        <f>AC47*$I14*MAIN!$C$15/MAIN!$Q$1</f>
        <v>-1092727.8795094935</v>
      </c>
      <c r="AD57" s="13">
        <f>AD47*$I14*MAIN!$C$15/MAIN!$Q$1</f>
        <v>-1092727.8795094935</v>
      </c>
      <c r="AE57" s="13">
        <f>AE47*$I14*MAIN!$C$15/MAIN!$Q$1</f>
        <v>-1092727.8795094935</v>
      </c>
      <c r="AF57" s="13">
        <f>AF47*$I14*MAIN!$C$15/MAIN!$Q$1</f>
        <v>-1092727.8795094935</v>
      </c>
      <c r="AG57" s="13">
        <f>AG47*$I14*MAIN!$C$15/MAIN!$Q$1</f>
        <v>-1092727.8795094935</v>
      </c>
      <c r="AH57" s="13">
        <f>AH47*$I14*MAIN!$C$15/MAIN!$Q$1</f>
        <v>-1092727.8795094935</v>
      </c>
      <c r="AI57" s="13">
        <f>AI47*$I14*MAIN!$C$15/MAIN!$Q$1</f>
        <v>-1092727.8795094935</v>
      </c>
      <c r="AJ57" s="13">
        <f>AJ47*$I14*MAIN!$C$15/MAIN!$Q$1</f>
        <v>-1092727.8795094935</v>
      </c>
      <c r="AK57" s="13">
        <f>AK47*$I14*MAIN!$C$15/MAIN!$Q$1</f>
        <v>-1092727.8795094935</v>
      </c>
      <c r="AL57" s="13">
        <f>AL47*$I14*MAIN!$C$15/MAIN!$Q$1</f>
        <v>-1092727.8795094935</v>
      </c>
      <c r="AM57" s="13">
        <f>AM47*$I14*MAIN!$C$15/MAIN!$Q$1</f>
        <v>-1092727.8795094935</v>
      </c>
      <c r="AN57" s="13">
        <f>AN47*$I14*MAIN!$C$15/MAIN!$Q$1</f>
        <v>-1092727.8795094935</v>
      </c>
      <c r="AO57" s="13">
        <f>AO47*$I14*MAIN!$C$15/MAIN!$Q$1</f>
        <v>-1092727.8795094935</v>
      </c>
      <c r="AP57" s="13">
        <f>AP47*$I14*MAIN!$C$15/MAIN!$Q$1</f>
        <v>-1092727.8795094935</v>
      </c>
      <c r="AQ57" s="13">
        <f>AQ47*$I14*MAIN!$C$15/MAIN!$Q$1</f>
        <v>-1092727.8795094935</v>
      </c>
      <c r="AR57" s="59">
        <f>AR47*$I14*MAIN!$C$15/MAIN!$Q$1</f>
        <v>-1092727.8795094935</v>
      </c>
      <c r="AS57" s="13">
        <f>AS47*$I14*MAIN!$C$15/MAIN!$Q$1</f>
        <v>-932221.59559744131</v>
      </c>
      <c r="AT57" s="13">
        <f>AT47*$I14*MAIN!$C$15/MAIN!$Q$1</f>
        <v>-788818.74365744798</v>
      </c>
      <c r="AU57" s="13">
        <f>AU47*$I14*MAIN!$C$15/MAIN!$Q$1</f>
        <v>-659923.81754310941</v>
      </c>
      <c r="AV57" s="13">
        <f>AV47*$I14*MAIN!$C$15/MAIN!$Q$1</f>
        <v>-543441.19437833806</v>
      </c>
      <c r="AW57" s="13">
        <f>AW47*$I14*MAIN!$C$15/MAIN!$Q$1</f>
        <v>-437660.31862285465</v>
      </c>
      <c r="AX57" s="13">
        <f>AX47*$I14*MAIN!$C$15/MAIN!$Q$1</f>
        <v>-341171.14213035669</v>
      </c>
      <c r="AY57" s="13">
        <f>AY47*$I14*MAIN!$C$15/MAIN!$Q$1</f>
        <v>-252800.90973367932</v>
      </c>
      <c r="AZ57" s="13">
        <f>AZ47*$I14*MAIN!$C$15/MAIN!$Q$1</f>
        <v>-171566.25784433191</v>
      </c>
      <c r="BA57" s="13">
        <f>BA47*$I14*MAIN!$C$15/MAIN!$Q$1</f>
        <v>-96636.466358018442</v>
      </c>
      <c r="BB57" s="13">
        <f>BB47*$I14*MAIN!$C$15/MAIN!$Q$1</f>
        <v>-27304.947304456553</v>
      </c>
      <c r="BC57" s="13">
        <f>BC47*$I14*MAIN!$C$15/MAIN!$Q$1</f>
        <v>37033.106081819198</v>
      </c>
      <c r="BD57" s="13">
        <f>BD47*$I14*MAIN!$C$15/MAIN!$Q$1</f>
        <v>96383.20768877049</v>
      </c>
      <c r="BE57" s="13">
        <f>BE47*$I14*MAIN!$C$15/MAIN!$Q$1</f>
        <v>147042.64601765407</v>
      </c>
      <c r="BF57" s="13">
        <f>BF47*$I14*MAIN!$C$15/MAIN!$Q$1</f>
        <v>191547.12463230005</v>
      </c>
      <c r="BG57" s="13">
        <f>BG47*$I14*MAIN!$C$15/MAIN!$Q$1</f>
        <v>230954.11566814332</v>
      </c>
      <c r="BH57" s="13">
        <f>BH47*$I14*MAIN!$C$15/MAIN!$Q$1</f>
        <v>266091.96981898701</v>
      </c>
      <c r="BI57" s="13">
        <f>BI47*$I14*MAIN!$C$15/MAIN!$Q$1</f>
        <v>297618.78213368333</v>
      </c>
      <c r="BJ57" s="13">
        <f>BJ47*$I14*MAIN!$C$15/MAIN!$Q$1</f>
        <v>269096.44946018717</v>
      </c>
      <c r="BK57" s="13">
        <f>BK47*$I14*MAIN!$C$15/MAIN!$Q$1</f>
        <v>294890.83041696198</v>
      </c>
      <c r="BL57" s="13">
        <f>BL47*$I14*MAIN!$C$15/MAIN!$Q$1</f>
        <v>525797.89045581187</v>
      </c>
      <c r="BM57" s="13">
        <f>BM47*$I14*MAIN!$C$15/MAIN!$Q$1</f>
        <v>616152.82699275308</v>
      </c>
      <c r="BN57" s="13">
        <f>BN47*$I14*MAIN!$C$15/MAIN!$Q$1</f>
        <v>664342.12647912174</v>
      </c>
      <c r="BO57" s="3">
        <f>BO47*$I14*MAIN!$C$15/MAIN!$Q$1</f>
        <v>822678.39622004726</v>
      </c>
      <c r="BP57" s="41"/>
      <c r="BQ57" s="41"/>
      <c r="BR57" s="41"/>
    </row>
    <row r="58" spans="1:70" ht="16.5">
      <c r="A58" s="41"/>
      <c r="B58" s="290" t="s">
        <v>69</v>
      </c>
      <c r="C58" s="298" t="s">
        <v>70</v>
      </c>
      <c r="D58" s="3">
        <f>MAX($F14-$C$8/2*D17,$F14-MAIN!$C$13/2)</f>
        <v>1109.8832357283457</v>
      </c>
      <c r="E58" s="304">
        <f>MAX($F14-$C$8/2*E17,$F14-MAIN!$C$13/2)</f>
        <v>1103.603970927091</v>
      </c>
      <c r="F58" s="304">
        <f>MAX($F14-$C$8/2*F17,$F14-MAIN!$C$13/2)</f>
        <v>1097.3247061258364</v>
      </c>
      <c r="G58" s="304">
        <f>MAX($F14-$C$8/2*G17,$F14-MAIN!$C$13/2)</f>
        <v>1091.0454413245818</v>
      </c>
      <c r="H58" s="304">
        <f>MAX($F14-$C$8/2*H17,$F14-MAIN!$C$13/2)</f>
        <v>1084.7661765233272</v>
      </c>
      <c r="I58" s="304">
        <f>MAX($F14-$C$8/2*I17,$F14-MAIN!$C$13/2)</f>
        <v>1078.4869117220726</v>
      </c>
      <c r="J58" s="304">
        <f>MAX($F14-$C$8/2*J17,$F14-MAIN!$C$13/2)</f>
        <v>1072.207646920818</v>
      </c>
      <c r="K58" s="304">
        <f>MAX($F14-$C$8/2*K17,$F14-MAIN!$C$13/2)</f>
        <v>1065.9283821195634</v>
      </c>
      <c r="L58" s="304">
        <f>MAX($F14-$C$8/2*L17,$F14-MAIN!$C$13/2)</f>
        <v>1059.6491173183088</v>
      </c>
      <c r="M58" s="304">
        <f>MAX($F14-$C$8/2*M17,$F14-MAIN!$C$13/2)</f>
        <v>1053.3698525170541</v>
      </c>
      <c r="N58" s="304">
        <f>MAX($F14-$C$8/2*N17,$F14-MAIN!$C$13/2)</f>
        <v>1047.0905877157995</v>
      </c>
      <c r="O58" s="304">
        <f>MAX($F14-$C$8/2*O17,$F14-MAIN!$C$13/2)</f>
        <v>1040.8113229145449</v>
      </c>
      <c r="P58" s="304">
        <f>MAX($F14-$C$8/2*P17,$F14-MAIN!$C$13/2)</f>
        <v>1034.5320581132903</v>
      </c>
      <c r="Q58" s="304">
        <f>MAX($F14-$C$8/2*Q17,$F14-MAIN!$C$13/2)</f>
        <v>1028.2527933120357</v>
      </c>
      <c r="R58" s="304">
        <f>MAX($F14-$C$8/2*R17,$F14-MAIN!$C$13/2)</f>
        <v>1021.973528510781</v>
      </c>
      <c r="S58" s="304">
        <f>MAX($F14-$C$8/2*S17,$F14-MAIN!$C$13/2)</f>
        <v>1015.6942637095264</v>
      </c>
      <c r="T58" s="304">
        <f>MAX($F14-$C$8/2*T17,$F14-MAIN!$C$13/2)</f>
        <v>1009.4149989082717</v>
      </c>
      <c r="U58" s="304">
        <f>MAX($F14-$C$8/2*U17,$F14-MAIN!$C$13/2)</f>
        <v>1003.1357341070171</v>
      </c>
      <c r="V58" s="304">
        <f>MAX($F14-$C$8/2*V17,$F14-MAIN!$C$13/2)</f>
        <v>996.85646930576252</v>
      </c>
      <c r="W58" s="304">
        <f>MAX($F14-$C$8/2*W17,$F14-MAIN!$C$13/2)</f>
        <v>990.5772045045079</v>
      </c>
      <c r="X58" s="304">
        <f>MAX($F14-$C$8/2*X17,$F14-MAIN!$C$13/2)</f>
        <v>984.29793970325329</v>
      </c>
      <c r="Y58" s="304">
        <f>MAX($F14-$C$8/2*Y17,$F14-MAIN!$C$13/2)</f>
        <v>978.01867490199868</v>
      </c>
      <c r="Z58" s="304">
        <f>MAX($F14-$C$8/2*Z17,$F14-MAIN!$C$13/2)</f>
        <v>971.73941010074407</v>
      </c>
      <c r="AA58" s="304">
        <f>MAX($F14-$C$8/2*AA17,$F14-MAIN!$C$13/2)</f>
        <v>965.46014529948945</v>
      </c>
      <c r="AB58" s="304">
        <f>MAX($F14-$C$8/2*AB17,$F14-MAIN!$C$13/2)</f>
        <v>959.18088049823484</v>
      </c>
      <c r="AC58" s="304">
        <f>MAX($F14-$C$8/2*AC17,$F14-MAIN!$C$13/2)</f>
        <v>952.90161569698023</v>
      </c>
      <c r="AD58" s="304">
        <f>MAX($F14-$C$8/2*AD17,$F14-MAIN!$C$13/2)</f>
        <v>946.62235089572562</v>
      </c>
      <c r="AE58" s="304">
        <f>MAX($F14-$C$8/2*AE17,$F14-MAIN!$C$13/2)</f>
        <v>940.343086094471</v>
      </c>
      <c r="AF58" s="304">
        <f>MAX($F14-$C$8/2*AF17,$F14-MAIN!$C$13/2)</f>
        <v>934.06382129321639</v>
      </c>
      <c r="AG58" s="304">
        <f>MAX($F14-$C$8/2*AG17,$F14-MAIN!$C$13/2)</f>
        <v>927.78455649196178</v>
      </c>
      <c r="AH58" s="304">
        <f>MAX($F14-$C$8/2*AH17,$F14-MAIN!$C$13/2)</f>
        <v>921.50529169070717</v>
      </c>
      <c r="AI58" s="304">
        <f>MAX($F14-$C$8/2*AI17,$F14-MAIN!$C$13/2)</f>
        <v>915.22602688945256</v>
      </c>
      <c r="AJ58" s="304">
        <f>MAX($F14-$C$8/2*AJ17,$F14-MAIN!$C$13/2)</f>
        <v>908.94676208819794</v>
      </c>
      <c r="AK58" s="304">
        <f>MAX($F14-$C$8/2*AK17,$F14-MAIN!$C$13/2)</f>
        <v>902.66749728694333</v>
      </c>
      <c r="AL58" s="304">
        <f>MAX($F14-$C$8/2*AL17,$F14-MAIN!$C$13/2)</f>
        <v>896.38823248568872</v>
      </c>
      <c r="AM58" s="304">
        <f>MAX($F14-$C$8/2*AM17,$F14-MAIN!$C$13/2)</f>
        <v>890.10896768443411</v>
      </c>
      <c r="AN58" s="304">
        <f>MAX($F14-$C$8/2*AN17,$F14-MAIN!$C$13/2)</f>
        <v>883.82970288317949</v>
      </c>
      <c r="AO58" s="304">
        <f>MAX($F14-$C$8/2*AO17,$F14-MAIN!$C$13/2)</f>
        <v>877.55043808192488</v>
      </c>
      <c r="AP58" s="304">
        <f>MAX($F14-$C$8/2*AP17,$F14-MAIN!$C$13/2)</f>
        <v>871.27117328067027</v>
      </c>
      <c r="AQ58" s="304">
        <f>MAX($F14-$C$8/2*AQ17,$F14-MAIN!$C$13/2)</f>
        <v>864.99190847941566</v>
      </c>
      <c r="AR58" s="56">
        <f>MAX($F14-$C$8/2*AR17,$F14-MAIN!$C$13/2)</f>
        <v>858.71264367816093</v>
      </c>
      <c r="AS58" s="304">
        <f>MAX($F14-$C$8/2*AS17,$F14-MAIN!$C$13/2)</f>
        <v>841.93829401088919</v>
      </c>
      <c r="AT58" s="304">
        <f>MAX($F14-$C$8/2*AT17,$F14-MAIN!$C$13/2)</f>
        <v>825.16394434361769</v>
      </c>
      <c r="AU58" s="304">
        <f>MAX($F14-$C$8/2*AU17,$F14-MAIN!$C$13/2)</f>
        <v>808.38959467634595</v>
      </c>
      <c r="AV58" s="304">
        <f>MAX($F14-$C$8/2*AV17,$F14-MAIN!$C$13/2)</f>
        <v>791.61524500907433</v>
      </c>
      <c r="AW58" s="304">
        <f>MAX($F14-$C$8/2*AW17,$F14-MAIN!$C$13/2)</f>
        <v>774.84089534180271</v>
      </c>
      <c r="AX58" s="304">
        <f>MAX($F14-$C$8/2*AX17,$F14-MAIN!$C$13/2)</f>
        <v>758.06654567453097</v>
      </c>
      <c r="AY58" s="304">
        <f>MAX($F14-$C$8/2*AY17,$F14-MAIN!$C$13/2)</f>
        <v>741.29219600725946</v>
      </c>
      <c r="AZ58" s="304">
        <f>MAX($F14-$C$8/2*AZ17,$F14-MAIN!$C$13/2)</f>
        <v>724.51784633998773</v>
      </c>
      <c r="BA58" s="304">
        <f>MAX($F14-$C$8/2*BA17,$F14-MAIN!$C$13/2)</f>
        <v>707.74349667271622</v>
      </c>
      <c r="BB58" s="304">
        <f>MAX($F14-$C$8/2*BB17,$F14-MAIN!$C$13/2)</f>
        <v>690.96914700544448</v>
      </c>
      <c r="BC58" s="304">
        <f>MAX($F14-$C$8/2*BC17,$F14-MAIN!$C$13/2)</f>
        <v>674.19479733817298</v>
      </c>
      <c r="BD58" s="304">
        <f>MAX($F14-$C$8/2*BD17,$F14-MAIN!$C$13/2)</f>
        <v>657.42044767090135</v>
      </c>
      <c r="BE58" s="304">
        <f>MAX($F14-$C$8/2*BE17,$F14-MAIN!$C$13/2)</f>
        <v>640.64609800362973</v>
      </c>
      <c r="BF58" s="304">
        <f>MAX($F14-$C$8/2*BF17,$F14-MAIN!$C$13/2)</f>
        <v>623.87174833635811</v>
      </c>
      <c r="BG58" s="304">
        <f>MAX($F14-$C$8/2*BG17,$F14-MAIN!$C$13/2)</f>
        <v>607.0973986690866</v>
      </c>
      <c r="BH58" s="304">
        <f>MAX($F14-$C$8/2*BH17,$F14-MAIN!$C$13/2)</f>
        <v>590.32304900181498</v>
      </c>
      <c r="BI58" s="304">
        <f>MAX($F14-$C$8/2*BI17,$F14-MAIN!$C$13/2)</f>
        <v>573.54869933454336</v>
      </c>
      <c r="BJ58" s="304">
        <f>MAX($F14-$C$8/2*BJ17,$F14-MAIN!$C$13/2)</f>
        <v>556.77434966727174</v>
      </c>
      <c r="BK58" s="304">
        <f>MAX($F14-$C$8/2*BK17,$F14-MAIN!$C$13/2)</f>
        <v>540</v>
      </c>
      <c r="BL58" s="304">
        <f>MAX($F14-$C$8/2*BL17,$F14-MAIN!$C$13/2)</f>
        <v>540</v>
      </c>
      <c r="BM58" s="304">
        <f>MAX($F14-$C$8/2*BM17,$F14-MAIN!$C$13/2)</f>
        <v>540</v>
      </c>
      <c r="BN58" s="304">
        <f>MAX($F14-$C$8/2*BN17,$F14-MAIN!$C$13/2)</f>
        <v>540</v>
      </c>
      <c r="BO58" s="3">
        <f>$F14-MAIN!$C$13/2</f>
        <v>540</v>
      </c>
      <c r="BP58" s="41"/>
      <c r="BQ58" s="41"/>
      <c r="BR58" s="41"/>
    </row>
    <row r="59" spans="1:70" ht="16.5">
      <c r="A59" s="227">
        <f>IF(I14=0,0,1)</f>
        <v>1</v>
      </c>
      <c r="B59" s="295" t="s">
        <v>31</v>
      </c>
      <c r="C59" s="298" t="s">
        <v>71</v>
      </c>
      <c r="D59" s="3">
        <f>$A59*(D18+SUM(D48:D57))/1000</f>
        <v>-2568.2481206260668</v>
      </c>
      <c r="E59" s="304">
        <f t="shared" ref="E59:BO59" si="34">$A59*(E18+SUM(E48:E57))/1000</f>
        <v>-2240.9725328596205</v>
      </c>
      <c r="F59" s="304">
        <f t="shared" si="34"/>
        <v>-1984.8769313122802</v>
      </c>
      <c r="G59" s="304">
        <f t="shared" si="34"/>
        <v>-1772.5711406390144</v>
      </c>
      <c r="H59" s="304">
        <f t="shared" si="34"/>
        <v>-1589.120408865359</v>
      </c>
      <c r="I59" s="304">
        <f t="shared" si="34"/>
        <v>-1425.688150440554</v>
      </c>
      <c r="J59" s="304">
        <f t="shared" si="34"/>
        <v>-1320.4473039272057</v>
      </c>
      <c r="K59" s="304">
        <f t="shared" si="34"/>
        <v>-1235.0493026301431</v>
      </c>
      <c r="L59" s="304">
        <f t="shared" si="34"/>
        <v>-1149.6513013330803</v>
      </c>
      <c r="M59" s="304">
        <f t="shared" si="34"/>
        <v>-1064.2533000360177</v>
      </c>
      <c r="N59" s="304">
        <f t="shared" si="34"/>
        <v>-978.85529873895484</v>
      </c>
      <c r="O59" s="304">
        <f t="shared" si="34"/>
        <v>-893.45729744189214</v>
      </c>
      <c r="P59" s="304">
        <f t="shared" si="34"/>
        <v>-758.41750029482853</v>
      </c>
      <c r="Q59" s="304">
        <f t="shared" si="34"/>
        <v>-515.54913471478949</v>
      </c>
      <c r="R59" s="304">
        <f t="shared" si="34"/>
        <v>-289.4363003847576</v>
      </c>
      <c r="S59" s="304">
        <f t="shared" si="34"/>
        <v>-77.539796281250432</v>
      </c>
      <c r="T59" s="304">
        <f t="shared" si="34"/>
        <v>122.19118208127352</v>
      </c>
      <c r="U59" s="304">
        <f t="shared" si="34"/>
        <v>311.43107960796846</v>
      </c>
      <c r="V59" s="304">
        <f t="shared" si="34"/>
        <v>491.56053028837056</v>
      </c>
      <c r="W59" s="304">
        <f t="shared" si="34"/>
        <v>663.72809197168749</v>
      </c>
      <c r="X59" s="304">
        <f t="shared" si="34"/>
        <v>828.89704303526878</v>
      </c>
      <c r="Y59" s="304">
        <f t="shared" si="34"/>
        <v>987.88129451414829</v>
      </c>
      <c r="Z59" s="304">
        <f t="shared" si="34"/>
        <v>1141.3732610687962</v>
      </c>
      <c r="AA59" s="304">
        <f t="shared" si="34"/>
        <v>1289.965715819066</v>
      </c>
      <c r="AB59" s="304">
        <f t="shared" si="34"/>
        <v>1434.1690914907883</v>
      </c>
      <c r="AC59" s="304">
        <f t="shared" si="34"/>
        <v>1574.4252976686541</v>
      </c>
      <c r="AD59" s="304">
        <f t="shared" si="34"/>
        <v>1724.6561345183068</v>
      </c>
      <c r="AE59" s="304">
        <f t="shared" si="34"/>
        <v>1947.3942186177551</v>
      </c>
      <c r="AF59" s="304">
        <f t="shared" si="34"/>
        <v>2161.7569433883291</v>
      </c>
      <c r="AG59" s="304">
        <f t="shared" si="34"/>
        <v>2311.5202201763791</v>
      </c>
      <c r="AH59" s="304">
        <f t="shared" si="34"/>
        <v>2511.2771364540072</v>
      </c>
      <c r="AI59" s="304">
        <f t="shared" si="34"/>
        <v>2704.6446127123149</v>
      </c>
      <c r="AJ59" s="304">
        <f t="shared" si="34"/>
        <v>2892.1435806574609</v>
      </c>
      <c r="AK59" s="304">
        <f t="shared" si="34"/>
        <v>3074.2398414409799</v>
      </c>
      <c r="AL59" s="304">
        <f t="shared" si="34"/>
        <v>3251.351170804056</v>
      </c>
      <c r="AM59" s="304">
        <f t="shared" si="34"/>
        <v>3423.8533529929064</v>
      </c>
      <c r="AN59" s="304">
        <f t="shared" si="34"/>
        <v>3592.0853272515487</v>
      </c>
      <c r="AO59" s="304">
        <f t="shared" si="34"/>
        <v>3756.3535955168231</v>
      </c>
      <c r="AP59" s="304">
        <f t="shared" si="34"/>
        <v>3916.9360121577297</v>
      </c>
      <c r="AQ59" s="304">
        <f t="shared" si="34"/>
        <v>4074.0850545276376</v>
      </c>
      <c r="AR59" s="61">
        <f t="shared" si="34"/>
        <v>4228.0306554592034</v>
      </c>
      <c r="AS59" s="304">
        <f t="shared" si="34"/>
        <v>4785.6220779114683</v>
      </c>
      <c r="AT59" s="304">
        <f t="shared" si="34"/>
        <v>5308.1064557895061</v>
      </c>
      <c r="AU59" s="304">
        <f t="shared" si="34"/>
        <v>5800.8114069727808</v>
      </c>
      <c r="AV59" s="304">
        <f t="shared" si="34"/>
        <v>6268.0384731543099</v>
      </c>
      <c r="AW59" s="304">
        <f t="shared" si="34"/>
        <v>6713.2987946536177</v>
      </c>
      <c r="AX59" s="304">
        <f t="shared" si="34"/>
        <v>7139.4866808236411</v>
      </c>
      <c r="AY59" s="304">
        <f t="shared" si="34"/>
        <v>7492.0418191697772</v>
      </c>
      <c r="AZ59" s="304">
        <f t="shared" si="34"/>
        <v>7886.9177864175426</v>
      </c>
      <c r="BA59" s="304">
        <f t="shared" si="34"/>
        <v>8268.8521981011836</v>
      </c>
      <c r="BB59" s="304">
        <f t="shared" si="34"/>
        <v>8630.951298459082</v>
      </c>
      <c r="BC59" s="304">
        <f t="shared" si="34"/>
        <v>8967.441280689809</v>
      </c>
      <c r="BD59" s="304">
        <f t="shared" si="34"/>
        <v>9292.576602594565</v>
      </c>
      <c r="BE59" s="304">
        <f t="shared" si="34"/>
        <v>9588.2536758413062</v>
      </c>
      <c r="BF59" s="304">
        <f t="shared" si="34"/>
        <v>9875.7241361357264</v>
      </c>
      <c r="BG59" s="304">
        <f t="shared" si="34"/>
        <v>10156.397946325078</v>
      </c>
      <c r="BH59" s="304">
        <f t="shared" si="34"/>
        <v>10422.815628558796</v>
      </c>
      <c r="BI59" s="304">
        <f t="shared" si="34"/>
        <v>10682.473596348385</v>
      </c>
      <c r="BJ59" s="304">
        <f t="shared" si="34"/>
        <v>10882.082419149787</v>
      </c>
      <c r="BK59" s="304">
        <f t="shared" si="34"/>
        <v>11136.007955581457</v>
      </c>
      <c r="BL59" s="304">
        <f>$A59*(BL18+SUM(BL48:BL57))/1000</f>
        <v>11366.915015620307</v>
      </c>
      <c r="BM59" s="304">
        <f>$A59*(BM18+SUM(BM48:BM57))/1000</f>
        <v>11450.713584880188</v>
      </c>
      <c r="BN59" s="304">
        <f>$A59*(BN18+SUM(BN48:BN57))/1000</f>
        <v>11450.713584880188</v>
      </c>
      <c r="BO59" s="3">
        <f t="shared" si="34"/>
        <v>11450.713584880188</v>
      </c>
      <c r="BP59" s="41"/>
      <c r="BQ59" s="41"/>
      <c r="BR59" s="41"/>
    </row>
    <row r="60" spans="1:70" ht="16.5">
      <c r="A60" s="41"/>
      <c r="B60" s="295" t="s">
        <v>72</v>
      </c>
      <c r="C60" s="298" t="s">
        <v>73</v>
      </c>
      <c r="D60" s="3">
        <f>$A59*IF(D59+E59=0,0,IF(D59=0,2*E60-F60,(D18*D58+D48*($F14-$C14)+D49*($F14-$D19)+D50*($F14-$D20)+D51*($F14-$D21)+D52*($F14-$D22)+D53*($F14-$D23)+D54*($F14-$D24)+D55*($F14-$D25)+D56*($F14-$D26))/1000000-D59*($F14-MAIN!$C$13/2)/1000))</f>
        <v>985.67804918145589</v>
      </c>
      <c r="E60" s="304">
        <f>$A59*IF(E59+F59=0,0,IF(E59=0,2*F60-G60,(E18*E58+E48*($F14-$C14)+E49*($F14-$D19)+E50*($F14-$D20)+E51*($F14-$D21)+E52*($F14-$D22)+E53*($F14-$D23)+E54*($F14-$D24)+E55*($F14-$D25)+E56*($F14-$D26))/1000000-E59*($F14-MAIN!$C$13/2)/1000))</f>
        <v>1161.8506870408503</v>
      </c>
      <c r="F60" s="304">
        <f>$A59*IF(F59+G59=0,0,IF(F59=0,2*G60-H60,(F18*F58+F48*($F14-$C14)+F49*($F14-$D19)+F50*($F14-$D20)+F51*($F14-$D21)+F52*($F14-$D22)+F53*($F14-$D23)+F54*($F14-$D24)+F55*($F14-$D25)+F56*($F14-$D26))/1000000-F59*($F14-MAIN!$C$13/2)/1000))</f>
        <v>1298.5136590146435</v>
      </c>
      <c r="G60" s="304">
        <f>$A59*IF(G59+H59=0,0,IF(G59=0,2*H60-I60,(G18*G58+G48*($F14-$C14)+G49*($F14-$D19)+G50*($F14-$D20)+G51*($F14-$D21)+G52*($F14-$D22)+G53*($F14-$D23)+G54*($F14-$D24)+G55*($F14-$D25)+G56*($F14-$D26))/1000000-G59*($F14-MAIN!$C$13/2)/1000))</f>
        <v>1410.4576597891516</v>
      </c>
      <c r="H60" s="304">
        <f>$A59*IF(H59+I59=0,0,IF(H59=0,2*I60-J60,(H18*H58+H48*($F14-$C14)+H49*($F14-$D19)+H50*($F14-$D20)+H51*($F14-$D21)+H52*($F14-$D22)+H53*($F14-$D23)+H54*($F14-$D24)+H55*($F14-$D25)+H56*($F14-$D26))/1000000-H59*($F14-MAIN!$C$13/2)/1000))</f>
        <v>1505.7474554305859</v>
      </c>
      <c r="I60" s="304">
        <f>$A59*IF(I59+J59=0,0,IF(I59=0,2*J60-K60,(I18*I58+I48*($F14-$C14)+I49*($F14-$D19)+I50*($F14-$D20)+I51*($F14-$D21)+I52*($F14-$D22)+I53*($F14-$D23)+I54*($F14-$D24)+I55*($F14-$D25)+I56*($F14-$D26))/1000000-I59*($F14-MAIN!$C$13/2)/1000))</f>
        <v>1589.1548021363574</v>
      </c>
      <c r="J60" s="304">
        <f>$A59*IF(J59+K59=0,0,IF(J59=0,2*K60-L60,(J18*J58+J48*($F14-$C14)+J49*($F14-$D19)+J50*($F14-$D20)+J51*($F14-$D21)+J52*($F14-$D22)+J53*($F14-$D23)+J54*($F14-$D24)+J55*($F14-$D25)+J56*($F14-$D26))/1000000-J59*($F14-MAIN!$C$13/2)/1000))</f>
        <v>1640.0663130826579</v>
      </c>
      <c r="K60" s="304">
        <f>$A59*IF(K59+L59=0,0,IF(K59=0,2*L60-M60,(K18*K58+K48*($F14-$C14)+K49*($F14-$D19)+K50*($F14-$D20)+K51*($F14-$D21)+K52*($F14-$D22)+K53*($F14-$D23)+K54*($F14-$D24)+K55*($F14-$D25)+K56*($F14-$D26))/1000000-K59*($F14-MAIN!$C$13/2)/1000))</f>
        <v>1679.1902142848799</v>
      </c>
      <c r="L60" s="304">
        <f>$A59*IF(L59+M59=0,0,IF(L59=0,2*M60-N60,(L18*L58+L48*($F14-$C14)+L49*($F14-$D19)+L50*($F14-$D20)+L51*($F14-$D21)+L52*($F14-$D22)+L53*($F14-$D23)+L54*($F14-$D24)+L55*($F14-$D25)+L56*($F14-$D26))/1000000-L59*($F14-MAIN!$C$13/2)/1000))</f>
        <v>1717.241642159817</v>
      </c>
      <c r="M60" s="304">
        <f>$A59*IF(M59+N59=0,0,IF(M59=0,2*N60-O60,(M18*M58+M48*($F14-$C14)+M49*($F14-$D19)+M50*($F14-$D20)+M51*($F14-$D21)+M52*($F14-$D22)+M53*($F14-$D23)+M54*($F14-$D24)+M55*($F14-$D25)+M56*($F14-$D26))/1000000-M59*($F14-MAIN!$C$13/2)/1000))</f>
        <v>1754.2205967074699</v>
      </c>
      <c r="N60" s="304">
        <f>$A59*IF(N59+O59=0,0,IF(N59=0,2*O60-P60,(N18*N58+N48*($F14-$C14)+N49*($F14-$D19)+N50*($F14-$D20)+N51*($F14-$D21)+N52*($F14-$D22)+N53*($F14-$D23)+N54*($F14-$D24)+N55*($F14-$D25)+N56*($F14-$D26))/1000000-N59*($F14-MAIN!$C$13/2)/1000))</f>
        <v>1790.1270779278391</v>
      </c>
      <c r="O60" s="304">
        <f>$A59*IF(O59+P59=0,0,IF(O59=0,2*P60-Q60,(O18*O58+O48*($F14-$C14)+O49*($F14-$D19)+O50*($F14-$D20)+O51*($F14-$D21)+O52*($F14-$D22)+O53*($F14-$D23)+O54*($F14-$D24)+O55*($F14-$D25)+O56*($F14-$D26))/1000000-O59*($F14-MAIN!$C$13/2)/1000))</f>
        <v>1824.9610858209235</v>
      </c>
      <c r="P60" s="304">
        <f>$A59*IF(P59+Q59=0,0,IF(P59=0,2*Q60-R60,(P18*P58+P48*($F14-$C14)+P49*($F14-$D19)+P50*($F14-$D20)+P51*($F14-$D21)+P52*($F14-$D22)+P53*($F14-$D23)+P54*($F14-$D24)+P55*($F14-$D25)+P56*($F14-$D26))/1000000-P59*($F14-MAIN!$C$13/2)/1000))</f>
        <v>1867.6581436397234</v>
      </c>
      <c r="Q60" s="304">
        <f>$A59*IF(Q59+R59=0,0,IF(Q59=0,2*R60-S60,(Q18*Q58+Q48*($F14-$C14)+Q49*($F14-$D19)+Q50*($F14-$D20)+Q51*($F14-$D21)+Q52*($F14-$D22)+Q53*($F14-$D23)+Q54*($F14-$D24)+Q55*($F14-$D25)+Q56*($F14-$D26))/1000000-Q59*($F14-MAIN!$C$13/2)/1000))</f>
        <v>1928.691870449175</v>
      </c>
      <c r="R60" s="304">
        <f>$A59*IF(R59+S59=0,0,IF(R59=0,2*S60-T60,(R18*R58+R48*($F14-$C14)+R49*($F14-$D19)+R50*($F14-$D20)+R51*($F14-$D21)+R52*($F14-$D22)+R53*($F14-$D23)+R54*($F14-$D24)+R55*($F14-$D25)+R56*($F14-$D26))/1000000-R59*($F14-MAIN!$C$13/2)/1000))</f>
        <v>1985.6371283063418</v>
      </c>
      <c r="S60" s="304">
        <f>$A59*IF(S59+T59=0,0,IF(S59=0,2*T60-U60,(S18*S58+S48*($F14-$C14)+S49*($F14-$D19)+S50*($F14-$D20)+S51*($F14-$D21)+S52*($F14-$D22)+S53*($F14-$D23)+S54*($F14-$D24)+S55*($F14-$D25)+S56*($F14-$D26))/1000000-S59*($F14-MAIN!$C$13/2)/1000))</f>
        <v>2038.9509733954485</v>
      </c>
      <c r="T60" s="304">
        <f>$A59*IF(T59+U59=0,0,IF(T59=0,2*U60-V60,(T18*T58+T48*($F14-$C14)+T49*($F14-$D19)+T50*($F14-$D20)+T51*($F14-$D21)+T52*($F14-$D22)+T53*($F14-$D23)+T54*($F14-$D24)+T55*($F14-$D25)+T56*($F14-$D26))/1000000-T59*($F14-MAIN!$C$13/2)/1000))</f>
        <v>2089.0025505238946</v>
      </c>
      <c r="U60" s="304">
        <f>$A59*IF(U59+V59=0,0,IF(U59=0,2*V60-W60,(U18*U58+U48*($F14-$C14)+U49*($F14-$D19)+U50*($F14-$D20)+U51*($F14-$D21)+U52*($F14-$D22)+U53*($F14-$D23)+U54*($F14-$D24)+U55*($F14-$D25)+U56*($F14-$D26))/1000000-U59*($F14-MAIN!$C$13/2)/1000))</f>
        <v>2136.0932597746068</v>
      </c>
      <c r="V60" s="304">
        <f>$A59*IF(V59+W59=0,0,IF(V59=0,2*W60-X60,(V18*V58+V48*($F14-$C14)+V49*($F14-$D19)+V50*($F14-$D20)+V51*($F14-$D21)+V52*($F14-$D22)+V53*($F14-$D23)+V54*($F14-$D24)+V55*($F14-$D25)+V56*($F14-$D26))/1000000-V59*($F14-MAIN!$C$13/2)/1000))</f>
        <v>2180.4716152657029</v>
      </c>
      <c r="W60" s="304">
        <f>$A59*IF(W59+X59=0,0,IF(W59=0,2*X60-Y60,(W18*W58+W48*($F14-$C14)+W49*($F14-$D19)+W50*($F14-$D20)+W51*($F14-$D21)+W52*($F14-$D22)+W53*($F14-$D23)+W54*($F14-$D24)+W55*($F14-$D25)+W56*($F14-$D26))/1000000-W59*($F14-MAIN!$C$13/2)/1000))</f>
        <v>2222.3443574100384</v>
      </c>
      <c r="X60" s="304">
        <f>$A59*IF(X59+Y59=0,0,IF(X59=0,2*Y60-Z60,(X18*X58+X48*($F14-$C14)+X49*($F14-$D19)+X50*($F14-$D20)+X51*($F14-$D21)+X52*($F14-$D22)+X53*($F14-$D23)+X54*($F14-$D24)+X55*($F14-$D25)+X56*($F14-$D26))/1000000-X59*($F14-MAIN!$C$13/2)/1000))</f>
        <v>2261.8848763155379</v>
      </c>
      <c r="Y60" s="304">
        <f>$A59*IF(Y59+Z59=0,0,IF(Y59=0,2*Z60-AA60,(Y18*Y58+Y48*($F14-$C14)+Y49*($F14-$D19)+Y50*($F14-$D20)+Y51*($F14-$D21)+Y52*($F14-$D22)+Y53*($F14-$D23)+Y54*($F14-$D24)+Y55*($F14-$D25)+Y56*($F14-$D26))/1000000-Y59*($F14-MAIN!$C$13/2)/1000))</f>
        <v>2299.2396759685066</v>
      </c>
      <c r="Z60" s="304">
        <f>$A59*IF(Z59+AA59=0,0,IF(Z59=0,2*AA60-AB60,(Z18*Z58+Z48*($F14-$C14)+Z49*($F14-$D19)+Z50*($F14-$D20)+Z51*($F14-$D21)+Z52*($F14-$D22)+Z53*($F14-$D23)+Z54*($F14-$D24)+Z55*($F14-$D25)+Z56*($F14-$D26))/1000000-Z59*($F14-MAIN!$C$13/2)/1000))</f>
        <v>2334.5333910078293</v>
      </c>
      <c r="AA60" s="304">
        <f>$A59*IF(AA59+AB59=0,0,IF(AA59=0,2*AB60-AC60,(AA18*AA58+AA48*($F14-$C14)+AA49*($F14-$D19)+AA50*($F14-$D20)+AA51*($F14-$D21)+AA52*($F14-$D22)+AA53*($F14-$D23)+AA54*($F14-$D24)+AA55*($F14-$D25)+AA56*($F14-$D26))/1000000-AA59*($F14-MAIN!$C$13/2)/1000))</f>
        <v>2367.8727205950795</v>
      </c>
      <c r="AB60" s="304">
        <f>$A59*IF(AB59+AC59=0,0,IF(AB59=0,2*AC60-AD60,(AB18*AB58+AB48*($F14-$C14)+AB49*($F14-$D19)+AB50*($F14-$D20)+AB51*($F14-$D21)+AB52*($F14-$D22)+AB53*($F14-$D23)+AB54*($F14-$D24)+AB55*($F14-$D25)+AB56*($F14-$D26))/1000000-AB59*($F14-MAIN!$C$13/2)/1000))</f>
        <v>2399.349542620907</v>
      </c>
      <c r="AC60" s="304">
        <f>$A59*IF(AC59+AD59=0,0,IF(AC59=0,2*AD60-AE60,(AC18*AC58+AC48*($F14-$C14)+AC49*($F14-$D19)+AC50*($F14-$D20)+AC51*($F14-$D21)+AC52*($F14-$D22)+AC53*($F14-$D23)+AC54*($F14-$D24)+AC55*($F14-$D25)+AC56*($F14-$D26))/1000000-AC59*($F14-MAIN!$C$13/2)/1000))</f>
        <v>2429.0434008105562</v>
      </c>
      <c r="AD60" s="304">
        <f>$A59*IF(AD59+AE59=0,0,IF(AD59=0,2*AE60-AF60,(AD18*AD58+AD48*($F14-$C14)+AD49*($F14-$D19)+AD50*($F14-$D20)+AD51*($F14-$D21)+AD52*($F14-$D22)+AD53*($F14-$D23)+AD54*($F14-$D24)+AD55*($F14-$D25)+AD56*($F14-$D26))/1000000-AD59*($F14-MAIN!$C$13/2)/1000))</f>
        <v>2454.5867953439829</v>
      </c>
      <c r="AE60" s="304">
        <f>$A59*IF(AE59+AF59=0,0,IF(AE59=0,2*AF60-AG60,(AE18*AE58+AE48*($F14-$C14)+AE49*($F14-$D19)+AE50*($F14-$D20)+AE51*($F14-$D21)+AE52*($F14-$D22)+AE53*($F14-$D23)+AE54*($F14-$D24)+AE55*($F14-$D25)+AE56*($F14-$D26))/1000000-AE59*($F14-MAIN!$C$13/2)/1000))</f>
        <v>2464.84486552919</v>
      </c>
      <c r="AF60" s="304">
        <f>$A59*IF(AF59+AG59=0,0,IF(AF59=0,2*AG60-AH60,(AF18*AF58+AF48*($F14-$C14)+AF49*($F14-$D19)+AF50*($F14-$D20)+AF51*($F14-$D21)+AF52*($F14-$D22)+AF53*($F14-$D23)+AF54*($F14-$D24)+AF55*($F14-$D25)+AF56*($F14-$D26))/1000000-AF59*($F14-MAIN!$C$13/2)/1000))</f>
        <v>2474.4827317908721</v>
      </c>
      <c r="AG60" s="304">
        <f>$A59*IF(AG59+AH59=0,0,IF(AG59=0,2*AH60-AI60,(AG18*AG58+AG48*($F14-$C14)+AG49*($F14-$D19)+AG50*($F14-$D20)+AG51*($F14-$D21)+AG52*($F14-$D22)+AG53*($F14-$D23)+AG54*($F14-$D24)+AG55*($F14-$D25)+AG56*($F14-$D26))/1000000-AG59*($F14-MAIN!$C$13/2)/1000))</f>
        <v>2473.2060889686145</v>
      </c>
      <c r="AH60" s="304">
        <f>$A59*IF(AH59+AI59=0,0,IF(AH59=0,2*AI60-AJ60,(AH18*AH58+AH48*($F14-$C14)+AH49*($F14-$D19)+AH50*($F14-$D20)+AH51*($F14-$D21)+AH52*($F14-$D22)+AH53*($F14-$D23)+AH54*($F14-$D24)+AH55*($F14-$D25)+AH56*($F14-$D26))/1000000-AH59*($F14-MAIN!$C$13/2)/1000))</f>
        <v>2481.4877222343466</v>
      </c>
      <c r="AI60" s="304">
        <f>$A59*IF(AI59+AJ59=0,0,IF(AI59=0,2*AJ60-AK60,(AI18*AI58+AI48*($F14-$C14)+AI49*($F14-$D19)+AI50*($F14-$D20)+AI51*($F14-$D21)+AI52*($F14-$D22)+AI53*($F14-$D23)+AI54*($F14-$D24)+AI55*($F14-$D25)+AI56*($F14-$D26))/1000000-AI59*($F14-MAIN!$C$13/2)/1000))</f>
        <v>2489.041911933838</v>
      </c>
      <c r="AJ60" s="304">
        <f>$A59*IF(AJ59+AK59=0,0,IF(AJ59=0,2*AK60-AL60,(AJ18*AJ58+AJ48*($F14-$C14)+AJ49*($F14-$D19)+AJ50*($F14-$D20)+AJ51*($F14-$D21)+AJ52*($F14-$D22)+AJ53*($F14-$D23)+AJ54*($F14-$D24)+AJ55*($F14-$D25)+AJ56*($F14-$D26))/1000000-AJ59*($F14-MAIN!$C$13/2)/1000))</f>
        <v>2495.8405277549564</v>
      </c>
      <c r="AK60" s="304">
        <f>$A59*IF(AK59+AL59=0,0,IF(AK59=0,2*AL60-AM60,(AK18*AK58+AK48*($F14-$C14)+AK49*($F14-$D19)+AK50*($F14-$D20)+AK51*($F14-$D21)+AK52*($F14-$D22)+AK53*($F14-$D23)+AK54*($F14-$D24)+AK55*($F14-$D25)+AK56*($F14-$D26))/1000000-AK59*($F14-MAIN!$C$13/2)/1000))</f>
        <v>2501.8584164355188</v>
      </c>
      <c r="AL60" s="304">
        <f>$A59*IF(AL59+AM59=0,0,IF(AL59=0,2*AM60-AN60,(AL18*AL58+AL48*($F14-$C14)+AL49*($F14-$D19)+AL50*($F14-$D20)+AL51*($F14-$D21)+AL52*($F14-$D22)+AL53*($F14-$D23)+AL54*($F14-$D24)+AL55*($F14-$D25)+AL56*($F14-$D26))/1000000-AL59*($F14-MAIN!$C$13/2)/1000))</f>
        <v>2507.0730180854998</v>
      </c>
      <c r="AM60" s="304">
        <f>$A59*IF(AM59+AN59=0,0,IF(AM59=0,2*AN60-AO60,(AM18*AM58+AM48*($F14-$C14)+AM49*($F14-$D19)+AM50*($F14-$D20)+AM51*($F14-$D21)+AM52*($F14-$D22)+AM53*($F14-$D23)+AM54*($F14-$D24)+AM55*($F14-$D25)+AM56*($F14-$D26))/1000000-AM59*($F14-MAIN!$C$13/2)/1000))</f>
        <v>2511.4640403556041</v>
      </c>
      <c r="AN60" s="304">
        <f>$A59*IF(AN59+AO59=0,0,IF(AN59=0,2*AO60-AP60,(AN18*AN58+AN48*($F14-$C14)+AN49*($F14-$D19)+AN50*($F14-$D20)+AN51*($F14-$D21)+AN52*($F14-$D22)+AN53*($F14-$D23)+AN54*($F14-$D24)+AN55*($F14-$D25)+AN56*($F14-$D26))/1000000-AN59*($F14-MAIN!$C$13/2)/1000))</f>
        <v>2515.013180526656</v>
      </c>
      <c r="AO60" s="304">
        <f>$A59*IF(AO59+AP59=0,0,IF(AO59=0,2*AP60-AQ60,(AO18*AO58+AO48*($F14-$C14)+AO49*($F14-$D19)+AO50*($F14-$D20)+AO51*($F14-$D21)+AO52*($F14-$D22)+AO53*($F14-$D23)+AO54*($F14-$D24)+AO55*($F14-$D25)+AO56*($F14-$D26))/1000000-AO59*($F14-MAIN!$C$13/2)/1000))</f>
        <v>2517.7038874940667</v>
      </c>
      <c r="AP60" s="304">
        <f>$A59*IF(AP59+AQ59=0,0,IF(AP59=0,2*AQ60-AR60,(AP18*AP58+AP48*($F14-$C14)+AP49*($F14-$D19)+AP50*($F14-$D20)+AP51*($F14-$D21)+AP52*($F14-$D22)+AP53*($F14-$D23)+AP54*($F14-$D24)+AP55*($F14-$D25)+AP56*($F14-$D26))/1000000-AP59*($F14-MAIN!$C$13/2)/1000))</f>
        <v>2519.5211571219079</v>
      </c>
      <c r="AQ60" s="304">
        <f>$A59*IF(AQ59+AR59=0,0,IF(AQ59=0,2*AR60-AS60,(AQ18*AQ58+AQ48*($F14-$C14)+AQ49*($F14-$D19)+AQ50*($F14-$D20)+AQ51*($F14-$D21)+AQ52*($F14-$D22)+AQ53*($F14-$D23)+AQ54*($F14-$D24)+AQ55*($F14-$D25)+AQ56*($F14-$D26))/1000000-AQ59*($F14-MAIN!$C$13/2)/1000))</f>
        <v>2520.4513556330999</v>
      </c>
      <c r="AR60" s="56">
        <f>$A59*IF(AR59+AS59=0,0,IF(AR59=0,2*AS60-AT60,(AR18*AR58+AR48*($F14-$C14)+AR49*($F14-$D19)+AR50*($F14-$D20)+AR51*($F14-$D21)+AR52*($F14-$D22)+AR53*($F14-$D23)+AR54*($F14-$D24)+AR55*($F14-$D25)+AR56*($F14-$D26))/1000000-AR59*($F14-MAIN!$C$13/2)/1000))</f>
        <v>2520.4820666546761</v>
      </c>
      <c r="AS60" s="304">
        <f>$A59*IF(AS59+AT59=0,0,IF(AS59=0,2*AT60-AU60,(AS18*AS58+AS48*($F14-$C14)+AS49*($F14-$D19)+AS50*($F14-$D20)+AS51*($F14-$D21)+AS52*($F14-$D22)+AS53*($F14-$D23)+AS54*($F14-$D24)+AS55*($F14-$D25)+AS56*($F14-$D26))/1000000-AS59*($F14-MAIN!$C$13/2)/1000))</f>
        <v>2429.3962805332831</v>
      </c>
      <c r="AT60" s="304">
        <f>$A59*IF(AT59+AU59=0,0,IF(AT59=0,2*AU60-AV60,(AT18*AT58+AT48*($F14-$C14)+AT49*($F14-$D19)+AT50*($F14-$D20)+AT51*($F14-$D21)+AT52*($F14-$D22)+AT53*($F14-$D23)+AT54*($F14-$D24)+AT55*($F14-$D25)+AT56*($F14-$D26))/1000000-AT59*($F14-MAIN!$C$13/2)/1000))</f>
        <v>2340.8650392134496</v>
      </c>
      <c r="AU60" s="304">
        <f>$A59*IF(AU59+AV59=0,0,IF(AU59=0,2*AV60-AW60,(AU18*AU58+AU48*($F14-$C14)+AU49*($F14-$D19)+AU50*($F14-$D20)+AU51*($F14-$D21)+AU52*($F14-$D22)+AU53*($F14-$D23)+AU54*($F14-$D24)+AU55*($F14-$D25)+AU56*($F14-$D26))/1000000-AU59*($F14-MAIN!$C$13/2)/1000))</f>
        <v>2253.3392353425343</v>
      </c>
      <c r="AV60" s="304">
        <f>$A59*IF(AV59+AW59=0,0,IF(AV59=0,2*AW60-AX60,(AV18*AV58+AV48*($F14-$C14)+AV49*($F14-$D19)+AV50*($F14-$D20)+AV51*($F14-$D21)+AV52*($F14-$D22)+AV53*($F14-$D23)+AV54*($F14-$D24)+AV55*($F14-$D25)+AV56*($F14-$D26))/1000000-AV59*($F14-MAIN!$C$13/2)/1000))</f>
        <v>2165.5681129513332</v>
      </c>
      <c r="AW60" s="304">
        <f>$A59*IF(AW59+AX59=0,0,IF(AW59=0,2*AX60-AY60,(AW18*AW58+AW48*($F14-$C14)+AW49*($F14-$D19)+AW50*($F14-$D20)+AW51*($F14-$D21)+AW52*($F14-$D22)+AW53*($F14-$D23)+AW54*($F14-$D24)+AW55*($F14-$D25)+AW56*($F14-$D26))/1000000-AW59*($F14-MAIN!$C$13/2)/1000))</f>
        <v>2076.5307404700156</v>
      </c>
      <c r="AX60" s="304">
        <f>$A59*IF(AX59+AY59=0,0,IF(AX59=0,2*AY60-AZ60,(AX18*AX58+AX48*($F14-$C14)+AX49*($F14-$D19)+AX50*($F14-$D20)+AX51*($F14-$D21)+AX52*($F14-$D22)+AX53*($F14-$D23)+AX54*($F14-$D24)+AX55*($F14-$D25)+AX56*($F14-$D26))/1000000-AX59*($F14-MAIN!$C$13/2)/1000))</f>
        <v>1985.3855417944228</v>
      </c>
      <c r="AY60" s="304">
        <f>$A59*IF(AY59+AZ59=0,0,IF(AY59=0,2*AZ60-BA60,(AY18*AY58+AY48*($F14-$C14)+AY49*($F14-$D19)+AY50*($F14-$D20)+AY51*($F14-$D21)+AY52*($F14-$D22)+AY53*($F14-$D23)+AY54*($F14-$D24)+AY55*($F14-$D25)+AY56*($F14-$D26))/1000000-AY59*($F14-MAIN!$C$13/2)/1000))</f>
        <v>1901.6867256829405</v>
      </c>
      <c r="AZ60" s="304">
        <f>$A59*IF(AZ59+BA59=0,0,IF(AZ59=0,2*BA60-BB60,(AZ18*AZ58+AZ48*($F14-$C14)+AZ49*($F14-$D19)+AZ50*($F14-$D20)+AZ51*($F14-$D21)+AZ52*($F14-$D22)+AZ53*($F14-$D23)+AZ54*($F14-$D24)+AZ55*($F14-$D25)+AZ56*($F14-$D26))/1000000-AZ59*($F14-MAIN!$C$13/2)/1000))</f>
        <v>1804.3390624985404</v>
      </c>
      <c r="BA60" s="304">
        <f>$A59*IF(BA59+BB59=0,0,IF(BA59=0,2*BB60-BC60,(BA18*BA58+BA48*($F14-$C14)+BA49*($F14-$D19)+BA50*($F14-$D20)+BA51*($F14-$D21)+BA52*($F14-$D22)+BA53*($F14-$D23)+BA54*($F14-$D24)+BA55*($F14-$D25)+BA56*($F14-$D26))/1000000-BA59*($F14-MAIN!$C$13/2)/1000))</f>
        <v>1703.1009019266112</v>
      </c>
      <c r="BB60" s="304">
        <f>$A59*IF(BB59+BC59=0,0,IF(BB59=0,2*BC60-BD60,(BB18*BB58+BB48*($F14-$C14)+BB49*($F14-$D19)+BB50*($F14-$D20)+BB51*($F14-$D21)+BB52*($F14-$D22)+BB53*($F14-$D23)+BB54*($F14-$D24)+BB55*($F14-$D25)+BB56*($F14-$D26))/1000000-BB59*($F14-MAIN!$C$13/2)/1000))</f>
        <v>1596.0485808177191</v>
      </c>
      <c r="BC60" s="304">
        <f>$A59*IF(BC59+BD59=0,0,IF(BC59=0,2*BD60-BE60,(BC18*BC58+BC48*($F14-$C14)+BC49*($F14-$D19)+BC50*($F14-$D20)+BC51*($F14-$D21)+BC52*($F14-$D22)+BC53*($F14-$D23)+BC54*($F14-$D24)+BC55*($F14-$D25)+BC56*($F14-$D26))/1000000-BC59*($F14-MAIN!$C$13/2)/1000))</f>
        <v>1481.558379620561</v>
      </c>
      <c r="BD60" s="304">
        <f>$A59*IF(BD59+BE59=0,0,IF(BD59=0,2*BE60-BF60,(BD18*BD58+BD48*($F14-$C14)+BD49*($F14-$D19)+BD50*($F14-$D20)+BD51*($F14-$D21)+BD52*($F14-$D22)+BD53*($F14-$D23)+BD54*($F14-$D24)+BD55*($F14-$D25)+BD56*($F14-$D26))/1000000-BD59*($F14-MAIN!$C$13/2)/1000))</f>
        <v>1363.2541763787658</v>
      </c>
      <c r="BE60" s="304">
        <f>$A59*IF(BE59+BF59=0,0,IF(BE59=0,2*BF60-BG60,(BE18*BE58+BE48*($F14-$C14)+BE49*($F14-$D19)+BE50*($F14-$D20)+BE51*($F14-$D21)+BE52*($F14-$D22)+BE53*($F14-$D23)+BE54*($F14-$D24)+BE55*($F14-$D25)+BE56*($F14-$D26))/1000000-BE59*($F14-MAIN!$C$13/2)/1000))</f>
        <v>1245.727593131649</v>
      </c>
      <c r="BF60" s="304">
        <f>$A59*IF(BF59+BG59=0,0,IF(BF59=0,2*BG60-BH60,(BF18*BF58+BF48*($F14-$C14)+BF49*($F14-$D19)+BF50*($F14-$D20)+BF51*($F14-$D21)+BF52*($F14-$D22)+BF53*($F14-$D23)+BF54*($F14-$D24)+BF55*($F14-$D25)+BF56*($F14-$D26))/1000000-BF59*($F14-MAIN!$C$13/2)/1000))</f>
        <v>1124.2404821692053</v>
      </c>
      <c r="BG60" s="304">
        <f>$A59*IF(BG59+BH59=0,0,IF(BG59=0,2*BH60-BI60,(BG18*BG58+BG48*($F14-$C14)+BG49*($F14-$D19)+BG50*($F14-$D20)+BG51*($F14-$D21)+BG52*($F14-$D22)+BG53*($F14-$D23)+BG54*($F14-$D24)+BG55*($F14-$D25)+BG56*($F14-$D26))/1000000-BG59*($F14-MAIN!$C$13/2)/1000))</f>
        <v>998.15836021017458</v>
      </c>
      <c r="BH60" s="304">
        <f>$A59*IF(BH59+BI59=0,0,IF(BH59=0,2*BI60-BJ60,(BH18*BH58+BH48*($F14-$C14)+BH49*($F14-$D19)+BH50*($F14-$D20)+BH51*($F14-$D21)+BH52*($F14-$D22)+BH53*($F14-$D23)+BH54*($F14-$D24)+BH55*($F14-$D25)+BH56*($F14-$D26))/1000000-BH59*($F14-MAIN!$C$13/2)/1000))</f>
        <v>865.44270665865952</v>
      </c>
      <c r="BI60" s="304">
        <f>$A59*IF(BI59+BJ59=0,0,IF(BI59=0,2*BJ60-BK60,(BI18*BI58+BI48*($F14-$C14)+BI49*($F14-$D19)+BI50*($F14-$D20)+BI51*($F14-$D21)+BI52*($F14-$D22)+BI53*($F14-$D23)+BI54*($F14-$D24)+BI55*($F14-$D25)+BI56*($F14-$D26))/1000000-BI59*($F14-MAIN!$C$13/2)/1000))</f>
        <v>726.89007610569934</v>
      </c>
      <c r="BJ60" s="304">
        <f>$A59*IF(BJ59+BK59=0,0,IF(BJ59=0,2*BK60-BO60,(BJ18*BJ58+BJ48*($F14-$C14)+BJ49*($F14-$D19)+BJ50*($F14-$D20)+BJ51*($F14-$D21)+BJ52*($F14-$D22)+BJ53*($F14-$D23)+BJ54*($F14-$D24)+BJ55*($F14-$D25)+BJ56*($F14-$D26))/1000000-BJ59*($F14-MAIN!$C$13/2)/1000))</f>
        <v>613.48027208686108</v>
      </c>
      <c r="BK60" s="304">
        <f>$A59*IF(BK59+BO59=0,0,IF(BK59=0,2*BO60-BP60,(BK18*BK58+BK48*($F14-$C14)+BK49*($F14-$D19)+BK50*($F14-$D20)+BK51*($F14-$D21)+BK52*($F14-$D22)+BK53*($F14-$D23)+BK54*($F14-$D24)+BK55*($F14-$D25)+BK56*($F14-$D26))/1000000-BK59*($F14-MAIN!$C$13/2)/1000))</f>
        <v>463.40403914238414</v>
      </c>
      <c r="BL60" s="304">
        <f>$A59*IF(BL59+BP59=0,0,IF(BL59=0,2*BP60-BQ60,(BL18*BL58+BL48*($F14-$C14)+BL49*($F14-$D19)+BL50*($F14-$D20)+BL51*($F14-$D21)+BL52*($F14-$D22)+BL53*($F14-$D23)+BL54*($F14-$D24)+BL55*($F14-$D25)+BL56*($F14-$D26))/1000000-BL59*($F14-MAIN!$C$13/2)/1000))</f>
        <v>311.00537951674414</v>
      </c>
      <c r="BM60" s="304">
        <f>$A59*IF(BM59+BQ59=0,0,IF(BM59=0,2*BQ60-BR60,(BM18*BM58+BM48*($F14-$C14)+BM49*($F14-$D19)+BM50*($F14-$D20)+BM51*($F14-$D21)+BM52*($F14-$D22)+BM53*($F14-$D23)+BM54*($F14-$D24)+BM55*($F14-$D25)+BM56*($F14-$D26))/1000000-BM59*($F14-MAIN!$C$13/2)/1000))</f>
        <v>247.83068307275244</v>
      </c>
      <c r="BN60" s="304">
        <f>$A59*IF(BN59+BR59=0,0,IF(BN59=0,2*BR60-BS60,(BN18*BN58+BN48*($F14-$C14)+BN49*($F14-$D19)+BN50*($F14-$D20)+BN51*($F14-$D21)+BN52*($F14-$D22)+BN53*($F14-$D23)+BN54*($F14-$D24)+BN55*($F14-$D25)+BN56*($F14-$D26))/1000000-BN59*($F14-MAIN!$C$13/2)/1000))</f>
        <v>190.00352368911172</v>
      </c>
      <c r="BO60" s="3">
        <v>0</v>
      </c>
      <c r="BP60" s="41"/>
      <c r="BQ60" s="41"/>
      <c r="BR60" s="41"/>
    </row>
    <row r="61" spans="1:70" ht="16.5">
      <c r="A61" s="41"/>
      <c r="B61" s="296" t="s">
        <v>74</v>
      </c>
      <c r="C61" s="303" t="s">
        <v>75</v>
      </c>
      <c r="D61" s="15"/>
      <c r="E61" s="308"/>
      <c r="F61" s="308"/>
      <c r="G61" s="308"/>
      <c r="H61" s="308"/>
      <c r="I61" s="308"/>
      <c r="J61" s="308"/>
      <c r="K61" s="308"/>
      <c r="L61" s="308"/>
      <c r="M61" s="308"/>
      <c r="N61" s="308"/>
      <c r="O61" s="308"/>
      <c r="P61" s="308"/>
      <c r="Q61" s="308"/>
      <c r="R61" s="308"/>
      <c r="S61" s="308"/>
      <c r="T61" s="308"/>
      <c r="U61" s="308"/>
      <c r="V61" s="308"/>
      <c r="W61" s="308"/>
      <c r="X61" s="308"/>
      <c r="Y61" s="308"/>
      <c r="Z61" s="308"/>
      <c r="AA61" s="308"/>
      <c r="AB61" s="308"/>
      <c r="AC61" s="308"/>
      <c r="AD61" s="308"/>
      <c r="AE61" s="309" t="str">
        <f>FIXED(MAIN!$Q$1,0)&amp;MAIN!R$1&amp;FIXED(B13,0)</f>
        <v>8H40</v>
      </c>
      <c r="AF61" s="308"/>
      <c r="AG61" s="308"/>
      <c r="AH61" s="308"/>
      <c r="AI61" s="308"/>
      <c r="AJ61" s="308"/>
      <c r="AK61" s="308"/>
      <c r="AL61" s="308"/>
      <c r="AM61" s="308"/>
      <c r="AN61" s="308"/>
      <c r="AO61" s="308"/>
      <c r="AP61" s="308"/>
      <c r="AQ61" s="308"/>
      <c r="AR61" s="60"/>
      <c r="AS61" s="308"/>
      <c r="AT61" s="308"/>
      <c r="AU61" s="308"/>
      <c r="AV61" s="308"/>
      <c r="AW61" s="308"/>
      <c r="AX61" s="308"/>
      <c r="AY61" s="308"/>
      <c r="AZ61" s="308"/>
      <c r="BA61" s="308"/>
      <c r="BB61" s="308"/>
      <c r="BC61" s="308"/>
      <c r="BD61" s="308"/>
      <c r="BE61" s="308"/>
      <c r="BF61" s="308"/>
      <c r="BG61" s="308"/>
      <c r="BH61" s="308"/>
      <c r="BI61" s="308"/>
      <c r="BJ61" s="308"/>
      <c r="BK61" s="308"/>
      <c r="BL61" s="621"/>
      <c r="BM61" s="621"/>
      <c r="BN61" s="621"/>
      <c r="BO61" s="15"/>
      <c r="BP61" s="41"/>
      <c r="BQ61" s="41"/>
      <c r="BR61" s="41"/>
    </row>
    <row r="62" spans="1:70">
      <c r="A62" s="41"/>
      <c r="C62" s="65" t="s">
        <v>135</v>
      </c>
      <c r="D62" s="66">
        <f t="shared" ref="D62:AI62" si="35">E59-D59</f>
        <v>327.27558776644628</v>
      </c>
      <c r="E62" s="66">
        <f t="shared" si="35"/>
        <v>256.09560154734027</v>
      </c>
      <c r="F62" s="66">
        <f t="shared" si="35"/>
        <v>212.30579067326585</v>
      </c>
      <c r="G62" s="66">
        <f t="shared" si="35"/>
        <v>183.45073177365543</v>
      </c>
      <c r="H62" s="66">
        <f t="shared" si="35"/>
        <v>163.43225842480501</v>
      </c>
      <c r="I62" s="66">
        <f t="shared" si="35"/>
        <v>105.24084651334829</v>
      </c>
      <c r="J62" s="66">
        <f t="shared" si="35"/>
        <v>85.398001297062592</v>
      </c>
      <c r="K62" s="66">
        <f t="shared" si="35"/>
        <v>85.39800129706282</v>
      </c>
      <c r="L62" s="66">
        <f t="shared" si="35"/>
        <v>85.398001297062592</v>
      </c>
      <c r="M62" s="66">
        <f t="shared" si="35"/>
        <v>85.39800129706282</v>
      </c>
      <c r="N62" s="66">
        <f t="shared" si="35"/>
        <v>85.398001297062706</v>
      </c>
      <c r="O62" s="66">
        <f t="shared" si="35"/>
        <v>135.03979714706361</v>
      </c>
      <c r="P62" s="66">
        <f t="shared" si="35"/>
        <v>242.86836558003904</v>
      </c>
      <c r="Q62" s="66">
        <f t="shared" si="35"/>
        <v>226.11283433003189</v>
      </c>
      <c r="R62" s="66">
        <f t="shared" si="35"/>
        <v>211.89650410350717</v>
      </c>
      <c r="S62" s="66">
        <f t="shared" si="35"/>
        <v>199.73097836252396</v>
      </c>
      <c r="T62" s="66">
        <f t="shared" si="35"/>
        <v>189.23989752669493</v>
      </c>
      <c r="U62" s="66">
        <f t="shared" si="35"/>
        <v>180.1294506804021</v>
      </c>
      <c r="V62" s="66">
        <f t="shared" si="35"/>
        <v>172.16756168331693</v>
      </c>
      <c r="W62" s="66">
        <f t="shared" si="35"/>
        <v>165.16895106358129</v>
      </c>
      <c r="X62" s="66">
        <f t="shared" si="35"/>
        <v>158.98425147887951</v>
      </c>
      <c r="Y62" s="66">
        <f t="shared" si="35"/>
        <v>153.49196655464789</v>
      </c>
      <c r="Z62" s="66">
        <f t="shared" si="35"/>
        <v>148.59245475026978</v>
      </c>
      <c r="AA62" s="66">
        <f t="shared" si="35"/>
        <v>144.20337567172237</v>
      </c>
      <c r="AB62" s="66">
        <f t="shared" si="35"/>
        <v>140.25620617786581</v>
      </c>
      <c r="AC62" s="66">
        <f t="shared" si="35"/>
        <v>150.23083684965263</v>
      </c>
      <c r="AD62" s="66">
        <f t="shared" si="35"/>
        <v>222.73808409944832</v>
      </c>
      <c r="AE62" s="66">
        <f t="shared" si="35"/>
        <v>214.362724770574</v>
      </c>
      <c r="AF62" s="66">
        <f t="shared" si="35"/>
        <v>149.76327678805001</v>
      </c>
      <c r="AG62" s="66">
        <f t="shared" si="35"/>
        <v>199.75691627762808</v>
      </c>
      <c r="AH62" s="66">
        <f t="shared" si="35"/>
        <v>193.36747625830776</v>
      </c>
      <c r="AI62" s="66">
        <f t="shared" si="35"/>
        <v>187.49896794514598</v>
      </c>
      <c r="AJ62" s="66">
        <f t="shared" ref="AJ62:BJ62" si="36">AK59-AJ59</f>
        <v>182.09626078351903</v>
      </c>
      <c r="AK62" s="66">
        <f t="shared" si="36"/>
        <v>177.11132936307604</v>
      </c>
      <c r="AL62" s="66">
        <f t="shared" si="36"/>
        <v>172.50218218885038</v>
      </c>
      <c r="AM62" s="66">
        <f t="shared" si="36"/>
        <v>168.23197425864237</v>
      </c>
      <c r="AN62" s="66">
        <f t="shared" si="36"/>
        <v>164.2682682652744</v>
      </c>
      <c r="AO62" s="66">
        <f t="shared" si="36"/>
        <v>160.58241664090656</v>
      </c>
      <c r="AP62" s="66">
        <f t="shared" si="36"/>
        <v>157.14904236990787</v>
      </c>
      <c r="AQ62" s="66">
        <f t="shared" si="36"/>
        <v>153.94560093156588</v>
      </c>
      <c r="AR62" s="66">
        <f t="shared" si="36"/>
        <v>557.59142245226485</v>
      </c>
      <c r="AS62" s="66">
        <f t="shared" si="36"/>
        <v>522.48437787803778</v>
      </c>
      <c r="AT62" s="66">
        <f t="shared" si="36"/>
        <v>492.70495118327472</v>
      </c>
      <c r="AU62" s="66">
        <f t="shared" si="36"/>
        <v>467.22706618152915</v>
      </c>
      <c r="AV62" s="66">
        <f t="shared" si="36"/>
        <v>445.26032149930779</v>
      </c>
      <c r="AW62" s="66">
        <f t="shared" si="36"/>
        <v>426.18788617002338</v>
      </c>
      <c r="AX62" s="66">
        <f t="shared" si="36"/>
        <v>352.55513834613612</v>
      </c>
      <c r="AY62" s="66">
        <f t="shared" si="36"/>
        <v>394.8759672477654</v>
      </c>
      <c r="AZ62" s="66">
        <f t="shared" si="36"/>
        <v>381.93441168364097</v>
      </c>
      <c r="BA62" s="66">
        <f t="shared" si="36"/>
        <v>362.09910035789835</v>
      </c>
      <c r="BB62" s="66">
        <f t="shared" si="36"/>
        <v>336.48998223072704</v>
      </c>
      <c r="BC62" s="66">
        <f t="shared" si="36"/>
        <v>325.13532190475598</v>
      </c>
      <c r="BD62" s="66">
        <f t="shared" si="36"/>
        <v>295.6770732467412</v>
      </c>
      <c r="BE62" s="66">
        <f t="shared" si="36"/>
        <v>287.47046029442026</v>
      </c>
      <c r="BF62" s="66">
        <f t="shared" si="36"/>
        <v>280.67381018935157</v>
      </c>
      <c r="BG62" s="66">
        <f t="shared" si="36"/>
        <v>266.41768223371764</v>
      </c>
      <c r="BH62" s="66">
        <f t="shared" si="36"/>
        <v>259.65796778958975</v>
      </c>
      <c r="BI62" s="66">
        <f t="shared" si="36"/>
        <v>199.6088228014014</v>
      </c>
      <c r="BJ62" s="66">
        <f t="shared" si="36"/>
        <v>253.92553643167048</v>
      </c>
      <c r="BK62" s="66">
        <f t="shared" ref="BK62:BN63" si="37">BL59-BK59</f>
        <v>230.90706003884952</v>
      </c>
      <c r="BL62" s="66">
        <f t="shared" si="37"/>
        <v>83.798569259881333</v>
      </c>
      <c r="BM62" s="66">
        <f t="shared" si="37"/>
        <v>0</v>
      </c>
      <c r="BN62" s="66">
        <f t="shared" si="37"/>
        <v>0</v>
      </c>
      <c r="BO62" s="65">
        <v>0</v>
      </c>
      <c r="BP62" s="41"/>
      <c r="BQ62" s="41"/>
      <c r="BR62" s="41"/>
    </row>
    <row r="63" spans="1:70">
      <c r="A63" s="41"/>
      <c r="C63" s="65" t="s">
        <v>136</v>
      </c>
      <c r="D63" s="66">
        <f t="shared" ref="D63:AI63" si="38">E60-D60</f>
        <v>176.1726378593944</v>
      </c>
      <c r="E63" s="66">
        <f t="shared" si="38"/>
        <v>136.66297197379322</v>
      </c>
      <c r="F63" s="66">
        <f t="shared" si="38"/>
        <v>111.94400077450814</v>
      </c>
      <c r="G63" s="66">
        <f t="shared" si="38"/>
        <v>95.289795641434239</v>
      </c>
      <c r="H63" s="66">
        <f t="shared" si="38"/>
        <v>83.407346705771488</v>
      </c>
      <c r="I63" s="66">
        <f t="shared" si="38"/>
        <v>50.911510946300496</v>
      </c>
      <c r="J63" s="66">
        <f t="shared" si="38"/>
        <v>39.123901202221987</v>
      </c>
      <c r="K63" s="66">
        <f t="shared" si="38"/>
        <v>38.05142787493719</v>
      </c>
      <c r="L63" s="66">
        <f t="shared" si="38"/>
        <v>36.978954547652847</v>
      </c>
      <c r="M63" s="66">
        <f t="shared" si="38"/>
        <v>35.906481220369187</v>
      </c>
      <c r="N63" s="66">
        <f t="shared" si="38"/>
        <v>34.83400789308439</v>
      </c>
      <c r="O63" s="66">
        <f t="shared" si="38"/>
        <v>42.697057818799976</v>
      </c>
      <c r="P63" s="66">
        <f t="shared" si="38"/>
        <v>61.033726809451537</v>
      </c>
      <c r="Q63" s="66">
        <f t="shared" si="38"/>
        <v>56.94525785716678</v>
      </c>
      <c r="R63" s="66">
        <f t="shared" si="38"/>
        <v>53.313845089106735</v>
      </c>
      <c r="S63" s="66">
        <f t="shared" si="38"/>
        <v>50.05157712844607</v>
      </c>
      <c r="T63" s="66">
        <f t="shared" si="38"/>
        <v>47.09070925071228</v>
      </c>
      <c r="U63" s="66">
        <f t="shared" si="38"/>
        <v>44.378355491096045</v>
      </c>
      <c r="V63" s="66">
        <f t="shared" si="38"/>
        <v>41.872742144335461</v>
      </c>
      <c r="W63" s="66">
        <f t="shared" si="38"/>
        <v>39.540518905499539</v>
      </c>
      <c r="X63" s="66">
        <f t="shared" si="38"/>
        <v>37.354799652968723</v>
      </c>
      <c r="Y63" s="66">
        <f t="shared" si="38"/>
        <v>35.293715039322706</v>
      </c>
      <c r="Z63" s="66">
        <f t="shared" si="38"/>
        <v>33.339329587250177</v>
      </c>
      <c r="AA63" s="66">
        <f t="shared" si="38"/>
        <v>31.47682202582746</v>
      </c>
      <c r="AB63" s="66">
        <f t="shared" si="38"/>
        <v>29.693858189649291</v>
      </c>
      <c r="AC63" s="66">
        <f t="shared" si="38"/>
        <v>25.543394533426635</v>
      </c>
      <c r="AD63" s="66">
        <f t="shared" si="38"/>
        <v>10.258070185207089</v>
      </c>
      <c r="AE63" s="66">
        <f t="shared" si="38"/>
        <v>9.6378662616821202</v>
      </c>
      <c r="AF63" s="66">
        <f t="shared" si="38"/>
        <v>-1.2766428222575996</v>
      </c>
      <c r="AG63" s="66">
        <f t="shared" si="38"/>
        <v>8.2816332657321254</v>
      </c>
      <c r="AH63" s="66">
        <f t="shared" si="38"/>
        <v>7.5541896994914168</v>
      </c>
      <c r="AI63" s="66">
        <f t="shared" si="38"/>
        <v>6.7986158211183465</v>
      </c>
      <c r="AJ63" s="66">
        <f t="shared" ref="AJ63:BJ63" si="39">AK60-AJ60</f>
        <v>6.0178886805624643</v>
      </c>
      <c r="AK63" s="66">
        <f t="shared" si="39"/>
        <v>5.2146016499809775</v>
      </c>
      <c r="AL63" s="66">
        <f t="shared" si="39"/>
        <v>4.3910222701042585</v>
      </c>
      <c r="AM63" s="66">
        <f t="shared" si="39"/>
        <v>3.5491401710519312</v>
      </c>
      <c r="AN63" s="66">
        <f t="shared" si="39"/>
        <v>2.6907069674107333</v>
      </c>
      <c r="AO63" s="66">
        <f t="shared" si="39"/>
        <v>1.8172696278411422</v>
      </c>
      <c r="AP63" s="66">
        <f t="shared" si="39"/>
        <v>0.93019851119197483</v>
      </c>
      <c r="AQ63" s="66">
        <f t="shared" si="39"/>
        <v>3.0711021576280473E-2</v>
      </c>
      <c r="AR63" s="66">
        <f t="shared" si="39"/>
        <v>-91.085786121393085</v>
      </c>
      <c r="AS63" s="66">
        <f t="shared" si="39"/>
        <v>-88.531241319833498</v>
      </c>
      <c r="AT63" s="66">
        <f t="shared" si="39"/>
        <v>-87.525803870915297</v>
      </c>
      <c r="AU63" s="66">
        <f t="shared" si="39"/>
        <v>-87.771122391201061</v>
      </c>
      <c r="AV63" s="66">
        <f t="shared" si="39"/>
        <v>-89.037372481317561</v>
      </c>
      <c r="AW63" s="66">
        <f t="shared" si="39"/>
        <v>-91.145198675592837</v>
      </c>
      <c r="AX63" s="66">
        <f t="shared" si="39"/>
        <v>-83.698816111482301</v>
      </c>
      <c r="AY63" s="66">
        <f t="shared" si="39"/>
        <v>-97.347663184400062</v>
      </c>
      <c r="AZ63" s="66">
        <f t="shared" si="39"/>
        <v>-101.23816057192926</v>
      </c>
      <c r="BA63" s="66">
        <f t="shared" si="39"/>
        <v>-107.0523211088921</v>
      </c>
      <c r="BB63" s="66">
        <f t="shared" si="39"/>
        <v>-114.49020119715806</v>
      </c>
      <c r="BC63" s="66">
        <f t="shared" si="39"/>
        <v>-118.30420324179522</v>
      </c>
      <c r="BD63" s="66">
        <f t="shared" si="39"/>
        <v>-117.52658324711683</v>
      </c>
      <c r="BE63" s="66">
        <f t="shared" si="39"/>
        <v>-121.48711096244369</v>
      </c>
      <c r="BF63" s="66">
        <f t="shared" si="39"/>
        <v>-126.0821219590307</v>
      </c>
      <c r="BG63" s="66">
        <f t="shared" si="39"/>
        <v>-132.71565355151506</v>
      </c>
      <c r="BH63" s="66">
        <f t="shared" si="39"/>
        <v>-138.55263055296018</v>
      </c>
      <c r="BI63" s="66">
        <f t="shared" si="39"/>
        <v>-113.40980401883826</v>
      </c>
      <c r="BJ63" s="66">
        <f t="shared" si="39"/>
        <v>-150.07623294447694</v>
      </c>
      <c r="BK63" s="66">
        <f t="shared" si="37"/>
        <v>-152.39865962563999</v>
      </c>
      <c r="BL63" s="66">
        <f t="shared" si="37"/>
        <v>-63.174696443991706</v>
      </c>
      <c r="BM63" s="66">
        <f t="shared" si="37"/>
        <v>-57.827159383640719</v>
      </c>
      <c r="BN63" s="66">
        <f t="shared" si="37"/>
        <v>-190.00352368911172</v>
      </c>
      <c r="BO63" s="65">
        <v>0</v>
      </c>
      <c r="BP63" s="41"/>
      <c r="BQ63" s="41"/>
      <c r="BR63" s="41"/>
    </row>
    <row r="64" spans="1:70">
      <c r="A64" s="41"/>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41"/>
      <c r="BQ64" s="41"/>
      <c r="BR64" s="41"/>
    </row>
    <row r="65" spans="1:70" ht="18.75">
      <c r="A65" s="41"/>
      <c r="B65" s="275">
        <f>MAIN!C$34</f>
        <v>32</v>
      </c>
      <c r="C65" s="276" t="s">
        <v>43</v>
      </c>
      <c r="D65" s="258"/>
      <c r="E65" s="259"/>
      <c r="F65" s="259"/>
      <c r="G65" s="259"/>
      <c r="H65" s="259"/>
      <c r="I65" s="259"/>
      <c r="J65" s="259"/>
      <c r="K65" s="277"/>
      <c r="L65" s="259"/>
      <c r="M65" s="259"/>
      <c r="N65" s="278" t="s">
        <v>93</v>
      </c>
      <c r="O65" s="279">
        <f>$C$8*$C$9*MAIN!C$14</f>
        <v>5440.0000000000009</v>
      </c>
      <c r="P65" s="73"/>
      <c r="Q65" s="73"/>
      <c r="R65" s="73"/>
      <c r="S65" s="73"/>
      <c r="T65" s="73"/>
      <c r="U65" s="73"/>
      <c r="V65" s="73"/>
      <c r="W65" s="73"/>
      <c r="X65" s="73"/>
      <c r="Y65" s="73"/>
      <c r="Z65" s="73"/>
      <c r="AA65" s="73"/>
      <c r="AB65" s="73"/>
      <c r="AC65" s="73"/>
      <c r="AD65" s="73"/>
      <c r="AE65" s="73"/>
      <c r="AF65" s="73"/>
      <c r="AG65" s="73"/>
      <c r="AH65" s="73"/>
      <c r="AI65" s="73"/>
      <c r="AJ65" s="73"/>
      <c r="AK65" s="73"/>
      <c r="AL65" s="73"/>
      <c r="AM65" s="73"/>
      <c r="AN65" s="73"/>
      <c r="AO65" s="73"/>
      <c r="AP65" s="73"/>
      <c r="AQ65" s="73"/>
      <c r="AR65" s="41"/>
      <c r="AS65" s="73"/>
      <c r="AT65" s="41"/>
      <c r="AU65" s="41"/>
      <c r="AV65" s="41"/>
      <c r="AW65" s="41"/>
      <c r="AX65" s="41"/>
      <c r="AY65" s="41"/>
      <c r="AZ65" s="41"/>
      <c r="BA65" s="41"/>
      <c r="BB65" s="41"/>
      <c r="BC65" s="41"/>
      <c r="BD65" s="41"/>
      <c r="BE65" s="41"/>
      <c r="BF65" s="41"/>
      <c r="BG65" s="41"/>
      <c r="BH65" s="41"/>
      <c r="BI65" s="41"/>
      <c r="BJ65" s="41"/>
      <c r="BK65" s="41"/>
      <c r="BL65" s="41"/>
      <c r="BM65" s="41"/>
      <c r="BN65" s="41"/>
      <c r="BO65" s="41"/>
      <c r="BP65" s="41"/>
      <c r="BQ65" s="41"/>
      <c r="BR65" s="41"/>
    </row>
    <row r="66" spans="1:70" ht="18.75">
      <c r="A66" s="41"/>
      <c r="B66" s="260" t="str">
        <f>B14</f>
        <v>d' =</v>
      </c>
      <c r="C66" s="261">
        <f>MAIN!I$8+MAIN!E34+MAIN!C34/2</f>
        <v>54</v>
      </c>
      <c r="D66" s="262" t="str">
        <f>D14</f>
        <v>mm</v>
      </c>
      <c r="E66" s="263" t="str">
        <f>E14</f>
        <v>d =</v>
      </c>
      <c r="F66" s="261">
        <f>IF(I66=0,0,MAIN!C$13-C66)</f>
        <v>1146</v>
      </c>
      <c r="G66" s="262" t="str">
        <f>G14</f>
        <v>mm</v>
      </c>
      <c r="H66" s="263" t="str">
        <f>H14</f>
        <v>Asc =</v>
      </c>
      <c r="I66" s="264">
        <f>IF(MAIN!I34="ok",MAIN!C$13*MAIN!C$14*MAIN!D34/100,0)</f>
        <v>6433.9817545518981</v>
      </c>
      <c r="J66" s="262" t="str">
        <f>J14</f>
        <v>mm²</v>
      </c>
      <c r="K66" s="263" t="s">
        <v>48</v>
      </c>
      <c r="L66" s="261">
        <f>(F66-C66)/(MAIN!C$16-1)</f>
        <v>364</v>
      </c>
      <c r="M66" s="262" t="s">
        <v>14</v>
      </c>
      <c r="N66" s="263" t="s">
        <v>17</v>
      </c>
      <c r="O66" s="280">
        <f>I66*MAIN!C$15/MAIN!Q$1*(200000*F$8-C$9-C$10)</f>
        <v>390141.73421804555</v>
      </c>
      <c r="P66" s="45"/>
      <c r="Q66" s="45"/>
      <c r="R66" s="45"/>
      <c r="S66" s="45"/>
      <c r="T66" s="45"/>
      <c r="U66" s="45"/>
      <c r="V66" s="45"/>
      <c r="W66" s="45"/>
      <c r="X66" s="45"/>
      <c r="Y66" s="45"/>
      <c r="Z66" s="45"/>
      <c r="AA66" s="45"/>
      <c r="AB66" s="45"/>
      <c r="AC66" s="45"/>
      <c r="AD66" s="45"/>
      <c r="AE66" s="45"/>
      <c r="AF66" s="45"/>
      <c r="AG66" s="45"/>
      <c r="AH66" s="45"/>
      <c r="AI66" s="289"/>
      <c r="AJ66" s="45"/>
      <c r="AK66" s="45"/>
      <c r="AL66" s="45"/>
      <c r="AM66" s="45"/>
      <c r="AN66" s="45"/>
      <c r="AO66" s="45"/>
      <c r="AP66" s="45"/>
      <c r="AQ66" s="45"/>
      <c r="AR66" s="41"/>
      <c r="AS66" s="45"/>
      <c r="AT66" s="41"/>
      <c r="AU66" s="41"/>
      <c r="AV66" s="41"/>
      <c r="AW66" s="41"/>
      <c r="AX66" s="41"/>
      <c r="AY66" s="41"/>
      <c r="AZ66" s="41"/>
      <c r="BA66" s="41"/>
      <c r="BB66" s="41"/>
      <c r="BC66" s="41"/>
      <c r="BD66" s="41"/>
      <c r="BE66" s="41"/>
      <c r="BF66" s="41"/>
      <c r="BG66" s="41"/>
      <c r="BH66" s="41"/>
      <c r="BI66" s="41"/>
      <c r="BJ66" s="41"/>
      <c r="BK66" s="41"/>
      <c r="BL66" s="41"/>
      <c r="BM66" s="41"/>
      <c r="BN66" s="41"/>
      <c r="BO66" s="41"/>
      <c r="BP66" s="41"/>
      <c r="BQ66" s="41"/>
      <c r="BR66" s="41"/>
    </row>
    <row r="67" spans="1:70" ht="18.75">
      <c r="A67" s="41"/>
      <c r="B67" s="265"/>
      <c r="C67" s="266"/>
      <c r="D67" s="267"/>
      <c r="E67" s="268" t="s">
        <v>49</v>
      </c>
      <c r="F67" s="269">
        <f>(AR69-D69)/40</f>
        <v>16.157447828963647</v>
      </c>
      <c r="G67" s="270" t="s">
        <v>50</v>
      </c>
      <c r="H67" s="281"/>
      <c r="I67" s="281"/>
      <c r="J67" s="281"/>
      <c r="K67" s="281"/>
      <c r="L67" s="281"/>
      <c r="M67" s="281"/>
      <c r="N67" s="282" t="s">
        <v>120</v>
      </c>
      <c r="O67" s="283">
        <f>-100000*F$8*C66*I66*MAIN!C$15/MAIN!Q$1*2</f>
        <v>-60801127.580515437</v>
      </c>
      <c r="P67" s="49"/>
      <c r="Q67" s="49"/>
      <c r="R67" s="49"/>
      <c r="S67" s="49"/>
      <c r="T67" s="49"/>
      <c r="U67" s="49"/>
      <c r="V67" s="49"/>
      <c r="W67" s="49"/>
      <c r="X67" s="49"/>
      <c r="Y67" s="49"/>
      <c r="Z67" s="49"/>
      <c r="AA67" s="49"/>
      <c r="AB67" s="49"/>
      <c r="AC67" s="49"/>
      <c r="AD67" s="49"/>
      <c r="AE67" s="49"/>
      <c r="AF67" s="49"/>
      <c r="AG67" s="289"/>
      <c r="AH67" s="49"/>
      <c r="AI67" s="310" t="str">
        <f>B65&amp;" Bar diameter continued"</f>
        <v>32 Bar diameter continued</v>
      </c>
      <c r="AJ67" s="49"/>
      <c r="AK67" s="49"/>
      <c r="AL67" s="49"/>
      <c r="AM67" s="49"/>
      <c r="AN67" s="49"/>
      <c r="AO67" s="49"/>
      <c r="AP67" s="49"/>
      <c r="AQ67" s="49"/>
      <c r="AR67" s="49" t="s">
        <v>49</v>
      </c>
      <c r="AS67" s="50">
        <f>IF(I66=0,0,(BK69-AR69)/19)</f>
        <v>41.741076830006044</v>
      </c>
      <c r="AT67" s="46" t="s">
        <v>121</v>
      </c>
      <c r="AU67" s="41"/>
      <c r="AV67" s="41"/>
      <c r="AW67" s="41"/>
      <c r="AX67" s="41"/>
      <c r="AY67" s="41"/>
      <c r="AZ67" s="41"/>
      <c r="BA67" s="41"/>
      <c r="BB67" s="41"/>
      <c r="BC67" s="41"/>
      <c r="BD67" s="41"/>
      <c r="BE67" s="41"/>
      <c r="BF67" s="41"/>
      <c r="BG67" s="41"/>
      <c r="BH67" s="41"/>
      <c r="BI67" s="41"/>
      <c r="BJ67" s="41"/>
      <c r="BK67" s="41"/>
      <c r="BL67" s="41"/>
      <c r="BM67" s="41"/>
      <c r="BN67" s="41"/>
      <c r="BO67" s="41"/>
      <c r="BP67" s="41"/>
      <c r="BQ67" s="41"/>
      <c r="BR67" s="41"/>
    </row>
    <row r="68" spans="1:70" ht="15.75">
      <c r="A68" s="41"/>
      <c r="B68" s="41"/>
      <c r="C68" s="51"/>
      <c r="D68" s="52"/>
      <c r="E68" s="52"/>
      <c r="F68" s="52"/>
      <c r="G68" s="52"/>
      <c r="H68" s="52"/>
      <c r="I68" s="52"/>
      <c r="J68" s="52"/>
      <c r="K68" s="52"/>
      <c r="L68" s="52"/>
      <c r="M68" s="52"/>
      <c r="N68" s="45"/>
      <c r="O68" s="52"/>
      <c r="P68" s="52"/>
      <c r="Q68" s="52"/>
      <c r="R68" s="52"/>
      <c r="S68" s="52"/>
      <c r="T68" s="52"/>
      <c r="U68" s="52"/>
      <c r="V68" s="52"/>
      <c r="W68" s="52"/>
      <c r="X68" s="52"/>
      <c r="Y68" s="52"/>
      <c r="Z68" s="52"/>
      <c r="AA68" s="52"/>
      <c r="AB68" s="52"/>
      <c r="AC68" s="52"/>
      <c r="AD68" s="52"/>
      <c r="AE68" s="52"/>
      <c r="AF68" s="52"/>
      <c r="AG68" s="52"/>
      <c r="AH68" s="52"/>
      <c r="AI68" s="52"/>
      <c r="AJ68" s="52"/>
      <c r="AK68" s="52"/>
      <c r="AL68" s="52"/>
      <c r="AM68" s="52"/>
      <c r="AN68" s="52"/>
      <c r="AO68" s="52"/>
      <c r="AP68" s="52"/>
      <c r="AQ68" s="52"/>
      <c r="AR68" s="52"/>
      <c r="AS68" s="52"/>
      <c r="AT68" s="41"/>
      <c r="AU68" s="41"/>
      <c r="AV68" s="41"/>
      <c r="AW68" s="41"/>
      <c r="AX68" s="41"/>
      <c r="AY68" s="41"/>
      <c r="AZ68" s="41"/>
      <c r="BA68" s="41"/>
      <c r="BB68" s="41"/>
      <c r="BC68" s="41"/>
      <c r="BD68" s="41"/>
      <c r="BE68" s="41"/>
      <c r="BF68" s="41"/>
      <c r="BG68" s="41"/>
      <c r="BH68" s="41"/>
      <c r="BI68" s="41"/>
      <c r="BJ68" s="41"/>
      <c r="BK68" s="53"/>
      <c r="BL68" s="53"/>
      <c r="BM68" s="53"/>
      <c r="BN68" s="53"/>
      <c r="BO68" s="288" t="s">
        <v>51</v>
      </c>
      <c r="BP68" s="41"/>
      <c r="BQ68" s="41"/>
      <c r="BR68" s="41"/>
    </row>
    <row r="69" spans="1:70" ht="16.5">
      <c r="A69" s="41"/>
      <c r="B69" s="284" t="s">
        <v>115</v>
      </c>
      <c r="C69" s="297" t="s">
        <v>52</v>
      </c>
      <c r="D69" s="285">
        <f>0.8*(-O66+SQRT(O66^2-4*O65*O67))/2/O65</f>
        <v>60.621627071339276</v>
      </c>
      <c r="E69" s="286">
        <f t="shared" ref="E69:AQ69" si="40">D69+$F67</f>
        <v>76.77907490030293</v>
      </c>
      <c r="F69" s="286">
        <f t="shared" si="40"/>
        <v>92.936522729266585</v>
      </c>
      <c r="G69" s="286">
        <f t="shared" si="40"/>
        <v>109.09397055823024</v>
      </c>
      <c r="H69" s="286">
        <f t="shared" si="40"/>
        <v>125.25141838719389</v>
      </c>
      <c r="I69" s="286">
        <f t="shared" si="40"/>
        <v>141.40886621615755</v>
      </c>
      <c r="J69" s="286">
        <f t="shared" si="40"/>
        <v>157.5663140451212</v>
      </c>
      <c r="K69" s="286">
        <f t="shared" si="40"/>
        <v>173.72376187408486</v>
      </c>
      <c r="L69" s="286">
        <f t="shared" si="40"/>
        <v>189.88120970304851</v>
      </c>
      <c r="M69" s="286">
        <f t="shared" si="40"/>
        <v>206.03865753201217</v>
      </c>
      <c r="N69" s="286">
        <f t="shared" si="40"/>
        <v>222.19610536097582</v>
      </c>
      <c r="O69" s="286">
        <f t="shared" si="40"/>
        <v>238.35355318993948</v>
      </c>
      <c r="P69" s="286">
        <f t="shared" si="40"/>
        <v>254.51100101890313</v>
      </c>
      <c r="Q69" s="286">
        <f t="shared" si="40"/>
        <v>270.66844884786678</v>
      </c>
      <c r="R69" s="286">
        <f t="shared" si="40"/>
        <v>286.82589667683044</v>
      </c>
      <c r="S69" s="286">
        <f t="shared" si="40"/>
        <v>302.98334450579409</v>
      </c>
      <c r="T69" s="286">
        <f t="shared" si="40"/>
        <v>319.14079233475775</v>
      </c>
      <c r="U69" s="286">
        <f t="shared" si="40"/>
        <v>335.2982401637214</v>
      </c>
      <c r="V69" s="286">
        <f t="shared" si="40"/>
        <v>351.45568799268506</v>
      </c>
      <c r="W69" s="286">
        <f t="shared" si="40"/>
        <v>367.61313582164871</v>
      </c>
      <c r="X69" s="286">
        <f t="shared" si="40"/>
        <v>383.77058365061237</v>
      </c>
      <c r="Y69" s="286">
        <f t="shared" si="40"/>
        <v>399.92803147957602</v>
      </c>
      <c r="Z69" s="286">
        <f t="shared" si="40"/>
        <v>416.08547930853968</v>
      </c>
      <c r="AA69" s="286">
        <f t="shared" si="40"/>
        <v>432.24292713750333</v>
      </c>
      <c r="AB69" s="286">
        <f t="shared" si="40"/>
        <v>448.40037496646698</v>
      </c>
      <c r="AC69" s="286">
        <f t="shared" si="40"/>
        <v>464.55782279543064</v>
      </c>
      <c r="AD69" s="286">
        <f t="shared" si="40"/>
        <v>480.71527062439429</v>
      </c>
      <c r="AE69" s="286">
        <f t="shared" si="40"/>
        <v>496.87271845335795</v>
      </c>
      <c r="AF69" s="286">
        <f t="shared" si="40"/>
        <v>513.0301662823216</v>
      </c>
      <c r="AG69" s="286">
        <f t="shared" si="40"/>
        <v>529.18761411128526</v>
      </c>
      <c r="AH69" s="286">
        <f t="shared" si="40"/>
        <v>545.34506194024891</v>
      </c>
      <c r="AI69" s="286">
        <f t="shared" si="40"/>
        <v>561.50250976921257</v>
      </c>
      <c r="AJ69" s="286">
        <f t="shared" si="40"/>
        <v>577.65995759817622</v>
      </c>
      <c r="AK69" s="286">
        <f t="shared" si="40"/>
        <v>593.81740542713987</v>
      </c>
      <c r="AL69" s="286">
        <f t="shared" si="40"/>
        <v>609.97485325610353</v>
      </c>
      <c r="AM69" s="286">
        <f t="shared" si="40"/>
        <v>626.13230108506718</v>
      </c>
      <c r="AN69" s="286">
        <f t="shared" si="40"/>
        <v>642.28974891403084</v>
      </c>
      <c r="AO69" s="286">
        <f t="shared" si="40"/>
        <v>658.44719674299449</v>
      </c>
      <c r="AP69" s="286">
        <f t="shared" si="40"/>
        <v>674.60464457195815</v>
      </c>
      <c r="AQ69" s="286">
        <f t="shared" si="40"/>
        <v>690.7620924009218</v>
      </c>
      <c r="AR69" s="62">
        <f>200000*F$8/C$10*F66/(1+200000*F$8/C$10)</f>
        <v>706.91954022988511</v>
      </c>
      <c r="AS69" s="286">
        <f t="shared" ref="AS69:BJ69" si="41">AR69+$AS67</f>
        <v>748.66061705989114</v>
      </c>
      <c r="AT69" s="286">
        <f t="shared" si="41"/>
        <v>790.40169388989716</v>
      </c>
      <c r="AU69" s="286">
        <f t="shared" si="41"/>
        <v>832.14277071990318</v>
      </c>
      <c r="AV69" s="286">
        <f t="shared" si="41"/>
        <v>873.88384754990921</v>
      </c>
      <c r="AW69" s="286">
        <f t="shared" si="41"/>
        <v>915.62492437991523</v>
      </c>
      <c r="AX69" s="286">
        <f t="shared" si="41"/>
        <v>957.36600120992125</v>
      </c>
      <c r="AY69" s="286">
        <f t="shared" si="41"/>
        <v>999.10707803992727</v>
      </c>
      <c r="AZ69" s="286">
        <f t="shared" si="41"/>
        <v>1040.8481548699333</v>
      </c>
      <c r="BA69" s="286">
        <f t="shared" si="41"/>
        <v>1082.5892316999393</v>
      </c>
      <c r="BB69" s="286">
        <f t="shared" si="41"/>
        <v>1124.3303085299453</v>
      </c>
      <c r="BC69" s="286">
        <f t="shared" si="41"/>
        <v>1166.0713853599514</v>
      </c>
      <c r="BD69" s="286">
        <f t="shared" si="41"/>
        <v>1207.8124621899574</v>
      </c>
      <c r="BE69" s="286">
        <f t="shared" si="41"/>
        <v>1249.5535390199634</v>
      </c>
      <c r="BF69" s="286">
        <f t="shared" si="41"/>
        <v>1291.2946158499694</v>
      </c>
      <c r="BG69" s="286">
        <f t="shared" si="41"/>
        <v>1333.0356926799755</v>
      </c>
      <c r="BH69" s="286">
        <f t="shared" si="41"/>
        <v>1374.7767695099815</v>
      </c>
      <c r="BI69" s="286">
        <f t="shared" si="41"/>
        <v>1416.5178463399875</v>
      </c>
      <c r="BJ69" s="286">
        <f t="shared" si="41"/>
        <v>1458.2589231699935</v>
      </c>
      <c r="BK69" s="286">
        <f>BK17</f>
        <v>1500</v>
      </c>
      <c r="BL69" s="286">
        <f>BL17</f>
        <v>2200</v>
      </c>
      <c r="BM69" s="286">
        <f>BM17</f>
        <v>2900</v>
      </c>
      <c r="BN69" s="286">
        <f>BN17</f>
        <v>3600</v>
      </c>
      <c r="BO69" s="287"/>
      <c r="BP69" s="41"/>
      <c r="BQ69" s="41"/>
      <c r="BR69" s="41"/>
    </row>
    <row r="70" spans="1:70" ht="16.5">
      <c r="A70" s="41"/>
      <c r="B70" s="290" t="s">
        <v>53</v>
      </c>
      <c r="C70" s="298" t="s">
        <v>54</v>
      </c>
      <c r="D70" s="3">
        <f>MIN($C$8*D69,MAIN!$C$13)*MAIN!$C$14*$C$9</f>
        <v>329781.6512680857</v>
      </c>
      <c r="E70" s="304">
        <f>MIN($C$8*E69,MAIN!$C$13)*MAIN!$C$14*$C$9</f>
        <v>417678.16745764797</v>
      </c>
      <c r="F70" s="304">
        <f>MIN($C$8*F69,MAIN!$C$13)*MAIN!$C$14*$C$9</f>
        <v>505574.6836472103</v>
      </c>
      <c r="G70" s="304">
        <f>MIN($C$8*G69,MAIN!$C$13)*MAIN!$C$14*$C$9</f>
        <v>593471.19983677252</v>
      </c>
      <c r="H70" s="304">
        <f>MIN($C$8*H69,MAIN!$C$13)*MAIN!$C$14*$C$9</f>
        <v>681367.71602633491</v>
      </c>
      <c r="I70" s="304">
        <f>MIN($C$8*I69,MAIN!$C$13)*MAIN!$C$14*$C$9</f>
        <v>769264.23221589706</v>
      </c>
      <c r="J70" s="304">
        <f>MIN($C$8*J69,MAIN!$C$13)*MAIN!$C$14*$C$9</f>
        <v>857160.74840545945</v>
      </c>
      <c r="K70" s="304">
        <f>MIN($C$8*K69,MAIN!$C$13)*MAIN!$C$14*$C$9</f>
        <v>945057.26459502173</v>
      </c>
      <c r="L70" s="304">
        <f>MIN($C$8*L69,MAIN!$C$13)*MAIN!$C$14*$C$9</f>
        <v>1032953.7807845839</v>
      </c>
      <c r="M70" s="304">
        <f>MIN($C$8*M69,MAIN!$C$13)*MAIN!$C$14*$C$9</f>
        <v>1120850.2969741465</v>
      </c>
      <c r="N70" s="304">
        <f>MIN($C$8*N69,MAIN!$C$13)*MAIN!$C$14*$C$9</f>
        <v>1208746.8131637087</v>
      </c>
      <c r="O70" s="304">
        <f>MIN($C$8*O69,MAIN!$C$13)*MAIN!$C$14*$C$9</f>
        <v>1296643.3293532708</v>
      </c>
      <c r="P70" s="304">
        <f>MIN($C$8*P69,MAIN!$C$13)*MAIN!$C$14*$C$9</f>
        <v>1384539.8455428332</v>
      </c>
      <c r="Q70" s="304">
        <f>MIN($C$8*Q69,MAIN!$C$13)*MAIN!$C$14*$C$9</f>
        <v>1472436.3617323954</v>
      </c>
      <c r="R70" s="304">
        <f>MIN($C$8*R69,MAIN!$C$13)*MAIN!$C$14*$C$9</f>
        <v>1560332.877921958</v>
      </c>
      <c r="S70" s="304">
        <f>MIN($C$8*S69,MAIN!$C$13)*MAIN!$C$14*$C$9</f>
        <v>1648229.3941115201</v>
      </c>
      <c r="T70" s="304">
        <f>MIN($C$8*T69,MAIN!$C$13)*MAIN!$C$14*$C$9</f>
        <v>1736125.9103010823</v>
      </c>
      <c r="U70" s="304">
        <f>MIN($C$8*U69,MAIN!$C$13)*MAIN!$C$14*$C$9</f>
        <v>1824022.4264906445</v>
      </c>
      <c r="V70" s="304">
        <f>MIN($C$8*V69,MAIN!$C$13)*MAIN!$C$14*$C$9</f>
        <v>1911918.9426802071</v>
      </c>
      <c r="W70" s="304">
        <f>MIN($C$8*W69,MAIN!$C$13)*MAIN!$C$14*$C$9</f>
        <v>1999815.4588697692</v>
      </c>
      <c r="X70" s="304">
        <f>MIN($C$8*X69,MAIN!$C$13)*MAIN!$C$14*$C$9</f>
        <v>2087711.9750593314</v>
      </c>
      <c r="Y70" s="304">
        <f>MIN($C$8*Y69,MAIN!$C$13)*MAIN!$C$14*$C$9</f>
        <v>2175608.4912488936</v>
      </c>
      <c r="Z70" s="304">
        <f>MIN($C$8*Z69,MAIN!$C$13)*MAIN!$C$14*$C$9</f>
        <v>2263505.0074384562</v>
      </c>
      <c r="AA70" s="304">
        <f>MIN($C$8*AA69,MAIN!$C$13)*MAIN!$C$14*$C$9</f>
        <v>2351401.5236280183</v>
      </c>
      <c r="AB70" s="304">
        <f>MIN($C$8*AB69,MAIN!$C$13)*MAIN!$C$14*$C$9</f>
        <v>2439298.039817581</v>
      </c>
      <c r="AC70" s="304">
        <f>MIN($C$8*AC69,MAIN!$C$13)*MAIN!$C$14*$C$9</f>
        <v>2527194.5560071431</v>
      </c>
      <c r="AD70" s="304">
        <f>MIN($C$8*AD69,MAIN!$C$13)*MAIN!$C$14*$C$9</f>
        <v>2615091.0721967053</v>
      </c>
      <c r="AE70" s="304">
        <f>MIN($C$8*AE69,MAIN!$C$13)*MAIN!$C$14*$C$9</f>
        <v>2702987.5883862674</v>
      </c>
      <c r="AF70" s="304">
        <f>MIN($C$8*AF69,MAIN!$C$13)*MAIN!$C$14*$C$9</f>
        <v>2790884.1045758296</v>
      </c>
      <c r="AG70" s="304">
        <f>MIN($C$8*AG69,MAIN!$C$13)*MAIN!$C$14*$C$9</f>
        <v>2878780.6207653917</v>
      </c>
      <c r="AH70" s="304">
        <f>MIN($C$8*AH69,MAIN!$C$13)*MAIN!$C$14*$C$9</f>
        <v>2966677.1369549544</v>
      </c>
      <c r="AI70" s="304">
        <f>MIN($C$8*AI69,MAIN!$C$13)*MAIN!$C$14*$C$9</f>
        <v>3054573.6531445165</v>
      </c>
      <c r="AJ70" s="304">
        <f>MIN($C$8*AJ69,MAIN!$C$13)*MAIN!$C$14*$C$9</f>
        <v>3142470.1693340796</v>
      </c>
      <c r="AK70" s="304">
        <f>MIN($C$8*AK69,MAIN!$C$13)*MAIN!$C$14*$C$9</f>
        <v>3230366.6855236418</v>
      </c>
      <c r="AL70" s="304">
        <f>MIN($C$8*AL69,MAIN!$C$13)*MAIN!$C$14*$C$9</f>
        <v>3318263.2017132039</v>
      </c>
      <c r="AM70" s="304">
        <f>MIN($C$8*AM69,MAIN!$C$13)*MAIN!$C$14*$C$9</f>
        <v>3406159.7179027661</v>
      </c>
      <c r="AN70" s="304">
        <f>MIN($C$8*AN69,MAIN!$C$13)*MAIN!$C$14*$C$9</f>
        <v>3494056.2340923282</v>
      </c>
      <c r="AO70" s="304">
        <f>MIN($C$8*AO69,MAIN!$C$13)*MAIN!$C$14*$C$9</f>
        <v>3581952.7502818904</v>
      </c>
      <c r="AP70" s="304">
        <f>MIN($C$8*AP69,MAIN!$C$13)*MAIN!$C$14*$C$9</f>
        <v>3669849.2664714525</v>
      </c>
      <c r="AQ70" s="304">
        <f>MIN($C$8*AQ69,MAIN!$C$13)*MAIN!$C$14*$C$9</f>
        <v>3757745.7826610152</v>
      </c>
      <c r="AR70" s="56">
        <f>MIN($C$8*AR69,MAIN!$C$13)*MAIN!$C$14*$C$9</f>
        <v>3845642.2988505755</v>
      </c>
      <c r="AS70" s="304">
        <f>MIN($C$8*AS69,MAIN!$C$13)*MAIN!$C$14*$C$9</f>
        <v>4072713.7568058078</v>
      </c>
      <c r="AT70" s="304">
        <f>MIN($C$8*AT69,MAIN!$C$13)*MAIN!$C$14*$C$9</f>
        <v>4299785.2147610411</v>
      </c>
      <c r="AU70" s="304">
        <f>MIN($C$8*AU69,MAIN!$C$13)*MAIN!$C$14*$C$9</f>
        <v>4526856.6727162739</v>
      </c>
      <c r="AV70" s="304">
        <f>MIN($C$8*AV69,MAIN!$C$13)*MAIN!$C$14*$C$9</f>
        <v>4753928.1306715067</v>
      </c>
      <c r="AW70" s="304">
        <f>MIN($C$8*AW69,MAIN!$C$13)*MAIN!$C$14*$C$9</f>
        <v>4980999.5886267386</v>
      </c>
      <c r="AX70" s="304">
        <f>MIN($C$8*AX69,MAIN!$C$13)*MAIN!$C$14*$C$9</f>
        <v>5208071.0465819724</v>
      </c>
      <c r="AY70" s="304">
        <f>MIN($C$8*AY69,MAIN!$C$13)*MAIN!$C$14*$C$9</f>
        <v>5435142.5045372052</v>
      </c>
      <c r="AZ70" s="304">
        <f>MIN($C$8*AZ69,MAIN!$C$13)*MAIN!$C$14*$C$9</f>
        <v>5662213.962492438</v>
      </c>
      <c r="BA70" s="304">
        <f>MIN($C$8*BA69,MAIN!$C$13)*MAIN!$C$14*$C$9</f>
        <v>5889285.4204476699</v>
      </c>
      <c r="BB70" s="304">
        <f>MIN($C$8*BB69,MAIN!$C$13)*MAIN!$C$14*$C$9</f>
        <v>6116356.8784029027</v>
      </c>
      <c r="BC70" s="304">
        <f>MIN($C$8*BC69,MAIN!$C$13)*MAIN!$C$14*$C$9</f>
        <v>6343428.3363581365</v>
      </c>
      <c r="BD70" s="304">
        <f>MIN($C$8*BD69,MAIN!$C$13)*MAIN!$C$14*$C$9</f>
        <v>6570499.7943133693</v>
      </c>
      <c r="BE70" s="304">
        <f>MIN($C$8*BE69,MAIN!$C$13)*MAIN!$C$14*$C$9</f>
        <v>6797571.2522686021</v>
      </c>
      <c r="BF70" s="304">
        <f>MIN($C$8*BF69,MAIN!$C$13)*MAIN!$C$14*$C$9</f>
        <v>7024642.7102238359</v>
      </c>
      <c r="BG70" s="304">
        <f>MIN($C$8*BG69,MAIN!$C$13)*MAIN!$C$14*$C$9</f>
        <v>7251714.1681790669</v>
      </c>
      <c r="BH70" s="304">
        <f>MIN($C$8*BH69,MAIN!$C$13)*MAIN!$C$14*$C$9</f>
        <v>7478785.6261343006</v>
      </c>
      <c r="BI70" s="304">
        <f>MIN($C$8*BI69,MAIN!$C$13)*MAIN!$C$14*$C$9</f>
        <v>7705857.0840895316</v>
      </c>
      <c r="BJ70" s="304">
        <f>MIN($C$8*BJ69,MAIN!$C$13)*MAIN!$C$14*$C$9</f>
        <v>7932928.5420447653</v>
      </c>
      <c r="BK70" s="304">
        <f>MIN($C$8*BK69,MAIN!$C$13)*MAIN!$C$14*$C$9</f>
        <v>8160000</v>
      </c>
      <c r="BL70" s="304">
        <f>MIN($C$8*BL69,MAIN!$C$13)*MAIN!$C$14*$C$9</f>
        <v>8160000</v>
      </c>
      <c r="BM70" s="304">
        <f>MIN($C$8*BM69,MAIN!$C$13)*MAIN!$C$14*$C$9</f>
        <v>8160000</v>
      </c>
      <c r="BN70" s="304">
        <f>MIN($C$8*BN69,MAIN!$C$13)*MAIN!$C$14*$C$9</f>
        <v>8160000</v>
      </c>
      <c r="BO70" s="3">
        <f>MAIN!$C$13*MAIN!$C$14*$C$9</f>
        <v>8160000</v>
      </c>
      <c r="BP70" s="41"/>
      <c r="BQ70" s="41"/>
      <c r="BR70" s="41"/>
    </row>
    <row r="71" spans="1:70" ht="16.5">
      <c r="A71" s="41"/>
      <c r="B71" s="4">
        <v>2</v>
      </c>
      <c r="C71" s="299" t="s">
        <v>55</v>
      </c>
      <c r="D71" s="5">
        <f>IF(C66+L66&gt;=F66,0,C66+L66)</f>
        <v>418</v>
      </c>
      <c r="E71" s="6"/>
      <c r="F71" s="6"/>
      <c r="G71" s="6"/>
      <c r="H71" s="6"/>
      <c r="I71" s="6"/>
      <c r="J71" s="6"/>
      <c r="K71" s="6"/>
      <c r="L71" s="6"/>
      <c r="M71" s="6"/>
      <c r="N71" s="6"/>
      <c r="O71" s="6"/>
      <c r="P71" s="6"/>
      <c r="Q71" s="6"/>
      <c r="R71" s="6"/>
      <c r="S71" s="6"/>
      <c r="T71" s="6"/>
      <c r="U71" s="6"/>
      <c r="V71" s="6"/>
      <c r="W71" s="6"/>
      <c r="X71" s="6"/>
      <c r="Y71" s="6"/>
      <c r="Z71" s="6"/>
      <c r="AA71" s="6"/>
      <c r="AB71" s="6"/>
      <c r="AC71" s="6"/>
      <c r="AD71" s="6"/>
      <c r="AE71" s="6"/>
      <c r="AF71" s="6"/>
      <c r="AG71" s="6"/>
      <c r="AH71" s="6"/>
      <c r="AI71" s="6"/>
      <c r="AJ71" s="6"/>
      <c r="AK71" s="6"/>
      <c r="AL71" s="6"/>
      <c r="AM71" s="6"/>
      <c r="AN71" s="6"/>
      <c r="AO71" s="6"/>
      <c r="AP71" s="6"/>
      <c r="AQ71" s="6"/>
      <c r="AR71" s="57"/>
      <c r="AS71" s="6"/>
      <c r="AT71" s="6"/>
      <c r="AU71" s="6"/>
      <c r="AV71" s="6"/>
      <c r="AW71" s="6"/>
      <c r="AX71" s="6"/>
      <c r="AY71" s="6"/>
      <c r="AZ71" s="6"/>
      <c r="BA71" s="6"/>
      <c r="BB71" s="6"/>
      <c r="BC71" s="6"/>
      <c r="BD71" s="6"/>
      <c r="BE71" s="6"/>
      <c r="BF71" s="6"/>
      <c r="BG71" s="6"/>
      <c r="BH71" s="6"/>
      <c r="BI71" s="6"/>
      <c r="BJ71" s="6"/>
      <c r="BK71" s="6"/>
      <c r="BL71" s="6"/>
      <c r="BM71" s="6"/>
      <c r="BN71" s="6"/>
      <c r="BO71" s="7"/>
      <c r="BP71" s="41"/>
      <c r="BQ71" s="41"/>
      <c r="BR71" s="41"/>
    </row>
    <row r="72" spans="1:70" ht="16.5">
      <c r="A72" s="41"/>
      <c r="B72" s="4">
        <f t="shared" ref="B72:B78" si="42">1+B71</f>
        <v>3</v>
      </c>
      <c r="C72" s="299" t="s">
        <v>55</v>
      </c>
      <c r="D72" s="5">
        <f>IF(C66+B71*L66&gt;=F66,0,C66+B71*L66)</f>
        <v>782</v>
      </c>
      <c r="E72" s="6"/>
      <c r="F72" s="6"/>
      <c r="G72" s="6"/>
      <c r="H72" s="6"/>
      <c r="I72" s="6"/>
      <c r="J72" s="6"/>
      <c r="K72" s="6"/>
      <c r="L72" s="6"/>
      <c r="M72" s="6"/>
      <c r="N72" s="6"/>
      <c r="O72" s="6"/>
      <c r="P72" s="6"/>
      <c r="Q72" s="6"/>
      <c r="R72" s="6"/>
      <c r="S72" s="6"/>
      <c r="T72" s="6"/>
      <c r="U72" s="6"/>
      <c r="V72" s="6"/>
      <c r="W72" s="6"/>
      <c r="X72" s="6"/>
      <c r="Y72" s="6"/>
      <c r="Z72" s="6"/>
      <c r="AA72" s="6"/>
      <c r="AB72" s="6"/>
      <c r="AC72" s="6"/>
      <c r="AD72" s="6"/>
      <c r="AE72" s="6"/>
      <c r="AF72" s="6"/>
      <c r="AG72" s="6"/>
      <c r="AH72" s="6"/>
      <c r="AI72" s="6"/>
      <c r="AJ72" s="6"/>
      <c r="AK72" s="6"/>
      <c r="AL72" s="6"/>
      <c r="AM72" s="6"/>
      <c r="AN72" s="6"/>
      <c r="AO72" s="6"/>
      <c r="AP72" s="6"/>
      <c r="AQ72" s="6"/>
      <c r="AR72" s="57"/>
      <c r="AS72" s="6"/>
      <c r="AT72" s="6"/>
      <c r="AU72" s="6"/>
      <c r="AV72" s="6"/>
      <c r="AW72" s="6"/>
      <c r="AX72" s="6"/>
      <c r="AY72" s="6"/>
      <c r="AZ72" s="6"/>
      <c r="BA72" s="6"/>
      <c r="BB72" s="6"/>
      <c r="BC72" s="6"/>
      <c r="BD72" s="6"/>
      <c r="BE72" s="6"/>
      <c r="BF72" s="6"/>
      <c r="BG72" s="6"/>
      <c r="BH72" s="6"/>
      <c r="BI72" s="6"/>
      <c r="BJ72" s="6"/>
      <c r="BK72" s="6"/>
      <c r="BL72" s="6"/>
      <c r="BM72" s="6"/>
      <c r="BN72" s="6"/>
      <c r="BO72" s="7"/>
      <c r="BP72" s="41"/>
      <c r="BQ72" s="41"/>
      <c r="BR72" s="41"/>
    </row>
    <row r="73" spans="1:70" ht="16.5">
      <c r="A73" s="41"/>
      <c r="B73" s="4">
        <f t="shared" si="42"/>
        <v>4</v>
      </c>
      <c r="C73" s="299" t="s">
        <v>55</v>
      </c>
      <c r="D73" s="5">
        <f>IF(C66+B72*L66&gt;=F66,0,C66+B72*L66)</f>
        <v>0</v>
      </c>
      <c r="E73" s="6"/>
      <c r="F73" s="6"/>
      <c r="G73" s="6"/>
      <c r="H73" s="6"/>
      <c r="I73" s="6"/>
      <c r="J73" s="6"/>
      <c r="K73" s="6"/>
      <c r="L73" s="6"/>
      <c r="M73" s="6"/>
      <c r="N73" s="6"/>
      <c r="O73" s="6"/>
      <c r="P73" s="6"/>
      <c r="Q73" s="6"/>
      <c r="R73" s="6"/>
      <c r="S73" s="6"/>
      <c r="T73" s="6"/>
      <c r="U73" s="6"/>
      <c r="V73" s="6"/>
      <c r="W73" s="6"/>
      <c r="X73" s="6"/>
      <c r="Y73" s="6"/>
      <c r="Z73" s="6"/>
      <c r="AA73" s="6"/>
      <c r="AB73" s="6"/>
      <c r="AC73" s="6"/>
      <c r="AD73" s="6"/>
      <c r="AE73" s="6"/>
      <c r="AF73" s="6"/>
      <c r="AG73" s="6"/>
      <c r="AH73" s="6"/>
      <c r="AI73" s="6"/>
      <c r="AJ73" s="6"/>
      <c r="AK73" s="6"/>
      <c r="AL73" s="6"/>
      <c r="AM73" s="6"/>
      <c r="AN73" s="6"/>
      <c r="AO73" s="6"/>
      <c r="AP73" s="6"/>
      <c r="AQ73" s="6"/>
      <c r="AR73" s="57"/>
      <c r="AS73" s="6"/>
      <c r="AT73" s="6"/>
      <c r="AU73" s="6"/>
      <c r="AV73" s="6"/>
      <c r="AW73" s="6"/>
      <c r="AX73" s="6"/>
      <c r="AY73" s="6"/>
      <c r="AZ73" s="6"/>
      <c r="BA73" s="6"/>
      <c r="BB73" s="6"/>
      <c r="BC73" s="6"/>
      <c r="BD73" s="6"/>
      <c r="BE73" s="6"/>
      <c r="BF73" s="6"/>
      <c r="BG73" s="6"/>
      <c r="BH73" s="6"/>
      <c r="BI73" s="6"/>
      <c r="BJ73" s="6"/>
      <c r="BK73" s="6"/>
      <c r="BL73" s="6"/>
      <c r="BM73" s="6"/>
      <c r="BN73" s="6"/>
      <c r="BO73" s="7"/>
      <c r="BP73" s="41"/>
      <c r="BQ73" s="41"/>
      <c r="BR73" s="41"/>
    </row>
    <row r="74" spans="1:70" ht="16.5">
      <c r="A74" s="41"/>
      <c r="B74" s="4">
        <f t="shared" si="42"/>
        <v>5</v>
      </c>
      <c r="C74" s="299" t="s">
        <v>55</v>
      </c>
      <c r="D74" s="5">
        <f>IF(C66+B73*L66&gt;=F66,0,C66+B73*L66)</f>
        <v>0</v>
      </c>
      <c r="E74" s="6"/>
      <c r="F74" s="6"/>
      <c r="G74" s="6"/>
      <c r="H74" s="6"/>
      <c r="I74" s="6"/>
      <c r="J74" s="6"/>
      <c r="K74" s="6"/>
      <c r="L74" s="6"/>
      <c r="M74" s="6"/>
      <c r="N74" s="6"/>
      <c r="O74" s="6"/>
      <c r="P74" s="6"/>
      <c r="Q74" s="6"/>
      <c r="R74" s="6"/>
      <c r="S74" s="6"/>
      <c r="T74" s="6"/>
      <c r="U74" s="6"/>
      <c r="V74" s="6"/>
      <c r="W74" s="6"/>
      <c r="X74" s="6"/>
      <c r="Y74" s="6"/>
      <c r="Z74" s="6"/>
      <c r="AA74" s="6"/>
      <c r="AB74" s="6"/>
      <c r="AC74" s="6"/>
      <c r="AD74" s="6"/>
      <c r="AE74" s="6"/>
      <c r="AF74" s="6"/>
      <c r="AG74" s="6"/>
      <c r="AH74" s="6"/>
      <c r="AI74" s="6"/>
      <c r="AJ74" s="6"/>
      <c r="AK74" s="6"/>
      <c r="AL74" s="6"/>
      <c r="AM74" s="6"/>
      <c r="AN74" s="6"/>
      <c r="AO74" s="6"/>
      <c r="AP74" s="6"/>
      <c r="AQ74" s="6"/>
      <c r="AR74" s="57"/>
      <c r="AS74" s="6"/>
      <c r="AT74" s="6"/>
      <c r="AU74" s="6"/>
      <c r="AV74" s="6"/>
      <c r="AW74" s="6"/>
      <c r="AX74" s="6"/>
      <c r="AY74" s="6"/>
      <c r="AZ74" s="6"/>
      <c r="BA74" s="6"/>
      <c r="BB74" s="6"/>
      <c r="BC74" s="6"/>
      <c r="BD74" s="6"/>
      <c r="BE74" s="6"/>
      <c r="BF74" s="6"/>
      <c r="BG74" s="6"/>
      <c r="BH74" s="6"/>
      <c r="BI74" s="6"/>
      <c r="BJ74" s="6"/>
      <c r="BK74" s="6"/>
      <c r="BL74" s="6"/>
      <c r="BM74" s="6"/>
      <c r="BN74" s="6"/>
      <c r="BO74" s="7"/>
      <c r="BP74" s="41"/>
      <c r="BQ74" s="41"/>
      <c r="BR74" s="41"/>
    </row>
    <row r="75" spans="1:70" ht="16.5">
      <c r="A75" s="41"/>
      <c r="B75" s="4">
        <f t="shared" si="42"/>
        <v>6</v>
      </c>
      <c r="C75" s="299" t="s">
        <v>55</v>
      </c>
      <c r="D75" s="5">
        <f>IF(C66+B74*L66&gt;=F66,0,C66+B74*L66)</f>
        <v>0</v>
      </c>
      <c r="E75" s="6"/>
      <c r="F75" s="6"/>
      <c r="G75" s="6"/>
      <c r="H75" s="6"/>
      <c r="I75" s="6"/>
      <c r="J75" s="6"/>
      <c r="K75" s="6"/>
      <c r="L75" s="6"/>
      <c r="M75" s="6"/>
      <c r="N75" s="6"/>
      <c r="O75" s="6"/>
      <c r="P75" s="6"/>
      <c r="Q75" s="6"/>
      <c r="R75" s="6"/>
      <c r="S75" s="6"/>
      <c r="T75" s="6"/>
      <c r="U75" s="6"/>
      <c r="V75" s="6"/>
      <c r="W75" s="6"/>
      <c r="X75" s="6"/>
      <c r="Y75" s="6"/>
      <c r="Z75" s="6"/>
      <c r="AA75" s="6"/>
      <c r="AB75" s="6"/>
      <c r="AC75" s="6"/>
      <c r="AD75" s="6"/>
      <c r="AE75" s="6"/>
      <c r="AF75" s="6"/>
      <c r="AG75" s="6"/>
      <c r="AH75" s="6"/>
      <c r="AI75" s="6"/>
      <c r="AJ75" s="6"/>
      <c r="AK75" s="6"/>
      <c r="AL75" s="6"/>
      <c r="AM75" s="6"/>
      <c r="AN75" s="6"/>
      <c r="AO75" s="6"/>
      <c r="AP75" s="6"/>
      <c r="AQ75" s="6"/>
      <c r="AR75" s="57"/>
      <c r="AS75" s="6"/>
      <c r="AT75" s="6"/>
      <c r="AU75" s="6"/>
      <c r="AV75" s="6"/>
      <c r="AW75" s="6"/>
      <c r="AX75" s="6"/>
      <c r="AY75" s="6"/>
      <c r="AZ75" s="6"/>
      <c r="BA75" s="6"/>
      <c r="BB75" s="6"/>
      <c r="BC75" s="6"/>
      <c r="BD75" s="6"/>
      <c r="BE75" s="6"/>
      <c r="BF75" s="6"/>
      <c r="BG75" s="6"/>
      <c r="BH75" s="6"/>
      <c r="BI75" s="6"/>
      <c r="BJ75" s="6"/>
      <c r="BK75" s="6"/>
      <c r="BL75" s="6"/>
      <c r="BM75" s="6"/>
      <c r="BN75" s="6"/>
      <c r="BO75" s="7"/>
      <c r="BP75" s="41"/>
      <c r="BQ75" s="41"/>
      <c r="BR75" s="41"/>
    </row>
    <row r="76" spans="1:70" ht="16.5">
      <c r="A76" s="41"/>
      <c r="B76" s="4">
        <f t="shared" si="42"/>
        <v>7</v>
      </c>
      <c r="C76" s="299" t="s">
        <v>55</v>
      </c>
      <c r="D76" s="5">
        <f>IF(C66+B75*L66&gt;=F66,0,C66+B75*L66)</f>
        <v>0</v>
      </c>
      <c r="E76" s="6"/>
      <c r="F76" s="6"/>
      <c r="G76" s="6"/>
      <c r="H76" s="6"/>
      <c r="I76" s="6"/>
      <c r="J76" s="6"/>
      <c r="K76" s="6"/>
      <c r="L76" s="6"/>
      <c r="M76" s="6"/>
      <c r="N76" s="6"/>
      <c r="O76" s="6"/>
      <c r="P76" s="6"/>
      <c r="Q76" s="6"/>
      <c r="R76" s="6"/>
      <c r="S76" s="6"/>
      <c r="T76" s="6"/>
      <c r="U76" s="6"/>
      <c r="V76" s="6"/>
      <c r="W76" s="6"/>
      <c r="X76" s="6"/>
      <c r="Y76" s="6"/>
      <c r="Z76" s="6"/>
      <c r="AA76" s="6"/>
      <c r="AB76" s="6"/>
      <c r="AC76" s="6"/>
      <c r="AD76" s="6"/>
      <c r="AE76" s="6"/>
      <c r="AF76" s="6"/>
      <c r="AG76" s="6"/>
      <c r="AH76" s="6"/>
      <c r="AI76" s="6"/>
      <c r="AJ76" s="6"/>
      <c r="AK76" s="6"/>
      <c r="AL76" s="6"/>
      <c r="AM76" s="6"/>
      <c r="AN76" s="6"/>
      <c r="AO76" s="6"/>
      <c r="AP76" s="6"/>
      <c r="AQ76" s="6"/>
      <c r="AR76" s="57"/>
      <c r="AS76" s="6"/>
      <c r="AT76" s="6"/>
      <c r="AU76" s="6"/>
      <c r="AV76" s="6"/>
      <c r="AW76" s="6"/>
      <c r="AX76" s="6"/>
      <c r="AY76" s="6"/>
      <c r="AZ76" s="6"/>
      <c r="BA76" s="6"/>
      <c r="BB76" s="6"/>
      <c r="BC76" s="6"/>
      <c r="BD76" s="6"/>
      <c r="BE76" s="6"/>
      <c r="BF76" s="6"/>
      <c r="BG76" s="6"/>
      <c r="BH76" s="6"/>
      <c r="BI76" s="6"/>
      <c r="BJ76" s="6"/>
      <c r="BK76" s="6"/>
      <c r="BL76" s="6"/>
      <c r="BM76" s="6"/>
      <c r="BN76" s="6"/>
      <c r="BO76" s="7"/>
      <c r="BP76" s="41"/>
      <c r="BQ76" s="41"/>
      <c r="BR76" s="41"/>
    </row>
    <row r="77" spans="1:70" ht="16.5">
      <c r="A77" s="41"/>
      <c r="B77" s="4">
        <f t="shared" si="42"/>
        <v>8</v>
      </c>
      <c r="C77" s="299" t="s">
        <v>55</v>
      </c>
      <c r="D77" s="5">
        <f>IF(C66+B76*L66&gt;=F66,0,C66+B76*L66)</f>
        <v>0</v>
      </c>
      <c r="E77" s="6"/>
      <c r="F77" s="6"/>
      <c r="G77" s="6"/>
      <c r="H77" s="6"/>
      <c r="I77" s="6"/>
      <c r="J77" s="6"/>
      <c r="K77" s="6"/>
      <c r="L77" s="6"/>
      <c r="M77" s="6"/>
      <c r="N77" s="6"/>
      <c r="O77" s="6"/>
      <c r="P77" s="6"/>
      <c r="Q77" s="6"/>
      <c r="R77" s="6"/>
      <c r="S77" s="6"/>
      <c r="T77" s="6"/>
      <c r="U77" s="6"/>
      <c r="V77" s="6"/>
      <c r="W77" s="6"/>
      <c r="X77" s="6"/>
      <c r="Y77" s="6"/>
      <c r="Z77" s="6"/>
      <c r="AA77" s="6"/>
      <c r="AB77" s="6"/>
      <c r="AC77" s="6"/>
      <c r="AD77" s="6"/>
      <c r="AE77" s="6"/>
      <c r="AF77" s="6"/>
      <c r="AG77" s="6"/>
      <c r="AH77" s="6"/>
      <c r="AI77" s="6"/>
      <c r="AJ77" s="6"/>
      <c r="AK77" s="6"/>
      <c r="AL77" s="6"/>
      <c r="AM77" s="6"/>
      <c r="AN77" s="6"/>
      <c r="AO77" s="6"/>
      <c r="AP77" s="6"/>
      <c r="AQ77" s="6"/>
      <c r="AR77" s="57"/>
      <c r="AS77" s="6"/>
      <c r="AT77" s="6"/>
      <c r="AU77" s="6"/>
      <c r="AV77" s="6"/>
      <c r="AW77" s="6"/>
      <c r="AX77" s="6"/>
      <c r="AY77" s="6"/>
      <c r="AZ77" s="6"/>
      <c r="BA77" s="6"/>
      <c r="BB77" s="6"/>
      <c r="BC77" s="6"/>
      <c r="BD77" s="6"/>
      <c r="BE77" s="6"/>
      <c r="BF77" s="6"/>
      <c r="BG77" s="6"/>
      <c r="BH77" s="6"/>
      <c r="BI77" s="6"/>
      <c r="BJ77" s="6"/>
      <c r="BK77" s="6"/>
      <c r="BL77" s="6"/>
      <c r="BM77" s="6"/>
      <c r="BN77" s="6"/>
      <c r="BO77" s="7"/>
      <c r="BP77" s="41"/>
      <c r="BQ77" s="41"/>
      <c r="BR77" s="41"/>
    </row>
    <row r="78" spans="1:70" ht="16.5">
      <c r="A78" s="41"/>
      <c r="B78" s="4">
        <f t="shared" si="42"/>
        <v>9</v>
      </c>
      <c r="C78" s="299" t="s">
        <v>55</v>
      </c>
      <c r="D78" s="5">
        <f>IF(C66+B77*L66&gt;=F66,0,C66+B77*L66)</f>
        <v>0</v>
      </c>
      <c r="E78" s="6"/>
      <c r="F78" s="6"/>
      <c r="G78" s="6"/>
      <c r="H78" s="6"/>
      <c r="I78" s="6"/>
      <c r="J78" s="6"/>
      <c r="K78" s="6"/>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57"/>
      <c r="AS78" s="6"/>
      <c r="AT78" s="6"/>
      <c r="AU78" s="6"/>
      <c r="AV78" s="6"/>
      <c r="AW78" s="6"/>
      <c r="AX78" s="6"/>
      <c r="AY78" s="6"/>
      <c r="AZ78" s="6"/>
      <c r="BA78" s="6"/>
      <c r="BB78" s="6"/>
      <c r="BC78" s="6"/>
      <c r="BD78" s="6"/>
      <c r="BE78" s="6"/>
      <c r="BF78" s="6"/>
      <c r="BG78" s="6"/>
      <c r="BH78" s="6"/>
      <c r="BI78" s="6"/>
      <c r="BJ78" s="6"/>
      <c r="BK78" s="6"/>
      <c r="BL78" s="6"/>
      <c r="BM78" s="6"/>
      <c r="BN78" s="6"/>
      <c r="BO78" s="7"/>
      <c r="BP78" s="41"/>
      <c r="BQ78" s="41"/>
      <c r="BR78" s="41"/>
    </row>
    <row r="79" spans="1:70" ht="16.5">
      <c r="A79" s="41"/>
      <c r="B79" s="291" t="s">
        <v>116</v>
      </c>
      <c r="C79" s="298" t="s">
        <v>117</v>
      </c>
      <c r="D79" s="3">
        <f>IF(D69&gt;MAIN!$C$13,MAX($F$9,$F$9*D69/(D69-$F$10)),$F$8)</f>
        <v>3.5000000000000001E-3</v>
      </c>
      <c r="E79" s="304">
        <f>IF(E69&gt;MAIN!$C$13,MAX($F$9,$F$9*E69/(E69-$F$10)),$F$8)</f>
        <v>3.5000000000000001E-3</v>
      </c>
      <c r="F79" s="304">
        <f>IF(F69&gt;MAIN!$C$13,MAX($F$9,$F$9*F69/(F69-$F$10)),$F$8)</f>
        <v>3.5000000000000001E-3</v>
      </c>
      <c r="G79" s="304">
        <f>IF(G69&gt;MAIN!$C$13,MAX($F$9,$F$9*G69/(G69-$F$10)),$F$8)</f>
        <v>3.5000000000000001E-3</v>
      </c>
      <c r="H79" s="304">
        <f>IF(H69&gt;MAIN!$C$13,MAX($F$9,$F$9*H69/(H69-$F$10)),$F$8)</f>
        <v>3.5000000000000001E-3</v>
      </c>
      <c r="I79" s="304">
        <f>IF(I69&gt;MAIN!$C$13,MAX($F$9,$F$9*I69/(I69-$F$10)),$F$8)</f>
        <v>3.5000000000000001E-3</v>
      </c>
      <c r="J79" s="304">
        <f>IF(J69&gt;MAIN!$C$13,MAX($F$9,$F$9*J69/(J69-$F$10)),$F$8)</f>
        <v>3.5000000000000001E-3</v>
      </c>
      <c r="K79" s="304">
        <f>IF(K69&gt;MAIN!$C$13,MAX($F$9,$F$9*K69/(K69-$F$10)),$F$8)</f>
        <v>3.5000000000000001E-3</v>
      </c>
      <c r="L79" s="304">
        <f>IF(L69&gt;MAIN!$C$13,MAX($F$9,$F$9*L69/(L69-$F$10)),$F$8)</f>
        <v>3.5000000000000001E-3</v>
      </c>
      <c r="M79" s="304">
        <f>IF(M69&gt;MAIN!$C$13,MAX($F$9,$F$9*M69/(M69-$F$10)),$F$8)</f>
        <v>3.5000000000000001E-3</v>
      </c>
      <c r="N79" s="304">
        <f>IF(N69&gt;MAIN!$C$13,MAX($F$9,$F$9*N69/(N69-$F$10)),$F$8)</f>
        <v>3.5000000000000001E-3</v>
      </c>
      <c r="O79" s="304">
        <f>IF(O69&gt;MAIN!$C$13,MAX($F$9,$F$9*O69/(O69-$F$10)),$F$8)</f>
        <v>3.5000000000000001E-3</v>
      </c>
      <c r="P79" s="304">
        <f>IF(P69&gt;MAIN!$C$13,MAX($F$9,$F$9*P69/(P69-$F$10)),$F$8)</f>
        <v>3.5000000000000001E-3</v>
      </c>
      <c r="Q79" s="304">
        <f>IF(Q69&gt;MAIN!$C$13,MAX($F$9,$F$9*Q69/(Q69-$F$10)),$F$8)</f>
        <v>3.5000000000000001E-3</v>
      </c>
      <c r="R79" s="304">
        <f>IF(R69&gt;MAIN!$C$13,MAX($F$9,$F$9*R69/(R69-$F$10)),$F$8)</f>
        <v>3.5000000000000001E-3</v>
      </c>
      <c r="S79" s="304">
        <f>IF(S69&gt;MAIN!$C$13,MAX($F$9,$F$9*S69/(S69-$F$10)),$F$8)</f>
        <v>3.5000000000000001E-3</v>
      </c>
      <c r="T79" s="304">
        <f>IF(T69&gt;MAIN!$C$13,MAX($F$9,$F$9*T69/(T69-$F$10)),$F$8)</f>
        <v>3.5000000000000001E-3</v>
      </c>
      <c r="U79" s="304">
        <f>IF(U69&gt;MAIN!$C$13,MAX($F$9,$F$9*U69/(U69-$F$10)),$F$8)</f>
        <v>3.5000000000000001E-3</v>
      </c>
      <c r="V79" s="304">
        <f>IF(V69&gt;MAIN!$C$13,MAX($F$9,$F$9*V69/(V69-$F$10)),$F$8)</f>
        <v>3.5000000000000001E-3</v>
      </c>
      <c r="W79" s="304">
        <f>IF(W69&gt;MAIN!$C$13,MAX($F$9,$F$9*W69/(W69-$F$10)),$F$8)</f>
        <v>3.5000000000000001E-3</v>
      </c>
      <c r="X79" s="304">
        <f>IF(X69&gt;MAIN!$C$13,MAX($F$9,$F$9*X69/(X69-$F$10)),$F$8)</f>
        <v>3.5000000000000001E-3</v>
      </c>
      <c r="Y79" s="304">
        <f>IF(Y69&gt;MAIN!$C$13,MAX($F$9,$F$9*Y69/(Y69-$F$10)),$F$8)</f>
        <v>3.5000000000000001E-3</v>
      </c>
      <c r="Z79" s="304">
        <f>IF(Z69&gt;MAIN!$C$13,MAX($F$9,$F$9*Z69/(Z69-$F$10)),$F$8)</f>
        <v>3.5000000000000001E-3</v>
      </c>
      <c r="AA79" s="304">
        <f>IF(AA69&gt;MAIN!$C$13,MAX($F$9,$F$9*AA69/(AA69-$F$10)),$F$8)</f>
        <v>3.5000000000000001E-3</v>
      </c>
      <c r="AB79" s="304">
        <f>IF(AB69&gt;MAIN!$C$13,MAX($F$9,$F$9*AB69/(AB69-$F$10)),$F$8)</f>
        <v>3.5000000000000001E-3</v>
      </c>
      <c r="AC79" s="304">
        <f>IF(AC69&gt;MAIN!$C$13,MAX($F$9,$F$9*AC69/(AC69-$F$10)),$F$8)</f>
        <v>3.5000000000000001E-3</v>
      </c>
      <c r="AD79" s="304">
        <f>IF(AD69&gt;MAIN!$C$13,MAX($F$9,$F$9*AD69/(AD69-$F$10)),$F$8)</f>
        <v>3.5000000000000001E-3</v>
      </c>
      <c r="AE79" s="304">
        <f>IF(AE69&gt;MAIN!$C$13,MAX($F$9,$F$9*AE69/(AE69-$F$10)),$F$8)</f>
        <v>3.5000000000000001E-3</v>
      </c>
      <c r="AF79" s="304">
        <f>IF(AF69&gt;MAIN!$C$13,MAX($F$9,$F$9*AF69/(AF69-$F$10)),$F$8)</f>
        <v>3.5000000000000001E-3</v>
      </c>
      <c r="AG79" s="304">
        <f>IF(AG69&gt;MAIN!$C$13,MAX($F$9,$F$9*AG69/(AG69-$F$10)),$F$8)</f>
        <v>3.5000000000000001E-3</v>
      </c>
      <c r="AH79" s="304">
        <f>IF(AH69&gt;MAIN!$C$13,MAX($F$9,$F$9*AH69/(AH69-$F$10)),$F$8)</f>
        <v>3.5000000000000001E-3</v>
      </c>
      <c r="AI79" s="304">
        <f>IF(AI69&gt;MAIN!$C$13,MAX($F$9,$F$9*AI69/(AI69-$F$10)),$F$8)</f>
        <v>3.5000000000000001E-3</v>
      </c>
      <c r="AJ79" s="304">
        <f>IF(AJ69&gt;MAIN!$C$13,MAX($F$9,$F$9*AJ69/(AJ69-$F$10)),$F$8)</f>
        <v>3.5000000000000001E-3</v>
      </c>
      <c r="AK79" s="304">
        <f>IF(AK69&gt;MAIN!$C$13,MAX($F$9,$F$9*AK69/(AK69-$F$10)),$F$8)</f>
        <v>3.5000000000000001E-3</v>
      </c>
      <c r="AL79" s="304">
        <f>IF(AL69&gt;MAIN!$C$13,MAX($F$9,$F$9*AL69/(AL69-$F$10)),$F$8)</f>
        <v>3.5000000000000001E-3</v>
      </c>
      <c r="AM79" s="304">
        <f>IF(AM69&gt;MAIN!$C$13,MAX($F$9,$F$9*AM69/(AM69-$F$10)),$F$8)</f>
        <v>3.5000000000000001E-3</v>
      </c>
      <c r="AN79" s="304">
        <f>IF(AN69&gt;MAIN!$C$13,MAX($F$9,$F$9*AN69/(AN69-$F$10)),$F$8)</f>
        <v>3.5000000000000001E-3</v>
      </c>
      <c r="AO79" s="304">
        <f>IF(AO69&gt;MAIN!$C$13,MAX($F$9,$F$9*AO69/(AO69-$F$10)),$F$8)</f>
        <v>3.5000000000000001E-3</v>
      </c>
      <c r="AP79" s="304">
        <f>IF(AP69&gt;MAIN!$C$13,MAX($F$9,$F$9*AP69/(AP69-$F$10)),$F$8)</f>
        <v>3.5000000000000001E-3</v>
      </c>
      <c r="AQ79" s="304">
        <f>IF(AQ69&gt;MAIN!$C$13,MAX($F$9,$F$9*AQ69/(AQ69-$F$10)),$F$8)</f>
        <v>3.5000000000000001E-3</v>
      </c>
      <c r="AR79" s="56">
        <f>IF(AR69&gt;MAIN!$C$13,MAX($F$9,$F$9*AR69/(AR69-$F$10)),$F$8)</f>
        <v>3.5000000000000001E-3</v>
      </c>
      <c r="AS79" s="304">
        <f>IF(AS69&gt;MAIN!$C$13,MAX($F$9,$F$9*AS69/(AS69-$F$10)),$F$8)</f>
        <v>3.5000000000000001E-3</v>
      </c>
      <c r="AT79" s="304">
        <f>IF(AT69&gt;MAIN!$C$13,MAX($F$9,$F$9*AT69/(AT69-$F$10)),$F$8)</f>
        <v>3.5000000000000001E-3</v>
      </c>
      <c r="AU79" s="304">
        <f>IF(AU69&gt;MAIN!$C$13,MAX($F$9,$F$9*AU69/(AU69-$F$10)),$F$8)</f>
        <v>3.5000000000000001E-3</v>
      </c>
      <c r="AV79" s="304">
        <f>IF(AV69&gt;MAIN!$C$13,MAX($F$9,$F$9*AV69/(AV69-$F$10)),$F$8)</f>
        <v>3.5000000000000001E-3</v>
      </c>
      <c r="AW79" s="304">
        <f>IF(AW69&gt;MAIN!$C$13,MAX($F$9,$F$9*AW69/(AW69-$F$10)),$F$8)</f>
        <v>3.5000000000000001E-3</v>
      </c>
      <c r="AX79" s="304">
        <f>IF(AX69&gt;MAIN!$C$13,MAX($F$9,$F$9*AX69/(AX69-$F$10)),$F$8)</f>
        <v>3.5000000000000001E-3</v>
      </c>
      <c r="AY79" s="304">
        <f>IF(AY69&gt;MAIN!$C$13,MAX($F$9,$F$9*AY69/(AY69-$F$10)),$F$8)</f>
        <v>3.5000000000000001E-3</v>
      </c>
      <c r="AZ79" s="304">
        <f>IF(AZ69&gt;MAIN!$C$13,MAX($F$9,$F$9*AZ69/(AZ69-$F$10)),$F$8)</f>
        <v>3.5000000000000001E-3</v>
      </c>
      <c r="BA79" s="304">
        <f>IF(BA69&gt;MAIN!$C$13,MAX($F$9,$F$9*BA69/(BA69-$F$10)),$F$8)</f>
        <v>3.5000000000000001E-3</v>
      </c>
      <c r="BB79" s="304">
        <f>IF(BB69&gt;MAIN!$C$13,MAX($F$9,$F$9*BB69/(BB69-$F$10)),$F$8)</f>
        <v>3.5000000000000001E-3</v>
      </c>
      <c r="BC79" s="304">
        <f>IF(BC69&gt;MAIN!$C$13,MAX($F$9,$F$9*BC69/(BC69-$F$10)),$F$8)</f>
        <v>3.5000000000000001E-3</v>
      </c>
      <c r="BD79" s="304">
        <f>IF(BD69&gt;MAIN!$C$13,MAX($F$9,$F$9*BD69/(BD69-$F$10)),$F$8)</f>
        <v>3.4775065341977928E-3</v>
      </c>
      <c r="BE79" s="304">
        <f>IF(BE69&gt;MAIN!$C$13,MAX($F$9,$F$9*BE69/(BE69-$F$10)),$F$8)</f>
        <v>3.3664949260136805E-3</v>
      </c>
      <c r="BF79" s="304">
        <f>IF(BF69&gt;MAIN!$C$13,MAX($F$9,$F$9*BF69/(BF69-$F$10)),$F$8)</f>
        <v>3.2688893069982767E-3</v>
      </c>
      <c r="BG79" s="304">
        <f>IF(BG69&gt;MAIN!$C$13,MAX($F$9,$F$9*BG69/(BG69-$F$10)),$F$8)</f>
        <v>3.182399555008303E-3</v>
      </c>
      <c r="BH79" s="304">
        <f>IF(BH69&gt;MAIN!$C$13,MAX($F$9,$F$9*BH69/(BH69-$F$10)),$F$8)</f>
        <v>3.1052290689666489E-3</v>
      </c>
      <c r="BI79" s="304">
        <f>IF(BI69&gt;MAIN!$C$13,MAX($F$9,$F$9*BI69/(BI69-$F$10)),$F$8)</f>
        <v>3.0359486228091499E-3</v>
      </c>
      <c r="BJ79" s="304">
        <f>IF(BJ69&gt;MAIN!$C$13,MAX($F$9,$F$9*BJ69/(BJ69-$F$10)),$F$8)</f>
        <v>2.9734070298061189E-3</v>
      </c>
      <c r="BK79" s="304">
        <f>IF(BK69&gt;MAIN!$C$13,MAX($F$9,$F$9*BK69/(BK69-$F$10)),$F$8)</f>
        <v>2.9166666666666668E-3</v>
      </c>
      <c r="BL79" s="304">
        <f>IF(BL69&gt;MAIN!$C$13,MAX($F$9,$F$9*BL69/(BL69-$F$10)),$F$8)</f>
        <v>2.40625E-3</v>
      </c>
      <c r="BM79" s="304">
        <f>IF(BM69&gt;MAIN!$C$13,MAX($F$9,$F$9*BM69/(BM69-$F$10)),$F$8)</f>
        <v>2.2065217391304347E-3</v>
      </c>
      <c r="BN79" s="304">
        <f>IF(BN69&gt;MAIN!$C$13,MAX($F$9,$F$9*BN69/(BN69-$F$10)),$F$8)</f>
        <v>2.0999999999999999E-3</v>
      </c>
      <c r="BO79" s="3">
        <f>$F$9</f>
        <v>1.75E-3</v>
      </c>
      <c r="BP79" s="41"/>
      <c r="BQ79" s="41"/>
      <c r="BR79" s="41"/>
    </row>
    <row r="80" spans="1:70" ht="16.5">
      <c r="A80" s="41"/>
      <c r="B80" s="292" t="s">
        <v>118</v>
      </c>
      <c r="C80" s="300" t="s">
        <v>56</v>
      </c>
      <c r="D80" s="8">
        <f t="shared" ref="D80:AI80" si="43">D79*(D69-$C66)/D69</f>
        <v>3.8230077068724012E-4</v>
      </c>
      <c r="E80" s="305">
        <f t="shared" si="43"/>
        <v>1.0383918047278491E-3</v>
      </c>
      <c r="F80" s="305">
        <f t="shared" si="43"/>
        <v>1.4663538676761563E-3</v>
      </c>
      <c r="G80" s="305">
        <f t="shared" si="43"/>
        <v>1.7675486185634894E-3</v>
      </c>
      <c r="H80" s="305">
        <f t="shared" si="43"/>
        <v>1.9910350522679273E-3</v>
      </c>
      <c r="I80" s="305">
        <f t="shared" si="43"/>
        <v>2.1634501424324087E-3</v>
      </c>
      <c r="J80" s="305">
        <f t="shared" si="43"/>
        <v>2.3005050372259307E-3</v>
      </c>
      <c r="K80" s="305">
        <f t="shared" si="43"/>
        <v>2.4120659260361437E-3</v>
      </c>
      <c r="L80" s="305">
        <f t="shared" si="43"/>
        <v>2.5046408473193668E-3</v>
      </c>
      <c r="M80" s="305">
        <f t="shared" si="43"/>
        <v>2.5826964111303474E-3</v>
      </c>
      <c r="N80" s="305">
        <f t="shared" si="43"/>
        <v>2.6494000324940262E-3</v>
      </c>
      <c r="O80" s="305">
        <f t="shared" si="43"/>
        <v>2.7070602788564703E-3</v>
      </c>
      <c r="P80" s="305">
        <f t="shared" si="43"/>
        <v>2.7573994866887403E-3</v>
      </c>
      <c r="Q80" s="305">
        <f t="shared" si="43"/>
        <v>2.8017287356376353E-3</v>
      </c>
      <c r="R80" s="305">
        <f t="shared" si="43"/>
        <v>2.8410636829179054E-3</v>
      </c>
      <c r="S80" s="305">
        <f t="shared" si="43"/>
        <v>2.8762033345156846E-3</v>
      </c>
      <c r="T80" s="305">
        <f t="shared" si="43"/>
        <v>2.9077848882390713E-3</v>
      </c>
      <c r="U80" s="305">
        <f t="shared" si="43"/>
        <v>2.9363227200127446E-3</v>
      </c>
      <c r="V80" s="305">
        <f t="shared" si="43"/>
        <v>2.9622366162873602E-3</v>
      </c>
      <c r="W80" s="305">
        <f t="shared" si="43"/>
        <v>2.9858725611706782E-3</v>
      </c>
      <c r="X80" s="305">
        <f t="shared" si="43"/>
        <v>3.0075182724998355E-3</v>
      </c>
      <c r="Y80" s="305">
        <f t="shared" si="43"/>
        <v>3.0274149718868804E-3</v>
      </c>
      <c r="Z80" s="305">
        <f t="shared" si="43"/>
        <v>3.0457664124350498E-3</v>
      </c>
      <c r="AA80" s="305">
        <f t="shared" si="43"/>
        <v>3.0627458816928749E-3</v>
      </c>
      <c r="AB80" s="305">
        <f t="shared" si="43"/>
        <v>3.0785016905614001E-3</v>
      </c>
      <c r="AC80" s="305">
        <f t="shared" si="43"/>
        <v>3.0931615167672536E-3</v>
      </c>
      <c r="AD80" s="305">
        <f t="shared" si="43"/>
        <v>3.1068358723979985E-3</v>
      </c>
      <c r="AE80" s="305">
        <f t="shared" si="43"/>
        <v>3.1196208948877082E-3</v>
      </c>
      <c r="AF80" s="305">
        <f t="shared" si="43"/>
        <v>3.1316006106042642E-3</v>
      </c>
      <c r="AG80" s="305">
        <f t="shared" si="43"/>
        <v>3.1428487837580903E-3</v>
      </c>
      <c r="AH80" s="305">
        <f t="shared" si="43"/>
        <v>3.1534304366348E-3</v>
      </c>
      <c r="AI80" s="305">
        <f t="shared" si="43"/>
        <v>3.1634031073562211E-3</v>
      </c>
      <c r="AJ80" s="305">
        <f t="shared" ref="AJ80:BK80" si="44">AJ79*(AJ69-$C66)/AJ69</f>
        <v>3.1728178965600563E-3</v>
      </c>
      <c r="AK80" s="305">
        <f t="shared" si="44"/>
        <v>3.1817203432020487E-3</v>
      </c>
      <c r="AL80" s="305">
        <f t="shared" si="44"/>
        <v>3.190151161164923E-3</v>
      </c>
      <c r="AM80" s="305">
        <f t="shared" si="44"/>
        <v>3.1981468618174323E-3</v>
      </c>
      <c r="AN80" s="305">
        <f t="shared" si="44"/>
        <v>3.2057402826067877E-3</v>
      </c>
      <c r="AO80" s="305">
        <f t="shared" si="44"/>
        <v>3.2129610378252237E-3</v>
      </c>
      <c r="AP80" s="305">
        <f t="shared" si="44"/>
        <v>3.219835904598727E-3</v>
      </c>
      <c r="AQ80" s="305">
        <f t="shared" si="44"/>
        <v>3.2263891547043614E-3</v>
      </c>
      <c r="AR80" s="58">
        <f t="shared" si="44"/>
        <v>3.2326428408832233E-3</v>
      </c>
      <c r="AS80" s="305">
        <f t="shared" si="44"/>
        <v>3.2475491622061905E-3</v>
      </c>
      <c r="AT80" s="305">
        <f t="shared" si="44"/>
        <v>3.2608810792524342E-3</v>
      </c>
      <c r="AU80" s="305">
        <f t="shared" si="44"/>
        <v>3.2728755128924661E-3</v>
      </c>
      <c r="AV80" s="305">
        <f t="shared" si="44"/>
        <v>3.2837241178791722E-3</v>
      </c>
      <c r="AW80" s="305">
        <f t="shared" si="44"/>
        <v>3.293583600699822E-3</v>
      </c>
      <c r="AX80" s="305">
        <f t="shared" si="44"/>
        <v>3.3025833382832256E-3</v>
      </c>
      <c r="AY80" s="305">
        <f t="shared" si="44"/>
        <v>3.3108310869233507E-3</v>
      </c>
      <c r="AZ80" s="305">
        <f t="shared" si="44"/>
        <v>3.3184173175350271E-3</v>
      </c>
      <c r="BA80" s="305">
        <f t="shared" si="44"/>
        <v>3.3254185479905224E-3</v>
      </c>
      <c r="BB80" s="305">
        <f t="shared" si="44"/>
        <v>3.3318999331725598E-3</v>
      </c>
      <c r="BC80" s="305">
        <f t="shared" si="44"/>
        <v>3.3379172987409705E-3</v>
      </c>
      <c r="BD80" s="305">
        <f t="shared" si="44"/>
        <v>3.3220309461199915E-3</v>
      </c>
      <c r="BE80" s="305">
        <f t="shared" si="44"/>
        <v>3.2210103826724491E-3</v>
      </c>
      <c r="BF80" s="305">
        <f t="shared" si="44"/>
        <v>3.1321892693684321E-3</v>
      </c>
      <c r="BG80" s="305">
        <f t="shared" si="44"/>
        <v>3.0534835950575558E-3</v>
      </c>
      <c r="BH80" s="305">
        <f t="shared" si="44"/>
        <v>2.9832584527596504E-3</v>
      </c>
      <c r="BI80" s="305">
        <f t="shared" si="44"/>
        <v>2.9202132467563264E-3</v>
      </c>
      <c r="BJ80" s="305">
        <f t="shared" si="44"/>
        <v>2.8633003971235685E-3</v>
      </c>
      <c r="BK80" s="305">
        <f t="shared" si="44"/>
        <v>2.8116666666666667E-3</v>
      </c>
      <c r="BL80" s="305">
        <f>BL79*(BL69-$C66)/BL69</f>
        <v>2.3471874999999999E-3</v>
      </c>
      <c r="BM80" s="305">
        <f>BM79*(BM69-$C66)/BM69</f>
        <v>2.1654347826086957E-3</v>
      </c>
      <c r="BN80" s="305">
        <f>BN79*(BN69-$C66)/BN69</f>
        <v>2.0684999999999996E-3</v>
      </c>
      <c r="BO80" s="8">
        <f>BO79</f>
        <v>1.75E-3</v>
      </c>
      <c r="BP80" s="41"/>
      <c r="BQ80" s="41"/>
      <c r="BR80" s="41"/>
    </row>
    <row r="81" spans="1:70" ht="16.5">
      <c r="A81" s="41"/>
      <c r="B81" s="9">
        <v>2</v>
      </c>
      <c r="C81" s="300" t="s">
        <v>57</v>
      </c>
      <c r="D81" s="8">
        <f>IF($D71=0,0,D79*(D69-$D71)/D69)</f>
        <v>-2.0633301441717287E-2</v>
      </c>
      <c r="E81" s="305">
        <f t="shared" ref="E81:BK81" si="45">IF($D71=0,0,E79*(E69-$D71)/E69)</f>
        <v>-1.5554670844884428E-2</v>
      </c>
      <c r="F81" s="305">
        <f t="shared" si="45"/>
        <v>-1.2241927468729015E-2</v>
      </c>
      <c r="G81" s="305">
        <f t="shared" si="45"/>
        <v>-9.910456989638175E-3</v>
      </c>
      <c r="H81" s="305">
        <f t="shared" si="45"/>
        <v>-8.1805064472593777E-3</v>
      </c>
      <c r="I81" s="305">
        <f t="shared" si="45"/>
        <v>-6.845885934504691E-3</v>
      </c>
      <c r="J81" s="305">
        <f t="shared" si="45"/>
        <v>-5.784979526658538E-3</v>
      </c>
      <c r="K81" s="305">
        <f t="shared" si="45"/>
        <v>-4.9214156095720735E-3</v>
      </c>
      <c r="L81" s="305">
        <f t="shared" si="45"/>
        <v>-4.2048171448241609E-3</v>
      </c>
      <c r="M81" s="305">
        <f t="shared" si="45"/>
        <v>-3.6006092619910134E-3</v>
      </c>
      <c r="N81" s="305">
        <f t="shared" si="45"/>
        <v>-3.0842738225462427E-3</v>
      </c>
      <c r="O81" s="305">
        <f t="shared" si="45"/>
        <v>-2.6379408044073199E-3</v>
      </c>
      <c r="P81" s="305">
        <f t="shared" si="45"/>
        <v>-2.2482780474834545E-3</v>
      </c>
      <c r="Q81" s="305">
        <f t="shared" si="45"/>
        <v>-1.9051368241383051E-3</v>
      </c>
      <c r="R81" s="305">
        <f t="shared" si="45"/>
        <v>-1.6006551951910273E-3</v>
      </c>
      <c r="S81" s="305">
        <f t="shared" si="45"/>
        <v>-1.3286482624526655E-3</v>
      </c>
      <c r="T81" s="305">
        <f t="shared" si="45"/>
        <v>-1.0841836428901544E-3</v>
      </c>
      <c r="U81" s="305">
        <f t="shared" si="45"/>
        <v>-8.6327968582727355E-4</v>
      </c>
      <c r="V81" s="305">
        <f t="shared" si="45"/>
        <v>-6.6268693318302424E-4</v>
      </c>
      <c r="W81" s="305">
        <f t="shared" si="45"/>
        <v>-4.7972721167882719E-4</v>
      </c>
      <c r="X81" s="305">
        <f t="shared" si="45"/>
        <v>-3.1217337213090368E-4</v>
      </c>
      <c r="Y81" s="305">
        <f t="shared" si="45"/>
        <v>-1.5815818057933294E-4</v>
      </c>
      <c r="Z81" s="305">
        <f t="shared" si="45"/>
        <v>-1.6104437076839877E-5</v>
      </c>
      <c r="AA81" s="305">
        <f t="shared" si="45"/>
        <v>1.1532923236336381E-4</v>
      </c>
      <c r="AB81" s="305">
        <f t="shared" si="45"/>
        <v>2.3729086397528444E-4</v>
      </c>
      <c r="AC81" s="305">
        <f t="shared" si="45"/>
        <v>3.5076877793911086E-4</v>
      </c>
      <c r="AD81" s="305">
        <f t="shared" si="45"/>
        <v>4.5661841967339646E-4</v>
      </c>
      <c r="AE81" s="305">
        <f t="shared" si="45"/>
        <v>5.5558396413077848E-4</v>
      </c>
      <c r="AF81" s="305">
        <f t="shared" si="45"/>
        <v>6.4831583764041678E-4</v>
      </c>
      <c r="AG81" s="305">
        <f t="shared" si="45"/>
        <v>7.3538502983114208E-4</v>
      </c>
      <c r="AH81" s="305">
        <f t="shared" si="45"/>
        <v>8.1729486135826682E-4</v>
      </c>
      <c r="AI81" s="305">
        <f t="shared" si="45"/>
        <v>8.9449071990556415E-4</v>
      </c>
      <c r="AJ81" s="305">
        <f t="shared" si="45"/>
        <v>9.6736816226117631E-4</v>
      </c>
      <c r="AK81" s="305">
        <f t="shared" si="45"/>
        <v>1.0362796936751175E-3</v>
      </c>
      <c r="AL81" s="305">
        <f t="shared" si="45"/>
        <v>1.1015404697581098E-3</v>
      </c>
      <c r="AM81" s="305">
        <f t="shared" si="45"/>
        <v>1.163433115549752E-3</v>
      </c>
      <c r="AN81" s="305">
        <f t="shared" si="45"/>
        <v>1.2222118172155049E-3</v>
      </c>
      <c r="AO81" s="305">
        <f t="shared" si="45"/>
        <v>1.2781058113137673E-3</v>
      </c>
      <c r="AP81" s="305">
        <f t="shared" si="45"/>
        <v>1.3313223726345899E-3</v>
      </c>
      <c r="AQ81" s="305">
        <f t="shared" si="45"/>
        <v>1.3820493827115408E-3</v>
      </c>
      <c r="AR81" s="58">
        <f t="shared" si="45"/>
        <v>1.4304575460960622E-3</v>
      </c>
      <c r="AS81" s="305">
        <f t="shared" si="45"/>
        <v>1.5458435148553256E-3</v>
      </c>
      <c r="AT81" s="305">
        <f t="shared" si="45"/>
        <v>1.6490424282873618E-3</v>
      </c>
      <c r="AU81" s="305">
        <f t="shared" si="45"/>
        <v>1.741888229426869E-3</v>
      </c>
      <c r="AV81" s="305">
        <f t="shared" si="45"/>
        <v>1.8258644680276628E-3</v>
      </c>
      <c r="AW81" s="305">
        <f t="shared" si="45"/>
        <v>1.9021841683801025E-3</v>
      </c>
      <c r="AX81" s="305">
        <f t="shared" si="45"/>
        <v>1.9718488037479319E-3</v>
      </c>
      <c r="AY81" s="305">
        <f t="shared" si="45"/>
        <v>2.0356924876659376E-3</v>
      </c>
      <c r="AZ81" s="305">
        <f t="shared" si="45"/>
        <v>2.0944155320303951E-3</v>
      </c>
      <c r="BA81" s="305">
        <f t="shared" si="45"/>
        <v>2.1486102418525636E-3</v>
      </c>
      <c r="BB81" s="305">
        <f t="shared" si="45"/>
        <v>2.1987809641875944E-3</v>
      </c>
      <c r="BC81" s="305">
        <f t="shared" si="45"/>
        <v>2.2453598309949176E-3</v>
      </c>
      <c r="BD81" s="305">
        <f t="shared" si="45"/>
        <v>2.2740103153733307E-3</v>
      </c>
      <c r="BE81" s="305">
        <f t="shared" si="45"/>
        <v>2.2403367942241499E-3</v>
      </c>
      <c r="BF81" s="305">
        <f t="shared" si="45"/>
        <v>2.2107297564561441E-3</v>
      </c>
      <c r="BG81" s="305">
        <f t="shared" si="45"/>
        <v>2.184494531685852E-3</v>
      </c>
      <c r="BH81" s="305">
        <f t="shared" si="45"/>
        <v>2.1610861509198838E-3</v>
      </c>
      <c r="BI81" s="305">
        <f t="shared" si="45"/>
        <v>2.1400710822521087E-3</v>
      </c>
      <c r="BJ81" s="305">
        <f t="shared" si="45"/>
        <v>2.1211001323745227E-3</v>
      </c>
      <c r="BK81" s="305">
        <f t="shared" si="45"/>
        <v>2.1038888888888886E-3</v>
      </c>
      <c r="BL81" s="305">
        <f>IF($D71=0,0,BL79*(BL69-$D71)/BL69)</f>
        <v>1.9490625000000001E-3</v>
      </c>
      <c r="BM81" s="305">
        <f>IF($D71=0,0,BM79*(BM69-$D71)/BM69)</f>
        <v>1.8884782608695654E-3</v>
      </c>
      <c r="BN81" s="305">
        <f>IF($D71=0,0,BN79*(BN69-$D71)/BN69)</f>
        <v>1.8561666666666666E-3</v>
      </c>
      <c r="BO81" s="8">
        <f>IF(D81=0,0,BO80)</f>
        <v>1.75E-3</v>
      </c>
      <c r="BP81" s="41"/>
      <c r="BQ81" s="41"/>
      <c r="BR81" s="41"/>
    </row>
    <row r="82" spans="1:70" ht="16.5">
      <c r="A82" s="41"/>
      <c r="B82" s="9">
        <f t="shared" ref="B82:B88" si="46">1+B81</f>
        <v>3</v>
      </c>
      <c r="C82" s="300" t="s">
        <v>57</v>
      </c>
      <c r="D82" s="8">
        <f>IF($D72=0,0,D79*(D69-$D72)/D69)</f>
        <v>-4.164890365412182E-2</v>
      </c>
      <c r="E82" s="305">
        <f t="shared" ref="E82:BK82" si="47">IF($D72=0,0,E79*(E69-$D72)/E69)</f>
        <v>-3.2147733494496705E-2</v>
      </c>
      <c r="F82" s="305">
        <f t="shared" si="47"/>
        <v>-2.5950208805134184E-2</v>
      </c>
      <c r="G82" s="305">
        <f t="shared" si="47"/>
        <v>-2.1588462597839839E-2</v>
      </c>
      <c r="H82" s="305">
        <f t="shared" si="47"/>
        <v>-1.8352047946786684E-2</v>
      </c>
      <c r="I82" s="305">
        <f t="shared" si="47"/>
        <v>-1.5855222011441791E-2</v>
      </c>
      <c r="J82" s="305">
        <f t="shared" si="47"/>
        <v>-1.3870464090543008E-2</v>
      </c>
      <c r="K82" s="305">
        <f t="shared" si="47"/>
        <v>-1.2254897145180292E-2</v>
      </c>
      <c r="L82" s="305">
        <f t="shared" si="47"/>
        <v>-1.0914275136967688E-2</v>
      </c>
      <c r="M82" s="305">
        <f t="shared" si="47"/>
        <v>-9.7839149351123741E-3</v>
      </c>
      <c r="N82" s="305">
        <f t="shared" si="47"/>
        <v>-8.8179476775865125E-3</v>
      </c>
      <c r="O82" s="305">
        <f t="shared" si="47"/>
        <v>-7.9829418876711106E-3</v>
      </c>
      <c r="P82" s="305">
        <f t="shared" si="47"/>
        <v>-7.2539555816556502E-3</v>
      </c>
      <c r="Q82" s="305">
        <f t="shared" si="47"/>
        <v>-6.6120023839142455E-3</v>
      </c>
      <c r="R82" s="305">
        <f t="shared" si="47"/>
        <v>-6.0423740732999604E-3</v>
      </c>
      <c r="S82" s="305">
        <f t="shared" si="47"/>
        <v>-5.533499859421016E-3</v>
      </c>
      <c r="T82" s="305">
        <f t="shared" si="47"/>
        <v>-5.0761521740193792E-3</v>
      </c>
      <c r="U82" s="305">
        <f t="shared" si="47"/>
        <v>-4.662882091667292E-3</v>
      </c>
      <c r="V82" s="305">
        <f t="shared" si="47"/>
        <v>-4.2876104826534093E-3</v>
      </c>
      <c r="W82" s="305">
        <f t="shared" si="47"/>
        <v>-3.945326984528332E-3</v>
      </c>
      <c r="X82" s="305">
        <f t="shared" si="47"/>
        <v>-3.631865016761643E-3</v>
      </c>
      <c r="Y82" s="305">
        <f t="shared" si="47"/>
        <v>-3.3437313330455464E-3</v>
      </c>
      <c r="Z82" s="305">
        <f t="shared" si="47"/>
        <v>-3.077975286588729E-3</v>
      </c>
      <c r="AA82" s="305">
        <f t="shared" si="47"/>
        <v>-2.832087416966147E-3</v>
      </c>
      <c r="AB82" s="305">
        <f t="shared" si="47"/>
        <v>-2.6039199626108319E-3</v>
      </c>
      <c r="AC82" s="305">
        <f t="shared" si="47"/>
        <v>-2.3916239608890318E-3</v>
      </c>
      <c r="AD82" s="305">
        <f t="shared" si="47"/>
        <v>-2.1935990330512055E-3</v>
      </c>
      <c r="AE82" s="305">
        <f t="shared" si="47"/>
        <v>-2.0084529666261515E-3</v>
      </c>
      <c r="AF82" s="305">
        <f t="shared" si="47"/>
        <v>-1.8349689353234309E-3</v>
      </c>
      <c r="AG82" s="305">
        <f t="shared" si="47"/>
        <v>-1.6720787240958059E-3</v>
      </c>
      <c r="AH82" s="305">
        <f t="shared" si="47"/>
        <v>-1.5188407139182663E-3</v>
      </c>
      <c r="AI82" s="305">
        <f t="shared" si="47"/>
        <v>-1.374421667545093E-3</v>
      </c>
      <c r="AJ82" s="305">
        <f t="shared" si="47"/>
        <v>-1.2380815720377037E-3</v>
      </c>
      <c r="AK82" s="305">
        <f t="shared" si="47"/>
        <v>-1.1091609558518138E-3</v>
      </c>
      <c r="AL82" s="305">
        <f t="shared" si="47"/>
        <v>-9.8707022164870378E-4</v>
      </c>
      <c r="AM82" s="305">
        <f t="shared" si="47"/>
        <v>-8.7128063071792796E-4</v>
      </c>
      <c r="AN82" s="305">
        <f t="shared" si="47"/>
        <v>-7.6131664817577808E-4</v>
      </c>
      <c r="AO82" s="305">
        <f t="shared" si="47"/>
        <v>-6.5674941519768893E-4</v>
      </c>
      <c r="AP82" s="305">
        <f t="shared" si="47"/>
        <v>-5.5719115932954724E-4</v>
      </c>
      <c r="AQ82" s="305">
        <f t="shared" si="47"/>
        <v>-4.6229038928128014E-4</v>
      </c>
      <c r="AR82" s="58">
        <f t="shared" si="47"/>
        <v>-3.7172774869109916E-4</v>
      </c>
      <c r="AS82" s="305">
        <f t="shared" si="47"/>
        <v>-1.5586213249553938E-4</v>
      </c>
      <c r="AT82" s="305">
        <f t="shared" si="47"/>
        <v>3.720377732228937E-5</v>
      </c>
      <c r="AU82" s="305">
        <f t="shared" si="47"/>
        <v>2.1090094596127164E-4</v>
      </c>
      <c r="AV82" s="305">
        <f t="shared" si="47"/>
        <v>3.6800481817615401E-4</v>
      </c>
      <c r="AW82" s="305">
        <f t="shared" si="47"/>
        <v>5.1078473606038313E-4</v>
      </c>
      <c r="AX82" s="305">
        <f t="shared" si="47"/>
        <v>6.4111426921263821E-4</v>
      </c>
      <c r="AY82" s="305">
        <f t="shared" si="47"/>
        <v>7.6055388840852412E-4</v>
      </c>
      <c r="AZ82" s="305">
        <f t="shared" si="47"/>
        <v>8.704137465257633E-4</v>
      </c>
      <c r="BA82" s="305">
        <f t="shared" si="47"/>
        <v>9.7180193571460454E-4</v>
      </c>
      <c r="BB82" s="305">
        <f t="shared" si="47"/>
        <v>1.0656619952026287E-3</v>
      </c>
      <c r="BC82" s="305">
        <f t="shared" si="47"/>
        <v>1.1528023632488649E-3</v>
      </c>
      <c r="BD82" s="305">
        <f t="shared" si="47"/>
        <v>1.2259896846266698E-3</v>
      </c>
      <c r="BE82" s="305">
        <f t="shared" si="47"/>
        <v>1.2596632057758502E-3</v>
      </c>
      <c r="BF82" s="305">
        <f t="shared" si="47"/>
        <v>1.289270243543856E-3</v>
      </c>
      <c r="BG82" s="305">
        <f t="shared" si="47"/>
        <v>1.3155054683141481E-3</v>
      </c>
      <c r="BH82" s="305">
        <f t="shared" si="47"/>
        <v>1.3389138490801165E-3</v>
      </c>
      <c r="BI82" s="305">
        <f t="shared" si="47"/>
        <v>1.3599289177478912E-3</v>
      </c>
      <c r="BJ82" s="305">
        <f t="shared" si="47"/>
        <v>1.3788998676254769E-3</v>
      </c>
      <c r="BK82" s="305">
        <f t="shared" si="47"/>
        <v>1.3961111111111112E-3</v>
      </c>
      <c r="BL82" s="305">
        <f>IF($D72=0,0,BL79*(BL69-$D72)/BL69)</f>
        <v>1.5509374999999998E-3</v>
      </c>
      <c r="BM82" s="305">
        <f>IF($D72=0,0,BM79*(BM69-$D72)/BM69)</f>
        <v>1.6115217391304349E-3</v>
      </c>
      <c r="BN82" s="305">
        <f>IF($D72=0,0,BN79*(BN69-$D72)/BN69)</f>
        <v>1.6438333333333333E-3</v>
      </c>
      <c r="BO82" s="8">
        <f>IF(D82=0,0,BO80)</f>
        <v>1.75E-3</v>
      </c>
      <c r="BP82" s="41"/>
      <c r="BQ82" s="41"/>
      <c r="BR82" s="41"/>
    </row>
    <row r="83" spans="1:70" ht="16.5">
      <c r="A83" s="41"/>
      <c r="B83" s="9">
        <f t="shared" si="46"/>
        <v>4</v>
      </c>
      <c r="C83" s="300" t="s">
        <v>57</v>
      </c>
      <c r="D83" s="8">
        <f>IF($D73=0,0,D79*(D69-$D73)/D69)</f>
        <v>0</v>
      </c>
      <c r="E83" s="305">
        <f t="shared" ref="E83:BK83" si="48">IF($D73=0,0,E79*(E69-$D73)/E69)</f>
        <v>0</v>
      </c>
      <c r="F83" s="305">
        <f t="shared" si="48"/>
        <v>0</v>
      </c>
      <c r="G83" s="305">
        <f t="shared" si="48"/>
        <v>0</v>
      </c>
      <c r="H83" s="305">
        <f t="shared" si="48"/>
        <v>0</v>
      </c>
      <c r="I83" s="305">
        <f t="shared" si="48"/>
        <v>0</v>
      </c>
      <c r="J83" s="305">
        <f t="shared" si="48"/>
        <v>0</v>
      </c>
      <c r="K83" s="305">
        <f t="shared" si="48"/>
        <v>0</v>
      </c>
      <c r="L83" s="305">
        <f t="shared" si="48"/>
        <v>0</v>
      </c>
      <c r="M83" s="305">
        <f t="shared" si="48"/>
        <v>0</v>
      </c>
      <c r="N83" s="305">
        <f t="shared" si="48"/>
        <v>0</v>
      </c>
      <c r="O83" s="305">
        <f t="shared" si="48"/>
        <v>0</v>
      </c>
      <c r="P83" s="305">
        <f t="shared" si="48"/>
        <v>0</v>
      </c>
      <c r="Q83" s="305">
        <f t="shared" si="48"/>
        <v>0</v>
      </c>
      <c r="R83" s="305">
        <f t="shared" si="48"/>
        <v>0</v>
      </c>
      <c r="S83" s="305">
        <f t="shared" si="48"/>
        <v>0</v>
      </c>
      <c r="T83" s="305">
        <f t="shared" si="48"/>
        <v>0</v>
      </c>
      <c r="U83" s="305">
        <f t="shared" si="48"/>
        <v>0</v>
      </c>
      <c r="V83" s="305">
        <f t="shared" si="48"/>
        <v>0</v>
      </c>
      <c r="W83" s="305">
        <f t="shared" si="48"/>
        <v>0</v>
      </c>
      <c r="X83" s="305">
        <f t="shared" si="48"/>
        <v>0</v>
      </c>
      <c r="Y83" s="305">
        <f t="shared" si="48"/>
        <v>0</v>
      </c>
      <c r="Z83" s="305">
        <f t="shared" si="48"/>
        <v>0</v>
      </c>
      <c r="AA83" s="305">
        <f t="shared" si="48"/>
        <v>0</v>
      </c>
      <c r="AB83" s="305">
        <f t="shared" si="48"/>
        <v>0</v>
      </c>
      <c r="AC83" s="305">
        <f t="shared" si="48"/>
        <v>0</v>
      </c>
      <c r="AD83" s="305">
        <f t="shared" si="48"/>
        <v>0</v>
      </c>
      <c r="AE83" s="305">
        <f t="shared" si="48"/>
        <v>0</v>
      </c>
      <c r="AF83" s="305">
        <f t="shared" si="48"/>
        <v>0</v>
      </c>
      <c r="AG83" s="305">
        <f t="shared" si="48"/>
        <v>0</v>
      </c>
      <c r="AH83" s="305">
        <f t="shared" si="48"/>
        <v>0</v>
      </c>
      <c r="AI83" s="305">
        <f t="shared" si="48"/>
        <v>0</v>
      </c>
      <c r="AJ83" s="305">
        <f t="shared" si="48"/>
        <v>0</v>
      </c>
      <c r="AK83" s="305">
        <f t="shared" si="48"/>
        <v>0</v>
      </c>
      <c r="AL83" s="305">
        <f t="shared" si="48"/>
        <v>0</v>
      </c>
      <c r="AM83" s="305">
        <f t="shared" si="48"/>
        <v>0</v>
      </c>
      <c r="AN83" s="305">
        <f t="shared" si="48"/>
        <v>0</v>
      </c>
      <c r="AO83" s="305">
        <f t="shared" si="48"/>
        <v>0</v>
      </c>
      <c r="AP83" s="305">
        <f t="shared" si="48"/>
        <v>0</v>
      </c>
      <c r="AQ83" s="305">
        <f t="shared" si="48"/>
        <v>0</v>
      </c>
      <c r="AR83" s="58">
        <f t="shared" si="48"/>
        <v>0</v>
      </c>
      <c r="AS83" s="305">
        <f t="shared" si="48"/>
        <v>0</v>
      </c>
      <c r="AT83" s="305">
        <f t="shared" si="48"/>
        <v>0</v>
      </c>
      <c r="AU83" s="305">
        <f t="shared" si="48"/>
        <v>0</v>
      </c>
      <c r="AV83" s="305">
        <f t="shared" si="48"/>
        <v>0</v>
      </c>
      <c r="AW83" s="305">
        <f t="shared" si="48"/>
        <v>0</v>
      </c>
      <c r="AX83" s="305">
        <f t="shared" si="48"/>
        <v>0</v>
      </c>
      <c r="AY83" s="305">
        <f t="shared" si="48"/>
        <v>0</v>
      </c>
      <c r="AZ83" s="305">
        <f t="shared" si="48"/>
        <v>0</v>
      </c>
      <c r="BA83" s="305">
        <f t="shared" si="48"/>
        <v>0</v>
      </c>
      <c r="BB83" s="305">
        <f t="shared" si="48"/>
        <v>0</v>
      </c>
      <c r="BC83" s="305">
        <f t="shared" si="48"/>
        <v>0</v>
      </c>
      <c r="BD83" s="305">
        <f t="shared" si="48"/>
        <v>0</v>
      </c>
      <c r="BE83" s="305">
        <f t="shared" si="48"/>
        <v>0</v>
      </c>
      <c r="BF83" s="305">
        <f t="shared" si="48"/>
        <v>0</v>
      </c>
      <c r="BG83" s="305">
        <f t="shared" si="48"/>
        <v>0</v>
      </c>
      <c r="BH83" s="305">
        <f t="shared" si="48"/>
        <v>0</v>
      </c>
      <c r="BI83" s="305">
        <f t="shared" si="48"/>
        <v>0</v>
      </c>
      <c r="BJ83" s="305">
        <f t="shared" si="48"/>
        <v>0</v>
      </c>
      <c r="BK83" s="305">
        <f t="shared" si="48"/>
        <v>0</v>
      </c>
      <c r="BL83" s="305">
        <f>IF($D73=0,0,BL79*(BL69-$D73)/BL69)</f>
        <v>0</v>
      </c>
      <c r="BM83" s="305">
        <f>IF($D73=0,0,BM79*(BM69-$D73)/BM69)</f>
        <v>0</v>
      </c>
      <c r="BN83" s="305">
        <f>IF($D73=0,0,BN79*(BN69-$D73)/BN69)</f>
        <v>0</v>
      </c>
      <c r="BO83" s="8">
        <f>IF(D83=0,0,BO80)</f>
        <v>0</v>
      </c>
      <c r="BP83" s="41"/>
      <c r="BQ83" s="41"/>
      <c r="BR83" s="41"/>
    </row>
    <row r="84" spans="1:70" ht="16.5">
      <c r="A84" s="41"/>
      <c r="B84" s="9">
        <f t="shared" si="46"/>
        <v>5</v>
      </c>
      <c r="C84" s="300" t="s">
        <v>57</v>
      </c>
      <c r="D84" s="8">
        <f>IF($D74=0,0,D79*(D69-$D74)/D69)</f>
        <v>0</v>
      </c>
      <c r="E84" s="305">
        <f t="shared" ref="E84:BK84" si="49">IF($D74=0,0,E79*(E69-$D74)/E69)</f>
        <v>0</v>
      </c>
      <c r="F84" s="305">
        <f t="shared" si="49"/>
        <v>0</v>
      </c>
      <c r="G84" s="305">
        <f t="shared" si="49"/>
        <v>0</v>
      </c>
      <c r="H84" s="305">
        <f t="shared" si="49"/>
        <v>0</v>
      </c>
      <c r="I84" s="305">
        <f t="shared" si="49"/>
        <v>0</v>
      </c>
      <c r="J84" s="305">
        <f t="shared" si="49"/>
        <v>0</v>
      </c>
      <c r="K84" s="305">
        <f t="shared" si="49"/>
        <v>0</v>
      </c>
      <c r="L84" s="305">
        <f t="shared" si="49"/>
        <v>0</v>
      </c>
      <c r="M84" s="305">
        <f t="shared" si="49"/>
        <v>0</v>
      </c>
      <c r="N84" s="305">
        <f t="shared" si="49"/>
        <v>0</v>
      </c>
      <c r="O84" s="305">
        <f t="shared" si="49"/>
        <v>0</v>
      </c>
      <c r="P84" s="305">
        <f t="shared" si="49"/>
        <v>0</v>
      </c>
      <c r="Q84" s="305">
        <f t="shared" si="49"/>
        <v>0</v>
      </c>
      <c r="R84" s="305">
        <f t="shared" si="49"/>
        <v>0</v>
      </c>
      <c r="S84" s="305">
        <f t="shared" si="49"/>
        <v>0</v>
      </c>
      <c r="T84" s="305">
        <f t="shared" si="49"/>
        <v>0</v>
      </c>
      <c r="U84" s="305">
        <f t="shared" si="49"/>
        <v>0</v>
      </c>
      <c r="V84" s="305">
        <f t="shared" si="49"/>
        <v>0</v>
      </c>
      <c r="W84" s="305">
        <f t="shared" si="49"/>
        <v>0</v>
      </c>
      <c r="X84" s="305">
        <f t="shared" si="49"/>
        <v>0</v>
      </c>
      <c r="Y84" s="305">
        <f t="shared" si="49"/>
        <v>0</v>
      </c>
      <c r="Z84" s="305">
        <f t="shared" si="49"/>
        <v>0</v>
      </c>
      <c r="AA84" s="305">
        <f t="shared" si="49"/>
        <v>0</v>
      </c>
      <c r="AB84" s="305">
        <f t="shared" si="49"/>
        <v>0</v>
      </c>
      <c r="AC84" s="305">
        <f t="shared" si="49"/>
        <v>0</v>
      </c>
      <c r="AD84" s="305">
        <f t="shared" si="49"/>
        <v>0</v>
      </c>
      <c r="AE84" s="305">
        <f t="shared" si="49"/>
        <v>0</v>
      </c>
      <c r="AF84" s="305">
        <f t="shared" si="49"/>
        <v>0</v>
      </c>
      <c r="AG84" s="305">
        <f t="shared" si="49"/>
        <v>0</v>
      </c>
      <c r="AH84" s="305">
        <f t="shared" si="49"/>
        <v>0</v>
      </c>
      <c r="AI84" s="305">
        <f t="shared" si="49"/>
        <v>0</v>
      </c>
      <c r="AJ84" s="305">
        <f t="shared" si="49"/>
        <v>0</v>
      </c>
      <c r="AK84" s="305">
        <f t="shared" si="49"/>
        <v>0</v>
      </c>
      <c r="AL84" s="305">
        <f t="shared" si="49"/>
        <v>0</v>
      </c>
      <c r="AM84" s="305">
        <f t="shared" si="49"/>
        <v>0</v>
      </c>
      <c r="AN84" s="305">
        <f t="shared" si="49"/>
        <v>0</v>
      </c>
      <c r="AO84" s="305">
        <f t="shared" si="49"/>
        <v>0</v>
      </c>
      <c r="AP84" s="305">
        <f t="shared" si="49"/>
        <v>0</v>
      </c>
      <c r="AQ84" s="305">
        <f t="shared" si="49"/>
        <v>0</v>
      </c>
      <c r="AR84" s="58">
        <f t="shared" si="49"/>
        <v>0</v>
      </c>
      <c r="AS84" s="305">
        <f t="shared" si="49"/>
        <v>0</v>
      </c>
      <c r="AT84" s="305">
        <f t="shared" si="49"/>
        <v>0</v>
      </c>
      <c r="AU84" s="305">
        <f t="shared" si="49"/>
        <v>0</v>
      </c>
      <c r="AV84" s="305">
        <f t="shared" si="49"/>
        <v>0</v>
      </c>
      <c r="AW84" s="305">
        <f t="shared" si="49"/>
        <v>0</v>
      </c>
      <c r="AX84" s="305">
        <f t="shared" si="49"/>
        <v>0</v>
      </c>
      <c r="AY84" s="305">
        <f t="shared" si="49"/>
        <v>0</v>
      </c>
      <c r="AZ84" s="305">
        <f t="shared" si="49"/>
        <v>0</v>
      </c>
      <c r="BA84" s="305">
        <f t="shared" si="49"/>
        <v>0</v>
      </c>
      <c r="BB84" s="305">
        <f t="shared" si="49"/>
        <v>0</v>
      </c>
      <c r="BC84" s="305">
        <f t="shared" si="49"/>
        <v>0</v>
      </c>
      <c r="BD84" s="305">
        <f t="shared" si="49"/>
        <v>0</v>
      </c>
      <c r="BE84" s="305">
        <f t="shared" si="49"/>
        <v>0</v>
      </c>
      <c r="BF84" s="305">
        <f t="shared" si="49"/>
        <v>0</v>
      </c>
      <c r="BG84" s="305">
        <f t="shared" si="49"/>
        <v>0</v>
      </c>
      <c r="BH84" s="305">
        <f t="shared" si="49"/>
        <v>0</v>
      </c>
      <c r="BI84" s="305">
        <f t="shared" si="49"/>
        <v>0</v>
      </c>
      <c r="BJ84" s="305">
        <f t="shared" si="49"/>
        <v>0</v>
      </c>
      <c r="BK84" s="305">
        <f t="shared" si="49"/>
        <v>0</v>
      </c>
      <c r="BL84" s="305">
        <f>IF($D74=0,0,BL79*(BL69-$D74)/BL69)</f>
        <v>0</v>
      </c>
      <c r="BM84" s="305">
        <f>IF($D74=0,0,BM79*(BM69-$D74)/BM69)</f>
        <v>0</v>
      </c>
      <c r="BN84" s="305">
        <f>IF($D74=0,0,BN79*(BN69-$D74)/BN69)</f>
        <v>0</v>
      </c>
      <c r="BO84" s="8">
        <f>IF(D84=0,0,BO80)</f>
        <v>0</v>
      </c>
      <c r="BP84" s="41"/>
      <c r="BQ84" s="41"/>
      <c r="BR84" s="41"/>
    </row>
    <row r="85" spans="1:70" ht="16.5">
      <c r="A85" s="41"/>
      <c r="B85" s="9">
        <f t="shared" si="46"/>
        <v>6</v>
      </c>
      <c r="C85" s="300" t="s">
        <v>57</v>
      </c>
      <c r="D85" s="8">
        <f>IF($D75=0,0,D79*(D69-$D75)/D69)</f>
        <v>0</v>
      </c>
      <c r="E85" s="305">
        <f t="shared" ref="E85:BK85" si="50">IF($D75=0,0,E79*(E69-$D75)/E69)</f>
        <v>0</v>
      </c>
      <c r="F85" s="306">
        <f t="shared" si="50"/>
        <v>0</v>
      </c>
      <c r="G85" s="306">
        <f t="shared" si="50"/>
        <v>0</v>
      </c>
      <c r="H85" s="306">
        <f t="shared" si="50"/>
        <v>0</v>
      </c>
      <c r="I85" s="305">
        <f t="shared" si="50"/>
        <v>0</v>
      </c>
      <c r="J85" s="305">
        <f t="shared" si="50"/>
        <v>0</v>
      </c>
      <c r="K85" s="305">
        <f t="shared" si="50"/>
        <v>0</v>
      </c>
      <c r="L85" s="305">
        <f t="shared" si="50"/>
        <v>0</v>
      </c>
      <c r="M85" s="305">
        <f t="shared" si="50"/>
        <v>0</v>
      </c>
      <c r="N85" s="305">
        <f t="shared" si="50"/>
        <v>0</v>
      </c>
      <c r="O85" s="305">
        <f t="shared" si="50"/>
        <v>0</v>
      </c>
      <c r="P85" s="305">
        <f t="shared" si="50"/>
        <v>0</v>
      </c>
      <c r="Q85" s="305">
        <f t="shared" si="50"/>
        <v>0</v>
      </c>
      <c r="R85" s="305">
        <f t="shared" si="50"/>
        <v>0</v>
      </c>
      <c r="S85" s="305">
        <f t="shared" si="50"/>
        <v>0</v>
      </c>
      <c r="T85" s="305">
        <f t="shared" si="50"/>
        <v>0</v>
      </c>
      <c r="U85" s="305">
        <f t="shared" si="50"/>
        <v>0</v>
      </c>
      <c r="V85" s="305">
        <f t="shared" si="50"/>
        <v>0</v>
      </c>
      <c r="W85" s="305">
        <f t="shared" si="50"/>
        <v>0</v>
      </c>
      <c r="X85" s="305">
        <f t="shared" si="50"/>
        <v>0</v>
      </c>
      <c r="Y85" s="305">
        <f t="shared" si="50"/>
        <v>0</v>
      </c>
      <c r="Z85" s="305">
        <f t="shared" si="50"/>
        <v>0</v>
      </c>
      <c r="AA85" s="305">
        <f t="shared" si="50"/>
        <v>0</v>
      </c>
      <c r="AB85" s="305">
        <f t="shared" si="50"/>
        <v>0</v>
      </c>
      <c r="AC85" s="305">
        <f t="shared" si="50"/>
        <v>0</v>
      </c>
      <c r="AD85" s="305">
        <f t="shared" si="50"/>
        <v>0</v>
      </c>
      <c r="AE85" s="305">
        <f t="shared" si="50"/>
        <v>0</v>
      </c>
      <c r="AF85" s="305">
        <f t="shared" si="50"/>
        <v>0</v>
      </c>
      <c r="AG85" s="305">
        <f t="shared" si="50"/>
        <v>0</v>
      </c>
      <c r="AH85" s="305">
        <f t="shared" si="50"/>
        <v>0</v>
      </c>
      <c r="AI85" s="305">
        <f t="shared" si="50"/>
        <v>0</v>
      </c>
      <c r="AJ85" s="305">
        <f t="shared" si="50"/>
        <v>0</v>
      </c>
      <c r="AK85" s="305">
        <f t="shared" si="50"/>
        <v>0</v>
      </c>
      <c r="AL85" s="305">
        <f t="shared" si="50"/>
        <v>0</v>
      </c>
      <c r="AM85" s="305">
        <f t="shared" si="50"/>
        <v>0</v>
      </c>
      <c r="AN85" s="305">
        <f t="shared" si="50"/>
        <v>0</v>
      </c>
      <c r="AO85" s="305">
        <f t="shared" si="50"/>
        <v>0</v>
      </c>
      <c r="AP85" s="305">
        <f t="shared" si="50"/>
        <v>0</v>
      </c>
      <c r="AQ85" s="305">
        <f t="shared" si="50"/>
        <v>0</v>
      </c>
      <c r="AR85" s="58">
        <f t="shared" si="50"/>
        <v>0</v>
      </c>
      <c r="AS85" s="305">
        <f t="shared" si="50"/>
        <v>0</v>
      </c>
      <c r="AT85" s="305">
        <f t="shared" si="50"/>
        <v>0</v>
      </c>
      <c r="AU85" s="305">
        <f t="shared" si="50"/>
        <v>0</v>
      </c>
      <c r="AV85" s="305">
        <f t="shared" si="50"/>
        <v>0</v>
      </c>
      <c r="AW85" s="305">
        <f t="shared" si="50"/>
        <v>0</v>
      </c>
      <c r="AX85" s="305">
        <f t="shared" si="50"/>
        <v>0</v>
      </c>
      <c r="AY85" s="305">
        <f t="shared" si="50"/>
        <v>0</v>
      </c>
      <c r="AZ85" s="305">
        <f t="shared" si="50"/>
        <v>0</v>
      </c>
      <c r="BA85" s="305">
        <f t="shared" si="50"/>
        <v>0</v>
      </c>
      <c r="BB85" s="305">
        <f t="shared" si="50"/>
        <v>0</v>
      </c>
      <c r="BC85" s="305">
        <f t="shared" si="50"/>
        <v>0</v>
      </c>
      <c r="BD85" s="305">
        <f t="shared" si="50"/>
        <v>0</v>
      </c>
      <c r="BE85" s="305">
        <f t="shared" si="50"/>
        <v>0</v>
      </c>
      <c r="BF85" s="305">
        <f t="shared" si="50"/>
        <v>0</v>
      </c>
      <c r="BG85" s="305">
        <f t="shared" si="50"/>
        <v>0</v>
      </c>
      <c r="BH85" s="305">
        <f t="shared" si="50"/>
        <v>0</v>
      </c>
      <c r="BI85" s="305">
        <f t="shared" si="50"/>
        <v>0</v>
      </c>
      <c r="BJ85" s="305">
        <f t="shared" si="50"/>
        <v>0</v>
      </c>
      <c r="BK85" s="305">
        <f t="shared" si="50"/>
        <v>0</v>
      </c>
      <c r="BL85" s="305">
        <f>IF($D75=0,0,BL79*(BL69-$D75)/BL69)</f>
        <v>0</v>
      </c>
      <c r="BM85" s="305">
        <f>IF($D75=0,0,BM79*(BM69-$D75)/BM69)</f>
        <v>0</v>
      </c>
      <c r="BN85" s="305">
        <f>IF($D75=0,0,BN79*(BN69-$D75)/BN69)</f>
        <v>0</v>
      </c>
      <c r="BO85" s="8">
        <f>IF(D85=0,0,BO80)</f>
        <v>0</v>
      </c>
      <c r="BP85" s="41"/>
      <c r="BQ85" s="41"/>
      <c r="BR85" s="41"/>
    </row>
    <row r="86" spans="1:70" ht="16.5">
      <c r="A86" s="41"/>
      <c r="B86" s="9">
        <f t="shared" si="46"/>
        <v>7</v>
      </c>
      <c r="C86" s="300" t="s">
        <v>57</v>
      </c>
      <c r="D86" s="8">
        <f>IF($D76=0,0,D79*(D69-$D76)/D69)</f>
        <v>0</v>
      </c>
      <c r="E86" s="305">
        <f t="shared" ref="E86:BK86" si="51">IF($D76=0,0,E79*(E69-$D76)/E69)</f>
        <v>0</v>
      </c>
      <c r="F86" s="306">
        <f t="shared" si="51"/>
        <v>0</v>
      </c>
      <c r="G86" s="306">
        <f t="shared" si="51"/>
        <v>0</v>
      </c>
      <c r="H86" s="306">
        <f t="shared" si="51"/>
        <v>0</v>
      </c>
      <c r="I86" s="305">
        <f t="shared" si="51"/>
        <v>0</v>
      </c>
      <c r="J86" s="305">
        <f t="shared" si="51"/>
        <v>0</v>
      </c>
      <c r="K86" s="305">
        <f t="shared" si="51"/>
        <v>0</v>
      </c>
      <c r="L86" s="305">
        <f t="shared" si="51"/>
        <v>0</v>
      </c>
      <c r="M86" s="305">
        <f t="shared" si="51"/>
        <v>0</v>
      </c>
      <c r="N86" s="305">
        <f t="shared" si="51"/>
        <v>0</v>
      </c>
      <c r="O86" s="305">
        <f t="shared" si="51"/>
        <v>0</v>
      </c>
      <c r="P86" s="305">
        <f t="shared" si="51"/>
        <v>0</v>
      </c>
      <c r="Q86" s="305">
        <f t="shared" si="51"/>
        <v>0</v>
      </c>
      <c r="R86" s="305">
        <f t="shared" si="51"/>
        <v>0</v>
      </c>
      <c r="S86" s="305">
        <f t="shared" si="51"/>
        <v>0</v>
      </c>
      <c r="T86" s="305">
        <f t="shared" si="51"/>
        <v>0</v>
      </c>
      <c r="U86" s="305">
        <f t="shared" si="51"/>
        <v>0</v>
      </c>
      <c r="V86" s="305">
        <f t="shared" si="51"/>
        <v>0</v>
      </c>
      <c r="W86" s="305">
        <f t="shared" si="51"/>
        <v>0</v>
      </c>
      <c r="X86" s="305">
        <f t="shared" si="51"/>
        <v>0</v>
      </c>
      <c r="Y86" s="305">
        <f t="shared" si="51"/>
        <v>0</v>
      </c>
      <c r="Z86" s="305">
        <f t="shared" si="51"/>
        <v>0</v>
      </c>
      <c r="AA86" s="305">
        <f t="shared" si="51"/>
        <v>0</v>
      </c>
      <c r="AB86" s="305">
        <f t="shared" si="51"/>
        <v>0</v>
      </c>
      <c r="AC86" s="305">
        <f t="shared" si="51"/>
        <v>0</v>
      </c>
      <c r="AD86" s="305">
        <f t="shared" si="51"/>
        <v>0</v>
      </c>
      <c r="AE86" s="305">
        <f t="shared" si="51"/>
        <v>0</v>
      </c>
      <c r="AF86" s="305">
        <f t="shared" si="51"/>
        <v>0</v>
      </c>
      <c r="AG86" s="305">
        <f t="shared" si="51"/>
        <v>0</v>
      </c>
      <c r="AH86" s="305">
        <f t="shared" si="51"/>
        <v>0</v>
      </c>
      <c r="AI86" s="305">
        <f t="shared" si="51"/>
        <v>0</v>
      </c>
      <c r="AJ86" s="305">
        <f t="shared" si="51"/>
        <v>0</v>
      </c>
      <c r="AK86" s="305">
        <f t="shared" si="51"/>
        <v>0</v>
      </c>
      <c r="AL86" s="305">
        <f t="shared" si="51"/>
        <v>0</v>
      </c>
      <c r="AM86" s="305">
        <f t="shared" si="51"/>
        <v>0</v>
      </c>
      <c r="AN86" s="305">
        <f t="shared" si="51"/>
        <v>0</v>
      </c>
      <c r="AO86" s="305">
        <f t="shared" si="51"/>
        <v>0</v>
      </c>
      <c r="AP86" s="305">
        <f t="shared" si="51"/>
        <v>0</v>
      </c>
      <c r="AQ86" s="305">
        <f t="shared" si="51"/>
        <v>0</v>
      </c>
      <c r="AR86" s="58">
        <f t="shared" si="51"/>
        <v>0</v>
      </c>
      <c r="AS86" s="305">
        <f t="shared" si="51"/>
        <v>0</v>
      </c>
      <c r="AT86" s="305">
        <f t="shared" si="51"/>
        <v>0</v>
      </c>
      <c r="AU86" s="305">
        <f t="shared" si="51"/>
        <v>0</v>
      </c>
      <c r="AV86" s="305">
        <f t="shared" si="51"/>
        <v>0</v>
      </c>
      <c r="AW86" s="305">
        <f t="shared" si="51"/>
        <v>0</v>
      </c>
      <c r="AX86" s="305">
        <f t="shared" si="51"/>
        <v>0</v>
      </c>
      <c r="AY86" s="305">
        <f t="shared" si="51"/>
        <v>0</v>
      </c>
      <c r="AZ86" s="305">
        <f t="shared" si="51"/>
        <v>0</v>
      </c>
      <c r="BA86" s="305">
        <f t="shared" si="51"/>
        <v>0</v>
      </c>
      <c r="BB86" s="305">
        <f t="shared" si="51"/>
        <v>0</v>
      </c>
      <c r="BC86" s="305">
        <f t="shared" si="51"/>
        <v>0</v>
      </c>
      <c r="BD86" s="305">
        <f t="shared" si="51"/>
        <v>0</v>
      </c>
      <c r="BE86" s="305">
        <f t="shared" si="51"/>
        <v>0</v>
      </c>
      <c r="BF86" s="305">
        <f t="shared" si="51"/>
        <v>0</v>
      </c>
      <c r="BG86" s="305">
        <f t="shared" si="51"/>
        <v>0</v>
      </c>
      <c r="BH86" s="305">
        <f t="shared" si="51"/>
        <v>0</v>
      </c>
      <c r="BI86" s="305">
        <f t="shared" si="51"/>
        <v>0</v>
      </c>
      <c r="BJ86" s="305">
        <f t="shared" si="51"/>
        <v>0</v>
      </c>
      <c r="BK86" s="305">
        <f t="shared" si="51"/>
        <v>0</v>
      </c>
      <c r="BL86" s="305">
        <f>IF($D76=0,0,BL79*(BL69-$D76)/BL69)</f>
        <v>0</v>
      </c>
      <c r="BM86" s="305">
        <f>IF($D76=0,0,BM79*(BM69-$D76)/BM69)</f>
        <v>0</v>
      </c>
      <c r="BN86" s="305">
        <f>IF($D76=0,0,BN79*(BN69-$D76)/BN69)</f>
        <v>0</v>
      </c>
      <c r="BO86" s="8">
        <f>IF(D86=0,0,BO80)</f>
        <v>0</v>
      </c>
      <c r="BP86" s="41"/>
      <c r="BQ86" s="41"/>
      <c r="BR86" s="41"/>
    </row>
    <row r="87" spans="1:70" ht="16.5">
      <c r="A87" s="41"/>
      <c r="B87" s="9">
        <f t="shared" si="46"/>
        <v>8</v>
      </c>
      <c r="C87" s="300" t="s">
        <v>57</v>
      </c>
      <c r="D87" s="8">
        <f>IF($D77=0,0,D79*(D69-$D77)/D69)</f>
        <v>0</v>
      </c>
      <c r="E87" s="305">
        <f t="shared" ref="E87:BK87" si="52">IF($D77=0,0,E79*(E69-$D77)/E69)</f>
        <v>0</v>
      </c>
      <c r="F87" s="306">
        <f t="shared" si="52"/>
        <v>0</v>
      </c>
      <c r="G87" s="306">
        <f t="shared" si="52"/>
        <v>0</v>
      </c>
      <c r="H87" s="306">
        <f t="shared" si="52"/>
        <v>0</v>
      </c>
      <c r="I87" s="305">
        <f t="shared" si="52"/>
        <v>0</v>
      </c>
      <c r="J87" s="305">
        <f t="shared" si="52"/>
        <v>0</v>
      </c>
      <c r="K87" s="305">
        <f t="shared" si="52"/>
        <v>0</v>
      </c>
      <c r="L87" s="305">
        <f t="shared" si="52"/>
        <v>0</v>
      </c>
      <c r="M87" s="305">
        <f t="shared" si="52"/>
        <v>0</v>
      </c>
      <c r="N87" s="305">
        <f t="shared" si="52"/>
        <v>0</v>
      </c>
      <c r="O87" s="305">
        <f t="shared" si="52"/>
        <v>0</v>
      </c>
      <c r="P87" s="305">
        <f t="shared" si="52"/>
        <v>0</v>
      </c>
      <c r="Q87" s="305">
        <f t="shared" si="52"/>
        <v>0</v>
      </c>
      <c r="R87" s="305">
        <f t="shared" si="52"/>
        <v>0</v>
      </c>
      <c r="S87" s="305">
        <f t="shared" si="52"/>
        <v>0</v>
      </c>
      <c r="T87" s="305">
        <f t="shared" si="52"/>
        <v>0</v>
      </c>
      <c r="U87" s="305">
        <f t="shared" si="52"/>
        <v>0</v>
      </c>
      <c r="V87" s="305">
        <f t="shared" si="52"/>
        <v>0</v>
      </c>
      <c r="W87" s="305">
        <f t="shared" si="52"/>
        <v>0</v>
      </c>
      <c r="X87" s="305">
        <f t="shared" si="52"/>
        <v>0</v>
      </c>
      <c r="Y87" s="305">
        <f t="shared" si="52"/>
        <v>0</v>
      </c>
      <c r="Z87" s="305">
        <f t="shared" si="52"/>
        <v>0</v>
      </c>
      <c r="AA87" s="305">
        <f t="shared" si="52"/>
        <v>0</v>
      </c>
      <c r="AB87" s="305">
        <f t="shared" si="52"/>
        <v>0</v>
      </c>
      <c r="AC87" s="305">
        <f t="shared" si="52"/>
        <v>0</v>
      </c>
      <c r="AD87" s="305">
        <f t="shared" si="52"/>
        <v>0</v>
      </c>
      <c r="AE87" s="305">
        <f t="shared" si="52"/>
        <v>0</v>
      </c>
      <c r="AF87" s="305">
        <f t="shared" si="52"/>
        <v>0</v>
      </c>
      <c r="AG87" s="305">
        <f t="shared" si="52"/>
        <v>0</v>
      </c>
      <c r="AH87" s="305">
        <f t="shared" si="52"/>
        <v>0</v>
      </c>
      <c r="AI87" s="305">
        <f t="shared" si="52"/>
        <v>0</v>
      </c>
      <c r="AJ87" s="305">
        <f t="shared" si="52"/>
        <v>0</v>
      </c>
      <c r="AK87" s="305">
        <f t="shared" si="52"/>
        <v>0</v>
      </c>
      <c r="AL87" s="305">
        <f t="shared" si="52"/>
        <v>0</v>
      </c>
      <c r="AM87" s="305">
        <f t="shared" si="52"/>
        <v>0</v>
      </c>
      <c r="AN87" s="305">
        <f t="shared" si="52"/>
        <v>0</v>
      </c>
      <c r="AO87" s="305">
        <f t="shared" si="52"/>
        <v>0</v>
      </c>
      <c r="AP87" s="305">
        <f t="shared" si="52"/>
        <v>0</v>
      </c>
      <c r="AQ87" s="305">
        <f t="shared" si="52"/>
        <v>0</v>
      </c>
      <c r="AR87" s="58">
        <f t="shared" si="52"/>
        <v>0</v>
      </c>
      <c r="AS87" s="305">
        <f t="shared" si="52"/>
        <v>0</v>
      </c>
      <c r="AT87" s="305">
        <f t="shared" si="52"/>
        <v>0</v>
      </c>
      <c r="AU87" s="305">
        <f t="shared" si="52"/>
        <v>0</v>
      </c>
      <c r="AV87" s="305">
        <f t="shared" si="52"/>
        <v>0</v>
      </c>
      <c r="AW87" s="305">
        <f t="shared" si="52"/>
        <v>0</v>
      </c>
      <c r="AX87" s="305">
        <f t="shared" si="52"/>
        <v>0</v>
      </c>
      <c r="AY87" s="305">
        <f t="shared" si="52"/>
        <v>0</v>
      </c>
      <c r="AZ87" s="305">
        <f t="shared" si="52"/>
        <v>0</v>
      </c>
      <c r="BA87" s="305">
        <f t="shared" si="52"/>
        <v>0</v>
      </c>
      <c r="BB87" s="305">
        <f t="shared" si="52"/>
        <v>0</v>
      </c>
      <c r="BC87" s="305">
        <f t="shared" si="52"/>
        <v>0</v>
      </c>
      <c r="BD87" s="305">
        <f t="shared" si="52"/>
        <v>0</v>
      </c>
      <c r="BE87" s="305">
        <f t="shared" si="52"/>
        <v>0</v>
      </c>
      <c r="BF87" s="305">
        <f t="shared" si="52"/>
        <v>0</v>
      </c>
      <c r="BG87" s="305">
        <f t="shared" si="52"/>
        <v>0</v>
      </c>
      <c r="BH87" s="305">
        <f t="shared" si="52"/>
        <v>0</v>
      </c>
      <c r="BI87" s="305">
        <f t="shared" si="52"/>
        <v>0</v>
      </c>
      <c r="BJ87" s="305">
        <f t="shared" si="52"/>
        <v>0</v>
      </c>
      <c r="BK87" s="305">
        <f t="shared" si="52"/>
        <v>0</v>
      </c>
      <c r="BL87" s="305">
        <f>IF($D77=0,0,BL79*(BL69-$D77)/BL69)</f>
        <v>0</v>
      </c>
      <c r="BM87" s="305">
        <f>IF($D77=0,0,BM79*(BM69-$D77)/BM69)</f>
        <v>0</v>
      </c>
      <c r="BN87" s="305">
        <f>IF($D77=0,0,BN79*(BN69-$D77)/BN69)</f>
        <v>0</v>
      </c>
      <c r="BO87" s="8">
        <f>IF(D87=0,0,BO80)</f>
        <v>0</v>
      </c>
      <c r="BP87" s="41"/>
      <c r="BQ87" s="41"/>
      <c r="BR87" s="41"/>
    </row>
    <row r="88" spans="1:70" ht="16.5">
      <c r="A88" s="41"/>
      <c r="B88" s="9">
        <f t="shared" si="46"/>
        <v>9</v>
      </c>
      <c r="C88" s="300" t="s">
        <v>57</v>
      </c>
      <c r="D88" s="8">
        <f>IF($D78=0,0,D79*(D69-$D78)/D69)</f>
        <v>0</v>
      </c>
      <c r="E88" s="305">
        <f t="shared" ref="E88:BK88" si="53">IF($D78=0,0,E79*(E69-$D78)/E69)</f>
        <v>0</v>
      </c>
      <c r="F88" s="306">
        <f t="shared" si="53"/>
        <v>0</v>
      </c>
      <c r="G88" s="306">
        <f t="shared" si="53"/>
        <v>0</v>
      </c>
      <c r="H88" s="306">
        <f t="shared" si="53"/>
        <v>0</v>
      </c>
      <c r="I88" s="305">
        <f t="shared" si="53"/>
        <v>0</v>
      </c>
      <c r="J88" s="305">
        <f t="shared" si="53"/>
        <v>0</v>
      </c>
      <c r="K88" s="305">
        <f t="shared" si="53"/>
        <v>0</v>
      </c>
      <c r="L88" s="305">
        <f t="shared" si="53"/>
        <v>0</v>
      </c>
      <c r="M88" s="305">
        <f t="shared" si="53"/>
        <v>0</v>
      </c>
      <c r="N88" s="305">
        <f t="shared" si="53"/>
        <v>0</v>
      </c>
      <c r="O88" s="305">
        <f t="shared" si="53"/>
        <v>0</v>
      </c>
      <c r="P88" s="305">
        <f t="shared" si="53"/>
        <v>0</v>
      </c>
      <c r="Q88" s="305">
        <f t="shared" si="53"/>
        <v>0</v>
      </c>
      <c r="R88" s="305">
        <f t="shared" si="53"/>
        <v>0</v>
      </c>
      <c r="S88" s="305">
        <f t="shared" si="53"/>
        <v>0</v>
      </c>
      <c r="T88" s="305">
        <f t="shared" si="53"/>
        <v>0</v>
      </c>
      <c r="U88" s="305">
        <f t="shared" si="53"/>
        <v>0</v>
      </c>
      <c r="V88" s="305">
        <f t="shared" si="53"/>
        <v>0</v>
      </c>
      <c r="W88" s="305">
        <f t="shared" si="53"/>
        <v>0</v>
      </c>
      <c r="X88" s="305">
        <f t="shared" si="53"/>
        <v>0</v>
      </c>
      <c r="Y88" s="305">
        <f t="shared" si="53"/>
        <v>0</v>
      </c>
      <c r="Z88" s="305">
        <f t="shared" si="53"/>
        <v>0</v>
      </c>
      <c r="AA88" s="305">
        <f t="shared" si="53"/>
        <v>0</v>
      </c>
      <c r="AB88" s="305">
        <f t="shared" si="53"/>
        <v>0</v>
      </c>
      <c r="AC88" s="305">
        <f t="shared" si="53"/>
        <v>0</v>
      </c>
      <c r="AD88" s="305">
        <f t="shared" si="53"/>
        <v>0</v>
      </c>
      <c r="AE88" s="305">
        <f t="shared" si="53"/>
        <v>0</v>
      </c>
      <c r="AF88" s="305">
        <f t="shared" si="53"/>
        <v>0</v>
      </c>
      <c r="AG88" s="305">
        <f t="shared" si="53"/>
        <v>0</v>
      </c>
      <c r="AH88" s="305">
        <f t="shared" si="53"/>
        <v>0</v>
      </c>
      <c r="AI88" s="305">
        <f t="shared" si="53"/>
        <v>0</v>
      </c>
      <c r="AJ88" s="305">
        <f t="shared" si="53"/>
        <v>0</v>
      </c>
      <c r="AK88" s="305">
        <f t="shared" si="53"/>
        <v>0</v>
      </c>
      <c r="AL88" s="305">
        <f t="shared" si="53"/>
        <v>0</v>
      </c>
      <c r="AM88" s="305">
        <f t="shared" si="53"/>
        <v>0</v>
      </c>
      <c r="AN88" s="305">
        <f t="shared" si="53"/>
        <v>0</v>
      </c>
      <c r="AO88" s="305">
        <f t="shared" si="53"/>
        <v>0</v>
      </c>
      <c r="AP88" s="305">
        <f t="shared" si="53"/>
        <v>0</v>
      </c>
      <c r="AQ88" s="305">
        <f t="shared" si="53"/>
        <v>0</v>
      </c>
      <c r="AR88" s="58">
        <f t="shared" si="53"/>
        <v>0</v>
      </c>
      <c r="AS88" s="305">
        <f t="shared" si="53"/>
        <v>0</v>
      </c>
      <c r="AT88" s="305">
        <f t="shared" si="53"/>
        <v>0</v>
      </c>
      <c r="AU88" s="305">
        <f t="shared" si="53"/>
        <v>0</v>
      </c>
      <c r="AV88" s="305">
        <f t="shared" si="53"/>
        <v>0</v>
      </c>
      <c r="AW88" s="305">
        <f t="shared" si="53"/>
        <v>0</v>
      </c>
      <c r="AX88" s="305">
        <f t="shared" si="53"/>
        <v>0</v>
      </c>
      <c r="AY88" s="305">
        <f t="shared" si="53"/>
        <v>0</v>
      </c>
      <c r="AZ88" s="305">
        <f t="shared" si="53"/>
        <v>0</v>
      </c>
      <c r="BA88" s="305">
        <f t="shared" si="53"/>
        <v>0</v>
      </c>
      <c r="BB88" s="305">
        <f t="shared" si="53"/>
        <v>0</v>
      </c>
      <c r="BC88" s="305">
        <f t="shared" si="53"/>
        <v>0</v>
      </c>
      <c r="BD88" s="305">
        <f t="shared" si="53"/>
        <v>0</v>
      </c>
      <c r="BE88" s="305">
        <f t="shared" si="53"/>
        <v>0</v>
      </c>
      <c r="BF88" s="305">
        <f t="shared" si="53"/>
        <v>0</v>
      </c>
      <c r="BG88" s="305">
        <f t="shared" si="53"/>
        <v>0</v>
      </c>
      <c r="BH88" s="305">
        <f t="shared" si="53"/>
        <v>0</v>
      </c>
      <c r="BI88" s="305">
        <f t="shared" si="53"/>
        <v>0</v>
      </c>
      <c r="BJ88" s="305">
        <f t="shared" si="53"/>
        <v>0</v>
      </c>
      <c r="BK88" s="305">
        <f t="shared" si="53"/>
        <v>0</v>
      </c>
      <c r="BL88" s="305">
        <f>IF($D78=0,0,BL79*(BL69-$D78)/BL69)</f>
        <v>0</v>
      </c>
      <c r="BM88" s="305">
        <f>IF($D78=0,0,BM79*(BM69-$D78)/BM69)</f>
        <v>0</v>
      </c>
      <c r="BN88" s="305">
        <f>IF($D78=0,0,BN79*(BN69-$D78)/BN69)</f>
        <v>0</v>
      </c>
      <c r="BO88" s="8">
        <f>IF(D88=0,0,BO80)</f>
        <v>0</v>
      </c>
      <c r="BP88" s="41"/>
      <c r="BQ88" s="41"/>
      <c r="BR88" s="41"/>
    </row>
    <row r="89" spans="1:70" ht="16.5">
      <c r="A89" s="41"/>
      <c r="B89" s="292" t="s">
        <v>119</v>
      </c>
      <c r="C89" s="300" t="s">
        <v>58</v>
      </c>
      <c r="D89" s="8">
        <f>D79*(D69-$F66)/D69</f>
        <v>-6.2664505866526346E-2</v>
      </c>
      <c r="E89" s="10">
        <f t="shared" ref="E89:BK89" si="54">E79*(E69-$F66)/E69</f>
        <v>-4.8740796144108978E-2</v>
      </c>
      <c r="F89" s="32">
        <f t="shared" si="54"/>
        <v>-3.9658490141539361E-2</v>
      </c>
      <c r="G89" s="32">
        <f t="shared" si="54"/>
        <v>-3.3266468206041504E-2</v>
      </c>
      <c r="H89" s="32">
        <f t="shared" si="54"/>
        <v>-2.8523589446313988E-2</v>
      </c>
      <c r="I89" s="10">
        <f t="shared" si="54"/>
        <v>-2.4864558088378893E-2</v>
      </c>
      <c r="J89" s="10">
        <f t="shared" si="54"/>
        <v>-2.1955948654427477E-2</v>
      </c>
      <c r="K89" s="10">
        <f t="shared" si="54"/>
        <v>-1.9588378680788509E-2</v>
      </c>
      <c r="L89" s="10">
        <f t="shared" si="54"/>
        <v>-1.7623733129111217E-2</v>
      </c>
      <c r="M89" s="10">
        <f t="shared" si="54"/>
        <v>-1.5967220608233735E-2</v>
      </c>
      <c r="N89" s="10">
        <f t="shared" si="54"/>
        <v>-1.455162153262678E-2</v>
      </c>
      <c r="O89" s="10">
        <f t="shared" si="54"/>
        <v>-1.3327942970934901E-2</v>
      </c>
      <c r="P89" s="10">
        <f t="shared" si="54"/>
        <v>-1.2259633115827845E-2</v>
      </c>
      <c r="Q89" s="10">
        <f t="shared" si="54"/>
        <v>-1.1318867943690187E-2</v>
      </c>
      <c r="R89" s="10">
        <f t="shared" si="54"/>
        <v>-1.0484092951408893E-2</v>
      </c>
      <c r="S89" s="10">
        <f t="shared" si="54"/>
        <v>-9.7383514563893648E-3</v>
      </c>
      <c r="T89" s="10">
        <f t="shared" si="54"/>
        <v>-9.0681207051486051E-3</v>
      </c>
      <c r="U89" s="10">
        <f t="shared" si="54"/>
        <v>-8.4624844975073089E-3</v>
      </c>
      <c r="V89" s="10">
        <f t="shared" si="54"/>
        <v>-7.9125340321237938E-3</v>
      </c>
      <c r="W89" s="10">
        <f t="shared" si="54"/>
        <v>-7.4109267573778375E-3</v>
      </c>
      <c r="X89" s="10">
        <f t="shared" si="54"/>
        <v>-6.9515566613923829E-3</v>
      </c>
      <c r="Y89" s="10">
        <f t="shared" si="54"/>
        <v>-6.5293044855117598E-3</v>
      </c>
      <c r="Z89" s="10">
        <f t="shared" si="54"/>
        <v>-6.1398461361006186E-3</v>
      </c>
      <c r="AA89" s="10">
        <f t="shared" si="54"/>
        <v>-5.7795040662956577E-3</v>
      </c>
      <c r="AB89" s="10">
        <f t="shared" si="54"/>
        <v>-5.4451307891969477E-3</v>
      </c>
      <c r="AC89" s="10">
        <f t="shared" si="54"/>
        <v>-5.1340166997171748E-3</v>
      </c>
      <c r="AD89" s="10">
        <f t="shared" si="54"/>
        <v>-4.8438164857758084E-3</v>
      </c>
      <c r="AE89" s="10">
        <f t="shared" si="54"/>
        <v>-4.5724898973830809E-3</v>
      </c>
      <c r="AF89" s="10">
        <f t="shared" si="54"/>
        <v>-4.318253708287278E-3</v>
      </c>
      <c r="AG89" s="10">
        <f t="shared" si="54"/>
        <v>-4.0795424780227544E-3</v>
      </c>
      <c r="AH89" s="10">
        <f t="shared" si="54"/>
        <v>-3.8549762891947996E-3</v>
      </c>
      <c r="AI89" s="10">
        <f t="shared" si="54"/>
        <v>-3.6433340549957504E-3</v>
      </c>
      <c r="AJ89" s="10">
        <f t="shared" si="54"/>
        <v>-3.4435313063365834E-3</v>
      </c>
      <c r="AK89" s="10">
        <f t="shared" si="54"/>
        <v>-3.2546016053787447E-3</v>
      </c>
      <c r="AL89" s="10">
        <f t="shared" si="54"/>
        <v>-3.0756809130555174E-3</v>
      </c>
      <c r="AM89" s="10">
        <f t="shared" si="54"/>
        <v>-2.9059943769856079E-3</v>
      </c>
      <c r="AN89" s="10">
        <f t="shared" si="54"/>
        <v>-2.7448451135670608E-3</v>
      </c>
      <c r="AO89" s="10">
        <f t="shared" si="54"/>
        <v>-2.5916046417091454E-3</v>
      </c>
      <c r="AP89" s="10">
        <f t="shared" si="54"/>
        <v>-2.4457046912936841E-3</v>
      </c>
      <c r="AQ89" s="10">
        <f t="shared" si="54"/>
        <v>-2.3066301612741009E-3</v>
      </c>
      <c r="AR89" s="58">
        <f t="shared" si="54"/>
        <v>-2.1739130434782605E-3</v>
      </c>
      <c r="AS89" s="10">
        <f t="shared" si="54"/>
        <v>-1.8575677798464043E-3</v>
      </c>
      <c r="AT89" s="10">
        <f t="shared" si="54"/>
        <v>-1.5746348736427832E-3</v>
      </c>
      <c r="AU89" s="10">
        <f t="shared" si="54"/>
        <v>-1.3200863375043257E-3</v>
      </c>
      <c r="AV89" s="10">
        <f t="shared" si="54"/>
        <v>-1.0898548316753548E-3</v>
      </c>
      <c r="AW89" s="10">
        <f t="shared" si="54"/>
        <v>-8.8061469625933615E-4</v>
      </c>
      <c r="AX89" s="10">
        <f t="shared" si="54"/>
        <v>-6.896202653226555E-4</v>
      </c>
      <c r="AY89" s="10">
        <f t="shared" si="54"/>
        <v>-5.145847108488892E-4</v>
      </c>
      <c r="AZ89" s="10">
        <f t="shared" si="54"/>
        <v>-3.5358803897886864E-4</v>
      </c>
      <c r="BA89" s="10">
        <f t="shared" si="54"/>
        <v>-2.0500637042335438E-4</v>
      </c>
      <c r="BB89" s="10">
        <f t="shared" si="54"/>
        <v>-6.7456973782336924E-5</v>
      </c>
      <c r="BC89" s="10">
        <f t="shared" si="54"/>
        <v>6.0244895502812238E-5</v>
      </c>
      <c r="BD89" s="10">
        <f t="shared" si="54"/>
        <v>1.7796905388000898E-4</v>
      </c>
      <c r="BE89" s="10">
        <f t="shared" si="54"/>
        <v>2.7898961732755084E-4</v>
      </c>
      <c r="BF89" s="10">
        <f t="shared" si="54"/>
        <v>3.678107306315682E-4</v>
      </c>
      <c r="BG89" s="10">
        <f t="shared" si="54"/>
        <v>4.4651640494244426E-4</v>
      </c>
      <c r="BH89" s="10">
        <f t="shared" si="54"/>
        <v>5.1674154724034975E-4</v>
      </c>
      <c r="BI89" s="10">
        <f t="shared" si="54"/>
        <v>5.7978675324367359E-4</v>
      </c>
      <c r="BJ89" s="10">
        <f t="shared" si="54"/>
        <v>6.3669960287643151E-4</v>
      </c>
      <c r="BK89" s="10">
        <f t="shared" si="54"/>
        <v>6.8833333333333333E-4</v>
      </c>
      <c r="BL89" s="10">
        <f>BL79*(BL69-$F66)/BL69</f>
        <v>1.1528125E-3</v>
      </c>
      <c r="BM89" s="10">
        <f>BM79*(BM69-$F66)/BM69</f>
        <v>1.3345652173913042E-3</v>
      </c>
      <c r="BN89" s="10">
        <f>BN79*(BN69-$F66)/BN69</f>
        <v>1.4314999999999998E-3</v>
      </c>
      <c r="BO89" s="8">
        <f>BO80</f>
        <v>1.75E-3</v>
      </c>
      <c r="BP89" s="41"/>
      <c r="BQ89" s="41"/>
      <c r="BR89" s="41"/>
    </row>
    <row r="90" spans="1:70" ht="16.5">
      <c r="A90" s="41"/>
      <c r="B90" s="293" t="s">
        <v>59</v>
      </c>
      <c r="C90" s="301" t="s">
        <v>60</v>
      </c>
      <c r="D90" s="12">
        <f t="shared" ref="D90:BJ90" si="55">IF(D80&lt;0,MAX(-$C$10,200000*D80),MIN(200000*D80,$C$10)-IF(AND($C66&lt;$C$8*D69,$C66&gt;0),$C$9,0))</f>
        <v>76.460154137448029</v>
      </c>
      <c r="E90" s="307">
        <f t="shared" si="55"/>
        <v>185.01169427890315</v>
      </c>
      <c r="F90" s="307">
        <f t="shared" si="55"/>
        <v>270.6041068685646</v>
      </c>
      <c r="G90" s="307">
        <f t="shared" si="55"/>
        <v>330.84305704603116</v>
      </c>
      <c r="H90" s="307">
        <f t="shared" si="55"/>
        <v>375.54034378691875</v>
      </c>
      <c r="I90" s="307">
        <f t="shared" si="55"/>
        <v>410.02336181981502</v>
      </c>
      <c r="J90" s="307">
        <f t="shared" si="55"/>
        <v>412.1159420289855</v>
      </c>
      <c r="K90" s="307">
        <f t="shared" si="55"/>
        <v>412.1159420289855</v>
      </c>
      <c r="L90" s="307">
        <f t="shared" si="55"/>
        <v>412.1159420289855</v>
      </c>
      <c r="M90" s="307">
        <f t="shared" si="55"/>
        <v>412.1159420289855</v>
      </c>
      <c r="N90" s="307">
        <f t="shared" si="55"/>
        <v>412.1159420289855</v>
      </c>
      <c r="O90" s="307">
        <f t="shared" si="55"/>
        <v>412.1159420289855</v>
      </c>
      <c r="P90" s="307">
        <f t="shared" si="55"/>
        <v>412.1159420289855</v>
      </c>
      <c r="Q90" s="307">
        <f t="shared" si="55"/>
        <v>412.1159420289855</v>
      </c>
      <c r="R90" s="307">
        <f t="shared" si="55"/>
        <v>412.1159420289855</v>
      </c>
      <c r="S90" s="307">
        <f t="shared" si="55"/>
        <v>412.1159420289855</v>
      </c>
      <c r="T90" s="307">
        <f t="shared" si="55"/>
        <v>412.1159420289855</v>
      </c>
      <c r="U90" s="307">
        <f t="shared" si="55"/>
        <v>412.1159420289855</v>
      </c>
      <c r="V90" s="307">
        <f t="shared" si="55"/>
        <v>412.1159420289855</v>
      </c>
      <c r="W90" s="307">
        <f t="shared" si="55"/>
        <v>412.1159420289855</v>
      </c>
      <c r="X90" s="307">
        <f t="shared" si="55"/>
        <v>412.1159420289855</v>
      </c>
      <c r="Y90" s="307">
        <f t="shared" si="55"/>
        <v>412.1159420289855</v>
      </c>
      <c r="Z90" s="307">
        <f t="shared" si="55"/>
        <v>412.1159420289855</v>
      </c>
      <c r="AA90" s="307">
        <f t="shared" si="55"/>
        <v>412.1159420289855</v>
      </c>
      <c r="AB90" s="307">
        <f t="shared" si="55"/>
        <v>412.1159420289855</v>
      </c>
      <c r="AC90" s="307">
        <f t="shared" si="55"/>
        <v>412.1159420289855</v>
      </c>
      <c r="AD90" s="307">
        <f t="shared" si="55"/>
        <v>412.1159420289855</v>
      </c>
      <c r="AE90" s="307">
        <f t="shared" si="55"/>
        <v>412.1159420289855</v>
      </c>
      <c r="AF90" s="307">
        <f t="shared" si="55"/>
        <v>412.1159420289855</v>
      </c>
      <c r="AG90" s="307">
        <f t="shared" si="55"/>
        <v>412.1159420289855</v>
      </c>
      <c r="AH90" s="307">
        <f t="shared" si="55"/>
        <v>412.1159420289855</v>
      </c>
      <c r="AI90" s="307">
        <f t="shared" si="55"/>
        <v>412.1159420289855</v>
      </c>
      <c r="AJ90" s="307">
        <f t="shared" si="55"/>
        <v>412.1159420289855</v>
      </c>
      <c r="AK90" s="307">
        <f t="shared" si="55"/>
        <v>412.1159420289855</v>
      </c>
      <c r="AL90" s="307">
        <f t="shared" si="55"/>
        <v>412.1159420289855</v>
      </c>
      <c r="AM90" s="307">
        <f t="shared" si="55"/>
        <v>412.1159420289855</v>
      </c>
      <c r="AN90" s="307">
        <f t="shared" si="55"/>
        <v>412.1159420289855</v>
      </c>
      <c r="AO90" s="307">
        <f t="shared" si="55"/>
        <v>412.1159420289855</v>
      </c>
      <c r="AP90" s="307">
        <f t="shared" si="55"/>
        <v>412.1159420289855</v>
      </c>
      <c r="AQ90" s="307">
        <f t="shared" si="55"/>
        <v>412.1159420289855</v>
      </c>
      <c r="AR90" s="61">
        <f t="shared" si="55"/>
        <v>412.1159420289855</v>
      </c>
      <c r="AS90" s="307">
        <f t="shared" si="55"/>
        <v>412.1159420289855</v>
      </c>
      <c r="AT90" s="307">
        <f t="shared" si="55"/>
        <v>412.1159420289855</v>
      </c>
      <c r="AU90" s="307">
        <f t="shared" si="55"/>
        <v>412.1159420289855</v>
      </c>
      <c r="AV90" s="307">
        <f t="shared" si="55"/>
        <v>412.1159420289855</v>
      </c>
      <c r="AW90" s="307">
        <f t="shared" si="55"/>
        <v>412.1159420289855</v>
      </c>
      <c r="AX90" s="307">
        <f t="shared" si="55"/>
        <v>412.1159420289855</v>
      </c>
      <c r="AY90" s="307">
        <f t="shared" si="55"/>
        <v>412.1159420289855</v>
      </c>
      <c r="AZ90" s="307">
        <f t="shared" si="55"/>
        <v>412.1159420289855</v>
      </c>
      <c r="BA90" s="307">
        <f t="shared" si="55"/>
        <v>412.1159420289855</v>
      </c>
      <c r="BB90" s="307">
        <f t="shared" si="55"/>
        <v>412.1159420289855</v>
      </c>
      <c r="BC90" s="307">
        <f t="shared" si="55"/>
        <v>412.1159420289855</v>
      </c>
      <c r="BD90" s="307">
        <f t="shared" si="55"/>
        <v>412.1159420289855</v>
      </c>
      <c r="BE90" s="307">
        <f t="shared" si="55"/>
        <v>412.1159420289855</v>
      </c>
      <c r="BF90" s="307">
        <f t="shared" si="55"/>
        <v>412.1159420289855</v>
      </c>
      <c r="BG90" s="307">
        <f t="shared" si="55"/>
        <v>412.1159420289855</v>
      </c>
      <c r="BH90" s="307">
        <f t="shared" si="55"/>
        <v>412.1159420289855</v>
      </c>
      <c r="BI90" s="307">
        <f t="shared" si="55"/>
        <v>412.1159420289855</v>
      </c>
      <c r="BJ90" s="307">
        <f t="shared" si="55"/>
        <v>412.1159420289855</v>
      </c>
      <c r="BK90" s="307">
        <f>IF(BK80&lt;0,MAX(-$C$10,200000*BK80),MIN(200000*BK80,$C$10)-IF(AND($C66&lt;$C$8*BK69,$C66&gt;0),$C$9,0))</f>
        <v>412.1159420289855</v>
      </c>
      <c r="BL90" s="307">
        <f>IF(BL80&lt;0,MAX(-$C$10,200000*BL80),MIN(200000*BL80,$C$10)-IF(AND($C66&lt;$C$8*BL69,$C66&gt;0),$C$9,0))</f>
        <v>412.1159420289855</v>
      </c>
      <c r="BM90" s="307">
        <f>IF(BM80&lt;0,MAX(-$C$10,200000*BM80),MIN(200000*BM80,$C$10)-IF(AND($C66&lt;$C$8*BM69,$C66&gt;0),$C$9,0))</f>
        <v>410.42028985507244</v>
      </c>
      <c r="BN90" s="307">
        <f>IF(BN80&lt;0,MAX(-$C$10,200000*BN80),MIN(200000*BN80,$C$10)-IF(AND($C66&lt;$C$8*BN69,$C66&gt;0),$C$9,0))</f>
        <v>391.03333333333325</v>
      </c>
      <c r="BO90" s="12">
        <f>200000*BO80-C$9</f>
        <v>327.33333333333331</v>
      </c>
      <c r="BP90" s="41"/>
      <c r="BQ90" s="41"/>
      <c r="BR90" s="41"/>
    </row>
    <row r="91" spans="1:70" ht="16.5">
      <c r="A91" s="41"/>
      <c r="B91" s="11">
        <v>2</v>
      </c>
      <c r="C91" s="302" t="s">
        <v>61</v>
      </c>
      <c r="D91" s="12">
        <f t="shared" ref="D91:AI91" si="56">IF(D81&lt;0,MAX(-$C$10,200000*D81),MIN(200000*D81,$C$10)-IF(AND($D71&lt;$C$8*D69,$D71&gt;0),$C$9,0))</f>
        <v>-434.78260869565219</v>
      </c>
      <c r="E91" s="307">
        <f t="shared" si="56"/>
        <v>-434.78260869565219</v>
      </c>
      <c r="F91" s="307">
        <f t="shared" si="56"/>
        <v>-434.78260869565219</v>
      </c>
      <c r="G91" s="307">
        <f t="shared" si="56"/>
        <v>-434.78260869565219</v>
      </c>
      <c r="H91" s="307">
        <f t="shared" si="56"/>
        <v>-434.78260869565219</v>
      </c>
      <c r="I91" s="307">
        <f t="shared" si="56"/>
        <v>-434.78260869565219</v>
      </c>
      <c r="J91" s="307">
        <f t="shared" si="56"/>
        <v>-434.78260869565219</v>
      </c>
      <c r="K91" s="307">
        <f t="shared" si="56"/>
        <v>-434.78260869565219</v>
      </c>
      <c r="L91" s="307">
        <f t="shared" si="56"/>
        <v>-434.78260869565219</v>
      </c>
      <c r="M91" s="307">
        <f t="shared" si="56"/>
        <v>-434.78260869565219</v>
      </c>
      <c r="N91" s="307">
        <f t="shared" si="56"/>
        <v>-434.78260869565219</v>
      </c>
      <c r="O91" s="307">
        <f t="shared" si="56"/>
        <v>-434.78260869565219</v>
      </c>
      <c r="P91" s="307">
        <f t="shared" si="56"/>
        <v>-434.78260869565219</v>
      </c>
      <c r="Q91" s="307">
        <f t="shared" si="56"/>
        <v>-381.02736482766102</v>
      </c>
      <c r="R91" s="307">
        <f t="shared" si="56"/>
        <v>-320.13103903820547</v>
      </c>
      <c r="S91" s="307">
        <f t="shared" si="56"/>
        <v>-265.72965249053311</v>
      </c>
      <c r="T91" s="307">
        <f t="shared" si="56"/>
        <v>-216.83672857803089</v>
      </c>
      <c r="U91" s="307">
        <f t="shared" si="56"/>
        <v>-172.6559371654547</v>
      </c>
      <c r="V91" s="307">
        <f t="shared" si="56"/>
        <v>-132.53738663660485</v>
      </c>
      <c r="W91" s="307">
        <f t="shared" si="56"/>
        <v>-95.945442335765435</v>
      </c>
      <c r="X91" s="307">
        <f t="shared" si="56"/>
        <v>-62.434674426180734</v>
      </c>
      <c r="Y91" s="307">
        <f t="shared" si="56"/>
        <v>-31.631636115866588</v>
      </c>
      <c r="Z91" s="307">
        <f t="shared" si="56"/>
        <v>-3.2208874153679754</v>
      </c>
      <c r="AA91" s="307">
        <f t="shared" si="56"/>
        <v>23.065846472672764</v>
      </c>
      <c r="AB91" s="307">
        <f t="shared" si="56"/>
        <v>47.458172795056889</v>
      </c>
      <c r="AC91" s="307">
        <f t="shared" si="56"/>
        <v>70.153755587822175</v>
      </c>
      <c r="AD91" s="307">
        <f t="shared" si="56"/>
        <v>91.323683934679295</v>
      </c>
      <c r="AE91" s="307">
        <f t="shared" si="56"/>
        <v>111.1167928261557</v>
      </c>
      <c r="AF91" s="307">
        <f t="shared" si="56"/>
        <v>129.66316752808336</v>
      </c>
      <c r="AG91" s="307">
        <f t="shared" si="56"/>
        <v>124.41033929956176</v>
      </c>
      <c r="AH91" s="307">
        <f t="shared" si="56"/>
        <v>140.79230560498669</v>
      </c>
      <c r="AI91" s="307">
        <f t="shared" si="56"/>
        <v>156.23147731444618</v>
      </c>
      <c r="AJ91" s="307">
        <f t="shared" ref="AJ91:BK91" si="57">IF(AJ81&lt;0,MAX(-$C$10,200000*AJ81),MIN(200000*AJ81,$C$10)-IF(AND($D71&lt;$C$8*AJ69,$D71&gt;0),$C$9,0))</f>
        <v>170.80696578556859</v>
      </c>
      <c r="AK91" s="307">
        <f t="shared" si="57"/>
        <v>184.58927206835685</v>
      </c>
      <c r="AL91" s="307">
        <f t="shared" si="57"/>
        <v>197.64142728495531</v>
      </c>
      <c r="AM91" s="307">
        <f t="shared" si="57"/>
        <v>210.01995644328375</v>
      </c>
      <c r="AN91" s="307">
        <f t="shared" si="57"/>
        <v>221.7756967764343</v>
      </c>
      <c r="AO91" s="307">
        <f t="shared" si="57"/>
        <v>232.95449559608682</v>
      </c>
      <c r="AP91" s="307">
        <f t="shared" si="57"/>
        <v>243.59780786025132</v>
      </c>
      <c r="AQ91" s="307">
        <f t="shared" si="57"/>
        <v>253.7432098756415</v>
      </c>
      <c r="AR91" s="61">
        <f t="shared" si="57"/>
        <v>263.42484255254578</v>
      </c>
      <c r="AS91" s="307">
        <f t="shared" si="57"/>
        <v>286.50203630439842</v>
      </c>
      <c r="AT91" s="307">
        <f t="shared" si="57"/>
        <v>307.14181899080569</v>
      </c>
      <c r="AU91" s="307">
        <f t="shared" si="57"/>
        <v>325.71097921870711</v>
      </c>
      <c r="AV91" s="307">
        <f t="shared" si="57"/>
        <v>342.50622693886589</v>
      </c>
      <c r="AW91" s="307">
        <f t="shared" si="57"/>
        <v>357.77016700935383</v>
      </c>
      <c r="AX91" s="307">
        <f t="shared" si="57"/>
        <v>371.70309408291968</v>
      </c>
      <c r="AY91" s="307">
        <f t="shared" si="57"/>
        <v>384.4718308665208</v>
      </c>
      <c r="AZ91" s="307">
        <f t="shared" si="57"/>
        <v>396.21643973941235</v>
      </c>
      <c r="BA91" s="307">
        <f t="shared" si="57"/>
        <v>407.05538170384602</v>
      </c>
      <c r="BB91" s="307">
        <f t="shared" si="57"/>
        <v>412.1159420289855</v>
      </c>
      <c r="BC91" s="307">
        <f t="shared" si="57"/>
        <v>412.1159420289855</v>
      </c>
      <c r="BD91" s="307">
        <f t="shared" si="57"/>
        <v>412.1159420289855</v>
      </c>
      <c r="BE91" s="307">
        <f t="shared" si="57"/>
        <v>412.1159420289855</v>
      </c>
      <c r="BF91" s="307">
        <f t="shared" si="57"/>
        <v>412.1159420289855</v>
      </c>
      <c r="BG91" s="307">
        <f t="shared" si="57"/>
        <v>412.1159420289855</v>
      </c>
      <c r="BH91" s="307">
        <f t="shared" si="57"/>
        <v>409.55056351731008</v>
      </c>
      <c r="BI91" s="307">
        <f t="shared" si="57"/>
        <v>405.34754978375503</v>
      </c>
      <c r="BJ91" s="307">
        <f t="shared" si="57"/>
        <v>401.55335980823787</v>
      </c>
      <c r="BK91" s="307">
        <f t="shared" si="57"/>
        <v>398.11111111111103</v>
      </c>
      <c r="BL91" s="307">
        <f>IF(BL81&lt;0,MAX(-$C$10,200000*BL81),MIN(200000*BL81,$C$10)-IF(AND($D71&lt;$C$8*BL69,$D71&gt;0),$C$9,0))</f>
        <v>367.14583333333331</v>
      </c>
      <c r="BM91" s="307">
        <f>IF(BM81&lt;0,MAX(-$C$10,200000*BM81),MIN(200000*BM81,$C$10)-IF(AND($D71&lt;$C$8*BM69,$D71&gt;0),$C$9,0))</f>
        <v>355.02898550724638</v>
      </c>
      <c r="BN91" s="307">
        <f>IF(BN81&lt;0,MAX(-$C$10,200000*BN81),MIN(200000*BN81,$C$10)-IF(AND($D71&lt;$C$8*BN69,$D71&gt;0),$C$9,0))</f>
        <v>348.56666666666661</v>
      </c>
      <c r="BO91" s="12">
        <f>IF(D91=0,0,BO90)</f>
        <v>327.33333333333331</v>
      </c>
      <c r="BP91" s="41"/>
      <c r="BQ91" s="41"/>
      <c r="BR91" s="41"/>
    </row>
    <row r="92" spans="1:70" ht="16.5">
      <c r="A92" s="41"/>
      <c r="B92" s="11">
        <f t="shared" ref="B92:B98" si="58">1+B91</f>
        <v>3</v>
      </c>
      <c r="C92" s="302" t="s">
        <v>61</v>
      </c>
      <c r="D92" s="12">
        <f t="shared" ref="D92:AI92" si="59">IF(D82&lt;0,MAX(-$C$10,200000*D82),MIN(200000*D82,$C$10)-IF(AND($D72&lt;$C$8*D69,$D72&gt;0),$C$9,0))</f>
        <v>-434.78260869565219</v>
      </c>
      <c r="E92" s="307">
        <f t="shared" si="59"/>
        <v>-434.78260869565219</v>
      </c>
      <c r="F92" s="307">
        <f t="shared" si="59"/>
        <v>-434.78260869565219</v>
      </c>
      <c r="G92" s="307">
        <f t="shared" si="59"/>
        <v>-434.78260869565219</v>
      </c>
      <c r="H92" s="307">
        <f t="shared" si="59"/>
        <v>-434.78260869565219</v>
      </c>
      <c r="I92" s="307">
        <f t="shared" si="59"/>
        <v>-434.78260869565219</v>
      </c>
      <c r="J92" s="307">
        <f t="shared" si="59"/>
        <v>-434.78260869565219</v>
      </c>
      <c r="K92" s="307">
        <f t="shared" si="59"/>
        <v>-434.78260869565219</v>
      </c>
      <c r="L92" s="307">
        <f t="shared" si="59"/>
        <v>-434.78260869565219</v>
      </c>
      <c r="M92" s="307">
        <f t="shared" si="59"/>
        <v>-434.78260869565219</v>
      </c>
      <c r="N92" s="307">
        <f t="shared" si="59"/>
        <v>-434.78260869565219</v>
      </c>
      <c r="O92" s="307">
        <f t="shared" si="59"/>
        <v>-434.78260869565219</v>
      </c>
      <c r="P92" s="307">
        <f t="shared" si="59"/>
        <v>-434.78260869565219</v>
      </c>
      <c r="Q92" s="307">
        <f t="shared" si="59"/>
        <v>-434.78260869565219</v>
      </c>
      <c r="R92" s="307">
        <f t="shared" si="59"/>
        <v>-434.78260869565219</v>
      </c>
      <c r="S92" s="307">
        <f t="shared" si="59"/>
        <v>-434.78260869565219</v>
      </c>
      <c r="T92" s="307">
        <f t="shared" si="59"/>
        <v>-434.78260869565219</v>
      </c>
      <c r="U92" s="307">
        <f t="shared" si="59"/>
        <v>-434.78260869565219</v>
      </c>
      <c r="V92" s="307">
        <f t="shared" si="59"/>
        <v>-434.78260869565219</v>
      </c>
      <c r="W92" s="307">
        <f t="shared" si="59"/>
        <v>-434.78260869565219</v>
      </c>
      <c r="X92" s="307">
        <f t="shared" si="59"/>
        <v>-434.78260869565219</v>
      </c>
      <c r="Y92" s="307">
        <f t="shared" si="59"/>
        <v>-434.78260869565219</v>
      </c>
      <c r="Z92" s="307">
        <f t="shared" si="59"/>
        <v>-434.78260869565219</v>
      </c>
      <c r="AA92" s="307">
        <f t="shared" si="59"/>
        <v>-434.78260869565219</v>
      </c>
      <c r="AB92" s="307">
        <f t="shared" si="59"/>
        <v>-434.78260869565219</v>
      </c>
      <c r="AC92" s="307">
        <f t="shared" si="59"/>
        <v>-434.78260869565219</v>
      </c>
      <c r="AD92" s="307">
        <f t="shared" si="59"/>
        <v>-434.78260869565219</v>
      </c>
      <c r="AE92" s="307">
        <f t="shared" si="59"/>
        <v>-401.69059332523028</v>
      </c>
      <c r="AF92" s="307">
        <f t="shared" si="59"/>
        <v>-366.99378706468616</v>
      </c>
      <c r="AG92" s="307">
        <f t="shared" si="59"/>
        <v>-334.4157448191612</v>
      </c>
      <c r="AH92" s="307">
        <f t="shared" si="59"/>
        <v>-303.76814278365327</v>
      </c>
      <c r="AI92" s="307">
        <f t="shared" si="59"/>
        <v>-274.88433350901857</v>
      </c>
      <c r="AJ92" s="307">
        <f t="shared" ref="AJ92:BK92" si="60">IF(AJ82&lt;0,MAX(-$C$10,200000*AJ82),MIN(200000*AJ82,$C$10)-IF(AND($D72&lt;$C$8*AJ69,$D72&gt;0),$C$9,0))</f>
        <v>-247.61631440754073</v>
      </c>
      <c r="AK92" s="307">
        <f t="shared" si="60"/>
        <v>-221.83219117036276</v>
      </c>
      <c r="AL92" s="307">
        <f t="shared" si="60"/>
        <v>-197.41404432974076</v>
      </c>
      <c r="AM92" s="307">
        <f t="shared" si="60"/>
        <v>-174.25612614358559</v>
      </c>
      <c r="AN92" s="307">
        <f t="shared" si="60"/>
        <v>-152.26332963515563</v>
      </c>
      <c r="AO92" s="307">
        <f t="shared" si="60"/>
        <v>-131.34988303953779</v>
      </c>
      <c r="AP92" s="307">
        <f t="shared" si="60"/>
        <v>-111.43823186590944</v>
      </c>
      <c r="AQ92" s="307">
        <f t="shared" si="60"/>
        <v>-92.458077856256025</v>
      </c>
      <c r="AR92" s="61">
        <f t="shared" si="60"/>
        <v>-74.34554973821983</v>
      </c>
      <c r="AS92" s="307">
        <f t="shared" si="60"/>
        <v>-31.172426499107875</v>
      </c>
      <c r="AT92" s="307">
        <f t="shared" si="60"/>
        <v>7.4407554644578742</v>
      </c>
      <c r="AU92" s="307">
        <f t="shared" si="60"/>
        <v>42.180189192254325</v>
      </c>
      <c r="AV92" s="307">
        <f t="shared" si="60"/>
        <v>73.600963635230798</v>
      </c>
      <c r="AW92" s="307">
        <f t="shared" si="60"/>
        <v>102.15694721207663</v>
      </c>
      <c r="AX92" s="307">
        <f t="shared" si="60"/>
        <v>128.22285384252766</v>
      </c>
      <c r="AY92" s="307">
        <f t="shared" si="60"/>
        <v>129.44411101503817</v>
      </c>
      <c r="AZ92" s="307">
        <f t="shared" si="60"/>
        <v>151.41608263848602</v>
      </c>
      <c r="BA92" s="307">
        <f t="shared" si="60"/>
        <v>171.69372047625424</v>
      </c>
      <c r="BB92" s="307">
        <f t="shared" si="60"/>
        <v>190.46573237385908</v>
      </c>
      <c r="BC92" s="307">
        <f t="shared" si="60"/>
        <v>207.89380598310632</v>
      </c>
      <c r="BD92" s="307">
        <f t="shared" si="60"/>
        <v>222.53127025866732</v>
      </c>
      <c r="BE92" s="307">
        <f t="shared" si="60"/>
        <v>229.26597448850339</v>
      </c>
      <c r="BF92" s="307">
        <f t="shared" si="60"/>
        <v>235.18738204210453</v>
      </c>
      <c r="BG92" s="307">
        <f t="shared" si="60"/>
        <v>240.43442699616295</v>
      </c>
      <c r="BH92" s="307">
        <f t="shared" si="60"/>
        <v>245.11610314935663</v>
      </c>
      <c r="BI92" s="307">
        <f t="shared" si="60"/>
        <v>249.31911688291157</v>
      </c>
      <c r="BJ92" s="307">
        <f t="shared" si="60"/>
        <v>253.11330685842873</v>
      </c>
      <c r="BK92" s="307">
        <f t="shared" si="60"/>
        <v>256.55555555555554</v>
      </c>
      <c r="BL92" s="307">
        <f>IF(BL82&lt;0,MAX(-$C$10,200000*BL82),MIN(200000*BL82,$C$10)-IF(AND($D72&lt;$C$8*BL69,$D72&gt;0),$C$9,0))</f>
        <v>287.52083333333326</v>
      </c>
      <c r="BM92" s="307">
        <f>IF(BM82&lt;0,MAX(-$C$10,200000*BM82),MIN(200000*BM82,$C$10)-IF(AND($D72&lt;$C$8*BM69,$D72&gt;0),$C$9,0))</f>
        <v>299.63768115942031</v>
      </c>
      <c r="BN92" s="307">
        <f>IF(BN82&lt;0,MAX(-$C$10,200000*BN82),MIN(200000*BN82,$C$10)-IF(AND($D72&lt;$C$8*BN69,$D72&gt;0),$C$9,0))</f>
        <v>306.09999999999997</v>
      </c>
      <c r="BO92" s="12">
        <f>IF(D92=0,0,BO90)</f>
        <v>327.33333333333331</v>
      </c>
      <c r="BP92" s="41"/>
      <c r="BQ92" s="41"/>
      <c r="BR92" s="41"/>
    </row>
    <row r="93" spans="1:70" ht="16.5">
      <c r="A93" s="41"/>
      <c r="B93" s="11">
        <f t="shared" si="58"/>
        <v>4</v>
      </c>
      <c r="C93" s="302" t="s">
        <v>61</v>
      </c>
      <c r="D93" s="12">
        <f t="shared" ref="D93:AI93" si="61">IF(D83&lt;0,MAX(-$C$10,200000*D83),MIN(200000*D83,$C$10)-IF(AND($D73&lt;$C$8*D69,$D73&gt;0),$C$9,0))</f>
        <v>0</v>
      </c>
      <c r="E93" s="307">
        <f t="shared" si="61"/>
        <v>0</v>
      </c>
      <c r="F93" s="307">
        <f t="shared" si="61"/>
        <v>0</v>
      </c>
      <c r="G93" s="307">
        <f t="shared" si="61"/>
        <v>0</v>
      </c>
      <c r="H93" s="307">
        <f t="shared" si="61"/>
        <v>0</v>
      </c>
      <c r="I93" s="307">
        <f t="shared" si="61"/>
        <v>0</v>
      </c>
      <c r="J93" s="307">
        <f t="shared" si="61"/>
        <v>0</v>
      </c>
      <c r="K93" s="307">
        <f t="shared" si="61"/>
        <v>0</v>
      </c>
      <c r="L93" s="307">
        <f t="shared" si="61"/>
        <v>0</v>
      </c>
      <c r="M93" s="307">
        <f t="shared" si="61"/>
        <v>0</v>
      </c>
      <c r="N93" s="307">
        <f t="shared" si="61"/>
        <v>0</v>
      </c>
      <c r="O93" s="307">
        <f t="shared" si="61"/>
        <v>0</v>
      </c>
      <c r="P93" s="307">
        <f t="shared" si="61"/>
        <v>0</v>
      </c>
      <c r="Q93" s="307">
        <f t="shared" si="61"/>
        <v>0</v>
      </c>
      <c r="R93" s="307">
        <f t="shared" si="61"/>
        <v>0</v>
      </c>
      <c r="S93" s="307">
        <f t="shared" si="61"/>
        <v>0</v>
      </c>
      <c r="T93" s="307">
        <f t="shared" si="61"/>
        <v>0</v>
      </c>
      <c r="U93" s="307">
        <f t="shared" si="61"/>
        <v>0</v>
      </c>
      <c r="V93" s="307">
        <f t="shared" si="61"/>
        <v>0</v>
      </c>
      <c r="W93" s="307">
        <f t="shared" si="61"/>
        <v>0</v>
      </c>
      <c r="X93" s="307">
        <f t="shared" si="61"/>
        <v>0</v>
      </c>
      <c r="Y93" s="307">
        <f t="shared" si="61"/>
        <v>0</v>
      </c>
      <c r="Z93" s="307">
        <f t="shared" si="61"/>
        <v>0</v>
      </c>
      <c r="AA93" s="307">
        <f t="shared" si="61"/>
        <v>0</v>
      </c>
      <c r="AB93" s="307">
        <f t="shared" si="61"/>
        <v>0</v>
      </c>
      <c r="AC93" s="307">
        <f t="shared" si="61"/>
        <v>0</v>
      </c>
      <c r="AD93" s="307">
        <f t="shared" si="61"/>
        <v>0</v>
      </c>
      <c r="AE93" s="307">
        <f t="shared" si="61"/>
        <v>0</v>
      </c>
      <c r="AF93" s="307">
        <f t="shared" si="61"/>
        <v>0</v>
      </c>
      <c r="AG93" s="307">
        <f t="shared" si="61"/>
        <v>0</v>
      </c>
      <c r="AH93" s="307">
        <f t="shared" si="61"/>
        <v>0</v>
      </c>
      <c r="AI93" s="307">
        <f t="shared" si="61"/>
        <v>0</v>
      </c>
      <c r="AJ93" s="307">
        <f t="shared" ref="AJ93:BK93" si="62">IF(AJ83&lt;0,MAX(-$C$10,200000*AJ83),MIN(200000*AJ83,$C$10)-IF(AND($D73&lt;$C$8*AJ69,$D73&gt;0),$C$9,0))</f>
        <v>0</v>
      </c>
      <c r="AK93" s="307">
        <f t="shared" si="62"/>
        <v>0</v>
      </c>
      <c r="AL93" s="307">
        <f t="shared" si="62"/>
        <v>0</v>
      </c>
      <c r="AM93" s="307">
        <f t="shared" si="62"/>
        <v>0</v>
      </c>
      <c r="AN93" s="307">
        <f t="shared" si="62"/>
        <v>0</v>
      </c>
      <c r="AO93" s="307">
        <f t="shared" si="62"/>
        <v>0</v>
      </c>
      <c r="AP93" s="307">
        <f t="shared" si="62"/>
        <v>0</v>
      </c>
      <c r="AQ93" s="307">
        <f t="shared" si="62"/>
        <v>0</v>
      </c>
      <c r="AR93" s="61">
        <f t="shared" si="62"/>
        <v>0</v>
      </c>
      <c r="AS93" s="307">
        <f t="shared" si="62"/>
        <v>0</v>
      </c>
      <c r="AT93" s="307">
        <f t="shared" si="62"/>
        <v>0</v>
      </c>
      <c r="AU93" s="307">
        <f t="shared" si="62"/>
        <v>0</v>
      </c>
      <c r="AV93" s="307">
        <f t="shared" si="62"/>
        <v>0</v>
      </c>
      <c r="AW93" s="307">
        <f t="shared" si="62"/>
        <v>0</v>
      </c>
      <c r="AX93" s="307">
        <f t="shared" si="62"/>
        <v>0</v>
      </c>
      <c r="AY93" s="307">
        <f t="shared" si="62"/>
        <v>0</v>
      </c>
      <c r="AZ93" s="307">
        <f t="shared" si="62"/>
        <v>0</v>
      </c>
      <c r="BA93" s="307">
        <f t="shared" si="62"/>
        <v>0</v>
      </c>
      <c r="BB93" s="307">
        <f t="shared" si="62"/>
        <v>0</v>
      </c>
      <c r="BC93" s="307">
        <f t="shared" si="62"/>
        <v>0</v>
      </c>
      <c r="BD93" s="307">
        <f t="shared" si="62"/>
        <v>0</v>
      </c>
      <c r="BE93" s="307">
        <f t="shared" si="62"/>
        <v>0</v>
      </c>
      <c r="BF93" s="307">
        <f t="shared" si="62"/>
        <v>0</v>
      </c>
      <c r="BG93" s="307">
        <f t="shared" si="62"/>
        <v>0</v>
      </c>
      <c r="BH93" s="307">
        <f t="shared" si="62"/>
        <v>0</v>
      </c>
      <c r="BI93" s="307">
        <f t="shared" si="62"/>
        <v>0</v>
      </c>
      <c r="BJ93" s="307">
        <f t="shared" si="62"/>
        <v>0</v>
      </c>
      <c r="BK93" s="307">
        <f t="shared" si="62"/>
        <v>0</v>
      </c>
      <c r="BL93" s="307">
        <f>IF(BL83&lt;0,MAX(-$C$10,200000*BL83),MIN(200000*BL83,$C$10)-IF(AND($D73&lt;$C$8*BL69,$D73&gt;0),$C$9,0))</f>
        <v>0</v>
      </c>
      <c r="BM93" s="307">
        <f>IF(BM83&lt;0,MAX(-$C$10,200000*BM83),MIN(200000*BM83,$C$10)-IF(AND($D73&lt;$C$8*BM69,$D73&gt;0),$C$9,0))</f>
        <v>0</v>
      </c>
      <c r="BN93" s="307">
        <f>IF(BN83&lt;0,MAX(-$C$10,200000*BN83),MIN(200000*BN83,$C$10)-IF(AND($D73&lt;$C$8*BN69,$D73&gt;0),$C$9,0))</f>
        <v>0</v>
      </c>
      <c r="BO93" s="12">
        <f>IF(D93=0,0,BO90)</f>
        <v>0</v>
      </c>
      <c r="BP93" s="41"/>
      <c r="BQ93" s="41"/>
      <c r="BR93" s="41"/>
    </row>
    <row r="94" spans="1:70" ht="16.5">
      <c r="A94" s="41"/>
      <c r="B94" s="11">
        <f t="shared" si="58"/>
        <v>5</v>
      </c>
      <c r="C94" s="302" t="s">
        <v>61</v>
      </c>
      <c r="D94" s="12">
        <f t="shared" ref="D94:AI94" si="63">IF(D84&lt;0,MAX(-$C$10,200000*D84),MIN(200000*D84,$C$10)-IF(AND($D74&lt;$C$8*D69,$D74&gt;0),$C$9,0))</f>
        <v>0</v>
      </c>
      <c r="E94" s="307">
        <f t="shared" si="63"/>
        <v>0</v>
      </c>
      <c r="F94" s="307">
        <f t="shared" si="63"/>
        <v>0</v>
      </c>
      <c r="G94" s="307">
        <f t="shared" si="63"/>
        <v>0</v>
      </c>
      <c r="H94" s="307">
        <f t="shared" si="63"/>
        <v>0</v>
      </c>
      <c r="I94" s="307">
        <f t="shared" si="63"/>
        <v>0</v>
      </c>
      <c r="J94" s="307">
        <f t="shared" si="63"/>
        <v>0</v>
      </c>
      <c r="K94" s="307">
        <f t="shared" si="63"/>
        <v>0</v>
      </c>
      <c r="L94" s="307">
        <f t="shared" si="63"/>
        <v>0</v>
      </c>
      <c r="M94" s="307">
        <f t="shared" si="63"/>
        <v>0</v>
      </c>
      <c r="N94" s="307">
        <f t="shared" si="63"/>
        <v>0</v>
      </c>
      <c r="O94" s="307">
        <f t="shared" si="63"/>
        <v>0</v>
      </c>
      <c r="P94" s="307">
        <f t="shared" si="63"/>
        <v>0</v>
      </c>
      <c r="Q94" s="307">
        <f t="shared" si="63"/>
        <v>0</v>
      </c>
      <c r="R94" s="307">
        <f t="shared" si="63"/>
        <v>0</v>
      </c>
      <c r="S94" s="307">
        <f t="shared" si="63"/>
        <v>0</v>
      </c>
      <c r="T94" s="307">
        <f t="shared" si="63"/>
        <v>0</v>
      </c>
      <c r="U94" s="307">
        <f t="shared" si="63"/>
        <v>0</v>
      </c>
      <c r="V94" s="307">
        <f t="shared" si="63"/>
        <v>0</v>
      </c>
      <c r="W94" s="307">
        <f t="shared" si="63"/>
        <v>0</v>
      </c>
      <c r="X94" s="307">
        <f t="shared" si="63"/>
        <v>0</v>
      </c>
      <c r="Y94" s="307">
        <f t="shared" si="63"/>
        <v>0</v>
      </c>
      <c r="Z94" s="307">
        <f t="shared" si="63"/>
        <v>0</v>
      </c>
      <c r="AA94" s="307">
        <f t="shared" si="63"/>
        <v>0</v>
      </c>
      <c r="AB94" s="307">
        <f t="shared" si="63"/>
        <v>0</v>
      </c>
      <c r="AC94" s="307">
        <f t="shared" si="63"/>
        <v>0</v>
      </c>
      <c r="AD94" s="307">
        <f t="shared" si="63"/>
        <v>0</v>
      </c>
      <c r="AE94" s="307">
        <f t="shared" si="63"/>
        <v>0</v>
      </c>
      <c r="AF94" s="307">
        <f t="shared" si="63"/>
        <v>0</v>
      </c>
      <c r="AG94" s="307">
        <f t="shared" si="63"/>
        <v>0</v>
      </c>
      <c r="AH94" s="307">
        <f t="shared" si="63"/>
        <v>0</v>
      </c>
      <c r="AI94" s="307">
        <f t="shared" si="63"/>
        <v>0</v>
      </c>
      <c r="AJ94" s="307">
        <f t="shared" ref="AJ94:BK94" si="64">IF(AJ84&lt;0,MAX(-$C$10,200000*AJ84),MIN(200000*AJ84,$C$10)-IF(AND($D74&lt;$C$8*AJ69,$D74&gt;0),$C$9,0))</f>
        <v>0</v>
      </c>
      <c r="AK94" s="307">
        <f t="shared" si="64"/>
        <v>0</v>
      </c>
      <c r="AL94" s="307">
        <f t="shared" si="64"/>
        <v>0</v>
      </c>
      <c r="AM94" s="307">
        <f t="shared" si="64"/>
        <v>0</v>
      </c>
      <c r="AN94" s="307">
        <f t="shared" si="64"/>
        <v>0</v>
      </c>
      <c r="AO94" s="307">
        <f t="shared" si="64"/>
        <v>0</v>
      </c>
      <c r="AP94" s="307">
        <f t="shared" si="64"/>
        <v>0</v>
      </c>
      <c r="AQ94" s="307">
        <f t="shared" si="64"/>
        <v>0</v>
      </c>
      <c r="AR94" s="61">
        <f t="shared" si="64"/>
        <v>0</v>
      </c>
      <c r="AS94" s="307">
        <f t="shared" si="64"/>
        <v>0</v>
      </c>
      <c r="AT94" s="307">
        <f t="shared" si="64"/>
        <v>0</v>
      </c>
      <c r="AU94" s="307">
        <f t="shared" si="64"/>
        <v>0</v>
      </c>
      <c r="AV94" s="307">
        <f t="shared" si="64"/>
        <v>0</v>
      </c>
      <c r="AW94" s="307">
        <f t="shared" si="64"/>
        <v>0</v>
      </c>
      <c r="AX94" s="307">
        <f t="shared" si="64"/>
        <v>0</v>
      </c>
      <c r="AY94" s="307">
        <f t="shared" si="64"/>
        <v>0</v>
      </c>
      <c r="AZ94" s="307">
        <f t="shared" si="64"/>
        <v>0</v>
      </c>
      <c r="BA94" s="307">
        <f t="shared" si="64"/>
        <v>0</v>
      </c>
      <c r="BB94" s="307">
        <f t="shared" si="64"/>
        <v>0</v>
      </c>
      <c r="BC94" s="307">
        <f t="shared" si="64"/>
        <v>0</v>
      </c>
      <c r="BD94" s="307">
        <f t="shared" si="64"/>
        <v>0</v>
      </c>
      <c r="BE94" s="307">
        <f t="shared" si="64"/>
        <v>0</v>
      </c>
      <c r="BF94" s="307">
        <f t="shared" si="64"/>
        <v>0</v>
      </c>
      <c r="BG94" s="307">
        <f t="shared" si="64"/>
        <v>0</v>
      </c>
      <c r="BH94" s="307">
        <f t="shared" si="64"/>
        <v>0</v>
      </c>
      <c r="BI94" s="307">
        <f t="shared" si="64"/>
        <v>0</v>
      </c>
      <c r="BJ94" s="307">
        <f t="shared" si="64"/>
        <v>0</v>
      </c>
      <c r="BK94" s="307">
        <f t="shared" si="64"/>
        <v>0</v>
      </c>
      <c r="BL94" s="307">
        <f>IF(BL84&lt;0,MAX(-$C$10,200000*BL84),MIN(200000*BL84,$C$10)-IF(AND($D74&lt;$C$8*BL69,$D74&gt;0),$C$9,0))</f>
        <v>0</v>
      </c>
      <c r="BM94" s="307">
        <f>IF(BM84&lt;0,MAX(-$C$10,200000*BM84),MIN(200000*BM84,$C$10)-IF(AND($D74&lt;$C$8*BM69,$D74&gt;0),$C$9,0))</f>
        <v>0</v>
      </c>
      <c r="BN94" s="307">
        <f>IF(BN84&lt;0,MAX(-$C$10,200000*BN84),MIN(200000*BN84,$C$10)-IF(AND($D74&lt;$C$8*BN69,$D74&gt;0),$C$9,0))</f>
        <v>0</v>
      </c>
      <c r="BO94" s="12">
        <f>IF(D94=0,0,BO90)</f>
        <v>0</v>
      </c>
      <c r="BP94" s="41"/>
      <c r="BQ94" s="41"/>
      <c r="BR94" s="41"/>
    </row>
    <row r="95" spans="1:70" ht="16.5">
      <c r="A95" s="41"/>
      <c r="B95" s="11">
        <f t="shared" si="58"/>
        <v>6</v>
      </c>
      <c r="C95" s="302" t="s">
        <v>61</v>
      </c>
      <c r="D95" s="12">
        <f t="shared" ref="D95:AI95" si="65">IF(D85&lt;0,MAX(-$C$10,200000*D85),MIN(200000*D85,$C$10)-IF(AND($D75&lt;$C$8*D69,$D75&gt;0),$C$9,0))</f>
        <v>0</v>
      </c>
      <c r="E95" s="307">
        <f t="shared" si="65"/>
        <v>0</v>
      </c>
      <c r="F95" s="307">
        <f t="shared" si="65"/>
        <v>0</v>
      </c>
      <c r="G95" s="307">
        <f t="shared" si="65"/>
        <v>0</v>
      </c>
      <c r="H95" s="307">
        <f t="shared" si="65"/>
        <v>0</v>
      </c>
      <c r="I95" s="307">
        <f t="shared" si="65"/>
        <v>0</v>
      </c>
      <c r="J95" s="307">
        <f t="shared" si="65"/>
        <v>0</v>
      </c>
      <c r="K95" s="307">
        <f t="shared" si="65"/>
        <v>0</v>
      </c>
      <c r="L95" s="307">
        <f t="shared" si="65"/>
        <v>0</v>
      </c>
      <c r="M95" s="307">
        <f t="shared" si="65"/>
        <v>0</v>
      </c>
      <c r="N95" s="307">
        <f t="shared" si="65"/>
        <v>0</v>
      </c>
      <c r="O95" s="307">
        <f t="shared" si="65"/>
        <v>0</v>
      </c>
      <c r="P95" s="307">
        <f t="shared" si="65"/>
        <v>0</v>
      </c>
      <c r="Q95" s="307">
        <f t="shared" si="65"/>
        <v>0</v>
      </c>
      <c r="R95" s="307">
        <f t="shared" si="65"/>
        <v>0</v>
      </c>
      <c r="S95" s="307">
        <f t="shared" si="65"/>
        <v>0</v>
      </c>
      <c r="T95" s="307">
        <f t="shared" si="65"/>
        <v>0</v>
      </c>
      <c r="U95" s="307">
        <f t="shared" si="65"/>
        <v>0</v>
      </c>
      <c r="V95" s="307">
        <f t="shared" si="65"/>
        <v>0</v>
      </c>
      <c r="W95" s="307">
        <f t="shared" si="65"/>
        <v>0</v>
      </c>
      <c r="X95" s="307">
        <f t="shared" si="65"/>
        <v>0</v>
      </c>
      <c r="Y95" s="307">
        <f t="shared" si="65"/>
        <v>0</v>
      </c>
      <c r="Z95" s="307">
        <f t="shared" si="65"/>
        <v>0</v>
      </c>
      <c r="AA95" s="307">
        <f t="shared" si="65"/>
        <v>0</v>
      </c>
      <c r="AB95" s="307">
        <f t="shared" si="65"/>
        <v>0</v>
      </c>
      <c r="AC95" s="307">
        <f t="shared" si="65"/>
        <v>0</v>
      </c>
      <c r="AD95" s="307">
        <f t="shared" si="65"/>
        <v>0</v>
      </c>
      <c r="AE95" s="307">
        <f t="shared" si="65"/>
        <v>0</v>
      </c>
      <c r="AF95" s="307">
        <f t="shared" si="65"/>
        <v>0</v>
      </c>
      <c r="AG95" s="307">
        <f t="shared" si="65"/>
        <v>0</v>
      </c>
      <c r="AH95" s="307">
        <f t="shared" si="65"/>
        <v>0</v>
      </c>
      <c r="AI95" s="307">
        <f t="shared" si="65"/>
        <v>0</v>
      </c>
      <c r="AJ95" s="307">
        <f t="shared" ref="AJ95:BK95" si="66">IF(AJ85&lt;0,MAX(-$C$10,200000*AJ85),MIN(200000*AJ85,$C$10)-IF(AND($D75&lt;$C$8*AJ69,$D75&gt;0),$C$9,0))</f>
        <v>0</v>
      </c>
      <c r="AK95" s="307">
        <f t="shared" si="66"/>
        <v>0</v>
      </c>
      <c r="AL95" s="307">
        <f t="shared" si="66"/>
        <v>0</v>
      </c>
      <c r="AM95" s="307">
        <f t="shared" si="66"/>
        <v>0</v>
      </c>
      <c r="AN95" s="307">
        <f t="shared" si="66"/>
        <v>0</v>
      </c>
      <c r="AO95" s="307">
        <f t="shared" si="66"/>
        <v>0</v>
      </c>
      <c r="AP95" s="307">
        <f t="shared" si="66"/>
        <v>0</v>
      </c>
      <c r="AQ95" s="307">
        <f t="shared" si="66"/>
        <v>0</v>
      </c>
      <c r="AR95" s="61">
        <f t="shared" si="66"/>
        <v>0</v>
      </c>
      <c r="AS95" s="307">
        <f t="shared" si="66"/>
        <v>0</v>
      </c>
      <c r="AT95" s="307">
        <f t="shared" si="66"/>
        <v>0</v>
      </c>
      <c r="AU95" s="307">
        <f t="shared" si="66"/>
        <v>0</v>
      </c>
      <c r="AV95" s="307">
        <f t="shared" si="66"/>
        <v>0</v>
      </c>
      <c r="AW95" s="307">
        <f t="shared" si="66"/>
        <v>0</v>
      </c>
      <c r="AX95" s="307">
        <f t="shared" si="66"/>
        <v>0</v>
      </c>
      <c r="AY95" s="307">
        <f t="shared" si="66"/>
        <v>0</v>
      </c>
      <c r="AZ95" s="307">
        <f t="shared" si="66"/>
        <v>0</v>
      </c>
      <c r="BA95" s="307">
        <f t="shared" si="66"/>
        <v>0</v>
      </c>
      <c r="BB95" s="307">
        <f t="shared" si="66"/>
        <v>0</v>
      </c>
      <c r="BC95" s="307">
        <f t="shared" si="66"/>
        <v>0</v>
      </c>
      <c r="BD95" s="307">
        <f t="shared" si="66"/>
        <v>0</v>
      </c>
      <c r="BE95" s="307">
        <f t="shared" si="66"/>
        <v>0</v>
      </c>
      <c r="BF95" s="307">
        <f t="shared" si="66"/>
        <v>0</v>
      </c>
      <c r="BG95" s="307">
        <f t="shared" si="66"/>
        <v>0</v>
      </c>
      <c r="BH95" s="307">
        <f t="shared" si="66"/>
        <v>0</v>
      </c>
      <c r="BI95" s="307">
        <f t="shared" si="66"/>
        <v>0</v>
      </c>
      <c r="BJ95" s="307">
        <f t="shared" si="66"/>
        <v>0</v>
      </c>
      <c r="BK95" s="307">
        <f t="shared" si="66"/>
        <v>0</v>
      </c>
      <c r="BL95" s="307">
        <f>IF(BL85&lt;0,MAX(-$C$10,200000*BL85),MIN(200000*BL85,$C$10)-IF(AND($D75&lt;$C$8*BL69,$D75&gt;0),$C$9,0))</f>
        <v>0</v>
      </c>
      <c r="BM95" s="307">
        <f>IF(BM85&lt;0,MAX(-$C$10,200000*BM85),MIN(200000*BM85,$C$10)-IF(AND($D75&lt;$C$8*BM69,$D75&gt;0),$C$9,0))</f>
        <v>0</v>
      </c>
      <c r="BN95" s="307">
        <f>IF(BN85&lt;0,MAX(-$C$10,200000*BN85),MIN(200000*BN85,$C$10)-IF(AND($D75&lt;$C$8*BN69,$D75&gt;0),$C$9,0))</f>
        <v>0</v>
      </c>
      <c r="BO95" s="12">
        <f>IF(D95=0,0,BO90)</f>
        <v>0</v>
      </c>
      <c r="BP95" s="41"/>
      <c r="BQ95" s="41"/>
      <c r="BR95" s="41"/>
    </row>
    <row r="96" spans="1:70" ht="16.5">
      <c r="A96" s="41"/>
      <c r="B96" s="11">
        <f t="shared" si="58"/>
        <v>7</v>
      </c>
      <c r="C96" s="302" t="s">
        <v>61</v>
      </c>
      <c r="D96" s="12">
        <f t="shared" ref="D96:AI96" si="67">IF(D86&lt;0,MAX(-$C$10,200000*D86),MIN(200000*D86,$C$10)-IF(AND($D76&lt;$C$8*D69,$D76&gt;0),$C$9,0))</f>
        <v>0</v>
      </c>
      <c r="E96" s="307">
        <f t="shared" si="67"/>
        <v>0</v>
      </c>
      <c r="F96" s="307">
        <f t="shared" si="67"/>
        <v>0</v>
      </c>
      <c r="G96" s="307">
        <f t="shared" si="67"/>
        <v>0</v>
      </c>
      <c r="H96" s="307">
        <f t="shared" si="67"/>
        <v>0</v>
      </c>
      <c r="I96" s="307">
        <f t="shared" si="67"/>
        <v>0</v>
      </c>
      <c r="J96" s="307">
        <f t="shared" si="67"/>
        <v>0</v>
      </c>
      <c r="K96" s="307">
        <f t="shared" si="67"/>
        <v>0</v>
      </c>
      <c r="L96" s="307">
        <f t="shared" si="67"/>
        <v>0</v>
      </c>
      <c r="M96" s="307">
        <f t="shared" si="67"/>
        <v>0</v>
      </c>
      <c r="N96" s="307">
        <f t="shared" si="67"/>
        <v>0</v>
      </c>
      <c r="O96" s="307">
        <f t="shared" si="67"/>
        <v>0</v>
      </c>
      <c r="P96" s="307">
        <f t="shared" si="67"/>
        <v>0</v>
      </c>
      <c r="Q96" s="307">
        <f t="shared" si="67"/>
        <v>0</v>
      </c>
      <c r="R96" s="307">
        <f t="shared" si="67"/>
        <v>0</v>
      </c>
      <c r="S96" s="307">
        <f t="shared" si="67"/>
        <v>0</v>
      </c>
      <c r="T96" s="307">
        <f t="shared" si="67"/>
        <v>0</v>
      </c>
      <c r="U96" s="307">
        <f t="shared" si="67"/>
        <v>0</v>
      </c>
      <c r="V96" s="307">
        <f t="shared" si="67"/>
        <v>0</v>
      </c>
      <c r="W96" s="307">
        <f t="shared" si="67"/>
        <v>0</v>
      </c>
      <c r="X96" s="307">
        <f t="shared" si="67"/>
        <v>0</v>
      </c>
      <c r="Y96" s="307">
        <f t="shared" si="67"/>
        <v>0</v>
      </c>
      <c r="Z96" s="307">
        <f t="shared" si="67"/>
        <v>0</v>
      </c>
      <c r="AA96" s="307">
        <f t="shared" si="67"/>
        <v>0</v>
      </c>
      <c r="AB96" s="307">
        <f t="shared" si="67"/>
        <v>0</v>
      </c>
      <c r="AC96" s="307">
        <f t="shared" si="67"/>
        <v>0</v>
      </c>
      <c r="AD96" s="307">
        <f t="shared" si="67"/>
        <v>0</v>
      </c>
      <c r="AE96" s="307">
        <f t="shared" si="67"/>
        <v>0</v>
      </c>
      <c r="AF96" s="307">
        <f t="shared" si="67"/>
        <v>0</v>
      </c>
      <c r="AG96" s="307">
        <f t="shared" si="67"/>
        <v>0</v>
      </c>
      <c r="AH96" s="307">
        <f t="shared" si="67"/>
        <v>0</v>
      </c>
      <c r="AI96" s="307">
        <f t="shared" si="67"/>
        <v>0</v>
      </c>
      <c r="AJ96" s="307">
        <f t="shared" ref="AJ96:BK96" si="68">IF(AJ86&lt;0,MAX(-$C$10,200000*AJ86),MIN(200000*AJ86,$C$10)-IF(AND($D76&lt;$C$8*AJ69,$D76&gt;0),$C$9,0))</f>
        <v>0</v>
      </c>
      <c r="AK96" s="307">
        <f t="shared" si="68"/>
        <v>0</v>
      </c>
      <c r="AL96" s="307">
        <f t="shared" si="68"/>
        <v>0</v>
      </c>
      <c r="AM96" s="307">
        <f t="shared" si="68"/>
        <v>0</v>
      </c>
      <c r="AN96" s="307">
        <f t="shared" si="68"/>
        <v>0</v>
      </c>
      <c r="AO96" s="307">
        <f t="shared" si="68"/>
        <v>0</v>
      </c>
      <c r="AP96" s="307">
        <f t="shared" si="68"/>
        <v>0</v>
      </c>
      <c r="AQ96" s="307">
        <f t="shared" si="68"/>
        <v>0</v>
      </c>
      <c r="AR96" s="61">
        <f t="shared" si="68"/>
        <v>0</v>
      </c>
      <c r="AS96" s="307">
        <f t="shared" si="68"/>
        <v>0</v>
      </c>
      <c r="AT96" s="307">
        <f t="shared" si="68"/>
        <v>0</v>
      </c>
      <c r="AU96" s="307">
        <f t="shared" si="68"/>
        <v>0</v>
      </c>
      <c r="AV96" s="307">
        <f t="shared" si="68"/>
        <v>0</v>
      </c>
      <c r="AW96" s="307">
        <f t="shared" si="68"/>
        <v>0</v>
      </c>
      <c r="AX96" s="307">
        <f t="shared" si="68"/>
        <v>0</v>
      </c>
      <c r="AY96" s="307">
        <f t="shared" si="68"/>
        <v>0</v>
      </c>
      <c r="AZ96" s="307">
        <f t="shared" si="68"/>
        <v>0</v>
      </c>
      <c r="BA96" s="307">
        <f t="shared" si="68"/>
        <v>0</v>
      </c>
      <c r="BB96" s="307">
        <f t="shared" si="68"/>
        <v>0</v>
      </c>
      <c r="BC96" s="307">
        <f t="shared" si="68"/>
        <v>0</v>
      </c>
      <c r="BD96" s="307">
        <f t="shared" si="68"/>
        <v>0</v>
      </c>
      <c r="BE96" s="307">
        <f t="shared" si="68"/>
        <v>0</v>
      </c>
      <c r="BF96" s="307">
        <f t="shared" si="68"/>
        <v>0</v>
      </c>
      <c r="BG96" s="307">
        <f t="shared" si="68"/>
        <v>0</v>
      </c>
      <c r="BH96" s="307">
        <f t="shared" si="68"/>
        <v>0</v>
      </c>
      <c r="BI96" s="307">
        <f t="shared" si="68"/>
        <v>0</v>
      </c>
      <c r="BJ96" s="307">
        <f t="shared" si="68"/>
        <v>0</v>
      </c>
      <c r="BK96" s="307">
        <f t="shared" si="68"/>
        <v>0</v>
      </c>
      <c r="BL96" s="307">
        <f>IF(BL86&lt;0,MAX(-$C$10,200000*BL86),MIN(200000*BL86,$C$10)-IF(AND($D76&lt;$C$8*BL69,$D76&gt;0),$C$9,0))</f>
        <v>0</v>
      </c>
      <c r="BM96" s="307">
        <f>IF(BM86&lt;0,MAX(-$C$10,200000*BM86),MIN(200000*BM86,$C$10)-IF(AND($D76&lt;$C$8*BM69,$D76&gt;0),$C$9,0))</f>
        <v>0</v>
      </c>
      <c r="BN96" s="307">
        <f>IF(BN86&lt;0,MAX(-$C$10,200000*BN86),MIN(200000*BN86,$C$10)-IF(AND($D76&lt;$C$8*BN69,$D76&gt;0),$C$9,0))</f>
        <v>0</v>
      </c>
      <c r="BO96" s="12">
        <f>IF(D96=0,0,BO90)</f>
        <v>0</v>
      </c>
      <c r="BP96" s="41"/>
      <c r="BQ96" s="41"/>
      <c r="BR96" s="41"/>
    </row>
    <row r="97" spans="1:70" ht="16.5">
      <c r="A97" s="41"/>
      <c r="B97" s="11">
        <f t="shared" si="58"/>
        <v>8</v>
      </c>
      <c r="C97" s="302" t="s">
        <v>61</v>
      </c>
      <c r="D97" s="12">
        <f t="shared" ref="D97:AI97" si="69">IF(D87&lt;0,MAX(-$C$10,200000*D87),MIN(200000*D87,$C$10)-IF(AND($D77&lt;$C$8*D69,$D77&gt;0),$C$9,0))</f>
        <v>0</v>
      </c>
      <c r="E97" s="307">
        <f t="shared" si="69"/>
        <v>0</v>
      </c>
      <c r="F97" s="307">
        <f t="shared" si="69"/>
        <v>0</v>
      </c>
      <c r="G97" s="307">
        <f t="shared" si="69"/>
        <v>0</v>
      </c>
      <c r="H97" s="307">
        <f t="shared" si="69"/>
        <v>0</v>
      </c>
      <c r="I97" s="307">
        <f t="shared" si="69"/>
        <v>0</v>
      </c>
      <c r="J97" s="307">
        <f t="shared" si="69"/>
        <v>0</v>
      </c>
      <c r="K97" s="307">
        <f t="shared" si="69"/>
        <v>0</v>
      </c>
      <c r="L97" s="307">
        <f t="shared" si="69"/>
        <v>0</v>
      </c>
      <c r="M97" s="307">
        <f t="shared" si="69"/>
        <v>0</v>
      </c>
      <c r="N97" s="307">
        <f t="shared" si="69"/>
        <v>0</v>
      </c>
      <c r="O97" s="307">
        <f t="shared" si="69"/>
        <v>0</v>
      </c>
      <c r="P97" s="307">
        <f t="shared" si="69"/>
        <v>0</v>
      </c>
      <c r="Q97" s="307">
        <f t="shared" si="69"/>
        <v>0</v>
      </c>
      <c r="R97" s="307">
        <f t="shared" si="69"/>
        <v>0</v>
      </c>
      <c r="S97" s="307">
        <f t="shared" si="69"/>
        <v>0</v>
      </c>
      <c r="T97" s="307">
        <f t="shared" si="69"/>
        <v>0</v>
      </c>
      <c r="U97" s="307">
        <f t="shared" si="69"/>
        <v>0</v>
      </c>
      <c r="V97" s="307">
        <f t="shared" si="69"/>
        <v>0</v>
      </c>
      <c r="W97" s="307">
        <f t="shared" si="69"/>
        <v>0</v>
      </c>
      <c r="X97" s="307">
        <f t="shared" si="69"/>
        <v>0</v>
      </c>
      <c r="Y97" s="307">
        <f t="shared" si="69"/>
        <v>0</v>
      </c>
      <c r="Z97" s="307">
        <f t="shared" si="69"/>
        <v>0</v>
      </c>
      <c r="AA97" s="307">
        <f t="shared" si="69"/>
        <v>0</v>
      </c>
      <c r="AB97" s="307">
        <f t="shared" si="69"/>
        <v>0</v>
      </c>
      <c r="AC97" s="307">
        <f t="shared" si="69"/>
        <v>0</v>
      </c>
      <c r="AD97" s="307">
        <f t="shared" si="69"/>
        <v>0</v>
      </c>
      <c r="AE97" s="307">
        <f t="shared" si="69"/>
        <v>0</v>
      </c>
      <c r="AF97" s="307">
        <f t="shared" si="69"/>
        <v>0</v>
      </c>
      <c r="AG97" s="307">
        <f t="shared" si="69"/>
        <v>0</v>
      </c>
      <c r="AH97" s="307">
        <f t="shared" si="69"/>
        <v>0</v>
      </c>
      <c r="AI97" s="307">
        <f t="shared" si="69"/>
        <v>0</v>
      </c>
      <c r="AJ97" s="307">
        <f t="shared" ref="AJ97:BK97" si="70">IF(AJ87&lt;0,MAX(-$C$10,200000*AJ87),MIN(200000*AJ87,$C$10)-IF(AND($D77&lt;$C$8*AJ69,$D77&gt;0),$C$9,0))</f>
        <v>0</v>
      </c>
      <c r="AK97" s="307">
        <f t="shared" si="70"/>
        <v>0</v>
      </c>
      <c r="AL97" s="307">
        <f t="shared" si="70"/>
        <v>0</v>
      </c>
      <c r="AM97" s="307">
        <f t="shared" si="70"/>
        <v>0</v>
      </c>
      <c r="AN97" s="307">
        <f t="shared" si="70"/>
        <v>0</v>
      </c>
      <c r="AO97" s="307">
        <f t="shared" si="70"/>
        <v>0</v>
      </c>
      <c r="AP97" s="307">
        <f t="shared" si="70"/>
        <v>0</v>
      </c>
      <c r="AQ97" s="307">
        <f t="shared" si="70"/>
        <v>0</v>
      </c>
      <c r="AR97" s="61">
        <f t="shared" si="70"/>
        <v>0</v>
      </c>
      <c r="AS97" s="307">
        <f t="shared" si="70"/>
        <v>0</v>
      </c>
      <c r="AT97" s="307">
        <f t="shared" si="70"/>
        <v>0</v>
      </c>
      <c r="AU97" s="307">
        <f t="shared" si="70"/>
        <v>0</v>
      </c>
      <c r="AV97" s="307">
        <f t="shared" si="70"/>
        <v>0</v>
      </c>
      <c r="AW97" s="307">
        <f t="shared" si="70"/>
        <v>0</v>
      </c>
      <c r="AX97" s="307">
        <f t="shared" si="70"/>
        <v>0</v>
      </c>
      <c r="AY97" s="307">
        <f t="shared" si="70"/>
        <v>0</v>
      </c>
      <c r="AZ97" s="307">
        <f t="shared" si="70"/>
        <v>0</v>
      </c>
      <c r="BA97" s="307">
        <f t="shared" si="70"/>
        <v>0</v>
      </c>
      <c r="BB97" s="307">
        <f t="shared" si="70"/>
        <v>0</v>
      </c>
      <c r="BC97" s="307">
        <f t="shared" si="70"/>
        <v>0</v>
      </c>
      <c r="BD97" s="307">
        <f t="shared" si="70"/>
        <v>0</v>
      </c>
      <c r="BE97" s="307">
        <f t="shared" si="70"/>
        <v>0</v>
      </c>
      <c r="BF97" s="307">
        <f t="shared" si="70"/>
        <v>0</v>
      </c>
      <c r="BG97" s="307">
        <f t="shared" si="70"/>
        <v>0</v>
      </c>
      <c r="BH97" s="307">
        <f t="shared" si="70"/>
        <v>0</v>
      </c>
      <c r="BI97" s="307">
        <f t="shared" si="70"/>
        <v>0</v>
      </c>
      <c r="BJ97" s="307">
        <f t="shared" si="70"/>
        <v>0</v>
      </c>
      <c r="BK97" s="307">
        <f t="shared" si="70"/>
        <v>0</v>
      </c>
      <c r="BL97" s="307">
        <f>IF(BL87&lt;0,MAX(-$C$10,200000*BL87),MIN(200000*BL87,$C$10)-IF(AND($D77&lt;$C$8*BL69,$D77&gt;0),$C$9,0))</f>
        <v>0</v>
      </c>
      <c r="BM97" s="307">
        <f>IF(BM87&lt;0,MAX(-$C$10,200000*BM87),MIN(200000*BM87,$C$10)-IF(AND($D77&lt;$C$8*BM69,$D77&gt;0),$C$9,0))</f>
        <v>0</v>
      </c>
      <c r="BN97" s="307">
        <f>IF(BN87&lt;0,MAX(-$C$10,200000*BN87),MIN(200000*BN87,$C$10)-IF(AND($D77&lt;$C$8*BN69,$D77&gt;0),$C$9,0))</f>
        <v>0</v>
      </c>
      <c r="BO97" s="12">
        <f>IF(D97=0,0,BO90)</f>
        <v>0</v>
      </c>
      <c r="BP97" s="41"/>
      <c r="BQ97" s="41"/>
      <c r="BR97" s="41"/>
    </row>
    <row r="98" spans="1:70" ht="16.5">
      <c r="A98" s="41"/>
      <c r="B98" s="11">
        <f t="shared" si="58"/>
        <v>9</v>
      </c>
      <c r="C98" s="302" t="s">
        <v>61</v>
      </c>
      <c r="D98" s="12">
        <f t="shared" ref="D98:AI98" si="71">IF(D88&lt;0,MAX(-$C$10,200000*D88),MIN(200000*D88,$C$10)-IF(AND($D78&lt;$C$8*D69,$D78&gt;0),$C$9,0))</f>
        <v>0</v>
      </c>
      <c r="E98" s="307">
        <f t="shared" si="71"/>
        <v>0</v>
      </c>
      <c r="F98" s="307">
        <f t="shared" si="71"/>
        <v>0</v>
      </c>
      <c r="G98" s="307">
        <f t="shared" si="71"/>
        <v>0</v>
      </c>
      <c r="H98" s="307">
        <f t="shared" si="71"/>
        <v>0</v>
      </c>
      <c r="I98" s="307">
        <f t="shared" si="71"/>
        <v>0</v>
      </c>
      <c r="J98" s="307">
        <f t="shared" si="71"/>
        <v>0</v>
      </c>
      <c r="K98" s="307">
        <f t="shared" si="71"/>
        <v>0</v>
      </c>
      <c r="L98" s="307">
        <f t="shared" si="71"/>
        <v>0</v>
      </c>
      <c r="M98" s="307">
        <f t="shared" si="71"/>
        <v>0</v>
      </c>
      <c r="N98" s="307">
        <f t="shared" si="71"/>
        <v>0</v>
      </c>
      <c r="O98" s="307">
        <f t="shared" si="71"/>
        <v>0</v>
      </c>
      <c r="P98" s="307">
        <f t="shared" si="71"/>
        <v>0</v>
      </c>
      <c r="Q98" s="307">
        <f t="shared" si="71"/>
        <v>0</v>
      </c>
      <c r="R98" s="307">
        <f t="shared" si="71"/>
        <v>0</v>
      </c>
      <c r="S98" s="307">
        <f t="shared" si="71"/>
        <v>0</v>
      </c>
      <c r="T98" s="307">
        <f t="shared" si="71"/>
        <v>0</v>
      </c>
      <c r="U98" s="307">
        <f t="shared" si="71"/>
        <v>0</v>
      </c>
      <c r="V98" s="307">
        <f t="shared" si="71"/>
        <v>0</v>
      </c>
      <c r="W98" s="307">
        <f t="shared" si="71"/>
        <v>0</v>
      </c>
      <c r="X98" s="307">
        <f t="shared" si="71"/>
        <v>0</v>
      </c>
      <c r="Y98" s="307">
        <f t="shared" si="71"/>
        <v>0</v>
      </c>
      <c r="Z98" s="307">
        <f t="shared" si="71"/>
        <v>0</v>
      </c>
      <c r="AA98" s="307">
        <f t="shared" si="71"/>
        <v>0</v>
      </c>
      <c r="AB98" s="307">
        <f t="shared" si="71"/>
        <v>0</v>
      </c>
      <c r="AC98" s="307">
        <f t="shared" si="71"/>
        <v>0</v>
      </c>
      <c r="AD98" s="307">
        <f t="shared" si="71"/>
        <v>0</v>
      </c>
      <c r="AE98" s="307">
        <f t="shared" si="71"/>
        <v>0</v>
      </c>
      <c r="AF98" s="307">
        <f t="shared" si="71"/>
        <v>0</v>
      </c>
      <c r="AG98" s="307">
        <f t="shared" si="71"/>
        <v>0</v>
      </c>
      <c r="AH98" s="307">
        <f t="shared" si="71"/>
        <v>0</v>
      </c>
      <c r="AI98" s="307">
        <f t="shared" si="71"/>
        <v>0</v>
      </c>
      <c r="AJ98" s="307">
        <f t="shared" ref="AJ98:BK98" si="72">IF(AJ88&lt;0,MAX(-$C$10,200000*AJ88),MIN(200000*AJ88,$C$10)-IF(AND($D78&lt;$C$8*AJ69,$D78&gt;0),$C$9,0))</f>
        <v>0</v>
      </c>
      <c r="AK98" s="307">
        <f t="shared" si="72"/>
        <v>0</v>
      </c>
      <c r="AL98" s="307">
        <f t="shared" si="72"/>
        <v>0</v>
      </c>
      <c r="AM98" s="307">
        <f t="shared" si="72"/>
        <v>0</v>
      </c>
      <c r="AN98" s="307">
        <f t="shared" si="72"/>
        <v>0</v>
      </c>
      <c r="AO98" s="307">
        <f t="shared" si="72"/>
        <v>0</v>
      </c>
      <c r="AP98" s="307">
        <f t="shared" si="72"/>
        <v>0</v>
      </c>
      <c r="AQ98" s="307">
        <f t="shared" si="72"/>
        <v>0</v>
      </c>
      <c r="AR98" s="61">
        <f t="shared" si="72"/>
        <v>0</v>
      </c>
      <c r="AS98" s="307">
        <f t="shared" si="72"/>
        <v>0</v>
      </c>
      <c r="AT98" s="307">
        <f t="shared" si="72"/>
        <v>0</v>
      </c>
      <c r="AU98" s="307">
        <f t="shared" si="72"/>
        <v>0</v>
      </c>
      <c r="AV98" s="307">
        <f t="shared" si="72"/>
        <v>0</v>
      </c>
      <c r="AW98" s="307">
        <f t="shared" si="72"/>
        <v>0</v>
      </c>
      <c r="AX98" s="307">
        <f t="shared" si="72"/>
        <v>0</v>
      </c>
      <c r="AY98" s="307">
        <f t="shared" si="72"/>
        <v>0</v>
      </c>
      <c r="AZ98" s="307">
        <f t="shared" si="72"/>
        <v>0</v>
      </c>
      <c r="BA98" s="307">
        <f t="shared" si="72"/>
        <v>0</v>
      </c>
      <c r="BB98" s="307">
        <f t="shared" si="72"/>
        <v>0</v>
      </c>
      <c r="BC98" s="307">
        <f t="shared" si="72"/>
        <v>0</v>
      </c>
      <c r="BD98" s="307">
        <f t="shared" si="72"/>
        <v>0</v>
      </c>
      <c r="BE98" s="307">
        <f t="shared" si="72"/>
        <v>0</v>
      </c>
      <c r="BF98" s="307">
        <f t="shared" si="72"/>
        <v>0</v>
      </c>
      <c r="BG98" s="307">
        <f t="shared" si="72"/>
        <v>0</v>
      </c>
      <c r="BH98" s="307">
        <f t="shared" si="72"/>
        <v>0</v>
      </c>
      <c r="BI98" s="307">
        <f t="shared" si="72"/>
        <v>0</v>
      </c>
      <c r="BJ98" s="307">
        <f t="shared" si="72"/>
        <v>0</v>
      </c>
      <c r="BK98" s="307">
        <f t="shared" si="72"/>
        <v>0</v>
      </c>
      <c r="BL98" s="307">
        <f>IF(BL88&lt;0,MAX(-$C$10,200000*BL88),MIN(200000*BL88,$C$10)-IF(AND($D78&lt;$C$8*BL69,$D78&gt;0),$C$9,0))</f>
        <v>0</v>
      </c>
      <c r="BM98" s="307">
        <f>IF(BM88&lt;0,MAX(-$C$10,200000*BM88),MIN(200000*BM88,$C$10)-IF(AND($D78&lt;$C$8*BM69,$D78&gt;0),$C$9,0))</f>
        <v>0</v>
      </c>
      <c r="BN98" s="307">
        <f>IF(BN88&lt;0,MAX(-$C$10,200000*BN88),MIN(200000*BN88,$C$10)-IF(AND($D78&lt;$C$8*BN69,$D78&gt;0),$C$9,0))</f>
        <v>0</v>
      </c>
      <c r="BO98" s="12">
        <f>IF(D98=0,0,BO90)</f>
        <v>0</v>
      </c>
      <c r="BP98" s="41"/>
      <c r="BQ98" s="41"/>
      <c r="BR98" s="41"/>
    </row>
    <row r="99" spans="1:70" ht="16.5">
      <c r="A99" s="41"/>
      <c r="B99" s="294" t="s">
        <v>62</v>
      </c>
      <c r="C99" s="302" t="s">
        <v>63</v>
      </c>
      <c r="D99" s="12">
        <f t="shared" ref="D99:BJ99" si="73">IF(D89&lt;0,MAX(-$C$10,200000*D89),MIN(200000*D89,$C$10)-IF(AND($F66&lt;$C$8*D69,$D79&gt;0),$C$9,0))</f>
        <v>-434.78260869565219</v>
      </c>
      <c r="E99" s="307">
        <f t="shared" si="73"/>
        <v>-434.78260869565219</v>
      </c>
      <c r="F99" s="307">
        <f t="shared" si="73"/>
        <v>-434.78260869565219</v>
      </c>
      <c r="G99" s="307">
        <f t="shared" si="73"/>
        <v>-434.78260869565219</v>
      </c>
      <c r="H99" s="307">
        <f t="shared" si="73"/>
        <v>-434.78260869565219</v>
      </c>
      <c r="I99" s="307">
        <f t="shared" si="73"/>
        <v>-434.78260869565219</v>
      </c>
      <c r="J99" s="307">
        <f t="shared" si="73"/>
        <v>-434.78260869565219</v>
      </c>
      <c r="K99" s="307">
        <f t="shared" si="73"/>
        <v>-434.78260869565219</v>
      </c>
      <c r="L99" s="307">
        <f t="shared" si="73"/>
        <v>-434.78260869565219</v>
      </c>
      <c r="M99" s="307">
        <f t="shared" si="73"/>
        <v>-434.78260869565219</v>
      </c>
      <c r="N99" s="307">
        <f t="shared" si="73"/>
        <v>-434.78260869565219</v>
      </c>
      <c r="O99" s="307">
        <f t="shared" si="73"/>
        <v>-434.78260869565219</v>
      </c>
      <c r="P99" s="307">
        <f t="shared" si="73"/>
        <v>-434.78260869565219</v>
      </c>
      <c r="Q99" s="307">
        <f t="shared" si="73"/>
        <v>-434.78260869565219</v>
      </c>
      <c r="R99" s="307">
        <f t="shared" si="73"/>
        <v>-434.78260869565219</v>
      </c>
      <c r="S99" s="307">
        <f t="shared" si="73"/>
        <v>-434.78260869565219</v>
      </c>
      <c r="T99" s="307">
        <f t="shared" si="73"/>
        <v>-434.78260869565219</v>
      </c>
      <c r="U99" s="307">
        <f t="shared" si="73"/>
        <v>-434.78260869565219</v>
      </c>
      <c r="V99" s="307">
        <f t="shared" si="73"/>
        <v>-434.78260869565219</v>
      </c>
      <c r="W99" s="307">
        <f t="shared" si="73"/>
        <v>-434.78260869565219</v>
      </c>
      <c r="X99" s="307">
        <f t="shared" si="73"/>
        <v>-434.78260869565219</v>
      </c>
      <c r="Y99" s="307">
        <f t="shared" si="73"/>
        <v>-434.78260869565219</v>
      </c>
      <c r="Z99" s="307">
        <f t="shared" si="73"/>
        <v>-434.78260869565219</v>
      </c>
      <c r="AA99" s="307">
        <f t="shared" si="73"/>
        <v>-434.78260869565219</v>
      </c>
      <c r="AB99" s="307">
        <f t="shared" si="73"/>
        <v>-434.78260869565219</v>
      </c>
      <c r="AC99" s="307">
        <f t="shared" si="73"/>
        <v>-434.78260869565219</v>
      </c>
      <c r="AD99" s="307">
        <f t="shared" si="73"/>
        <v>-434.78260869565219</v>
      </c>
      <c r="AE99" s="307">
        <f t="shared" si="73"/>
        <v>-434.78260869565219</v>
      </c>
      <c r="AF99" s="307">
        <f t="shared" si="73"/>
        <v>-434.78260869565219</v>
      </c>
      <c r="AG99" s="307">
        <f t="shared" si="73"/>
        <v>-434.78260869565219</v>
      </c>
      <c r="AH99" s="307">
        <f t="shared" si="73"/>
        <v>-434.78260869565219</v>
      </c>
      <c r="AI99" s="307">
        <f t="shared" si="73"/>
        <v>-434.78260869565219</v>
      </c>
      <c r="AJ99" s="307">
        <f t="shared" si="73"/>
        <v>-434.78260869565219</v>
      </c>
      <c r="AK99" s="307">
        <f t="shared" si="73"/>
        <v>-434.78260869565219</v>
      </c>
      <c r="AL99" s="307">
        <f t="shared" si="73"/>
        <v>-434.78260869565219</v>
      </c>
      <c r="AM99" s="307">
        <f t="shared" si="73"/>
        <v>-434.78260869565219</v>
      </c>
      <c r="AN99" s="307">
        <f t="shared" si="73"/>
        <v>-434.78260869565219</v>
      </c>
      <c r="AO99" s="307">
        <f t="shared" si="73"/>
        <v>-434.78260869565219</v>
      </c>
      <c r="AP99" s="307">
        <f t="shared" si="73"/>
        <v>-434.78260869565219</v>
      </c>
      <c r="AQ99" s="307">
        <f t="shared" si="73"/>
        <v>-434.78260869565219</v>
      </c>
      <c r="AR99" s="61">
        <f t="shared" si="73"/>
        <v>-434.78260869565207</v>
      </c>
      <c r="AS99" s="307">
        <f t="shared" si="73"/>
        <v>-371.51355596928084</v>
      </c>
      <c r="AT99" s="307">
        <f t="shared" si="73"/>
        <v>-314.92697472855667</v>
      </c>
      <c r="AU99" s="307">
        <f t="shared" si="73"/>
        <v>-264.01726750086516</v>
      </c>
      <c r="AV99" s="307">
        <f t="shared" si="73"/>
        <v>-217.97096633507095</v>
      </c>
      <c r="AW99" s="307">
        <f t="shared" si="73"/>
        <v>-176.12293925186722</v>
      </c>
      <c r="AX99" s="307">
        <f t="shared" si="73"/>
        <v>-137.92405306453111</v>
      </c>
      <c r="AY99" s="307">
        <f t="shared" si="73"/>
        <v>-102.91694216977784</v>
      </c>
      <c r="AZ99" s="307">
        <f t="shared" si="73"/>
        <v>-70.717607795773731</v>
      </c>
      <c r="BA99" s="307">
        <f t="shared" si="73"/>
        <v>-41.001274084670875</v>
      </c>
      <c r="BB99" s="307">
        <f t="shared" si="73"/>
        <v>-13.491394756467384</v>
      </c>
      <c r="BC99" s="307">
        <f t="shared" si="73"/>
        <v>12.048979100562448</v>
      </c>
      <c r="BD99" s="307">
        <f t="shared" si="73"/>
        <v>35.593810776001796</v>
      </c>
      <c r="BE99" s="307">
        <f t="shared" si="73"/>
        <v>55.797923465510166</v>
      </c>
      <c r="BF99" s="307">
        <f t="shared" si="73"/>
        <v>73.562146126313635</v>
      </c>
      <c r="BG99" s="307">
        <f t="shared" si="73"/>
        <v>89.303280988488851</v>
      </c>
      <c r="BH99" s="307">
        <f t="shared" si="73"/>
        <v>103.34830944806995</v>
      </c>
      <c r="BI99" s="307">
        <f t="shared" si="73"/>
        <v>115.95735064873472</v>
      </c>
      <c r="BJ99" s="307">
        <f t="shared" si="73"/>
        <v>104.67325390861963</v>
      </c>
      <c r="BK99" s="307">
        <f>IF(BK89&lt;0,MAX(-$C$10,200000*BK89),MIN(200000*BK89,$C$10)-IF(AND($F66&lt;$C$8*BK69,$D79&gt;0),$C$9,0))</f>
        <v>114.99999999999999</v>
      </c>
      <c r="BL99" s="307">
        <f>IF(BL89&lt;0,MAX(-$C$10,200000*BL89),MIN(200000*BL89,$C$10)-IF(AND($F66&lt;$C$8*BL69,$D79&gt;0),$C$9,0))</f>
        <v>207.89583333333334</v>
      </c>
      <c r="BM99" s="307">
        <f>IF(BM89&lt;0,MAX(-$C$10,200000*BM89),MIN(200000*BM89,$C$10)-IF(AND($F66&lt;$C$8*BM69,$D79&gt;0),$C$9,0))</f>
        <v>244.24637681159416</v>
      </c>
      <c r="BN99" s="307">
        <f>IF(BN89&lt;0,MAX(-$C$10,200000*BN89),MIN(200000*BN89,$C$10)-IF(AND($F66&lt;$C$8*BN69,$D79&gt;0),$C$9,0))</f>
        <v>263.63333333333327</v>
      </c>
      <c r="BO99" s="12">
        <f>BO90</f>
        <v>327.33333333333331</v>
      </c>
      <c r="BP99" s="41"/>
      <c r="BQ99" s="41"/>
      <c r="BR99" s="41"/>
    </row>
    <row r="100" spans="1:70" ht="16.5">
      <c r="A100" s="41"/>
      <c r="B100" s="290" t="s">
        <v>64</v>
      </c>
      <c r="C100" s="298" t="s">
        <v>65</v>
      </c>
      <c r="D100" s="3">
        <f>D90*$I66*MAIN!$C$15/MAIN!$Q$1</f>
        <v>122985.80916764161</v>
      </c>
      <c r="E100" s="13">
        <f>E90*$I66*MAIN!$C$15/MAIN!$Q$1</f>
        <v>297590.46634229919</v>
      </c>
      <c r="F100" s="13">
        <f>F90*$I66*MAIN!$C$15/MAIN!$Q$1</f>
        <v>435265.47157478915</v>
      </c>
      <c r="G100" s="13">
        <f>G90*$I66*MAIN!$C$15/MAIN!$Q$1</f>
        <v>532159.54816358432</v>
      </c>
      <c r="H100" s="13">
        <f>H90*$I66*MAIN!$C$15/MAIN!$Q$1</f>
        <v>604054.93000579567</v>
      </c>
      <c r="I100" s="13">
        <f>I90*$I66*MAIN!$C$15/MAIN!$Q$1</f>
        <v>659520.70722218032</v>
      </c>
      <c r="J100" s="13">
        <f>J90*$I66*MAIN!$C$15/MAIN!$Q$1</f>
        <v>662886.61294361507</v>
      </c>
      <c r="K100" s="13">
        <f>K90*$I66*MAIN!$C$15/MAIN!$Q$1</f>
        <v>662886.61294361507</v>
      </c>
      <c r="L100" s="13">
        <f>L90*$I66*MAIN!$C$15/MAIN!$Q$1</f>
        <v>662886.61294361507</v>
      </c>
      <c r="M100" s="13">
        <f>M90*$I66*MAIN!$C$15/MAIN!$Q$1</f>
        <v>662886.61294361507</v>
      </c>
      <c r="N100" s="13">
        <f>N90*$I66*MAIN!$C$15/MAIN!$Q$1</f>
        <v>662886.61294361507</v>
      </c>
      <c r="O100" s="13">
        <f>O90*$I66*MAIN!$C$15/MAIN!$Q$1</f>
        <v>662886.61294361507</v>
      </c>
      <c r="P100" s="13">
        <f>P90*$I66*MAIN!$C$15/MAIN!$Q$1</f>
        <v>662886.61294361507</v>
      </c>
      <c r="Q100" s="13">
        <f>Q90*$I66*MAIN!$C$15/MAIN!$Q$1</f>
        <v>662886.61294361507</v>
      </c>
      <c r="R100" s="13">
        <f>R90*$I66*MAIN!$C$15/MAIN!$Q$1</f>
        <v>662886.61294361507</v>
      </c>
      <c r="S100" s="13">
        <f>S90*$I66*MAIN!$C$15/MAIN!$Q$1</f>
        <v>662886.61294361507</v>
      </c>
      <c r="T100" s="13">
        <f>T90*$I66*MAIN!$C$15/MAIN!$Q$1</f>
        <v>662886.61294361507</v>
      </c>
      <c r="U100" s="13">
        <f>U90*$I66*MAIN!$C$15/MAIN!$Q$1</f>
        <v>662886.61294361507</v>
      </c>
      <c r="V100" s="13">
        <f>V90*$I66*MAIN!$C$15/MAIN!$Q$1</f>
        <v>662886.61294361507</v>
      </c>
      <c r="W100" s="13">
        <f>W90*$I66*MAIN!$C$15/MAIN!$Q$1</f>
        <v>662886.61294361507</v>
      </c>
      <c r="X100" s="13">
        <f>X90*$I66*MAIN!$C$15/MAIN!$Q$1</f>
        <v>662886.61294361507</v>
      </c>
      <c r="Y100" s="13">
        <f>Y90*$I66*MAIN!$C$15/MAIN!$Q$1</f>
        <v>662886.61294361507</v>
      </c>
      <c r="Z100" s="13">
        <f>Z90*$I66*MAIN!$C$15/MAIN!$Q$1</f>
        <v>662886.61294361507</v>
      </c>
      <c r="AA100" s="13">
        <f>AA90*$I66*MAIN!$C$15/MAIN!$Q$1</f>
        <v>662886.61294361507</v>
      </c>
      <c r="AB100" s="13">
        <f>AB90*$I66*MAIN!$C$15/MAIN!$Q$1</f>
        <v>662886.61294361507</v>
      </c>
      <c r="AC100" s="13">
        <f>AC90*$I66*MAIN!$C$15/MAIN!$Q$1</f>
        <v>662886.61294361507</v>
      </c>
      <c r="AD100" s="13">
        <f>AD90*$I66*MAIN!$C$15/MAIN!$Q$1</f>
        <v>662886.61294361507</v>
      </c>
      <c r="AE100" s="13">
        <f>AE90*$I66*MAIN!$C$15/MAIN!$Q$1</f>
        <v>662886.61294361507</v>
      </c>
      <c r="AF100" s="13">
        <f>AF90*$I66*MAIN!$C$15/MAIN!$Q$1</f>
        <v>662886.61294361507</v>
      </c>
      <c r="AG100" s="13">
        <f>AG90*$I66*MAIN!$C$15/MAIN!$Q$1</f>
        <v>662886.61294361507</v>
      </c>
      <c r="AH100" s="13">
        <f>AH90*$I66*MAIN!$C$15/MAIN!$Q$1</f>
        <v>662886.61294361507</v>
      </c>
      <c r="AI100" s="13">
        <f>AI90*$I66*MAIN!$C$15/MAIN!$Q$1</f>
        <v>662886.61294361507</v>
      </c>
      <c r="AJ100" s="13">
        <f>AJ90*$I66*MAIN!$C$15/MAIN!$Q$1</f>
        <v>662886.61294361507</v>
      </c>
      <c r="AK100" s="13">
        <f>AK90*$I66*MAIN!$C$15/MAIN!$Q$1</f>
        <v>662886.61294361507</v>
      </c>
      <c r="AL100" s="13">
        <f>AL90*$I66*MAIN!$C$15/MAIN!$Q$1</f>
        <v>662886.61294361507</v>
      </c>
      <c r="AM100" s="13">
        <f>AM90*$I66*MAIN!$C$15/MAIN!$Q$1</f>
        <v>662886.61294361507</v>
      </c>
      <c r="AN100" s="13">
        <f>AN90*$I66*MAIN!$C$15/MAIN!$Q$1</f>
        <v>662886.61294361507</v>
      </c>
      <c r="AO100" s="13">
        <f>AO90*$I66*MAIN!$C$15/MAIN!$Q$1</f>
        <v>662886.61294361507</v>
      </c>
      <c r="AP100" s="13">
        <f>AP90*$I66*MAIN!$C$15/MAIN!$Q$1</f>
        <v>662886.61294361507</v>
      </c>
      <c r="AQ100" s="13">
        <f>AQ90*$I66*MAIN!$C$15/MAIN!$Q$1</f>
        <v>662886.61294361507</v>
      </c>
      <c r="AR100" s="56">
        <f>AR90*$I66*MAIN!$C$15/MAIN!$Q$1</f>
        <v>662886.61294361507</v>
      </c>
      <c r="AS100" s="13">
        <f>AS90*$I66*MAIN!$C$15/MAIN!$Q$1</f>
        <v>662886.61294361507</v>
      </c>
      <c r="AT100" s="13">
        <f>AT90*$I66*MAIN!$C$15/MAIN!$Q$1</f>
        <v>662886.61294361507</v>
      </c>
      <c r="AU100" s="13">
        <f>AU90*$I66*MAIN!$C$15/MAIN!$Q$1</f>
        <v>662886.61294361507</v>
      </c>
      <c r="AV100" s="13">
        <f>AV90*$I66*MAIN!$C$15/MAIN!$Q$1</f>
        <v>662886.61294361507</v>
      </c>
      <c r="AW100" s="13">
        <f>AW90*$I66*MAIN!$C$15/MAIN!$Q$1</f>
        <v>662886.61294361507</v>
      </c>
      <c r="AX100" s="13">
        <f>AX90*$I66*MAIN!$C$15/MAIN!$Q$1</f>
        <v>662886.61294361507</v>
      </c>
      <c r="AY100" s="13">
        <f>AY90*$I66*MAIN!$C$15/MAIN!$Q$1</f>
        <v>662886.61294361507</v>
      </c>
      <c r="AZ100" s="13">
        <f>AZ90*$I66*MAIN!$C$15/MAIN!$Q$1</f>
        <v>662886.61294361507</v>
      </c>
      <c r="BA100" s="13">
        <f>BA90*$I66*MAIN!$C$15/MAIN!$Q$1</f>
        <v>662886.61294361507</v>
      </c>
      <c r="BB100" s="13">
        <f>BB90*$I66*MAIN!$C$15/MAIN!$Q$1</f>
        <v>662886.61294361507</v>
      </c>
      <c r="BC100" s="13">
        <f>BC90*$I66*MAIN!$C$15/MAIN!$Q$1</f>
        <v>662886.61294361507</v>
      </c>
      <c r="BD100" s="13">
        <f>BD90*$I66*MAIN!$C$15/MAIN!$Q$1</f>
        <v>662886.61294361507</v>
      </c>
      <c r="BE100" s="13">
        <f>BE90*$I66*MAIN!$C$15/MAIN!$Q$1</f>
        <v>662886.61294361507</v>
      </c>
      <c r="BF100" s="13">
        <f>BF90*$I66*MAIN!$C$15/MAIN!$Q$1</f>
        <v>662886.61294361507</v>
      </c>
      <c r="BG100" s="13">
        <f>BG90*$I66*MAIN!$C$15/MAIN!$Q$1</f>
        <v>662886.61294361507</v>
      </c>
      <c r="BH100" s="13">
        <f>BH90*$I66*MAIN!$C$15/MAIN!$Q$1</f>
        <v>662886.61294361507</v>
      </c>
      <c r="BI100" s="13">
        <f>BI90*$I66*MAIN!$C$15/MAIN!$Q$1</f>
        <v>662886.61294361507</v>
      </c>
      <c r="BJ100" s="13">
        <f>BJ90*$I66*MAIN!$C$15/MAIN!$Q$1</f>
        <v>662886.61294361507</v>
      </c>
      <c r="BK100" s="13">
        <f>BK90*$I66*MAIN!$C$15/MAIN!$Q$1</f>
        <v>662886.61294361507</v>
      </c>
      <c r="BL100" s="13">
        <f>BL90*$I66*MAIN!$C$15/MAIN!$Q$1</f>
        <v>662886.61294361507</v>
      </c>
      <c r="BM100" s="13">
        <f>BM90*$I66*MAIN!$C$15/MAIN!$Q$1</f>
        <v>660159.16415635939</v>
      </c>
      <c r="BN100" s="13">
        <f>BN90*$I66*MAIN!$C$15/MAIN!$Q$1</f>
        <v>628975.33302206919</v>
      </c>
      <c r="BO100" s="3">
        <f>BO90*$I66*MAIN!$C$15/MAIN!$Q$1</f>
        <v>526514.17358083033</v>
      </c>
      <c r="BP100" s="41"/>
      <c r="BQ100" s="41"/>
      <c r="BR100" s="41"/>
    </row>
    <row r="101" spans="1:70" ht="16.5">
      <c r="A101" s="41"/>
      <c r="B101" s="14">
        <v>2</v>
      </c>
      <c r="C101" s="298" t="s">
        <v>66</v>
      </c>
      <c r="D101" s="3">
        <f>D91*$I66*2/MAIN!$Q$1</f>
        <v>-699345.84288607596</v>
      </c>
      <c r="E101" s="13">
        <f>E91*$I66*2/MAIN!$Q$1</f>
        <v>-699345.84288607596</v>
      </c>
      <c r="F101" s="13">
        <f>F91*$I66*2/MAIN!$Q$1</f>
        <v>-699345.84288607596</v>
      </c>
      <c r="G101" s="13">
        <f>G91*$I66*2/MAIN!$Q$1</f>
        <v>-699345.84288607596</v>
      </c>
      <c r="H101" s="13">
        <f>H91*$I66*2/MAIN!$Q$1</f>
        <v>-699345.84288607596</v>
      </c>
      <c r="I101" s="13">
        <f>I91*$I66*2/MAIN!$Q$1</f>
        <v>-699345.84288607596</v>
      </c>
      <c r="J101" s="13">
        <f>J91*$I66*2/MAIN!$Q$1</f>
        <v>-699345.84288607596</v>
      </c>
      <c r="K101" s="13">
        <f>K91*$I66*2/MAIN!$Q$1</f>
        <v>-699345.84288607596</v>
      </c>
      <c r="L101" s="13">
        <f>L91*$I66*2/MAIN!$Q$1</f>
        <v>-699345.84288607596</v>
      </c>
      <c r="M101" s="13">
        <f>M91*$I66*2/MAIN!$Q$1</f>
        <v>-699345.84288607596</v>
      </c>
      <c r="N101" s="13">
        <f>N91*$I66*2/MAIN!$Q$1</f>
        <v>-699345.84288607596</v>
      </c>
      <c r="O101" s="13">
        <f>O91*$I66*2/MAIN!$Q$1</f>
        <v>-699345.84288607596</v>
      </c>
      <c r="P101" s="13">
        <f>P91*$I66*2/MAIN!$Q$1</f>
        <v>-699345.84288607596</v>
      </c>
      <c r="Q101" s="13">
        <f>Q91*$I66*2/MAIN!$Q$1</f>
        <v>-612880.7783215401</v>
      </c>
      <c r="R101" s="13">
        <f>R91*$I66*2/MAIN!$Q$1</f>
        <v>-514929.31605938886</v>
      </c>
      <c r="S101" s="13">
        <f>S91*$I66*2/MAIN!$Q$1</f>
        <v>-427424.93394187657</v>
      </c>
      <c r="T101" s="13">
        <f>T91*$I66*2/MAIN!$Q$1</f>
        <v>-348780.88884694321</v>
      </c>
      <c r="U101" s="13">
        <f>U91*$I66*2/MAIN!$Q$1</f>
        <v>-277716.28738439863</v>
      </c>
      <c r="V101" s="13">
        <f>V91*$I66*2/MAIN!$Q$1</f>
        <v>-213185.78185397654</v>
      </c>
      <c r="W101" s="13">
        <f>W91*$I66*2/MAIN!$Q$1</f>
        <v>-154327.80635518153</v>
      </c>
      <c r="X101" s="13">
        <f>X91*$I66*2/MAIN!$Q$1</f>
        <v>-100425.88902735872</v>
      </c>
      <c r="Y101" s="13">
        <f>Y91*$I66*2/MAIN!$Q$1</f>
        <v>-50879.342409027624</v>
      </c>
      <c r="Z101" s="13">
        <f>Z91*$I66*2/MAIN!$Q$1</f>
        <v>-5180.7827159858434</v>
      </c>
      <c r="AA101" s="13">
        <f>AA91*$I66*2/MAIN!$Q$1</f>
        <v>37101.308839617952</v>
      </c>
      <c r="AB101" s="13">
        <f>AB91*$I66*2/MAIN!$Q$1</f>
        <v>76336.254466941828</v>
      </c>
      <c r="AC101" s="13">
        <f>AC91*$I66*2/MAIN!$Q$1</f>
        <v>112841.99586633529</v>
      </c>
      <c r="AD101" s="13">
        <f>AD91*$I66*2/MAIN!$Q$1</f>
        <v>146893.72904854771</v>
      </c>
      <c r="AE101" s="13">
        <f>AE91*$I66*2/MAIN!$Q$1</f>
        <v>178730.85441695226</v>
      </c>
      <c r="AF101" s="13">
        <f>AF91*$I66*2/MAIN!$Q$1</f>
        <v>208562.61352827362</v>
      </c>
      <c r="AG101" s="13">
        <f>AG91*$I66*2/MAIN!$Q$1</f>
        <v>200113.46328274783</v>
      </c>
      <c r="AH101" s="13">
        <f>AH91*$I66*2/MAIN!$Q$1</f>
        <v>226463.78136094482</v>
      </c>
      <c r="AI101" s="13">
        <f>AI91*$I66*2/MAIN!$Q$1</f>
        <v>251297.61863195887</v>
      </c>
      <c r="AJ101" s="13">
        <f>AJ91*$I66*2/MAIN!$Q$1</f>
        <v>274742.22535367968</v>
      </c>
      <c r="AK101" s="13">
        <f>AK91*$I66*2/MAIN!$Q$1</f>
        <v>296911.00214345608</v>
      </c>
      <c r="AL101" s="13">
        <f>AL91*$I66*2/MAIN!$Q$1</f>
        <v>317905.33427374955</v>
      </c>
      <c r="AM101" s="13">
        <f>AM91*$I66*2/MAIN!$Q$1</f>
        <v>337816.14196196798</v>
      </c>
      <c r="AN101" s="13">
        <f>AN91*$I66*2/MAIN!$Q$1</f>
        <v>356725.19666565314</v>
      </c>
      <c r="AO101" s="13">
        <f>AO91*$I66*2/MAIN!$Q$1</f>
        <v>374706.24357651576</v>
      </c>
      <c r="AP101" s="13">
        <f>AP91*$I66*2/MAIN!$Q$1</f>
        <v>391825.962805424</v>
      </c>
      <c r="AQ101" s="13">
        <f>AQ91*$I66*2/MAIN!$Q$1</f>
        <v>408144.79567032761</v>
      </c>
      <c r="AR101" s="56">
        <f>AR91*$I66*2/MAIN!$Q$1</f>
        <v>423717.65766969649</v>
      </c>
      <c r="AS101" s="13">
        <f>AS91*$I66*2/MAIN!$Q$1</f>
        <v>460837.21855611622</v>
      </c>
      <c r="AT101" s="13">
        <f>AT91*$I66*2/MAIN!$Q$1</f>
        <v>494036.21486168139</v>
      </c>
      <c r="AU101" s="13">
        <f>AU91*$I66*2/MAIN!$Q$1</f>
        <v>523904.62438759848</v>
      </c>
      <c r="AV101" s="13">
        <f>AV91*$I66*2/MAIN!$Q$1</f>
        <v>550919.7037362688</v>
      </c>
      <c r="AW101" s="13">
        <f>AW91*$I66*2/MAIN!$Q$1</f>
        <v>575471.68171529204</v>
      </c>
      <c r="AX101" s="13">
        <f>AX91*$I66*2/MAIN!$Q$1</f>
        <v>597882.73135999823</v>
      </c>
      <c r="AY101" s="13">
        <f>AY91*$I66*2/MAIN!$Q$1</f>
        <v>618421.18623358954</v>
      </c>
      <c r="AZ101" s="13">
        <f>AZ91*$I66*2/MAIN!$Q$1</f>
        <v>637312.33603422262</v>
      </c>
      <c r="BA101" s="13">
        <f>BA91*$I66*2/MAIN!$Q$1</f>
        <v>654746.72474367591</v>
      </c>
      <c r="BB101" s="13">
        <f>BB91*$I66*2/MAIN!$Q$1</f>
        <v>662886.61294361507</v>
      </c>
      <c r="BC101" s="13">
        <f>BC91*$I66*2/MAIN!$Q$1</f>
        <v>662886.61294361507</v>
      </c>
      <c r="BD101" s="13">
        <f>BD91*$I66*2/MAIN!$Q$1</f>
        <v>662886.61294361507</v>
      </c>
      <c r="BE101" s="13">
        <f>BE91*$I66*2/MAIN!$Q$1</f>
        <v>662886.61294361507</v>
      </c>
      <c r="BF101" s="13">
        <f>BF91*$I66*2/MAIN!$Q$1</f>
        <v>662886.61294361507</v>
      </c>
      <c r="BG101" s="13">
        <f>BG91*$I66*2/MAIN!$Q$1</f>
        <v>662886.61294361507</v>
      </c>
      <c r="BH101" s="13">
        <f>BH91*$I66*2/MAIN!$Q$1</f>
        <v>658760.21330920537</v>
      </c>
      <c r="BI101" s="13">
        <f>BI91*$I66*2/MAIN!$Q$1</f>
        <v>651999.68489024928</v>
      </c>
      <c r="BJ101" s="13">
        <f>BJ91*$I66*2/MAIN!$Q$1</f>
        <v>645896.74762130401</v>
      </c>
      <c r="BK101" s="13">
        <f>BK91*$I66*2/MAIN!$Q$1</f>
        <v>640359.90629331791</v>
      </c>
      <c r="BL101" s="13">
        <f>BL91*$I66*2/MAIN!$Q$1</f>
        <v>590552.3982316046</v>
      </c>
      <c r="BM101" s="13">
        <f>BM91*$I66*2/MAIN!$Q$1</f>
        <v>571062.50377267331</v>
      </c>
      <c r="BN101" s="13">
        <f>BN91*$I66*2/MAIN!$Q$1</f>
        <v>560667.8933945765</v>
      </c>
      <c r="BO101" s="3">
        <f>BO91*$I66*2/MAIN!$Q$1</f>
        <v>526514.17358083033</v>
      </c>
      <c r="BP101" s="41"/>
      <c r="BQ101" s="41"/>
      <c r="BR101" s="41"/>
    </row>
    <row r="102" spans="1:70" ht="16.5">
      <c r="A102" s="41"/>
      <c r="B102" s="14">
        <f t="shared" ref="B102:B108" si="74">1+B101</f>
        <v>3</v>
      </c>
      <c r="C102" s="298" t="s">
        <v>66</v>
      </c>
      <c r="D102" s="3">
        <f>D92*$I66*2/MAIN!$Q$1</f>
        <v>-699345.84288607596</v>
      </c>
      <c r="E102" s="13">
        <f>E92*$I66*2/MAIN!$Q$1</f>
        <v>-699345.84288607596</v>
      </c>
      <c r="F102" s="13">
        <f>F92*$I66*2/MAIN!$Q$1</f>
        <v>-699345.84288607596</v>
      </c>
      <c r="G102" s="13">
        <f>G92*$I66*2/MAIN!$Q$1</f>
        <v>-699345.84288607596</v>
      </c>
      <c r="H102" s="13">
        <f>H92*$I66*2/MAIN!$Q$1</f>
        <v>-699345.84288607596</v>
      </c>
      <c r="I102" s="13">
        <f>I92*$I66*2/MAIN!$Q$1</f>
        <v>-699345.84288607596</v>
      </c>
      <c r="J102" s="13">
        <f>J92*$I66*2/MAIN!$Q$1</f>
        <v>-699345.84288607596</v>
      </c>
      <c r="K102" s="13">
        <f>K92*$I66*2/MAIN!$Q$1</f>
        <v>-699345.84288607596</v>
      </c>
      <c r="L102" s="13">
        <f>L92*$I66*2/MAIN!$Q$1</f>
        <v>-699345.84288607596</v>
      </c>
      <c r="M102" s="13">
        <f>M92*$I66*2/MAIN!$Q$1</f>
        <v>-699345.84288607596</v>
      </c>
      <c r="N102" s="13">
        <f>N92*$I66*2/MAIN!$Q$1</f>
        <v>-699345.84288607596</v>
      </c>
      <c r="O102" s="13">
        <f>O92*$I66*2/MAIN!$Q$1</f>
        <v>-699345.84288607596</v>
      </c>
      <c r="P102" s="13">
        <f>P92*$I66*2/MAIN!$Q$1</f>
        <v>-699345.84288607596</v>
      </c>
      <c r="Q102" s="13">
        <f>Q92*$I66*2/MAIN!$Q$1</f>
        <v>-699345.84288607596</v>
      </c>
      <c r="R102" s="13">
        <f>R92*$I66*2/MAIN!$Q$1</f>
        <v>-699345.84288607596</v>
      </c>
      <c r="S102" s="13">
        <f>S92*$I66*2/MAIN!$Q$1</f>
        <v>-699345.84288607596</v>
      </c>
      <c r="T102" s="13">
        <f>T92*$I66*2/MAIN!$Q$1</f>
        <v>-699345.84288607596</v>
      </c>
      <c r="U102" s="13">
        <f>U92*$I66*2/MAIN!$Q$1</f>
        <v>-699345.84288607596</v>
      </c>
      <c r="V102" s="13">
        <f>V92*$I66*2/MAIN!$Q$1</f>
        <v>-699345.84288607596</v>
      </c>
      <c r="W102" s="13">
        <f>W92*$I66*2/MAIN!$Q$1</f>
        <v>-699345.84288607596</v>
      </c>
      <c r="X102" s="13">
        <f>X92*$I66*2/MAIN!$Q$1</f>
        <v>-699345.84288607596</v>
      </c>
      <c r="Y102" s="13">
        <f>Y92*$I66*2/MAIN!$Q$1</f>
        <v>-699345.84288607596</v>
      </c>
      <c r="Z102" s="13">
        <f>Z92*$I66*2/MAIN!$Q$1</f>
        <v>-699345.84288607596</v>
      </c>
      <c r="AA102" s="13">
        <f>AA92*$I66*2/MAIN!$Q$1</f>
        <v>-699345.84288607596</v>
      </c>
      <c r="AB102" s="13">
        <f>AB92*$I66*2/MAIN!$Q$1</f>
        <v>-699345.84288607596</v>
      </c>
      <c r="AC102" s="13">
        <f>AC92*$I66*2/MAIN!$Q$1</f>
        <v>-699345.84288607596</v>
      </c>
      <c r="AD102" s="13">
        <f>AD92*$I66*2/MAIN!$Q$1</f>
        <v>-699345.84288607596</v>
      </c>
      <c r="AE102" s="13">
        <f>AE92*$I66*2/MAIN!$Q$1</f>
        <v>-646117.48710741452</v>
      </c>
      <c r="AF102" s="13">
        <f>AF92*$I66*2/MAIN!$Q$1</f>
        <v>-590307.83250202378</v>
      </c>
      <c r="AG102" s="13">
        <f>AG92*$I66*2/MAIN!$Q$1</f>
        <v>-537906.20015034161</v>
      </c>
      <c r="AH102" s="13">
        <f>AH92*$I66*2/MAIN!$Q$1</f>
        <v>-488609.67207103525</v>
      </c>
      <c r="AI102" s="13">
        <f>AI92*$I66*2/MAIN!$Q$1</f>
        <v>-442150.19660229608</v>
      </c>
      <c r="AJ102" s="13">
        <f>AJ92*$I66*2/MAIN!$Q$1</f>
        <v>-398289.71225687582</v>
      </c>
      <c r="AK102" s="13">
        <f>AK92*$I66*2/MAIN!$Q$1</f>
        <v>-356816.06764059566</v>
      </c>
      <c r="AL102" s="13">
        <f>AL92*$I66*2/MAIN!$Q$1</f>
        <v>-317539.58982746291</v>
      </c>
      <c r="AM102" s="13">
        <f>AM92*$I66*2/MAIN!$Q$1</f>
        <v>-280290.18405668094</v>
      </c>
      <c r="AN102" s="13">
        <f>AN92*$I66*2/MAIN!$Q$1</f>
        <v>-244914.87118997815</v>
      </c>
      <c r="AO102" s="13">
        <f>AO92*$I66*2/MAIN!$Q$1</f>
        <v>-211275.68773472798</v>
      </c>
      <c r="AP102" s="13">
        <f>AP92*$I66*2/MAIN!$Q$1</f>
        <v>-179247.88764619632</v>
      </c>
      <c r="AQ102" s="13">
        <f>AQ92*$I66*2/MAIN!$Q$1</f>
        <v>-148718.39649702254</v>
      </c>
      <c r="AR102" s="59">
        <f>AR92*$I66*2/MAIN!$Q$1</f>
        <v>-119584.47763695926</v>
      </c>
      <c r="AS102" s="13">
        <f>AS92*$I66*2/MAIN!$Q$1</f>
        <v>-50140.705835092544</v>
      </c>
      <c r="AT102" s="13">
        <f>AT92*$I66*2/MAIN!$Q$1</f>
        <v>11968.421224601074</v>
      </c>
      <c r="AU102" s="13">
        <f>AU92*$I66*2/MAIN!$Q$1</f>
        <v>67846.641916627879</v>
      </c>
      <c r="AV102" s="13">
        <f>AV92*$I66*2/MAIN!$Q$1</f>
        <v>118386.81428662817</v>
      </c>
      <c r="AW102" s="13">
        <f>AW92*$I66*2/MAIN!$Q$1</f>
        <v>164318.9836158056</v>
      </c>
      <c r="AX102" s="13">
        <f>AX92*$I66*2/MAIN!$Q$1</f>
        <v>206245.87553484942</v>
      </c>
      <c r="AY102" s="13">
        <f>AY92*$I66*2/MAIN!$Q$1</f>
        <v>208210.26212623651</v>
      </c>
      <c r="AZ102" s="13">
        <f>AZ92*$I66*2/MAIN!$Q$1</f>
        <v>243552.07826043537</v>
      </c>
      <c r="BA102" s="13">
        <f>BA92*$I66*2/MAIN!$Q$1</f>
        <v>276168.56622883835</v>
      </c>
      <c r="BB102" s="13">
        <f>BB92*$I66*2/MAIN!$Q$1</f>
        <v>306363.26174019353</v>
      </c>
      <c r="BC102" s="13">
        <f>BC92*$I66*2/MAIN!$Q$1</f>
        <v>334396.23864491459</v>
      </c>
      <c r="BD102" s="13">
        <f>BD92*$I66*2/MAIN!$Q$1</f>
        <v>357940.53316538077</v>
      </c>
      <c r="BE102" s="13">
        <f>BE92*$I66*2/MAIN!$Q$1</f>
        <v>368773.27419964795</v>
      </c>
      <c r="BF102" s="13">
        <f>BF92*$I66*2/MAIN!$Q$1</f>
        <v>378297.83123993181</v>
      </c>
      <c r="BG102" s="13">
        <f>BG92*$I66*2/MAIN!$Q$1</f>
        <v>386737.67911486322</v>
      </c>
      <c r="BH102" s="13">
        <f>BH92*$I66*2/MAIN!$Q$1</f>
        <v>394268.13385245542</v>
      </c>
      <c r="BI102" s="13">
        <f>BI92*$I66*2/MAIN!$Q$1</f>
        <v>401028.66227141127</v>
      </c>
      <c r="BJ102" s="13">
        <f>BJ92*$I66*2/MAIN!$Q$1</f>
        <v>407131.59954035655</v>
      </c>
      <c r="BK102" s="13">
        <f>BK92*$I66*2/MAIN!$Q$1</f>
        <v>412668.44086834253</v>
      </c>
      <c r="BL102" s="13">
        <f>BL92*$I66*2/MAIN!$Q$1</f>
        <v>462475.94893005583</v>
      </c>
      <c r="BM102" s="13">
        <f>BM92*$I66*2/MAIN!$Q$1</f>
        <v>481965.84338898736</v>
      </c>
      <c r="BN102" s="13">
        <f>BN92*$I66*2/MAIN!$Q$1</f>
        <v>492360.45376708393</v>
      </c>
      <c r="BO102" s="3">
        <f>BO92*$I66*2/MAIN!$Q$1</f>
        <v>526514.17358083033</v>
      </c>
      <c r="BP102" s="41"/>
      <c r="BQ102" s="41"/>
      <c r="BR102" s="41"/>
    </row>
    <row r="103" spans="1:70" ht="16.5">
      <c r="A103" s="41"/>
      <c r="B103" s="14">
        <f t="shared" si="74"/>
        <v>4</v>
      </c>
      <c r="C103" s="298" t="s">
        <v>66</v>
      </c>
      <c r="D103" s="3">
        <f>D93*$I66*2/MAIN!$Q$1</f>
        <v>0</v>
      </c>
      <c r="E103" s="13">
        <f>E93*$I66*2/MAIN!$Q$1</f>
        <v>0</v>
      </c>
      <c r="F103" s="13">
        <f>F93*$I66*2/MAIN!$Q$1</f>
        <v>0</v>
      </c>
      <c r="G103" s="13">
        <f>G93*$I66*2/MAIN!$Q$1</f>
        <v>0</v>
      </c>
      <c r="H103" s="13">
        <f>H93*$I66*2/MAIN!$Q$1</f>
        <v>0</v>
      </c>
      <c r="I103" s="13">
        <f>I93*$I66*2/MAIN!$Q$1</f>
        <v>0</v>
      </c>
      <c r="J103" s="13">
        <f>J93*$I66*2/MAIN!$Q$1</f>
        <v>0</v>
      </c>
      <c r="K103" s="13">
        <f>K93*$I66*2/MAIN!$Q$1</f>
        <v>0</v>
      </c>
      <c r="L103" s="13">
        <f>L93*$I66*2/MAIN!$Q$1</f>
        <v>0</v>
      </c>
      <c r="M103" s="13">
        <f>M93*$I66*2/MAIN!$Q$1</f>
        <v>0</v>
      </c>
      <c r="N103" s="13">
        <f>N93*$I66*2/MAIN!$Q$1</f>
        <v>0</v>
      </c>
      <c r="O103" s="13">
        <f>O93*$I66*2/MAIN!$Q$1</f>
        <v>0</v>
      </c>
      <c r="P103" s="13">
        <f>P93*$I66*2/MAIN!$Q$1</f>
        <v>0</v>
      </c>
      <c r="Q103" s="13">
        <f>Q93*$I66*2/MAIN!$Q$1</f>
        <v>0</v>
      </c>
      <c r="R103" s="13">
        <f>R93*$I66*2/MAIN!$Q$1</f>
        <v>0</v>
      </c>
      <c r="S103" s="13">
        <f>S93*$I66*2/MAIN!$Q$1</f>
        <v>0</v>
      </c>
      <c r="T103" s="13">
        <f>T93*$I66*2/MAIN!$Q$1</f>
        <v>0</v>
      </c>
      <c r="U103" s="13">
        <f>U93*$I66*2/MAIN!$Q$1</f>
        <v>0</v>
      </c>
      <c r="V103" s="13">
        <f>V93*$I66*2/MAIN!$Q$1</f>
        <v>0</v>
      </c>
      <c r="W103" s="13">
        <f>W93*$I66*2/MAIN!$Q$1</f>
        <v>0</v>
      </c>
      <c r="X103" s="13">
        <f>X93*$I66*2/MAIN!$Q$1</f>
        <v>0</v>
      </c>
      <c r="Y103" s="13">
        <f>Y93*$I66*2/MAIN!$Q$1</f>
        <v>0</v>
      </c>
      <c r="Z103" s="13">
        <f>Z93*$I66*2/MAIN!$Q$1</f>
        <v>0</v>
      </c>
      <c r="AA103" s="13">
        <f>AA93*$I66*2/MAIN!$Q$1</f>
        <v>0</v>
      </c>
      <c r="AB103" s="13">
        <f>AB93*$I66*2/MAIN!$Q$1</f>
        <v>0</v>
      </c>
      <c r="AC103" s="13">
        <f>AC93*$I66*2/MAIN!$Q$1</f>
        <v>0</v>
      </c>
      <c r="AD103" s="13">
        <f>AD93*$I66*2/MAIN!$Q$1</f>
        <v>0</v>
      </c>
      <c r="AE103" s="13">
        <f>AE93*$I66*2/MAIN!$Q$1</f>
        <v>0</v>
      </c>
      <c r="AF103" s="13">
        <f>AF93*$I66*2/MAIN!$Q$1</f>
        <v>0</v>
      </c>
      <c r="AG103" s="13">
        <f>AG93*$I66*2/MAIN!$Q$1</f>
        <v>0</v>
      </c>
      <c r="AH103" s="13">
        <f>AH93*$I66*2/MAIN!$Q$1</f>
        <v>0</v>
      </c>
      <c r="AI103" s="13">
        <f>AI93*$I66*2/MAIN!$Q$1</f>
        <v>0</v>
      </c>
      <c r="AJ103" s="13">
        <f>AJ93*$I66*2/MAIN!$Q$1</f>
        <v>0</v>
      </c>
      <c r="AK103" s="13">
        <f>AK93*$I66*2/MAIN!$Q$1</f>
        <v>0</v>
      </c>
      <c r="AL103" s="13">
        <f>AL93*$I66*2/MAIN!$Q$1</f>
        <v>0</v>
      </c>
      <c r="AM103" s="13">
        <f>AM93*$I66*2/MAIN!$Q$1</f>
        <v>0</v>
      </c>
      <c r="AN103" s="13">
        <f>AN93*$I66*2/MAIN!$Q$1</f>
        <v>0</v>
      </c>
      <c r="AO103" s="13">
        <f>AO93*$I66*2/MAIN!$Q$1</f>
        <v>0</v>
      </c>
      <c r="AP103" s="13">
        <f>AP93*$I66*2/MAIN!$Q$1</f>
        <v>0</v>
      </c>
      <c r="AQ103" s="13">
        <f>AQ93*$I66*2/MAIN!$Q$1</f>
        <v>0</v>
      </c>
      <c r="AR103" s="59">
        <f>AR93*$I66*2/MAIN!$Q$1</f>
        <v>0</v>
      </c>
      <c r="AS103" s="13">
        <f>AS93*$I66*2/MAIN!$Q$1</f>
        <v>0</v>
      </c>
      <c r="AT103" s="13">
        <f>AT93*$I66*2/MAIN!$Q$1</f>
        <v>0</v>
      </c>
      <c r="AU103" s="13">
        <f>AU93*$I66*2/MAIN!$Q$1</f>
        <v>0</v>
      </c>
      <c r="AV103" s="13">
        <f>AV93*$I66*2/MAIN!$Q$1</f>
        <v>0</v>
      </c>
      <c r="AW103" s="13">
        <f>AW93*$I66*2/MAIN!$Q$1</f>
        <v>0</v>
      </c>
      <c r="AX103" s="13">
        <f>AX93*$I66*2/MAIN!$Q$1</f>
        <v>0</v>
      </c>
      <c r="AY103" s="13">
        <f>AY93*$I66*2/MAIN!$Q$1</f>
        <v>0</v>
      </c>
      <c r="AZ103" s="13">
        <f>AZ93*$I66*2/MAIN!$Q$1</f>
        <v>0</v>
      </c>
      <c r="BA103" s="13">
        <f>BA93*$I66*2/MAIN!$Q$1</f>
        <v>0</v>
      </c>
      <c r="BB103" s="13">
        <f>BB93*$I66*2/MAIN!$Q$1</f>
        <v>0</v>
      </c>
      <c r="BC103" s="13">
        <f>BC93*$I66*2/MAIN!$Q$1</f>
        <v>0</v>
      </c>
      <c r="BD103" s="13">
        <f>BD93*$I66*2/MAIN!$Q$1</f>
        <v>0</v>
      </c>
      <c r="BE103" s="13">
        <f>BE93*$I66*2/MAIN!$Q$1</f>
        <v>0</v>
      </c>
      <c r="BF103" s="13">
        <f>BF93*$I66*2/MAIN!$Q$1</f>
        <v>0</v>
      </c>
      <c r="BG103" s="13">
        <f>BG93*$I66*2/MAIN!$Q$1</f>
        <v>0</v>
      </c>
      <c r="BH103" s="13">
        <f>BH93*$I66*2/MAIN!$Q$1</f>
        <v>0</v>
      </c>
      <c r="BI103" s="13">
        <f>BI93*$I66*2/MAIN!$Q$1</f>
        <v>0</v>
      </c>
      <c r="BJ103" s="13">
        <f>BJ93*$I66*2/MAIN!$Q$1</f>
        <v>0</v>
      </c>
      <c r="BK103" s="13">
        <f>BK93*$I66*2/MAIN!$Q$1</f>
        <v>0</v>
      </c>
      <c r="BL103" s="13">
        <f>BL93*$I66*2/MAIN!$Q$1</f>
        <v>0</v>
      </c>
      <c r="BM103" s="13">
        <f>BM93*$I66*2/MAIN!$Q$1</f>
        <v>0</v>
      </c>
      <c r="BN103" s="13">
        <f>BN93*$I66*2/MAIN!$Q$1</f>
        <v>0</v>
      </c>
      <c r="BO103" s="3">
        <f>BO93*$I66*2/MAIN!$Q$1</f>
        <v>0</v>
      </c>
      <c r="BP103" s="41"/>
      <c r="BQ103" s="41"/>
      <c r="BR103" s="41"/>
    </row>
    <row r="104" spans="1:70" ht="16.5">
      <c r="A104" s="41"/>
      <c r="B104" s="14">
        <f t="shared" si="74"/>
        <v>5</v>
      </c>
      <c r="C104" s="298" t="s">
        <v>66</v>
      </c>
      <c r="D104" s="3">
        <f>D94*$I66*2/MAIN!$Q$1</f>
        <v>0</v>
      </c>
      <c r="E104" s="13">
        <f>E94*$I66*2/MAIN!$Q$1</f>
        <v>0</v>
      </c>
      <c r="F104" s="13">
        <f>F94*$I66*2/MAIN!$Q$1</f>
        <v>0</v>
      </c>
      <c r="G104" s="13">
        <f>G94*$I66*2/MAIN!$Q$1</f>
        <v>0</v>
      </c>
      <c r="H104" s="13">
        <f>H94*$I66*2/MAIN!$Q$1</f>
        <v>0</v>
      </c>
      <c r="I104" s="13">
        <f>I94*$I66*2/MAIN!$Q$1</f>
        <v>0</v>
      </c>
      <c r="J104" s="13">
        <f>J94*$I66*2/MAIN!$Q$1</f>
        <v>0</v>
      </c>
      <c r="K104" s="13">
        <f>K94*$I66*2/MAIN!$Q$1</f>
        <v>0</v>
      </c>
      <c r="L104" s="13">
        <f>L94*$I66*2/MAIN!$Q$1</f>
        <v>0</v>
      </c>
      <c r="M104" s="13">
        <f>M94*$I66*2/MAIN!$Q$1</f>
        <v>0</v>
      </c>
      <c r="N104" s="13">
        <f>N94*$I66*2/MAIN!$Q$1</f>
        <v>0</v>
      </c>
      <c r="O104" s="13">
        <f>O94*$I66*2/MAIN!$Q$1</f>
        <v>0</v>
      </c>
      <c r="P104" s="13">
        <f>P94*$I66*2/MAIN!$Q$1</f>
        <v>0</v>
      </c>
      <c r="Q104" s="13">
        <f>Q94*$I66*2/MAIN!$Q$1</f>
        <v>0</v>
      </c>
      <c r="R104" s="13">
        <f>R94*$I66*2/MAIN!$Q$1</f>
        <v>0</v>
      </c>
      <c r="S104" s="13">
        <f>S94*$I66*2/MAIN!$Q$1</f>
        <v>0</v>
      </c>
      <c r="T104" s="13">
        <f>T94*$I66*2/MAIN!$Q$1</f>
        <v>0</v>
      </c>
      <c r="U104" s="13">
        <f>U94*$I66*2/MAIN!$Q$1</f>
        <v>0</v>
      </c>
      <c r="V104" s="13">
        <f>V94*$I66*2/MAIN!$Q$1</f>
        <v>0</v>
      </c>
      <c r="W104" s="13">
        <f>W94*$I66*2/MAIN!$Q$1</f>
        <v>0</v>
      </c>
      <c r="X104" s="13">
        <f>X94*$I66*2/MAIN!$Q$1</f>
        <v>0</v>
      </c>
      <c r="Y104" s="13">
        <f>Y94*$I66*2/MAIN!$Q$1</f>
        <v>0</v>
      </c>
      <c r="Z104" s="13">
        <f>Z94*$I66*2/MAIN!$Q$1</f>
        <v>0</v>
      </c>
      <c r="AA104" s="13">
        <f>AA94*$I66*2/MAIN!$Q$1</f>
        <v>0</v>
      </c>
      <c r="AB104" s="13">
        <f>AB94*$I66*2/MAIN!$Q$1</f>
        <v>0</v>
      </c>
      <c r="AC104" s="13">
        <f>AC94*$I66*2/MAIN!$Q$1</f>
        <v>0</v>
      </c>
      <c r="AD104" s="13">
        <f>AD94*$I66*2/MAIN!$Q$1</f>
        <v>0</v>
      </c>
      <c r="AE104" s="13">
        <f>AE94*$I66*2/MAIN!$Q$1</f>
        <v>0</v>
      </c>
      <c r="AF104" s="13">
        <f>AF94*$I66*2/MAIN!$Q$1</f>
        <v>0</v>
      </c>
      <c r="AG104" s="13">
        <f>AG94*$I66*2/MAIN!$Q$1</f>
        <v>0</v>
      </c>
      <c r="AH104" s="13">
        <f>AH94*$I66*2/MAIN!$Q$1</f>
        <v>0</v>
      </c>
      <c r="AI104" s="13">
        <f>AI94*$I66*2/MAIN!$Q$1</f>
        <v>0</v>
      </c>
      <c r="AJ104" s="13">
        <f>AJ94*$I66*2/MAIN!$Q$1</f>
        <v>0</v>
      </c>
      <c r="AK104" s="13">
        <f>AK94*$I66*2/MAIN!$Q$1</f>
        <v>0</v>
      </c>
      <c r="AL104" s="13">
        <f>AL94*$I66*2/MAIN!$Q$1</f>
        <v>0</v>
      </c>
      <c r="AM104" s="13">
        <f>AM94*$I66*2/MAIN!$Q$1</f>
        <v>0</v>
      </c>
      <c r="AN104" s="13">
        <f>AN94*$I66*2/MAIN!$Q$1</f>
        <v>0</v>
      </c>
      <c r="AO104" s="13">
        <f>AO94*$I66*2/MAIN!$Q$1</f>
        <v>0</v>
      </c>
      <c r="AP104" s="13">
        <f>AP94*$I66*2/MAIN!$Q$1</f>
        <v>0</v>
      </c>
      <c r="AQ104" s="13">
        <f>AQ94*$I66*2/MAIN!$Q$1</f>
        <v>0</v>
      </c>
      <c r="AR104" s="59">
        <f>AR94*$I66*2/MAIN!$Q$1</f>
        <v>0</v>
      </c>
      <c r="AS104" s="13">
        <f>AS94*$I66*2/MAIN!$Q$1</f>
        <v>0</v>
      </c>
      <c r="AT104" s="13">
        <f>AT94*$I66*2/MAIN!$Q$1</f>
        <v>0</v>
      </c>
      <c r="AU104" s="13">
        <f>AU94*$I66*2/MAIN!$Q$1</f>
        <v>0</v>
      </c>
      <c r="AV104" s="13">
        <f>AV94*$I66*2/MAIN!$Q$1</f>
        <v>0</v>
      </c>
      <c r="AW104" s="13">
        <f>AW94*$I66*2/MAIN!$Q$1</f>
        <v>0</v>
      </c>
      <c r="AX104" s="13">
        <f>AX94*$I66*2/MAIN!$Q$1</f>
        <v>0</v>
      </c>
      <c r="AY104" s="13">
        <f>AY94*$I66*2/MAIN!$Q$1</f>
        <v>0</v>
      </c>
      <c r="AZ104" s="13">
        <f>AZ94*$I66*2/MAIN!$Q$1</f>
        <v>0</v>
      </c>
      <c r="BA104" s="13">
        <f>BA94*$I66*2/MAIN!$Q$1</f>
        <v>0</v>
      </c>
      <c r="BB104" s="13">
        <f>BB94*$I66*2/MAIN!$Q$1</f>
        <v>0</v>
      </c>
      <c r="BC104" s="13">
        <f>BC94*$I66*2/MAIN!$Q$1</f>
        <v>0</v>
      </c>
      <c r="BD104" s="13">
        <f>BD94*$I66*2/MAIN!$Q$1</f>
        <v>0</v>
      </c>
      <c r="BE104" s="13">
        <f>BE94*$I66*2/MAIN!$Q$1</f>
        <v>0</v>
      </c>
      <c r="BF104" s="13">
        <f>BF94*$I66*2/MAIN!$Q$1</f>
        <v>0</v>
      </c>
      <c r="BG104" s="13">
        <f>BG94*$I66*2/MAIN!$Q$1</f>
        <v>0</v>
      </c>
      <c r="BH104" s="13">
        <f>BH94*$I66*2/MAIN!$Q$1</f>
        <v>0</v>
      </c>
      <c r="BI104" s="13">
        <f>BI94*$I66*2/MAIN!$Q$1</f>
        <v>0</v>
      </c>
      <c r="BJ104" s="13">
        <f>BJ94*$I66*2/MAIN!$Q$1</f>
        <v>0</v>
      </c>
      <c r="BK104" s="13">
        <f>BK94*$I66*2/MAIN!$Q$1</f>
        <v>0</v>
      </c>
      <c r="BL104" s="13">
        <f>BL94*$I66*2/MAIN!$Q$1</f>
        <v>0</v>
      </c>
      <c r="BM104" s="13">
        <f>BM94*$I66*2/MAIN!$Q$1</f>
        <v>0</v>
      </c>
      <c r="BN104" s="13">
        <f>BN94*$I66*2/MAIN!$Q$1</f>
        <v>0</v>
      </c>
      <c r="BO104" s="3">
        <f>BO94*$I66*2/MAIN!$Q$1</f>
        <v>0</v>
      </c>
      <c r="BP104" s="41"/>
      <c r="BQ104" s="41"/>
      <c r="BR104" s="41"/>
    </row>
    <row r="105" spans="1:70" ht="16.5">
      <c r="A105" s="41"/>
      <c r="B105" s="14">
        <f t="shared" si="74"/>
        <v>6</v>
      </c>
      <c r="C105" s="298" t="s">
        <v>66</v>
      </c>
      <c r="D105" s="3">
        <f>D95*$I66*2/MAIN!$Q$1</f>
        <v>0</v>
      </c>
      <c r="E105" s="13">
        <f>E95*$I66*2/MAIN!$Q$1</f>
        <v>0</v>
      </c>
      <c r="F105" s="13">
        <f>F95*$I66*2/MAIN!$Q$1</f>
        <v>0</v>
      </c>
      <c r="G105" s="13">
        <f>G95*$I66*2/MAIN!$Q$1</f>
        <v>0</v>
      </c>
      <c r="H105" s="13">
        <f>H95*$I66*2/MAIN!$Q$1</f>
        <v>0</v>
      </c>
      <c r="I105" s="13">
        <f>I95*$I66*2/MAIN!$Q$1</f>
        <v>0</v>
      </c>
      <c r="J105" s="13">
        <f>J95*$I66*2/MAIN!$Q$1</f>
        <v>0</v>
      </c>
      <c r="K105" s="13">
        <f>K95*$I66*2/MAIN!$Q$1</f>
        <v>0</v>
      </c>
      <c r="L105" s="13">
        <f>L95*$I66*2/MAIN!$Q$1</f>
        <v>0</v>
      </c>
      <c r="M105" s="13">
        <f>M95*$I66*2/MAIN!$Q$1</f>
        <v>0</v>
      </c>
      <c r="N105" s="13">
        <f>N95*$I66*2/MAIN!$Q$1</f>
        <v>0</v>
      </c>
      <c r="O105" s="13">
        <f>O95*$I66*2/MAIN!$Q$1</f>
        <v>0</v>
      </c>
      <c r="P105" s="13">
        <f>P95*$I66*2/MAIN!$Q$1</f>
        <v>0</v>
      </c>
      <c r="Q105" s="13">
        <f>Q95*$I66*2/MAIN!$Q$1</f>
        <v>0</v>
      </c>
      <c r="R105" s="13">
        <f>R95*$I66*2/MAIN!$Q$1</f>
        <v>0</v>
      </c>
      <c r="S105" s="13">
        <f>S95*$I66*2/MAIN!$Q$1</f>
        <v>0</v>
      </c>
      <c r="T105" s="13">
        <f>T95*$I66*2/MAIN!$Q$1</f>
        <v>0</v>
      </c>
      <c r="U105" s="13">
        <f>U95*$I66*2/MAIN!$Q$1</f>
        <v>0</v>
      </c>
      <c r="V105" s="13">
        <f>V95*$I66*2/MAIN!$Q$1</f>
        <v>0</v>
      </c>
      <c r="W105" s="13">
        <f>W95*$I66*2/MAIN!$Q$1</f>
        <v>0</v>
      </c>
      <c r="X105" s="13">
        <f>X95*$I66*2/MAIN!$Q$1</f>
        <v>0</v>
      </c>
      <c r="Y105" s="13">
        <f>Y95*$I66*2/MAIN!$Q$1</f>
        <v>0</v>
      </c>
      <c r="Z105" s="13">
        <f>Z95*$I66*2/MAIN!$Q$1</f>
        <v>0</v>
      </c>
      <c r="AA105" s="13">
        <f>AA95*$I66*2/MAIN!$Q$1</f>
        <v>0</v>
      </c>
      <c r="AB105" s="13">
        <f>AB95*$I66*2/MAIN!$Q$1</f>
        <v>0</v>
      </c>
      <c r="AC105" s="13">
        <f>AC95*$I66*2/MAIN!$Q$1</f>
        <v>0</v>
      </c>
      <c r="AD105" s="13">
        <f>AD95*$I66*2/MAIN!$Q$1</f>
        <v>0</v>
      </c>
      <c r="AE105" s="13">
        <f>AE95*$I66*2/MAIN!$Q$1</f>
        <v>0</v>
      </c>
      <c r="AF105" s="13">
        <f>AF95*$I66*2/MAIN!$Q$1</f>
        <v>0</v>
      </c>
      <c r="AG105" s="13">
        <f>AG95*$I66*2/MAIN!$Q$1</f>
        <v>0</v>
      </c>
      <c r="AH105" s="13">
        <f>AH95*$I66*2/MAIN!$Q$1</f>
        <v>0</v>
      </c>
      <c r="AI105" s="13">
        <f>AI95*$I66*2/MAIN!$Q$1</f>
        <v>0</v>
      </c>
      <c r="AJ105" s="13">
        <f>AJ95*$I66*2/MAIN!$Q$1</f>
        <v>0</v>
      </c>
      <c r="AK105" s="13">
        <f>AK95*$I66*2/MAIN!$Q$1</f>
        <v>0</v>
      </c>
      <c r="AL105" s="13">
        <f>AL95*$I66*2/MAIN!$Q$1</f>
        <v>0</v>
      </c>
      <c r="AM105" s="13">
        <f>AM95*$I66*2/MAIN!$Q$1</f>
        <v>0</v>
      </c>
      <c r="AN105" s="13">
        <f>AN95*$I66*2/MAIN!$Q$1</f>
        <v>0</v>
      </c>
      <c r="AO105" s="13">
        <f>AO95*$I66*2/MAIN!$Q$1</f>
        <v>0</v>
      </c>
      <c r="AP105" s="13">
        <f>AP95*$I66*2/MAIN!$Q$1</f>
        <v>0</v>
      </c>
      <c r="AQ105" s="13">
        <f>AQ95*$I66*2/MAIN!$Q$1</f>
        <v>0</v>
      </c>
      <c r="AR105" s="59">
        <f>AR95*$I66*2/MAIN!$Q$1</f>
        <v>0</v>
      </c>
      <c r="AS105" s="13">
        <f>AS95*$I66*2/MAIN!$Q$1</f>
        <v>0</v>
      </c>
      <c r="AT105" s="13">
        <f>AT95*$I66*2/MAIN!$Q$1</f>
        <v>0</v>
      </c>
      <c r="AU105" s="13">
        <f>AU95*$I66*2/MAIN!$Q$1</f>
        <v>0</v>
      </c>
      <c r="AV105" s="13">
        <f>AV95*$I66*2/MAIN!$Q$1</f>
        <v>0</v>
      </c>
      <c r="AW105" s="13">
        <f>AW95*$I66*2/MAIN!$Q$1</f>
        <v>0</v>
      </c>
      <c r="AX105" s="13">
        <f>AX95*$I66*2/MAIN!$Q$1</f>
        <v>0</v>
      </c>
      <c r="AY105" s="13">
        <f>AY95*$I66*2/MAIN!$Q$1</f>
        <v>0</v>
      </c>
      <c r="AZ105" s="13">
        <f>AZ95*$I66*2/MAIN!$Q$1</f>
        <v>0</v>
      </c>
      <c r="BA105" s="13">
        <f>BA95*$I66*2/MAIN!$Q$1</f>
        <v>0</v>
      </c>
      <c r="BB105" s="13">
        <f>BB95*$I66*2/MAIN!$Q$1</f>
        <v>0</v>
      </c>
      <c r="BC105" s="13">
        <f>BC95*$I66*2/MAIN!$Q$1</f>
        <v>0</v>
      </c>
      <c r="BD105" s="13">
        <f>BD95*$I66*2/MAIN!$Q$1</f>
        <v>0</v>
      </c>
      <c r="BE105" s="13">
        <f>BE95*$I66*2/MAIN!$Q$1</f>
        <v>0</v>
      </c>
      <c r="BF105" s="13">
        <f>BF95*$I66*2/MAIN!$Q$1</f>
        <v>0</v>
      </c>
      <c r="BG105" s="13">
        <f>BG95*$I66*2/MAIN!$Q$1</f>
        <v>0</v>
      </c>
      <c r="BH105" s="13">
        <f>BH95*$I66*2/MAIN!$Q$1</f>
        <v>0</v>
      </c>
      <c r="BI105" s="13">
        <f>BI95*$I66*2/MAIN!$Q$1</f>
        <v>0</v>
      </c>
      <c r="BJ105" s="13">
        <f>BJ95*$I66*2/MAIN!$Q$1</f>
        <v>0</v>
      </c>
      <c r="BK105" s="13">
        <f>BK95*$I66*2/MAIN!$Q$1</f>
        <v>0</v>
      </c>
      <c r="BL105" s="13">
        <f>BL95*$I66*2/MAIN!$Q$1</f>
        <v>0</v>
      </c>
      <c r="BM105" s="13">
        <f>BM95*$I66*2/MAIN!$Q$1</f>
        <v>0</v>
      </c>
      <c r="BN105" s="13">
        <f>BN95*$I66*2/MAIN!$Q$1</f>
        <v>0</v>
      </c>
      <c r="BO105" s="3">
        <f>BO95*$I66*2/MAIN!$Q$1</f>
        <v>0</v>
      </c>
      <c r="BP105" s="41"/>
      <c r="BQ105" s="41"/>
      <c r="BR105" s="41"/>
    </row>
    <row r="106" spans="1:70" ht="16.5">
      <c r="A106" s="41"/>
      <c r="B106" s="14">
        <f t="shared" si="74"/>
        <v>7</v>
      </c>
      <c r="C106" s="298" t="s">
        <v>66</v>
      </c>
      <c r="D106" s="3">
        <f>D96*$I66*2/MAIN!$Q$1</f>
        <v>0</v>
      </c>
      <c r="E106" s="13">
        <f>E96*$I66*2/MAIN!$Q$1</f>
        <v>0</v>
      </c>
      <c r="F106" s="13">
        <f>F96*$I66*2/MAIN!$Q$1</f>
        <v>0</v>
      </c>
      <c r="G106" s="13">
        <f>G96*$I66*2/MAIN!$Q$1</f>
        <v>0</v>
      </c>
      <c r="H106" s="13">
        <f>H96*$I66*2/MAIN!$Q$1</f>
        <v>0</v>
      </c>
      <c r="I106" s="13">
        <f>I96*$I66*2/MAIN!$Q$1</f>
        <v>0</v>
      </c>
      <c r="J106" s="13">
        <f>J96*$I66*2/MAIN!$Q$1</f>
        <v>0</v>
      </c>
      <c r="K106" s="13">
        <f>K96*$I66*2/MAIN!$Q$1</f>
        <v>0</v>
      </c>
      <c r="L106" s="13">
        <f>L96*$I66*2/MAIN!$Q$1</f>
        <v>0</v>
      </c>
      <c r="M106" s="13">
        <f>M96*$I66*2/MAIN!$Q$1</f>
        <v>0</v>
      </c>
      <c r="N106" s="13">
        <f>N96*$I66*2/MAIN!$Q$1</f>
        <v>0</v>
      </c>
      <c r="O106" s="13">
        <f>O96*$I66*2/MAIN!$Q$1</f>
        <v>0</v>
      </c>
      <c r="P106" s="13">
        <f>P96*$I66*2/MAIN!$Q$1</f>
        <v>0</v>
      </c>
      <c r="Q106" s="13">
        <f>Q96*$I66*2/MAIN!$Q$1</f>
        <v>0</v>
      </c>
      <c r="R106" s="13">
        <f>R96*$I66*2/MAIN!$Q$1</f>
        <v>0</v>
      </c>
      <c r="S106" s="13">
        <f>S96*$I66*2/MAIN!$Q$1</f>
        <v>0</v>
      </c>
      <c r="T106" s="13">
        <f>T96*$I66*2/MAIN!$Q$1</f>
        <v>0</v>
      </c>
      <c r="U106" s="13">
        <f>U96*$I66*2/MAIN!$Q$1</f>
        <v>0</v>
      </c>
      <c r="V106" s="13">
        <f>V96*$I66*2/MAIN!$Q$1</f>
        <v>0</v>
      </c>
      <c r="W106" s="13">
        <f>W96*$I66*2/MAIN!$Q$1</f>
        <v>0</v>
      </c>
      <c r="X106" s="13">
        <f>X96*$I66*2/MAIN!$Q$1</f>
        <v>0</v>
      </c>
      <c r="Y106" s="13">
        <f>Y96*$I66*2/MAIN!$Q$1</f>
        <v>0</v>
      </c>
      <c r="Z106" s="13">
        <f>Z96*$I66*2/MAIN!$Q$1</f>
        <v>0</v>
      </c>
      <c r="AA106" s="13">
        <f>AA96*$I66*2/MAIN!$Q$1</f>
        <v>0</v>
      </c>
      <c r="AB106" s="13">
        <f>AB96*$I66*2/MAIN!$Q$1</f>
        <v>0</v>
      </c>
      <c r="AC106" s="13">
        <f>AC96*$I66*2/MAIN!$Q$1</f>
        <v>0</v>
      </c>
      <c r="AD106" s="13">
        <f>AD96*$I66*2/MAIN!$Q$1</f>
        <v>0</v>
      </c>
      <c r="AE106" s="13">
        <f>AE96*$I66*2/MAIN!$Q$1</f>
        <v>0</v>
      </c>
      <c r="AF106" s="13">
        <f>AF96*$I66*2/MAIN!$Q$1</f>
        <v>0</v>
      </c>
      <c r="AG106" s="13">
        <f>AG96*$I66*2/MAIN!$Q$1</f>
        <v>0</v>
      </c>
      <c r="AH106" s="13">
        <f>AH96*$I66*2/MAIN!$Q$1</f>
        <v>0</v>
      </c>
      <c r="AI106" s="13">
        <f>AI96*$I66*2/MAIN!$Q$1</f>
        <v>0</v>
      </c>
      <c r="AJ106" s="13">
        <f>AJ96*$I66*2/MAIN!$Q$1</f>
        <v>0</v>
      </c>
      <c r="AK106" s="13">
        <f>AK96*$I66*2/MAIN!$Q$1</f>
        <v>0</v>
      </c>
      <c r="AL106" s="13">
        <f>AL96*$I66*2/MAIN!$Q$1</f>
        <v>0</v>
      </c>
      <c r="AM106" s="13">
        <f>AM96*$I66*2/MAIN!$Q$1</f>
        <v>0</v>
      </c>
      <c r="AN106" s="13">
        <f>AN96*$I66*2/MAIN!$Q$1</f>
        <v>0</v>
      </c>
      <c r="AO106" s="13">
        <f>AO96*$I66*2/MAIN!$Q$1</f>
        <v>0</v>
      </c>
      <c r="AP106" s="13">
        <f>AP96*$I66*2/MAIN!$Q$1</f>
        <v>0</v>
      </c>
      <c r="AQ106" s="13">
        <f>AQ96*$I66*2/MAIN!$Q$1</f>
        <v>0</v>
      </c>
      <c r="AR106" s="59">
        <f>AR96*$I66*2/MAIN!$Q$1</f>
        <v>0</v>
      </c>
      <c r="AS106" s="13">
        <f>AS96*$I66*2/MAIN!$Q$1</f>
        <v>0</v>
      </c>
      <c r="AT106" s="13">
        <f>AT96*$I66*2/MAIN!$Q$1</f>
        <v>0</v>
      </c>
      <c r="AU106" s="13">
        <f>AU96*$I66*2/MAIN!$Q$1</f>
        <v>0</v>
      </c>
      <c r="AV106" s="13">
        <f>AV96*$I66*2/MAIN!$Q$1</f>
        <v>0</v>
      </c>
      <c r="AW106" s="13">
        <f>AW96*$I66*2/MAIN!$Q$1</f>
        <v>0</v>
      </c>
      <c r="AX106" s="13">
        <f>AX96*$I66*2/MAIN!$Q$1</f>
        <v>0</v>
      </c>
      <c r="AY106" s="13">
        <f>AY96*$I66*2/MAIN!$Q$1</f>
        <v>0</v>
      </c>
      <c r="AZ106" s="13">
        <f>AZ96*$I66*2/MAIN!$Q$1</f>
        <v>0</v>
      </c>
      <c r="BA106" s="13">
        <f>BA96*$I66*2/MAIN!$Q$1</f>
        <v>0</v>
      </c>
      <c r="BB106" s="13">
        <f>BB96*$I66*2/MAIN!$Q$1</f>
        <v>0</v>
      </c>
      <c r="BC106" s="13">
        <f>BC96*$I66*2/MAIN!$Q$1</f>
        <v>0</v>
      </c>
      <c r="BD106" s="13">
        <f>BD96*$I66*2/MAIN!$Q$1</f>
        <v>0</v>
      </c>
      <c r="BE106" s="13">
        <f>BE96*$I66*2/MAIN!$Q$1</f>
        <v>0</v>
      </c>
      <c r="BF106" s="13">
        <f>BF96*$I66*2/MAIN!$Q$1</f>
        <v>0</v>
      </c>
      <c r="BG106" s="13">
        <f>BG96*$I66*2/MAIN!$Q$1</f>
        <v>0</v>
      </c>
      <c r="BH106" s="13">
        <f>BH96*$I66*2/MAIN!$Q$1</f>
        <v>0</v>
      </c>
      <c r="BI106" s="13">
        <f>BI96*$I66*2/MAIN!$Q$1</f>
        <v>0</v>
      </c>
      <c r="BJ106" s="13">
        <f>BJ96*$I66*2/MAIN!$Q$1</f>
        <v>0</v>
      </c>
      <c r="BK106" s="13">
        <f>BK96*$I66*2/MAIN!$Q$1</f>
        <v>0</v>
      </c>
      <c r="BL106" s="13">
        <f>BL96*$I66*2/MAIN!$Q$1</f>
        <v>0</v>
      </c>
      <c r="BM106" s="13">
        <f>BM96*$I66*2/MAIN!$Q$1</f>
        <v>0</v>
      </c>
      <c r="BN106" s="13">
        <f>BN96*$I66*2/MAIN!$Q$1</f>
        <v>0</v>
      </c>
      <c r="BO106" s="3">
        <f>BO96*$I66*2/MAIN!$Q$1</f>
        <v>0</v>
      </c>
      <c r="BP106" s="41"/>
      <c r="BQ106" s="41"/>
      <c r="BR106" s="41"/>
    </row>
    <row r="107" spans="1:70" ht="16.5">
      <c r="A107" s="41"/>
      <c r="B107" s="14">
        <f t="shared" si="74"/>
        <v>8</v>
      </c>
      <c r="C107" s="298" t="s">
        <v>66</v>
      </c>
      <c r="D107" s="3">
        <f>D97*$I66*2/MAIN!$Q$1</f>
        <v>0</v>
      </c>
      <c r="E107" s="13">
        <f>E97*$I66*2/MAIN!$Q$1</f>
        <v>0</v>
      </c>
      <c r="F107" s="13">
        <f>F97*$I66*2/MAIN!$Q$1</f>
        <v>0</v>
      </c>
      <c r="G107" s="13">
        <f>G97*$I66*2/MAIN!$Q$1</f>
        <v>0</v>
      </c>
      <c r="H107" s="13">
        <f>H97*$I66*2/MAIN!$Q$1</f>
        <v>0</v>
      </c>
      <c r="I107" s="13">
        <f>I97*$I66*2/MAIN!$Q$1</f>
        <v>0</v>
      </c>
      <c r="J107" s="13">
        <f>J97*$I66*2/MAIN!$Q$1</f>
        <v>0</v>
      </c>
      <c r="K107" s="13">
        <f>K97*$I66*2/MAIN!$Q$1</f>
        <v>0</v>
      </c>
      <c r="L107" s="13">
        <f>L97*$I66*2/MAIN!$Q$1</f>
        <v>0</v>
      </c>
      <c r="M107" s="13">
        <f>M97*$I66*2/MAIN!$Q$1</f>
        <v>0</v>
      </c>
      <c r="N107" s="13">
        <f>N97*$I66*2/MAIN!$Q$1</f>
        <v>0</v>
      </c>
      <c r="O107" s="13">
        <f>O97*$I66*2/MAIN!$Q$1</f>
        <v>0</v>
      </c>
      <c r="P107" s="13">
        <f>P97*$I66*2/MAIN!$Q$1</f>
        <v>0</v>
      </c>
      <c r="Q107" s="13">
        <f>Q97*$I66*2/MAIN!$Q$1</f>
        <v>0</v>
      </c>
      <c r="R107" s="13">
        <f>R97*$I66*2/MAIN!$Q$1</f>
        <v>0</v>
      </c>
      <c r="S107" s="13">
        <f>S97*$I66*2/MAIN!$Q$1</f>
        <v>0</v>
      </c>
      <c r="T107" s="13">
        <f>T97*$I66*2/MAIN!$Q$1</f>
        <v>0</v>
      </c>
      <c r="U107" s="13">
        <f>U97*$I66*2/MAIN!$Q$1</f>
        <v>0</v>
      </c>
      <c r="V107" s="13">
        <f>V97*$I66*2/MAIN!$Q$1</f>
        <v>0</v>
      </c>
      <c r="W107" s="13">
        <f>W97*$I66*2/MAIN!$Q$1</f>
        <v>0</v>
      </c>
      <c r="X107" s="13">
        <f>X97*$I66*2/MAIN!$Q$1</f>
        <v>0</v>
      </c>
      <c r="Y107" s="13">
        <f>Y97*$I66*2/MAIN!$Q$1</f>
        <v>0</v>
      </c>
      <c r="Z107" s="13">
        <f>Z97*$I66*2/MAIN!$Q$1</f>
        <v>0</v>
      </c>
      <c r="AA107" s="13">
        <f>AA97*$I66*2/MAIN!$Q$1</f>
        <v>0</v>
      </c>
      <c r="AB107" s="13">
        <f>AB97*$I66*2/MAIN!$Q$1</f>
        <v>0</v>
      </c>
      <c r="AC107" s="13">
        <f>AC97*$I66*2/MAIN!$Q$1</f>
        <v>0</v>
      </c>
      <c r="AD107" s="13">
        <f>AD97*$I66*2/MAIN!$Q$1</f>
        <v>0</v>
      </c>
      <c r="AE107" s="13">
        <f>AE97*$I66*2/MAIN!$Q$1</f>
        <v>0</v>
      </c>
      <c r="AF107" s="13">
        <f>AF97*$I66*2/MAIN!$Q$1</f>
        <v>0</v>
      </c>
      <c r="AG107" s="13">
        <f>AG97*$I66*2/MAIN!$Q$1</f>
        <v>0</v>
      </c>
      <c r="AH107" s="13">
        <f>AH97*$I66*2/MAIN!$Q$1</f>
        <v>0</v>
      </c>
      <c r="AI107" s="13">
        <f>AI97*$I66*2/MAIN!$Q$1</f>
        <v>0</v>
      </c>
      <c r="AJ107" s="13">
        <f>AJ97*$I66*2/MAIN!$Q$1</f>
        <v>0</v>
      </c>
      <c r="AK107" s="13">
        <f>AK97*$I66*2/MAIN!$Q$1</f>
        <v>0</v>
      </c>
      <c r="AL107" s="13">
        <f>AL97*$I66*2/MAIN!$Q$1</f>
        <v>0</v>
      </c>
      <c r="AM107" s="13">
        <f>AM97*$I66*2/MAIN!$Q$1</f>
        <v>0</v>
      </c>
      <c r="AN107" s="13">
        <f>AN97*$I66*2/MAIN!$Q$1</f>
        <v>0</v>
      </c>
      <c r="AO107" s="13">
        <f>AO97*$I66*2/MAIN!$Q$1</f>
        <v>0</v>
      </c>
      <c r="AP107" s="13">
        <f>AP97*$I66*2/MAIN!$Q$1</f>
        <v>0</v>
      </c>
      <c r="AQ107" s="13">
        <f>AQ97*$I66*2/MAIN!$Q$1</f>
        <v>0</v>
      </c>
      <c r="AR107" s="59">
        <f>AR97*$I66*2/MAIN!$Q$1</f>
        <v>0</v>
      </c>
      <c r="AS107" s="13">
        <f>AS97*$I66*2/MAIN!$Q$1</f>
        <v>0</v>
      </c>
      <c r="AT107" s="13">
        <f>AT97*$I66*2/MAIN!$Q$1</f>
        <v>0</v>
      </c>
      <c r="AU107" s="13">
        <f>AU97*$I66*2/MAIN!$Q$1</f>
        <v>0</v>
      </c>
      <c r="AV107" s="13">
        <f>AV97*$I66*2/MAIN!$Q$1</f>
        <v>0</v>
      </c>
      <c r="AW107" s="13">
        <f>AW97*$I66*2/MAIN!$Q$1</f>
        <v>0</v>
      </c>
      <c r="AX107" s="13">
        <f>AX97*$I66*2/MAIN!$Q$1</f>
        <v>0</v>
      </c>
      <c r="AY107" s="13">
        <f>AY97*$I66*2/MAIN!$Q$1</f>
        <v>0</v>
      </c>
      <c r="AZ107" s="13">
        <f>AZ97*$I66*2/MAIN!$Q$1</f>
        <v>0</v>
      </c>
      <c r="BA107" s="13">
        <f>BA97*$I66*2/MAIN!$Q$1</f>
        <v>0</v>
      </c>
      <c r="BB107" s="13">
        <f>BB97*$I66*2/MAIN!$Q$1</f>
        <v>0</v>
      </c>
      <c r="BC107" s="13">
        <f>BC97*$I66*2/MAIN!$Q$1</f>
        <v>0</v>
      </c>
      <c r="BD107" s="13">
        <f>BD97*$I66*2/MAIN!$Q$1</f>
        <v>0</v>
      </c>
      <c r="BE107" s="13">
        <f>BE97*$I66*2/MAIN!$Q$1</f>
        <v>0</v>
      </c>
      <c r="BF107" s="13">
        <f>BF97*$I66*2/MAIN!$Q$1</f>
        <v>0</v>
      </c>
      <c r="BG107" s="13">
        <f>BG97*$I66*2/MAIN!$Q$1</f>
        <v>0</v>
      </c>
      <c r="BH107" s="13">
        <f>BH97*$I66*2/MAIN!$Q$1</f>
        <v>0</v>
      </c>
      <c r="BI107" s="13">
        <f>BI97*$I66*2/MAIN!$Q$1</f>
        <v>0</v>
      </c>
      <c r="BJ107" s="13">
        <f>BJ97*$I66*2/MAIN!$Q$1</f>
        <v>0</v>
      </c>
      <c r="BK107" s="13">
        <f>BK97*$I66*2/MAIN!$Q$1</f>
        <v>0</v>
      </c>
      <c r="BL107" s="13">
        <f>BL97*$I66*2/MAIN!$Q$1</f>
        <v>0</v>
      </c>
      <c r="BM107" s="13">
        <f>BM97*$I66*2/MAIN!$Q$1</f>
        <v>0</v>
      </c>
      <c r="BN107" s="13">
        <f>BN97*$I66*2/MAIN!$Q$1</f>
        <v>0</v>
      </c>
      <c r="BO107" s="3">
        <f>BO97*$I66*2/MAIN!$Q$1</f>
        <v>0</v>
      </c>
      <c r="BP107" s="41"/>
      <c r="BQ107" s="41"/>
      <c r="BR107" s="41"/>
    </row>
    <row r="108" spans="1:70" ht="16.5">
      <c r="A108" s="41"/>
      <c r="B108" s="14">
        <f t="shared" si="74"/>
        <v>9</v>
      </c>
      <c r="C108" s="298" t="s">
        <v>66</v>
      </c>
      <c r="D108" s="3">
        <f>D98*$I66*2/MAIN!$Q$1</f>
        <v>0</v>
      </c>
      <c r="E108" s="13">
        <f>E98*$I66*2/MAIN!$Q$1</f>
        <v>0</v>
      </c>
      <c r="F108" s="13">
        <f>F98*$I66*2/MAIN!$Q$1</f>
        <v>0</v>
      </c>
      <c r="G108" s="13">
        <f>G98*$I66*2/MAIN!$Q$1</f>
        <v>0</v>
      </c>
      <c r="H108" s="13">
        <f>H98*$I66*2/MAIN!$Q$1</f>
        <v>0</v>
      </c>
      <c r="I108" s="13">
        <f>I98*$I66*2/MAIN!$Q$1</f>
        <v>0</v>
      </c>
      <c r="J108" s="13">
        <f>J98*$I66*2/MAIN!$Q$1</f>
        <v>0</v>
      </c>
      <c r="K108" s="13">
        <f>K98*$I66*2/MAIN!$Q$1</f>
        <v>0</v>
      </c>
      <c r="L108" s="13">
        <f>L98*$I66*2/MAIN!$Q$1</f>
        <v>0</v>
      </c>
      <c r="M108" s="13">
        <f>M98*$I66*2/MAIN!$Q$1</f>
        <v>0</v>
      </c>
      <c r="N108" s="13">
        <f>N98*$I66*2/MAIN!$Q$1</f>
        <v>0</v>
      </c>
      <c r="O108" s="13">
        <f>O98*$I66*2/MAIN!$Q$1</f>
        <v>0</v>
      </c>
      <c r="P108" s="13">
        <f>P98*$I66*2/MAIN!$Q$1</f>
        <v>0</v>
      </c>
      <c r="Q108" s="13">
        <f>Q98*$I66*2/MAIN!$Q$1</f>
        <v>0</v>
      </c>
      <c r="R108" s="13">
        <f>R98*$I66*2/MAIN!$Q$1</f>
        <v>0</v>
      </c>
      <c r="S108" s="13">
        <f>S98*$I66*2/MAIN!$Q$1</f>
        <v>0</v>
      </c>
      <c r="T108" s="13">
        <f>T98*$I66*2/MAIN!$Q$1</f>
        <v>0</v>
      </c>
      <c r="U108" s="13">
        <f>U98*$I66*2/MAIN!$Q$1</f>
        <v>0</v>
      </c>
      <c r="V108" s="13">
        <f>V98*$I66*2/MAIN!$Q$1</f>
        <v>0</v>
      </c>
      <c r="W108" s="13">
        <f>W98*$I66*2/MAIN!$Q$1</f>
        <v>0</v>
      </c>
      <c r="X108" s="13">
        <f>X98*$I66*2/MAIN!$Q$1</f>
        <v>0</v>
      </c>
      <c r="Y108" s="13">
        <f>Y98*$I66*2/MAIN!$Q$1</f>
        <v>0</v>
      </c>
      <c r="Z108" s="13">
        <f>Z98*$I66*2/MAIN!$Q$1</f>
        <v>0</v>
      </c>
      <c r="AA108" s="13">
        <f>AA98*$I66*2/MAIN!$Q$1</f>
        <v>0</v>
      </c>
      <c r="AB108" s="13">
        <f>AB98*$I66*2/MAIN!$Q$1</f>
        <v>0</v>
      </c>
      <c r="AC108" s="13">
        <f>AC98*$I66*2/MAIN!$Q$1</f>
        <v>0</v>
      </c>
      <c r="AD108" s="13">
        <f>AD98*$I66*2/MAIN!$Q$1</f>
        <v>0</v>
      </c>
      <c r="AE108" s="13">
        <f>AE98*$I66*2/MAIN!$Q$1</f>
        <v>0</v>
      </c>
      <c r="AF108" s="13">
        <f>AF98*$I66*2/MAIN!$Q$1</f>
        <v>0</v>
      </c>
      <c r="AG108" s="13">
        <f>AG98*$I66*2/MAIN!$Q$1</f>
        <v>0</v>
      </c>
      <c r="AH108" s="13">
        <f>AH98*$I66*2/MAIN!$Q$1</f>
        <v>0</v>
      </c>
      <c r="AI108" s="13">
        <f>AI98*$I66*2/MAIN!$Q$1</f>
        <v>0</v>
      </c>
      <c r="AJ108" s="13">
        <f>AJ98*$I66*2/MAIN!$Q$1</f>
        <v>0</v>
      </c>
      <c r="AK108" s="13">
        <f>AK98*$I66*2/MAIN!$Q$1</f>
        <v>0</v>
      </c>
      <c r="AL108" s="13">
        <f>AL98*$I66*2/MAIN!$Q$1</f>
        <v>0</v>
      </c>
      <c r="AM108" s="13">
        <f>AM98*$I66*2/MAIN!$Q$1</f>
        <v>0</v>
      </c>
      <c r="AN108" s="13">
        <f>AN98*$I66*2/MAIN!$Q$1</f>
        <v>0</v>
      </c>
      <c r="AO108" s="13">
        <f>AO98*$I66*2/MAIN!$Q$1</f>
        <v>0</v>
      </c>
      <c r="AP108" s="13">
        <f>AP98*$I66*2/MAIN!$Q$1</f>
        <v>0</v>
      </c>
      <c r="AQ108" s="13">
        <f>AQ98*$I66*2/MAIN!$Q$1</f>
        <v>0</v>
      </c>
      <c r="AR108" s="59">
        <f>AR98*$I66*2/MAIN!$Q$1</f>
        <v>0</v>
      </c>
      <c r="AS108" s="13">
        <f>AS98*$I66*2/MAIN!$Q$1</f>
        <v>0</v>
      </c>
      <c r="AT108" s="13">
        <f>AT98*$I66*2/MAIN!$Q$1</f>
        <v>0</v>
      </c>
      <c r="AU108" s="13">
        <f>AU98*$I66*2/MAIN!$Q$1</f>
        <v>0</v>
      </c>
      <c r="AV108" s="13">
        <f>AV98*$I66*2/MAIN!$Q$1</f>
        <v>0</v>
      </c>
      <c r="AW108" s="13">
        <f>AW98*$I66*2/MAIN!$Q$1</f>
        <v>0</v>
      </c>
      <c r="AX108" s="13">
        <f>AX98*$I66*2/MAIN!$Q$1</f>
        <v>0</v>
      </c>
      <c r="AY108" s="13">
        <f>AY98*$I66*2/MAIN!$Q$1</f>
        <v>0</v>
      </c>
      <c r="AZ108" s="13">
        <f>AZ98*$I66*2/MAIN!$Q$1</f>
        <v>0</v>
      </c>
      <c r="BA108" s="13">
        <f>BA98*$I66*2/MAIN!$Q$1</f>
        <v>0</v>
      </c>
      <c r="BB108" s="13">
        <f>BB98*$I66*2/MAIN!$Q$1</f>
        <v>0</v>
      </c>
      <c r="BC108" s="13">
        <f>BC98*$I66*2/MAIN!$Q$1</f>
        <v>0</v>
      </c>
      <c r="BD108" s="13">
        <f>BD98*$I66*2/MAIN!$Q$1</f>
        <v>0</v>
      </c>
      <c r="BE108" s="13">
        <f>BE98*$I66*2/MAIN!$Q$1</f>
        <v>0</v>
      </c>
      <c r="BF108" s="13">
        <f>BF98*$I66*2/MAIN!$Q$1</f>
        <v>0</v>
      </c>
      <c r="BG108" s="13">
        <f>BG98*$I66*2/MAIN!$Q$1</f>
        <v>0</v>
      </c>
      <c r="BH108" s="13">
        <f>BH98*$I66*2/MAIN!$Q$1</f>
        <v>0</v>
      </c>
      <c r="BI108" s="13">
        <f>BI98*$I66*2/MAIN!$Q$1</f>
        <v>0</v>
      </c>
      <c r="BJ108" s="13">
        <f>BJ98*$I66*2/MAIN!$Q$1</f>
        <v>0</v>
      </c>
      <c r="BK108" s="13">
        <f>BK98*$I66*2/MAIN!$Q$1</f>
        <v>0</v>
      </c>
      <c r="BL108" s="13">
        <f>BL98*$I66*2/MAIN!$Q$1</f>
        <v>0</v>
      </c>
      <c r="BM108" s="13">
        <f>BM98*$I66*2/MAIN!$Q$1</f>
        <v>0</v>
      </c>
      <c r="BN108" s="13">
        <f>BN98*$I66*2/MAIN!$Q$1</f>
        <v>0</v>
      </c>
      <c r="BO108" s="3">
        <f>BO98*$I66*2/MAIN!$Q$1</f>
        <v>0</v>
      </c>
      <c r="BP108" s="41"/>
      <c r="BQ108" s="41"/>
      <c r="BR108" s="41"/>
    </row>
    <row r="109" spans="1:70" ht="16.5">
      <c r="A109" s="41"/>
      <c r="B109" s="290" t="s">
        <v>67</v>
      </c>
      <c r="C109" s="298" t="s">
        <v>68</v>
      </c>
      <c r="D109" s="3">
        <f>D99*$I66*MAIN!$C$15/MAIN!$Q$1</f>
        <v>-699345.84288607596</v>
      </c>
      <c r="E109" s="13">
        <f>E99*$I66*MAIN!$C$15/MAIN!$Q$1</f>
        <v>-699345.84288607596</v>
      </c>
      <c r="F109" s="13">
        <f>F99*$I66*MAIN!$C$15/MAIN!$Q$1</f>
        <v>-699345.84288607596</v>
      </c>
      <c r="G109" s="13">
        <f>G99*$I66*MAIN!$C$15/MAIN!$Q$1</f>
        <v>-699345.84288607596</v>
      </c>
      <c r="H109" s="13">
        <f>H99*$I66*MAIN!$C$15/MAIN!$Q$1</f>
        <v>-699345.84288607596</v>
      </c>
      <c r="I109" s="13">
        <f>I99*$I66*MAIN!$C$15/MAIN!$Q$1</f>
        <v>-699345.84288607596</v>
      </c>
      <c r="J109" s="13">
        <f>J99*$I66*MAIN!$C$15/MAIN!$Q$1</f>
        <v>-699345.84288607596</v>
      </c>
      <c r="K109" s="13">
        <f>K99*$I66*MAIN!$C$15/MAIN!$Q$1</f>
        <v>-699345.84288607596</v>
      </c>
      <c r="L109" s="13">
        <f>L99*$I66*MAIN!$C$15/MAIN!$Q$1</f>
        <v>-699345.84288607596</v>
      </c>
      <c r="M109" s="13">
        <f>M99*$I66*MAIN!$C$15/MAIN!$Q$1</f>
        <v>-699345.84288607596</v>
      </c>
      <c r="N109" s="13">
        <f>N99*$I66*MAIN!$C$15/MAIN!$Q$1</f>
        <v>-699345.84288607596</v>
      </c>
      <c r="O109" s="13">
        <f>O99*$I66*MAIN!$C$15/MAIN!$Q$1</f>
        <v>-699345.84288607596</v>
      </c>
      <c r="P109" s="13">
        <f>P99*$I66*MAIN!$C$15/MAIN!$Q$1</f>
        <v>-699345.84288607596</v>
      </c>
      <c r="Q109" s="13">
        <f>Q99*$I66*MAIN!$C$15/MAIN!$Q$1</f>
        <v>-699345.84288607596</v>
      </c>
      <c r="R109" s="13">
        <f>R99*$I66*MAIN!$C$15/MAIN!$Q$1</f>
        <v>-699345.84288607596</v>
      </c>
      <c r="S109" s="13">
        <f>S99*$I66*MAIN!$C$15/MAIN!$Q$1</f>
        <v>-699345.84288607596</v>
      </c>
      <c r="T109" s="13">
        <f>T99*$I66*MAIN!$C$15/MAIN!$Q$1</f>
        <v>-699345.84288607596</v>
      </c>
      <c r="U109" s="13">
        <f>U99*$I66*MAIN!$C$15/MAIN!$Q$1</f>
        <v>-699345.84288607596</v>
      </c>
      <c r="V109" s="13">
        <f>V99*$I66*MAIN!$C$15/MAIN!$Q$1</f>
        <v>-699345.84288607596</v>
      </c>
      <c r="W109" s="13">
        <f>W99*$I66*MAIN!$C$15/MAIN!$Q$1</f>
        <v>-699345.84288607596</v>
      </c>
      <c r="X109" s="13">
        <f>X99*$I66*MAIN!$C$15/MAIN!$Q$1</f>
        <v>-699345.84288607596</v>
      </c>
      <c r="Y109" s="13">
        <f>Y99*$I66*MAIN!$C$15/MAIN!$Q$1</f>
        <v>-699345.84288607596</v>
      </c>
      <c r="Z109" s="13">
        <f>Z99*$I66*MAIN!$C$15/MAIN!$Q$1</f>
        <v>-699345.84288607596</v>
      </c>
      <c r="AA109" s="13">
        <f>AA99*$I66*MAIN!$C$15/MAIN!$Q$1</f>
        <v>-699345.84288607596</v>
      </c>
      <c r="AB109" s="13">
        <f>AB99*$I66*MAIN!$C$15/MAIN!$Q$1</f>
        <v>-699345.84288607596</v>
      </c>
      <c r="AC109" s="13">
        <f>AC99*$I66*MAIN!$C$15/MAIN!$Q$1</f>
        <v>-699345.84288607596</v>
      </c>
      <c r="AD109" s="13">
        <f>AD99*$I66*MAIN!$C$15/MAIN!$Q$1</f>
        <v>-699345.84288607596</v>
      </c>
      <c r="AE109" s="13">
        <f>AE99*$I66*MAIN!$C$15/MAIN!$Q$1</f>
        <v>-699345.84288607596</v>
      </c>
      <c r="AF109" s="13">
        <f>AF99*$I66*MAIN!$C$15/MAIN!$Q$1</f>
        <v>-699345.84288607596</v>
      </c>
      <c r="AG109" s="13">
        <f>AG99*$I66*MAIN!$C$15/MAIN!$Q$1</f>
        <v>-699345.84288607596</v>
      </c>
      <c r="AH109" s="13">
        <f>AH99*$I66*MAIN!$C$15/MAIN!$Q$1</f>
        <v>-699345.84288607596</v>
      </c>
      <c r="AI109" s="13">
        <f>AI99*$I66*MAIN!$C$15/MAIN!$Q$1</f>
        <v>-699345.84288607596</v>
      </c>
      <c r="AJ109" s="13">
        <f>AJ99*$I66*MAIN!$C$15/MAIN!$Q$1</f>
        <v>-699345.84288607596</v>
      </c>
      <c r="AK109" s="13">
        <f>AK99*$I66*MAIN!$C$15/MAIN!$Q$1</f>
        <v>-699345.84288607596</v>
      </c>
      <c r="AL109" s="13">
        <f>AL99*$I66*MAIN!$C$15/MAIN!$Q$1</f>
        <v>-699345.84288607596</v>
      </c>
      <c r="AM109" s="13">
        <f>AM99*$I66*MAIN!$C$15/MAIN!$Q$1</f>
        <v>-699345.84288607596</v>
      </c>
      <c r="AN109" s="13">
        <f>AN99*$I66*MAIN!$C$15/MAIN!$Q$1</f>
        <v>-699345.84288607596</v>
      </c>
      <c r="AO109" s="13">
        <f>AO99*$I66*MAIN!$C$15/MAIN!$Q$1</f>
        <v>-699345.84288607596</v>
      </c>
      <c r="AP109" s="13">
        <f>AP99*$I66*MAIN!$C$15/MAIN!$Q$1</f>
        <v>-699345.84288607596</v>
      </c>
      <c r="AQ109" s="13">
        <f>AQ99*$I66*MAIN!$C$15/MAIN!$Q$1</f>
        <v>-699345.84288607596</v>
      </c>
      <c r="AR109" s="59">
        <f>AR99*$I66*MAIN!$C$15/MAIN!$Q$1</f>
        <v>-699345.84288607573</v>
      </c>
      <c r="AS109" s="13">
        <f>AS99*$I66*MAIN!$C$15/MAIN!$Q$1</f>
        <v>-597577.86016876204</v>
      </c>
      <c r="AT109" s="13">
        <f>AT99*$I66*MAIN!$C$15/MAIN!$Q$1</f>
        <v>-506558.60235494009</v>
      </c>
      <c r="AU109" s="13">
        <f>AU99*$I66*MAIN!$C$15/MAIN!$Q$1</f>
        <v>-424670.57049680356</v>
      </c>
      <c r="AV109" s="13">
        <f>AV99*$I66*MAIN!$C$15/MAIN!$Q$1</f>
        <v>-350605.30510547315</v>
      </c>
      <c r="AW109" s="13">
        <f>AW99*$I66*MAIN!$C$15/MAIN!$Q$1</f>
        <v>-283292.9444261415</v>
      </c>
      <c r="AX109" s="13">
        <f>AX99*$I66*MAIN!$C$15/MAIN!$Q$1</f>
        <v>-221850.21023276023</v>
      </c>
      <c r="AY109" s="13">
        <f>AY99*$I66*MAIN!$C$15/MAIN!$Q$1</f>
        <v>-165541.43203865585</v>
      </c>
      <c r="AZ109" s="13">
        <f>AZ99*$I66*MAIN!$C$15/MAIN!$Q$1</f>
        <v>-113748.94957089132</v>
      </c>
      <c r="BA109" s="13">
        <f>BA99*$I66*MAIN!$C$15/MAIN!$Q$1</f>
        <v>-65950.362343538494</v>
      </c>
      <c r="BB109" s="13">
        <f>BB99*$I66*MAIN!$C$15/MAIN!$Q$1</f>
        <v>-21700.846926642076</v>
      </c>
      <c r="BC109" s="13">
        <f>BC99*$I66*MAIN!$C$15/MAIN!$Q$1</f>
        <v>19380.727923498984</v>
      </c>
      <c r="BD109" s="13">
        <f>BD99*$I66*MAIN!$C$15/MAIN!$Q$1</f>
        <v>57252.482276942072</v>
      </c>
      <c r="BE109" s="13">
        <f>BE99*$I66*MAIN!$C$15/MAIN!$Q$1</f>
        <v>89750.7053797439</v>
      </c>
      <c r="BF109" s="13">
        <f>BF99*$I66*MAIN!$C$15/MAIN!$Q$1</f>
        <v>118324.37650059562</v>
      </c>
      <c r="BG109" s="13">
        <f>BG99*$I66*MAIN!$C$15/MAIN!$Q$1</f>
        <v>143643.92012538968</v>
      </c>
      <c r="BH109" s="13">
        <f>BH99*$I66*MAIN!$C$15/MAIN!$Q$1</f>
        <v>166235.28433816641</v>
      </c>
      <c r="BI109" s="13">
        <f>BI99*$I66*MAIN!$C$15/MAIN!$Q$1</f>
        <v>186516.86959503396</v>
      </c>
      <c r="BJ109" s="13">
        <f>BJ99*$I66*MAIN!$C$15/MAIN!$Q$1</f>
        <v>168366.4514594092</v>
      </c>
      <c r="BK109" s="13">
        <f>BK99*$I66*MAIN!$C$15/MAIN!$Q$1</f>
        <v>184976.97544336706</v>
      </c>
      <c r="BL109" s="13">
        <f>BL99*$I66*MAIN!$C$15/MAIN!$Q$1</f>
        <v>334399.49962850724</v>
      </c>
      <c r="BM109" s="13">
        <f>BM99*$I66*MAIN!$C$15/MAIN!$Q$1</f>
        <v>392869.18300530117</v>
      </c>
      <c r="BN109" s="13">
        <f>BN99*$I66*MAIN!$C$15/MAIN!$Q$1</f>
        <v>424053.01413959125</v>
      </c>
      <c r="BO109" s="3">
        <f>BO99*$I66*MAIN!$C$15/MAIN!$Q$1</f>
        <v>526514.17358083033</v>
      </c>
      <c r="BP109" s="41"/>
      <c r="BQ109" s="41"/>
      <c r="BR109" s="41"/>
    </row>
    <row r="110" spans="1:70" ht="16.5">
      <c r="A110" s="41"/>
      <c r="B110" s="290" t="s">
        <v>69</v>
      </c>
      <c r="C110" s="298" t="s">
        <v>70</v>
      </c>
      <c r="D110" s="3">
        <f>MAX($F66-$C$8/2*D69,$F66-MAIN!$C$13/2)</f>
        <v>1121.7513491714642</v>
      </c>
      <c r="E110" s="304">
        <f>MAX($F66-$C$8/2*E69,$F66-MAIN!$C$13/2)</f>
        <v>1115.2883700398788</v>
      </c>
      <c r="F110" s="304">
        <f>MAX($F66-$C$8/2*F69,$F66-MAIN!$C$13/2)</f>
        <v>1108.8253909082935</v>
      </c>
      <c r="G110" s="304">
        <f>MAX($F66-$C$8/2*G69,$F66-MAIN!$C$13/2)</f>
        <v>1102.3624117767079</v>
      </c>
      <c r="H110" s="304">
        <f>MAX($F66-$C$8/2*H69,$F66-MAIN!$C$13/2)</f>
        <v>1095.8994326451225</v>
      </c>
      <c r="I110" s="304">
        <f>MAX($F66-$C$8/2*I69,$F66-MAIN!$C$13/2)</f>
        <v>1089.4364535135369</v>
      </c>
      <c r="J110" s="304">
        <f>MAX($F66-$C$8/2*J69,$F66-MAIN!$C$13/2)</f>
        <v>1082.9734743819515</v>
      </c>
      <c r="K110" s="304">
        <f>MAX($F66-$C$8/2*K69,$F66-MAIN!$C$13/2)</f>
        <v>1076.5104952503661</v>
      </c>
      <c r="L110" s="304">
        <f>MAX($F66-$C$8/2*L69,$F66-MAIN!$C$13/2)</f>
        <v>1070.0475161187805</v>
      </c>
      <c r="M110" s="304">
        <f>MAX($F66-$C$8/2*M69,$F66-MAIN!$C$13/2)</f>
        <v>1063.5845369871952</v>
      </c>
      <c r="N110" s="304">
        <f>MAX($F66-$C$8/2*N69,$F66-MAIN!$C$13/2)</f>
        <v>1057.1215578556096</v>
      </c>
      <c r="O110" s="304">
        <f>MAX($F66-$C$8/2*O69,$F66-MAIN!$C$13/2)</f>
        <v>1050.6585787240242</v>
      </c>
      <c r="P110" s="304">
        <f>MAX($F66-$C$8/2*P69,$F66-MAIN!$C$13/2)</f>
        <v>1044.1955995924388</v>
      </c>
      <c r="Q110" s="304">
        <f>MAX($F66-$C$8/2*Q69,$F66-MAIN!$C$13/2)</f>
        <v>1037.7326204608532</v>
      </c>
      <c r="R110" s="304">
        <f>MAX($F66-$C$8/2*R69,$F66-MAIN!$C$13/2)</f>
        <v>1031.2696413292679</v>
      </c>
      <c r="S110" s="304">
        <f>MAX($F66-$C$8/2*S69,$F66-MAIN!$C$13/2)</f>
        <v>1024.8066621976823</v>
      </c>
      <c r="T110" s="304">
        <f>MAX($F66-$C$8/2*T69,$F66-MAIN!$C$13/2)</f>
        <v>1018.3436830660969</v>
      </c>
      <c r="U110" s="304">
        <f>MAX($F66-$C$8/2*U69,$F66-MAIN!$C$13/2)</f>
        <v>1011.8807039345114</v>
      </c>
      <c r="V110" s="304">
        <f>MAX($F66-$C$8/2*V69,$F66-MAIN!$C$13/2)</f>
        <v>1005.4177248029259</v>
      </c>
      <c r="W110" s="304">
        <f>MAX($F66-$C$8/2*W69,$F66-MAIN!$C$13/2)</f>
        <v>998.95474567134056</v>
      </c>
      <c r="X110" s="304">
        <f>MAX($F66-$C$8/2*X69,$F66-MAIN!$C$13/2)</f>
        <v>992.49176653975508</v>
      </c>
      <c r="Y110" s="304">
        <f>MAX($F66-$C$8/2*Y69,$F66-MAIN!$C$13/2)</f>
        <v>986.02878740816959</v>
      </c>
      <c r="Z110" s="304">
        <f>MAX($F66-$C$8/2*Z69,$F66-MAIN!$C$13/2)</f>
        <v>979.56580827658411</v>
      </c>
      <c r="AA110" s="304">
        <f>MAX($F66-$C$8/2*AA69,$F66-MAIN!$C$13/2)</f>
        <v>973.10282914499862</v>
      </c>
      <c r="AB110" s="304">
        <f>MAX($F66-$C$8/2*AB69,$F66-MAIN!$C$13/2)</f>
        <v>966.63985001341325</v>
      </c>
      <c r="AC110" s="304">
        <f>MAX($F66-$C$8/2*AC69,$F66-MAIN!$C$13/2)</f>
        <v>960.17687088182777</v>
      </c>
      <c r="AD110" s="304">
        <f>MAX($F66-$C$8/2*AD69,$F66-MAIN!$C$13/2)</f>
        <v>953.71389175024228</v>
      </c>
      <c r="AE110" s="304">
        <f>MAX($F66-$C$8/2*AE69,$F66-MAIN!$C$13/2)</f>
        <v>947.2509126186568</v>
      </c>
      <c r="AF110" s="304">
        <f>MAX($F66-$C$8/2*AF69,$F66-MAIN!$C$13/2)</f>
        <v>940.78793348707131</v>
      </c>
      <c r="AG110" s="304">
        <f>MAX($F66-$C$8/2*AG69,$F66-MAIN!$C$13/2)</f>
        <v>934.32495435548594</v>
      </c>
      <c r="AH110" s="304">
        <f>MAX($F66-$C$8/2*AH69,$F66-MAIN!$C$13/2)</f>
        <v>927.86197522390046</v>
      </c>
      <c r="AI110" s="304">
        <f>MAX($F66-$C$8/2*AI69,$F66-MAIN!$C$13/2)</f>
        <v>921.39899609231497</v>
      </c>
      <c r="AJ110" s="304">
        <f>MAX($F66-$C$8/2*AJ69,$F66-MAIN!$C$13/2)</f>
        <v>914.93601696072949</v>
      </c>
      <c r="AK110" s="304">
        <f>MAX($F66-$C$8/2*AK69,$F66-MAIN!$C$13/2)</f>
        <v>908.473037829144</v>
      </c>
      <c r="AL110" s="304">
        <f>MAX($F66-$C$8/2*AL69,$F66-MAIN!$C$13/2)</f>
        <v>902.01005869755863</v>
      </c>
      <c r="AM110" s="304">
        <f>MAX($F66-$C$8/2*AM69,$F66-MAIN!$C$13/2)</f>
        <v>895.54707956597315</v>
      </c>
      <c r="AN110" s="304">
        <f>MAX($F66-$C$8/2*AN69,$F66-MAIN!$C$13/2)</f>
        <v>889.08410043438766</v>
      </c>
      <c r="AO110" s="304">
        <f>MAX($F66-$C$8/2*AO69,$F66-MAIN!$C$13/2)</f>
        <v>882.62112130280218</v>
      </c>
      <c r="AP110" s="304">
        <f>MAX($F66-$C$8/2*AP69,$F66-MAIN!$C$13/2)</f>
        <v>876.1581421712167</v>
      </c>
      <c r="AQ110" s="304">
        <f>MAX($F66-$C$8/2*AQ69,$F66-MAIN!$C$13/2)</f>
        <v>869.69516303963132</v>
      </c>
      <c r="AR110" s="56">
        <f>MAX($F66-$C$8/2*AR69,$F66-MAIN!$C$13/2)</f>
        <v>863.23218390804595</v>
      </c>
      <c r="AS110" s="304">
        <f>MAX($F66-$C$8/2*AS69,$F66-MAIN!$C$13/2)</f>
        <v>846.5357531760435</v>
      </c>
      <c r="AT110" s="304">
        <f>MAX($F66-$C$8/2*AT69,$F66-MAIN!$C$13/2)</f>
        <v>829.83932244404104</v>
      </c>
      <c r="AU110" s="304">
        <f>MAX($F66-$C$8/2*AU69,$F66-MAIN!$C$13/2)</f>
        <v>813.1428917120387</v>
      </c>
      <c r="AV110" s="304">
        <f>MAX($F66-$C$8/2*AV69,$F66-MAIN!$C$13/2)</f>
        <v>796.44646098003636</v>
      </c>
      <c r="AW110" s="304">
        <f>MAX($F66-$C$8/2*AW69,$F66-MAIN!$C$13/2)</f>
        <v>779.75003024803391</v>
      </c>
      <c r="AX110" s="304">
        <f>MAX($F66-$C$8/2*AX69,$F66-MAIN!$C$13/2)</f>
        <v>763.05359951603145</v>
      </c>
      <c r="AY110" s="304">
        <f>MAX($F66-$C$8/2*AY69,$F66-MAIN!$C$13/2)</f>
        <v>746.357168784029</v>
      </c>
      <c r="AZ110" s="304">
        <f>MAX($F66-$C$8/2*AZ69,$F66-MAIN!$C$13/2)</f>
        <v>729.66073805202666</v>
      </c>
      <c r="BA110" s="304">
        <f>MAX($F66-$C$8/2*BA69,$F66-MAIN!$C$13/2)</f>
        <v>712.96430732002432</v>
      </c>
      <c r="BB110" s="304">
        <f>MAX($F66-$C$8/2*BB69,$F66-MAIN!$C$13/2)</f>
        <v>696.26787658802186</v>
      </c>
      <c r="BC110" s="304">
        <f>MAX($F66-$C$8/2*BC69,$F66-MAIN!$C$13/2)</f>
        <v>679.57144585601941</v>
      </c>
      <c r="BD110" s="304">
        <f>MAX($F66-$C$8/2*BD69,$F66-MAIN!$C$13/2)</f>
        <v>662.87501512401695</v>
      </c>
      <c r="BE110" s="304">
        <f>MAX($F66-$C$8/2*BE69,$F66-MAIN!$C$13/2)</f>
        <v>646.17858439201461</v>
      </c>
      <c r="BF110" s="304">
        <f>MAX($F66-$C$8/2*BF69,$F66-MAIN!$C$13/2)</f>
        <v>629.48215366001216</v>
      </c>
      <c r="BG110" s="304">
        <f>MAX($F66-$C$8/2*BG69,$F66-MAIN!$C$13/2)</f>
        <v>612.78572292800982</v>
      </c>
      <c r="BH110" s="304">
        <f>MAX($F66-$C$8/2*BH69,$F66-MAIN!$C$13/2)</f>
        <v>596.08929219600736</v>
      </c>
      <c r="BI110" s="304">
        <f>MAX($F66-$C$8/2*BI69,$F66-MAIN!$C$13/2)</f>
        <v>579.39286146400502</v>
      </c>
      <c r="BJ110" s="304">
        <f>MAX($F66-$C$8/2*BJ69,$F66-MAIN!$C$13/2)</f>
        <v>562.69643073200257</v>
      </c>
      <c r="BK110" s="304">
        <f>MAX($F66-$C$8/2*BK69,$F66-MAIN!$C$13/2)</f>
        <v>546</v>
      </c>
      <c r="BL110" s="304">
        <f>MAX($F66-$C$8/2*BL69,$F66-MAIN!$C$13/2)</f>
        <v>546</v>
      </c>
      <c r="BM110" s="304">
        <f>MAX($F66-$C$8/2*BM69,$F66-MAIN!$C$13/2)</f>
        <v>546</v>
      </c>
      <c r="BN110" s="304">
        <f>MAX($F66-$C$8/2*BN69,$F66-MAIN!$C$13/2)</f>
        <v>546</v>
      </c>
      <c r="BO110" s="3">
        <f>$F66-MAIN!$C$13/2</f>
        <v>546</v>
      </c>
      <c r="BP110" s="41"/>
      <c r="BQ110" s="41"/>
      <c r="BR110" s="41"/>
    </row>
    <row r="111" spans="1:70" ht="16.5">
      <c r="A111" s="227">
        <f>IF(I66=0,0,1)</f>
        <v>1</v>
      </c>
      <c r="B111" s="295" t="s">
        <v>31</v>
      </c>
      <c r="C111" s="298" t="s">
        <v>71</v>
      </c>
      <c r="D111" s="3">
        <f>$A111*(D70+SUM(D100:D109))/1000</f>
        <v>-1645.2700682225006</v>
      </c>
      <c r="E111" s="304">
        <f t="shared" ref="E111:BO111" si="75">$A111*(E70+SUM(E100:E109))/1000</f>
        <v>-1382.7688948582806</v>
      </c>
      <c r="F111" s="304">
        <f t="shared" si="75"/>
        <v>-1157.1973734362284</v>
      </c>
      <c r="G111" s="304">
        <f t="shared" si="75"/>
        <v>-972.40678065787108</v>
      </c>
      <c r="H111" s="304">
        <f t="shared" si="75"/>
        <v>-812.61488262609726</v>
      </c>
      <c r="I111" s="304">
        <f t="shared" si="75"/>
        <v>-669.25258922015053</v>
      </c>
      <c r="J111" s="304">
        <f t="shared" si="75"/>
        <v>-577.99016730915321</v>
      </c>
      <c r="K111" s="304">
        <f t="shared" si="75"/>
        <v>-490.09365111959096</v>
      </c>
      <c r="L111" s="304">
        <f t="shared" si="75"/>
        <v>-402.19713493002882</v>
      </c>
      <c r="M111" s="304">
        <f t="shared" si="75"/>
        <v>-314.30061874046618</v>
      </c>
      <c r="N111" s="304">
        <f t="shared" si="75"/>
        <v>-226.40410255090404</v>
      </c>
      <c r="O111" s="304">
        <f t="shared" si="75"/>
        <v>-138.50758636134188</v>
      </c>
      <c r="P111" s="304">
        <f t="shared" si="75"/>
        <v>-50.611070171779488</v>
      </c>
      <c r="Q111" s="304">
        <f t="shared" si="75"/>
        <v>123.75051058231853</v>
      </c>
      <c r="R111" s="304">
        <f t="shared" si="75"/>
        <v>309.59848903403247</v>
      </c>
      <c r="S111" s="304">
        <f t="shared" si="75"/>
        <v>484.9993873411068</v>
      </c>
      <c r="T111" s="304">
        <f t="shared" si="75"/>
        <v>651.53994862560228</v>
      </c>
      <c r="U111" s="304">
        <f t="shared" si="75"/>
        <v>810.50106627770901</v>
      </c>
      <c r="V111" s="304">
        <f t="shared" si="75"/>
        <v>962.92808799769364</v>
      </c>
      <c r="W111" s="304">
        <f t="shared" si="75"/>
        <v>1109.6825796860508</v>
      </c>
      <c r="X111" s="304">
        <f t="shared" si="75"/>
        <v>1251.4810132034359</v>
      </c>
      <c r="Y111" s="304">
        <f t="shared" si="75"/>
        <v>1388.9240760113289</v>
      </c>
      <c r="Z111" s="304">
        <f t="shared" si="75"/>
        <v>1522.5191518939332</v>
      </c>
      <c r="AA111" s="304">
        <f t="shared" si="75"/>
        <v>1652.6977596390996</v>
      </c>
      <c r="AB111" s="304">
        <f t="shared" si="75"/>
        <v>1779.8292214559858</v>
      </c>
      <c r="AC111" s="304">
        <f t="shared" si="75"/>
        <v>1904.2314790449416</v>
      </c>
      <c r="AD111" s="304">
        <f t="shared" si="75"/>
        <v>2026.1797284167162</v>
      </c>
      <c r="AE111" s="304">
        <f t="shared" si="75"/>
        <v>2199.141725753344</v>
      </c>
      <c r="AF111" s="304">
        <f t="shared" si="75"/>
        <v>2372.6796556596187</v>
      </c>
      <c r="AG111" s="304">
        <f t="shared" si="75"/>
        <v>2504.5286539553372</v>
      </c>
      <c r="AH111" s="304">
        <f t="shared" si="75"/>
        <v>2668.072016302403</v>
      </c>
      <c r="AI111" s="304">
        <f t="shared" si="75"/>
        <v>2827.2618452317183</v>
      </c>
      <c r="AJ111" s="304">
        <f t="shared" si="75"/>
        <v>2982.4634524884223</v>
      </c>
      <c r="AK111" s="304">
        <f t="shared" si="75"/>
        <v>3134.0023900840415</v>
      </c>
      <c r="AL111" s="304">
        <f t="shared" si="75"/>
        <v>3282.1697162170299</v>
      </c>
      <c r="AM111" s="304">
        <f t="shared" si="75"/>
        <v>3427.2264458655923</v>
      </c>
      <c r="AN111" s="304">
        <f t="shared" si="75"/>
        <v>3569.4073296255424</v>
      </c>
      <c r="AO111" s="304">
        <f t="shared" si="75"/>
        <v>3708.9240761812171</v>
      </c>
      <c r="AP111" s="304">
        <f t="shared" si="75"/>
        <v>3845.9681116882193</v>
      </c>
      <c r="AQ111" s="304">
        <f t="shared" si="75"/>
        <v>3980.7129518918591</v>
      </c>
      <c r="AR111" s="61">
        <f t="shared" si="75"/>
        <v>4113.3162489408523</v>
      </c>
      <c r="AS111" s="304">
        <f t="shared" si="75"/>
        <v>4548.7190223016842</v>
      </c>
      <c r="AT111" s="304">
        <f t="shared" si="75"/>
        <v>4962.1178614359978</v>
      </c>
      <c r="AU111" s="304">
        <f t="shared" si="75"/>
        <v>5356.8239814673125</v>
      </c>
      <c r="AV111" s="304">
        <f t="shared" si="75"/>
        <v>5735.5159565325457</v>
      </c>
      <c r="AW111" s="304">
        <f t="shared" si="75"/>
        <v>6100.3839224753101</v>
      </c>
      <c r="AX111" s="304">
        <f t="shared" si="75"/>
        <v>6453.236056187674</v>
      </c>
      <c r="AY111" s="304">
        <f t="shared" si="75"/>
        <v>6759.1191338019908</v>
      </c>
      <c r="AZ111" s="304">
        <f t="shared" si="75"/>
        <v>7092.2160401598194</v>
      </c>
      <c r="BA111" s="304">
        <f t="shared" si="75"/>
        <v>7417.1369620202613</v>
      </c>
      <c r="BB111" s="304">
        <f t="shared" si="75"/>
        <v>7726.7925191036848</v>
      </c>
      <c r="BC111" s="304">
        <f t="shared" si="75"/>
        <v>8022.97852881378</v>
      </c>
      <c r="BD111" s="304">
        <f t="shared" si="75"/>
        <v>8311.4660356429213</v>
      </c>
      <c r="BE111" s="304">
        <f t="shared" si="75"/>
        <v>8581.8684577352233</v>
      </c>
      <c r="BF111" s="304">
        <f t="shared" si="75"/>
        <v>8847.0381438515924</v>
      </c>
      <c r="BG111" s="304">
        <f t="shared" si="75"/>
        <v>9107.8689933065489</v>
      </c>
      <c r="BH111" s="304">
        <f t="shared" si="75"/>
        <v>9360.9358705777431</v>
      </c>
      <c r="BI111" s="304">
        <f t="shared" si="75"/>
        <v>9608.2889137898419</v>
      </c>
      <c r="BJ111" s="304">
        <f t="shared" si="75"/>
        <v>9817.2099536094502</v>
      </c>
      <c r="BK111" s="304">
        <f t="shared" si="75"/>
        <v>10060.891935548643</v>
      </c>
      <c r="BL111" s="304">
        <f>$A111*(BL70+SUM(BL100:BL109))/1000</f>
        <v>10210.314459733783</v>
      </c>
      <c r="BM111" s="304">
        <f>$A111*(BM70+SUM(BM100:BM109))/1000</f>
        <v>10266.056694323323</v>
      </c>
      <c r="BN111" s="304">
        <f>$A111*(BN70+SUM(BN100:BN109))/1000</f>
        <v>10266.056694323321</v>
      </c>
      <c r="BO111" s="3">
        <f t="shared" si="75"/>
        <v>10266.056694323323</v>
      </c>
      <c r="BP111" s="41"/>
      <c r="BQ111" s="41"/>
      <c r="BR111" s="41"/>
    </row>
    <row r="112" spans="1:70" ht="16.5">
      <c r="A112" s="41"/>
      <c r="B112" s="295" t="s">
        <v>72</v>
      </c>
      <c r="C112" s="298" t="s">
        <v>73</v>
      </c>
      <c r="D112" s="3">
        <f>$A111*IF(D111+E111=0,0,IF(D111=0,2*E112-F112,(D70*D110+D100*($F66-$C66)+D101*($F66-$D71)+D102*($F66-$D72)+D103*($F66-$D73)+D104*($F66-$D74)+D105*($F66-$D75)+D106*($F66-$D76)+D107*($F66-$D77)+D108*($F66-$D78))/1000000-D111*($F66-MAIN!$C$13/2)/1000))</f>
        <v>638.86531267092346</v>
      </c>
      <c r="E112" s="304">
        <f>$A111*IF(E111+F111=0,0,IF(E111=0,2*F112-G112,(E70*E110+E100*($F66-$C66)+E101*($F66-$D71)+E102*($F66-$D72)+E103*($F66-$D73)+E104*($F66-$D74)+E105*($F66-$D75)+E106*($F66-$D76)+E107*($F66-$D77)+E108*($F66-$D78))/1000000-E111*($F66-MAIN!$C$13/2)/1000))</f>
        <v>782.10654799190081</v>
      </c>
      <c r="F112" s="304">
        <f>$A111*IF(F111+G111=0,0,IF(F111=0,2*G112-H112,(F70*F110+F100*($F66-$C66)+F101*($F66-$D71)+F102*($F66-$D72)+F103*($F66-$D73)+F104*($F66-$D74)+F105*($F66-$D75)+F106*($F66-$D76)+F107*($F66-$D77)+F108*($F66-$D78))/1000000-F111*($F66-MAIN!$C$13/2)/1000))</f>
        <v>904.04804665271024</v>
      </c>
      <c r="G112" s="304">
        <f>$A111*IF(G111+H111=0,0,IF(G111=0,2*H112-I112,(G70*G110+G100*($F66-$C66)+G101*($F66-$D71)+G102*($F66-$D72)+G103*($F66-$D73)+G104*($F66-$D74)+G105*($F66-$D75)+G106*($F66-$D76)+G107*($F66-$D77)+G108*($F66-$D78))/1000000-G111*($F66-MAIN!$C$13/2)/1000))</f>
        <v>1002.5870115743178</v>
      </c>
      <c r="H112" s="304">
        <f>$A111*IF(H111+I111=0,0,IF(H111=0,2*I112-J112,(H70*H110+H100*($F66-$C66)+H101*($F66-$D71)+H102*($F66-$D72)+H103*($F66-$D73)+H104*($F66-$D74)+H105*($F66-$D75)+H106*($F66-$D76)+H107*($F66-$D77)+H108*($F66-$D78))/1000000-H111*($F66-MAIN!$C$13/2)/1000))</f>
        <v>1086.3405424645464</v>
      </c>
      <c r="I112" s="304">
        <f>$A111*IF(I111+J111=0,0,IF(I111=0,2*J112-K112,(I70*I110+I100*($F66-$C66)+I101*($F66-$D71)+I102*($F66-$D72)+I103*($F66-$D73)+I104*($F66-$D74)+I105*($F66-$D75)+I106*($F66-$D76)+I107*($F66-$D77)+I108*($F66-$D78))/1000000-I111*($F66-MAIN!$C$13/2)/1000))</f>
        <v>1159.9873625293292</v>
      </c>
      <c r="J112" s="304">
        <f>$A111*IF(J111+K111=0,0,IF(J111=0,2*K112-L112,(J70*J110+J100*($F66-$C66)+J101*($F66-$D71)+J102*($F66-$D72)+J103*($F66-$D73)+J104*($F66-$D74)+J105*($F66-$D75)+J106*($F66-$D76)+J107*($F66-$D77)+J108*($F66-$D78))/1000000-J111*($F66-MAIN!$C$13/2)/1000))</f>
        <v>1204.0515060581247</v>
      </c>
      <c r="K112" s="304">
        <f>$A111*IF(K111+L111=0,0,IF(K111=0,2*L112-M112,(K70*K110+K100*($F66-$C66)+K101*($F66-$D71)+K102*($F66-$D72)+K103*($F66-$D73)+K104*($F66-$D74)+K105*($F66-$D75)+K106*($F66-$D76)+K107*($F66-$D77)+K108*($F66-$D78))/1000000-K111*($F66-MAIN!$C$13/2)/1000))</f>
        <v>1245.1417183632725</v>
      </c>
      <c r="L112" s="304">
        <f>$A111*IF(L111+M111=0,0,IF(L111=0,2*M112-N112,(L70*L110+L100*($F66-$C66)+L101*($F66-$D71)+L102*($F66-$D72)+L103*($F66-$D73)+L104*($F66-$D74)+L105*($F66-$D75)+L106*($F66-$D76)+L107*($F66-$D77)+L108*($F66-$D78))/1000000-L111*($F66-MAIN!$C$13/2)/1000))</f>
        <v>1285.0957839686757</v>
      </c>
      <c r="M112" s="304">
        <f>$A111*IF(M111+N111=0,0,IF(M111=0,2*N112-O112,(M70*M110+M100*($F66-$C66)+M101*($F66-$D71)+M102*($F66-$D72)+M103*($F66-$D73)+M104*($F66-$D74)+M105*($F66-$D75)+M106*($F66-$D76)+M107*($F66-$D77)+M108*($F66-$D78))/1000000-M111*($F66-MAIN!$C$13/2)/1000))</f>
        <v>1323.9137028743351</v>
      </c>
      <c r="N112" s="304">
        <f>$A111*IF(N111+O111=0,0,IF(N111=0,2*O112-P112,(N70*N110+N100*($F66-$C66)+N101*($F66-$D71)+N102*($F66-$D72)+N103*($F66-$D73)+N104*($F66-$D74)+N105*($F66-$D75)+N106*($F66-$D76)+N107*($F66-$D77)+N108*($F66-$D78))/1000000-N111*($F66-MAIN!$C$13/2)/1000))</f>
        <v>1361.5954750802496</v>
      </c>
      <c r="O112" s="304">
        <f>$A111*IF(O111+P111=0,0,IF(O111=0,2*P112-Q112,(O70*O110+O100*($F66-$C66)+O101*($F66-$D71)+O102*($F66-$D72)+O103*($F66-$D73)+O104*($F66-$D74)+O105*($F66-$D75)+O106*($F66-$D76)+O107*($F66-$D77)+O108*($F66-$D78))/1000000-O111*($F66-MAIN!$C$13/2)/1000))</f>
        <v>1398.14110058642</v>
      </c>
      <c r="P112" s="304">
        <f>$A111*IF(P111+Q111=0,0,IF(P111=0,2*Q112-R112,(P70*P110+P100*($F66-$C66)+P101*($F66-$D71)+P102*($F66-$D72)+P103*($F66-$D73)+P104*($F66-$D74)+P105*($F66-$D75)+P106*($F66-$D76)+P107*($F66-$D77)+P108*($F66-$D78))/1000000-P111*($F66-MAIN!$C$13/2)/1000))</f>
        <v>1433.5505793928455</v>
      </c>
      <c r="Q112" s="304">
        <f>$A111*IF(Q111+R111=0,0,IF(Q111=0,2*R112-S112,(Q70*Q110+Q100*($F66-$C66)+Q101*($F66-$D71)+Q102*($F66-$D72)+Q103*($F66-$D73)+Q104*($F66-$D74)+Q105*($F66-$D75)+Q106*($F66-$D76)+Q107*($F66-$D77)+Q108*($F66-$D78))/1000000-Q111*($F66-MAIN!$C$13/2)/1000))</f>
        <v>1483.5605532502723</v>
      </c>
      <c r="R112" s="304">
        <f>$A111*IF(R111+S111=0,0,IF(R111=0,2*S112-T112,(R70*R110+R100*($F66-$C66)+R101*($F66-$D71)+R102*($F66-$D72)+R103*($F66-$D73)+R104*($F66-$D74)+R105*($F66-$D75)+R106*($F66-$D76)+R107*($F66-$D77)+R108*($F66-$D78))/1000000-R111*($F66-MAIN!$C$13/2)/1000))</f>
        <v>1534.524904788921</v>
      </c>
      <c r="S112" s="304">
        <f>$A111*IF(S111+T111=0,0,IF(S111=0,2*T112-U112,(S70*S110+S100*($F66-$C66)+S101*($F66-$D71)+S102*($F66-$D72)+S103*($F66-$D73)+S104*($F66-$D74)+S105*($F66-$D75)+S106*($F66-$D76)+S107*($F66-$D77)+S108*($F66-$D78))/1000000-S111*($F66-MAIN!$C$13/2)/1000))</f>
        <v>1582.4517410415008</v>
      </c>
      <c r="T112" s="304">
        <f>$A111*IF(T111+U111=0,0,IF(T111=0,2*U112-V112,(T70*T110+T100*($F66-$C66)+T101*($F66-$D71)+T102*($F66-$D72)+T103*($F66-$D73)+T104*($F66-$D74)+T105*($F66-$D75)+T106*($F66-$D76)+T107*($F66-$D77)+T108*($F66-$D78))/1000000-T111*($F66-MAIN!$C$13/2)/1000))</f>
        <v>1627.6298492562269</v>
      </c>
      <c r="U112" s="304">
        <f>$A111*IF(U111+V111=0,0,IF(U111=0,2*V112-W112,(U70*U110+U100*($F66-$C66)+U101*($F66-$D71)+U102*($F66-$D72)+U103*($F66-$D73)+U104*($F66-$D74)+U105*($F66-$D75)+U106*($F66-$D76)+U107*($F66-$D77)+U108*($F66-$D78))/1000000-U111*($F66-MAIN!$C$13/2)/1000))</f>
        <v>1670.2923520301138</v>
      </c>
      <c r="V112" s="304">
        <f>$A111*IF(V111+W111=0,0,IF(V111=0,2*W112-X112,(V70*V110+V100*($F66-$C66)+V101*($F66-$D71)+V102*($F66-$D72)+V103*($F66-$D73)+V104*($F66-$D74)+V105*($F66-$D75)+V106*($F66-$D76)+V107*($F66-$D77)+V108*($F66-$D78))/1000000-V111*($F66-MAIN!$C$13/2)/1000))</f>
        <v>1710.6295026446101</v>
      </c>
      <c r="W112" s="304">
        <f>$A111*IF(W111+X111=0,0,IF(W111=0,2*X112-Y112,(W70*W110+W100*($F66-$C66)+W101*($F66-$D71)+W102*($F66-$D72)+W103*($F66-$D73)+W104*($F66-$D74)+W105*($F66-$D75)+W106*($F66-$D76)+W107*($F66-$D77)+W108*($F66-$D78))/1000000-W111*($F66-MAIN!$C$13/2)/1000))</f>
        <v>1748.7981060936054</v>
      </c>
      <c r="X112" s="304">
        <f>$A111*IF(X111+Y111=0,0,IF(X111=0,2*Y112-Z112,(X70*X110+X100*($F66-$C66)+X101*($F66-$D71)+X102*($F66-$D72)+X103*($F66-$D73)+X104*($F66-$D74)+X105*($F66-$D75)+X106*($F66-$D76)+X107*($F66-$D77)+X108*($F66-$D78))/1000000-X111*($F66-MAIN!$C$13/2)/1000))</f>
        <v>1784.9285602557402</v>
      </c>
      <c r="Y112" s="304">
        <f>$A111*IF(Y111+Z111=0,0,IF(Y111=0,2*Z112-AA112,(Y70*Y110+Y100*($F66-$C66)+Y101*($F66-$D71)+Y102*($F66-$D72)+Y103*($F66-$D73)+Y104*($F66-$D74)+Y105*($F66-$D75)+Y106*($F66-$D76)+Y107*($F66-$D77)+Y108*($F66-$D78))/1000000-Y111*($F66-MAIN!$C$13/2)/1000))</f>
        <v>1819.1301902490018</v>
      </c>
      <c r="Z112" s="304">
        <f>$A111*IF(Z111+AA111=0,0,IF(Z111=0,2*AA112-AB112,(Z70*Z110+Z100*($F66-$C66)+Z101*($F66-$D71)+Z102*($F66-$D72)+Z103*($F66-$D73)+Z104*($F66-$D74)+Z105*($F66-$D75)+Z106*($F66-$D76)+Z107*($F66-$D77)+Z108*($F66-$D78))/1000000-Z111*($F66-MAIN!$C$13/2)/1000))</f>
        <v>1851.4953399221172</v>
      </c>
      <c r="AA112" s="304">
        <f>$A111*IF(AA111+AB111=0,0,IF(AA111=0,2*AB112-AC112,(AA70*AA110+AA100*($F66-$C66)+AA101*($F66-$D71)+AA102*($F66-$D72)+AA103*($F66-$D73)+AA104*($F66-$D74)+AA105*($F66-$D75)+AA106*($F66-$D76)+AA107*($F66-$D77)+AA108*($F66-$D78))/1000000-AA111*($F66-MAIN!$C$13/2)/1000))</f>
        <v>1882.1025456944744</v>
      </c>
      <c r="AB112" s="304">
        <f>$A111*IF(AB111+AC111=0,0,IF(AB111=0,2*AC112-AD112,(AB70*AB110+AB100*($F66-$C66)+AB101*($F66-$D71)+AB102*($F66-$D72)+AB103*($F66-$D73)+AB104*($F66-$D74)+AB105*($F66-$D75)+AB106*($F66-$D76)+AB107*($F66-$D77)+AB108*($F66-$D78))/1000000-AB111*($F66-MAIN!$C$13/2)/1000))</f>
        <v>1911.0190242081412</v>
      </c>
      <c r="AC112" s="304">
        <f>$A111*IF(AC111+AD111=0,0,IF(AC111=0,2*AD112-AE112,(AC70*AC110+AC100*($F66-$C66)+AC101*($F66-$D71)+AC102*($F66-$D72)+AC103*($F66-$D73)+AC104*($F66-$D74)+AC105*($F66-$D75)+AC106*($F66-$D76)+AC107*($F66-$D77)+AC108*($F66-$D78))/1000000-AC111*($F66-MAIN!$C$13/2)/1000))</f>
        <v>1938.3026408525784</v>
      </c>
      <c r="AD112" s="304">
        <f>$A111*IF(AD111+AE111=0,0,IF(AD111=0,2*AE112-AF112,(AD70*AD110+AD100*($F66-$C66)+AD101*($F66-$D71)+AD102*($F66-$D72)+AD103*($F66-$D73)+AD104*($F66-$D74)+AD105*($F66-$D75)+AD106*($F66-$D76)+AD107*($F66-$D77)+AD108*($F66-$D78))/1000000-AD111*($F66-MAIN!$C$13/2)/1000))</f>
        <v>1964.0034813017453</v>
      </c>
      <c r="AE112" s="304">
        <f>$A111*IF(AE111+AF111=0,0,IF(AE111=0,2*AF112-AG112,(AE70*AE110+AE100*($F66-$C66)+AE101*($F66-$D71)+AE102*($F66-$D72)+AE103*($F66-$D73)+AE104*($F66-$D74)+AE105*($F66-$D75)+AE106*($F66-$D76)+AE107*($F66-$D77)+AE108*($F66-$D78))/1000000-AE111*($F66-MAIN!$C$13/2)/1000))</f>
        <v>1978.4775556773382</v>
      </c>
      <c r="AF112" s="304">
        <f>$A111*IF(AF111+AG111=0,0,IF(AF111=0,2*AG112-AH112,(AF70*AF110+AF100*($F66-$C66)+AF101*($F66-$D71)+AF102*($F66-$D72)+AF103*($F66-$D73)+AF104*($F66-$D74)+AF105*($F66-$D75)+AF106*($F66-$D76)+AF107*($F66-$D77)+AF108*($F66-$D78))/1000000-AF111*($F66-MAIN!$C$13/2)/1000))</f>
        <v>1990.9807103079329</v>
      </c>
      <c r="AG112" s="304">
        <f>$A111*IF(AG111+AH111=0,0,IF(AG111=0,2*AH112-AI112,(AG70*AG110+AG100*($F66-$C66)+AG101*($F66-$D71)+AG102*($F66-$D72)+AG103*($F66-$D73)+AG104*($F66-$D74)+AG105*($F66-$D75)+AG106*($F66-$D76)+AG107*($F66-$D77)+AG108*($F66-$D78))/1000000-AG111*($F66-MAIN!$C$13/2)/1000))</f>
        <v>1996.0008527860111</v>
      </c>
      <c r="AH112" s="304">
        <f>$A111*IF(AH111+AI111=0,0,IF(AH111=0,2*AI112-AJ112,(AH70*AH110+AH100*($F66-$C66)+AH101*($F66-$D71)+AH102*($F66-$D72)+AH103*($F66-$D73)+AH104*($F66-$D74)+AH105*($F66-$D75)+AH106*($F66-$D76)+AH107*($F66-$D77)+AH108*($F66-$D78))/1000000-AH111*($F66-MAIN!$C$13/2)/1000))</f>
        <v>2006.7834807768361</v>
      </c>
      <c r="AI112" s="304">
        <f>$A111*IF(AI111+AJ111=0,0,IF(AI111=0,2*AJ112-AK112,(AI70*AI110+AI100*($F66-$C66)+AI101*($F66-$D71)+AI102*($F66-$D72)+AI103*($F66-$D73)+AI104*($F66-$D74)+AI105*($F66-$D75)+AI106*($F66-$D76)+AI107*($F66-$D77)+AI108*($F66-$D78))/1000000-AI111*($F66-MAIN!$C$13/2)/1000))</f>
        <v>2016.6703061361327</v>
      </c>
      <c r="AJ112" s="304">
        <f>$A111*IF(AJ111+AK111=0,0,IF(AJ111=0,2*AK112-AL112,(AJ70*AJ110+AJ100*($F66-$C66)+AJ101*($F66-$D71)+AJ102*($F66-$D72)+AJ103*($F66-$D73)+AJ104*($F66-$D74)+AJ105*($F66-$D75)+AJ106*($F66-$D76)+AJ107*($F66-$D77)+AJ108*($F66-$D78))/1000000-AJ111*($F66-MAIN!$C$13/2)/1000))</f>
        <v>2025.6411612201571</v>
      </c>
      <c r="AK112" s="304">
        <f>$A111*IF(AK111+AL111=0,0,IF(AK111=0,2*AL112-AM112,(AK70*AK110+AK100*($F66-$C66)+AK101*($F66-$D71)+AK102*($F66-$D72)+AK103*($F66-$D73)+AK104*($F66-$D74)+AK105*($F66-$D75)+AK106*($F66-$D76)+AK107*($F66-$D77)+AK108*($F66-$D78))/1000000-AK111*($F66-MAIN!$C$13/2)/1000))</f>
        <v>2033.6780733875264</v>
      </c>
      <c r="AL112" s="304">
        <f>$A111*IF(AL111+AM111=0,0,IF(AL111=0,2*AM112-AN112,(AL70*AL110+AL100*($F66-$C66)+AL101*($F66-$D71)+AL102*($F66-$D72)+AL103*($F66-$D73)+AL104*($F66-$D74)+AL105*($F66-$D75)+AL106*($F66-$D76)+AL107*($F66-$D77)+AL108*($F66-$D78))/1000000-AL111*($F66-MAIN!$C$13/2)/1000))</f>
        <v>2040.7649742852982</v>
      </c>
      <c r="AM112" s="304">
        <f>$A111*IF(AM111+AN111=0,0,IF(AM111=0,2*AN112-AO112,(AM70*AM110+AM100*($F66-$C66)+AM101*($F66-$D71)+AM102*($F66-$D72)+AM103*($F66-$D73)+AM104*($F66-$D74)+AM105*($F66-$D75)+AM106*($F66-$D76)+AM107*($F66-$D77)+AM108*($F66-$D78))/1000000-AM111*($F66-MAIN!$C$13/2)/1000))</f>
        <v>2046.8874541465764</v>
      </c>
      <c r="AN112" s="304">
        <f>$A111*IF(AN111+AO111=0,0,IF(AN111=0,2*AO112-AP112,(AN70*AN110+AN100*($F66-$C66)+AN101*($F66-$D71)+AN102*($F66-$D72)+AN103*($F66-$D73)+AN104*($F66-$D74)+AN105*($F66-$D75)+AN106*($F66-$D76)+AN107*($F66-$D77)+AN108*($F66-$D78))/1000000-AN111*($F66-MAIN!$C$13/2)/1000))</f>
        <v>2052.0325531734661</v>
      </c>
      <c r="AO112" s="304">
        <f>$A111*IF(AO111+AP111=0,0,IF(AO111=0,2*AP112-AQ112,(AO70*AO110+AO100*($F66-$C66)+AO101*($F66-$D71)+AO102*($F66-$D72)+AO103*($F66-$D73)+AO104*($F66-$D74)+AO105*($F66-$D75)+AO106*($F66-$D76)+AO107*($F66-$D77)+AO108*($F66-$D78))/1000000-AO111*($F66-MAIN!$C$13/2)/1000))</f>
        <v>2056.1885836352039</v>
      </c>
      <c r="AP112" s="304">
        <f>$A111*IF(AP111+AQ111=0,0,IF(AP111=0,2*AQ112-AR112,(AP70*AP110+AP100*($F66-$C66)+AP101*($F66-$D71)+AP102*($F66-$D72)+AP103*($F66-$D73)+AP104*($F66-$D74)+AP105*($F66-$D75)+AP106*($F66-$D76)+AP107*($F66-$D77)+AP108*($F66-$D78))/1000000-AP111*($F66-MAIN!$C$13/2)/1000))</f>
        <v>2059.3449775318231</v>
      </c>
      <c r="AQ112" s="304">
        <f>$A111*IF(AQ111+AR111=0,0,IF(AQ111=0,2*AR112-AS112,(AQ70*AQ110+AQ100*($F66-$C66)+AQ101*($F66-$D71)+AQ102*($F66-$D72)+AQ103*($F66-$D73)+AQ104*($F66-$D74)+AQ105*($F66-$D75)+AQ106*($F66-$D76)+AQ107*($F66-$D77)+AQ108*($F66-$D78))/1000000-AQ111*($F66-MAIN!$C$13/2)/1000))</f>
        <v>2061.4921556374129</v>
      </c>
      <c r="AR112" s="56">
        <f>$A111*IF(AR111+AS111=0,0,IF(AR111=0,2*AS112-AT112,(AR70*AR110+AR100*($F66-$C66)+AR101*($F66-$D71)+AR102*($F66-$D72)+AR103*($F66-$D73)+AR104*($F66-$D74)+AR105*($F66-$D75)+AR106*($F66-$D76)+AR107*($F66-$D77)+AR108*($F66-$D78))/1000000-AR111*($F66-MAIN!$C$13/2)/1000))</f>
        <v>2062.6214145023487</v>
      </c>
      <c r="AS112" s="304">
        <f>$A111*IF(AS111+AT111=0,0,IF(AS111=0,2*AT112-AU112,(AS70*AS110+AS100*($F66-$C66)+AS101*($F66-$D71)+AS102*($F66-$D72)+AS103*($F66-$D73)+AS104*($F66-$D74)+AS105*($F66-$D75)+AS106*($F66-$D76)+AS107*($F66-$D77)+AS108*($F66-$D78))/1000000-AS111*($F66-MAIN!$C$13/2)/1000))</f>
        <v>2005.2076809306241</v>
      </c>
      <c r="AT112" s="304">
        <f>$A111*IF(AT111+AU111=0,0,IF(AT111=0,2*AU112-AV112,(AT70*AT110+AT100*($F66-$C66)+AT101*($F66-$D71)+AT102*($F66-$D72)+AT103*($F66-$D73)+AT104*($F66-$D74)+AT105*($F66-$D75)+AT106*($F66-$D76)+AT107*($F66-$D77)+AT108*($F66-$D78))/1000000-AT111*($F66-MAIN!$C$13/2)/1000))</f>
        <v>1946.7015480076393</v>
      </c>
      <c r="AU112" s="304">
        <f>$A111*IF(AU111+AV111=0,0,IF(AU111=0,2*AV112-AW112,(AU70*AU110+AU100*($F66-$C66)+AU101*($F66-$D71)+AU102*($F66-$D72)+AU103*($F66-$D73)+AU104*($F66-$D74)+AU105*($F66-$D75)+AU106*($F66-$D76)+AU107*($F66-$D77)+AU108*($F66-$D78))/1000000-AU111*($F66-MAIN!$C$13/2)/1000))</f>
        <v>1886.1263568835484</v>
      </c>
      <c r="AV112" s="304">
        <f>$A111*IF(AV111+AW111=0,0,IF(AV111=0,2*AW112-AX112,(AV70*AV110+AV100*($F66-$C66)+AV101*($F66-$D71)+AV102*($F66-$D72)+AV103*($F66-$D73)+AV104*($F66-$D74)+AV105*($F66-$D75)+AV106*($F66-$D76)+AV107*($F66-$D77)+AV108*($F66-$D78))/1000000-AV111*($F66-MAIN!$C$13/2)/1000))</f>
        <v>1822.6920492147551</v>
      </c>
      <c r="AW112" s="304">
        <f>$A111*IF(AW111+AX111=0,0,IF(AW111=0,2*AX112-AY112,(AW70*AW110+AW100*($F66-$C66)+AW101*($F66-$D71)+AW102*($F66-$D72)+AW103*($F66-$D73)+AW104*($F66-$D74)+AW105*($F66-$D75)+AW106*($F66-$D76)+AW107*($F66-$D77)+AW108*($F66-$D78))/1000000-AW111*($F66-MAIN!$C$13/2)/1000))</f>
        <v>1755.7526338849375</v>
      </c>
      <c r="AX112" s="304">
        <f>$A111*IF(AX111+AY111=0,0,IF(AX111=0,2*AY112-AZ112,(AX70*AX110+AX100*($F66-$C66)+AX101*($F66-$D71)+AX102*($F66-$D72)+AX103*($F66-$D73)+AX104*($F66-$D74)+AX105*($F66-$D75)+AX106*($F66-$D76)+AX107*($F66-$D77)+AX108*($F66-$D78))/1000000-AX111*($F66-MAIN!$C$13/2)/1000))</f>
        <v>1684.7747804103196</v>
      </c>
      <c r="AY112" s="304">
        <f>$A111*IF(AY111+AZ111=0,0,IF(AY111=0,2*AZ112-BA112,(AY70*AY110+AY100*($F66-$C66)+AY101*($F66-$D71)+AY102*($F66-$D72)+AY103*($F66-$D73)+AY104*($F66-$D74)+AY105*($F66-$D75)+AY106*($F66-$D76)+AY107*($F66-$D77)+AY108*($F66-$D78))/1000000-AY111*($F66-MAIN!$C$13/2)/1000))</f>
        <v>1615.9498648946687</v>
      </c>
      <c r="AZ112" s="304">
        <f>$A111*IF(AZ111+BA111=0,0,IF(AZ111=0,2*BA112-BB112,(AZ70*AZ110+AZ100*($F66-$C66)+AZ101*($F66-$D71)+AZ102*($F66-$D72)+AZ103*($F66-$D73)+AZ104*($F66-$D74)+AZ105*($F66-$D75)+AZ106*($F66-$D76)+AZ107*($F66-$D77)+AZ108*($F66-$D78))/1000000-AZ111*($F66-MAIN!$C$13/2)/1000))</f>
        <v>1535.6337794076012</v>
      </c>
      <c r="BA112" s="304">
        <f>$A111*IF(BA111+BB111=0,0,IF(BA111=0,2*BB112-BC112,(BA70*BA110+BA100*($F66-$C66)+BA101*($F66-$D71)+BA102*($F66-$D72)+BA103*($F66-$D73)+BA104*($F66-$D74)+BA105*($F66-$D75)+BA106*($F66-$D76)+BA107*($F66-$D77)+BA108*($F66-$D78))/1000000-BA111*($F66-MAIN!$C$13/2)/1000))</f>
        <v>1450.1466741914487</v>
      </c>
      <c r="BB112" s="304">
        <f>$A111*IF(BB111+BC111=0,0,IF(BB111=0,2*BC112-BD112,(BB70*BB110+BB100*($F66-$C66)+BB101*($F66-$D71)+BB102*($F66-$D72)+BB103*($F66-$D73)+BB104*($F66-$D74)+BB105*($F66-$D75)+BB106*($F66-$D76)+BB107*($F66-$D77)+BB108*($F66-$D78))/1000000-BB111*($F66-MAIN!$C$13/2)/1000))</f>
        <v>1357.7639635803298</v>
      </c>
      <c r="BC112" s="304">
        <f>$A111*IF(BC111+BD111=0,0,IF(BC111=0,2*BD112-BE112,(BC70*BC110+BC100*($F66-$C66)+BC101*($F66-$D71)+BC102*($F66-$D72)+BC103*($F66-$D73)+BC104*($F66-$D74)+BC105*($F66-$D75)+BC106*($F66-$D76)+BC107*($F66-$D77)+BC108*($F66-$D78))/1000000-BC111*($F66-MAIN!$C$13/2)/1000))</f>
        <v>1258.4403559147477</v>
      </c>
      <c r="BD112" s="304">
        <f>$A111*IF(BD111+BE111=0,0,IF(BD111=0,2*BE112-BF112,(BD70*BD110+BD100*($F66-$C66)+BD101*($F66-$D71)+BD102*($F66-$D72)+BD103*($F66-$D73)+BD104*($F66-$D74)+BD105*($F66-$D75)+BD106*($F66-$D76)+BD107*($F66-$D77)+BD108*($F66-$D78))/1000000-BD111*($F66-MAIN!$C$13/2)/1000))</f>
        <v>1154.1036846963698</v>
      </c>
      <c r="BE112" s="304">
        <f>$A111*IF(BE111+BF111=0,0,IF(BE111=0,2*BF112-BG112,(BE70*BE110+BE100*($F66-$C66)+BE101*($F66-$D71)+BE102*($F66-$D72)+BE103*($F66-$D73)+BE104*($F66-$D74)+BE105*($F66-$D75)+BE106*($F66-$D76)+BE107*($F66-$D77)+BE108*($F66-$D78))/1000000-BE111*($F66-MAIN!$C$13/2)/1000))</f>
        <v>1047.4318985373993</v>
      </c>
      <c r="BF112" s="304">
        <f>$A111*IF(BF111+BG111=0,0,IF(BF111=0,2*BG112-BH112,(BF70*BF110+BF100*($F66-$C66)+BF101*($F66-$D71)+BF102*($F66-$D72)+BF103*($F66-$D73)+BF104*($F66-$D74)+BF105*($F66-$D75)+BF106*($F66-$D76)+BF107*($F66-$D77)+BF108*($F66-$D78))/1000000-BF111*($F66-MAIN!$C$13/2)/1000))</f>
        <v>935.55844150954999</v>
      </c>
      <c r="BG112" s="304">
        <f>$A111*IF(BG111+BH111=0,0,IF(BG111=0,2*BH112-BI112,(BG70*BG110+BG100*($F66-$C66)+BG101*($F66-$D71)+BG102*($F66-$D72)+BG103*($F66-$D73)+BG104*($F66-$D74)+BG105*($F66-$D75)+BG106*($F66-$D76)+BG107*($F66-$D77)+BG108*($F66-$D78))/1000000-BG111*($F66-MAIN!$C$13/2)/1000))</f>
        <v>818.07658942471517</v>
      </c>
      <c r="BH112" s="304">
        <f>$A111*IF(BH111+BI111=0,0,IF(BH111=0,2*BI112-BJ112,(BH70*BH110+BH100*($F66-$C66)+BH101*($F66-$D71)+BH102*($F66-$D72)+BH103*($F66-$D73)+BH104*($F66-$D74)+BH105*($F66-$D75)+BH106*($F66-$D76)+BH107*($F66-$D77)+BH108*($F66-$D78))/1000000-BH111*($F66-MAIN!$C$13/2)/1000))</f>
        <v>693.91626237844503</v>
      </c>
      <c r="BI112" s="304">
        <f>$A111*IF(BI111+BJ111=0,0,IF(BI111=0,2*BJ112-BK112,(BI70*BI110+BI100*($F66-$C66)+BI101*($F66-$D71)+BI102*($F66-$D72)+BI103*($F66-$D73)+BI104*($F66-$D74)+BI105*($F66-$D75)+BI106*($F66-$D76)+BI107*($F66-$D77)+BI108*($F66-$D78))/1000000-BI111*($F66-MAIN!$C$13/2)/1000))</f>
        <v>563.095224055377</v>
      </c>
      <c r="BJ112" s="304">
        <f>$A111*IF(BJ111+BK111=0,0,IF(BJ111=0,2*BK112-BO112,(BJ70*BJ110+BJ100*($F66-$C66)+BJ101*($F66-$D71)+BJ102*($F66-$D72)+BJ103*($F66-$D73)+BJ104*($F66-$D74)+BJ105*($F66-$D75)+BJ106*($F66-$D76)+BJ107*($F66-$D77)+BJ108*($F66-$D78))/1000000-BJ111*($F66-MAIN!$C$13/2)/1000))</f>
        <v>445.91485702528644</v>
      </c>
      <c r="BK112" s="304">
        <f>$A111*IF(BK111+BO111=0,0,IF(BK111=0,2*BO112-BP112,(BK70*BK110+BK100*($F66-$C66)+BK101*($F66-$D71)+BK102*($F66-$D72)+BK103*($F66-$D73)+BK104*($F66-$D74)+BK105*($F66-$D75)+BK106*($F66-$D76)+BK107*($F66-$D77)+BK108*($F66-$D78))/1000000-BK111*($F66-MAIN!$C$13/2)/1000))</f>
        <v>302.37850878248082</v>
      </c>
      <c r="BL112" s="304">
        <f>$A111*IF(BL111+BP111=0,0,IF(BL111=0,2*BP112-BQ112,(BL70*BL110+BL100*($F66-$C66)+BL101*($F66-$D71)+BL102*($F66-$D72)+BL103*($F66-$D73)+BL104*($F66-$D74)+BL105*($F66-$D75)+BL106*($F66-$D76)+BL107*($F66-$D77)+BL108*($F66-$D78))/1000000-BL111*($F66-MAIN!$C$13/2)/1000))</f>
        <v>202.66387764293086</v>
      </c>
      <c r="BM112" s="304">
        <f>$A111*IF(BM111+BQ111=0,0,IF(BM111=0,2*BQ112-BR112,(BM70*BM110+BM100*($F66-$C66)+BM101*($F66-$D71)+BM102*($F66-$D72)+BM103*($F66-$D73)+BM104*($F66-$D74)+BM105*($F66-$D75)+BM106*($F66-$D76)+BM107*($F66-$D77)+BM108*($F66-$D78))/1000000-BM111*($F66-MAIN!$C$13/2)/1000))</f>
        <v>162.15592189830659</v>
      </c>
      <c r="BN112" s="304">
        <f>$A111*IF(BN111+BR111=0,0,IF(BN111=0,2*BR112-BS112,(BN70*BN110+BN100*($F66-$C66)+BN101*($F66-$D71)+BN102*($F66-$D72)+BN103*($F66-$D73)+BN104*($F66-$D74)+BN105*($F66-$D75)+BN106*($F66-$D76)+BN107*($F66-$D77)+BN108*($F66-$D78))/1000000-BN111*($F66-MAIN!$C$13/2)/1000))</f>
        <v>124.31954012203551</v>
      </c>
      <c r="BO112" s="3">
        <v>0</v>
      </c>
      <c r="BP112" s="41"/>
      <c r="BQ112" s="41"/>
      <c r="BR112" s="41"/>
    </row>
    <row r="113" spans="1:70" ht="16.5">
      <c r="A113" s="41"/>
      <c r="B113" s="296" t="s">
        <v>74</v>
      </c>
      <c r="C113" s="303" t="s">
        <v>75</v>
      </c>
      <c r="D113" s="15"/>
      <c r="E113" s="308"/>
      <c r="F113" s="308"/>
      <c r="G113" s="308"/>
      <c r="H113" s="308"/>
      <c r="I113" s="308"/>
      <c r="J113" s="308"/>
      <c r="K113" s="308"/>
      <c r="L113" s="308"/>
      <c r="M113" s="308"/>
      <c r="N113" s="308"/>
      <c r="O113" s="308"/>
      <c r="P113" s="308"/>
      <c r="Q113" s="308"/>
      <c r="R113" s="308"/>
      <c r="S113" s="308"/>
      <c r="T113" s="308"/>
      <c r="U113" s="308"/>
      <c r="V113" s="308"/>
      <c r="W113" s="308"/>
      <c r="X113" s="308"/>
      <c r="Y113" s="308"/>
      <c r="Z113" s="308"/>
      <c r="AA113" s="308"/>
      <c r="AB113" s="308"/>
      <c r="AC113" s="308"/>
      <c r="AD113" s="308"/>
      <c r="AE113" s="309"/>
      <c r="AF113" s="308"/>
      <c r="AG113" s="308"/>
      <c r="AH113" s="308"/>
      <c r="AI113" s="308"/>
      <c r="AJ113" s="308" t="str">
        <f>FIXED(MAIN!$Q$1,0)&amp;MAIN!R$1&amp;FIXED(B65,0)</f>
        <v>8H32</v>
      </c>
      <c r="AK113" s="308"/>
      <c r="AL113" s="308"/>
      <c r="AM113" s="308"/>
      <c r="AN113" s="308"/>
      <c r="AO113" s="308"/>
      <c r="AP113" s="308"/>
      <c r="AQ113" s="308"/>
      <c r="AR113" s="60"/>
      <c r="AS113" s="308"/>
      <c r="AT113" s="308"/>
      <c r="AU113" s="308"/>
      <c r="AV113" s="308"/>
      <c r="AW113" s="308"/>
      <c r="AX113" s="308"/>
      <c r="AY113" s="308"/>
      <c r="AZ113" s="308"/>
      <c r="BA113" s="308"/>
      <c r="BB113" s="308"/>
      <c r="BC113" s="308"/>
      <c r="BD113" s="308"/>
      <c r="BE113" s="308"/>
      <c r="BF113" s="308"/>
      <c r="BG113" s="308"/>
      <c r="BH113" s="308"/>
      <c r="BI113" s="308"/>
      <c r="BJ113" s="308"/>
      <c r="BK113" s="308"/>
      <c r="BL113" s="621"/>
      <c r="BM113" s="621"/>
      <c r="BN113" s="621"/>
      <c r="BO113" s="15"/>
      <c r="BP113" s="41"/>
      <c r="BQ113" s="41"/>
      <c r="BR113" s="41"/>
    </row>
    <row r="114" spans="1:70">
      <c r="A114" s="41"/>
      <c r="C114" s="65" t="s">
        <v>135</v>
      </c>
      <c r="D114" s="66">
        <f t="shared" ref="D114:AI114" si="76">E111-D111</f>
        <v>262.50117336421999</v>
      </c>
      <c r="E114" s="66">
        <f t="shared" si="76"/>
        <v>225.57152142205223</v>
      </c>
      <c r="F114" s="66">
        <f t="shared" si="76"/>
        <v>184.79059277835734</v>
      </c>
      <c r="G114" s="66">
        <f t="shared" si="76"/>
        <v>159.79189803177383</v>
      </c>
      <c r="H114" s="66">
        <f t="shared" si="76"/>
        <v>143.36229340594673</v>
      </c>
      <c r="I114" s="66">
        <f t="shared" si="76"/>
        <v>91.262421910997318</v>
      </c>
      <c r="J114" s="66">
        <f t="shared" si="76"/>
        <v>87.896516189562249</v>
      </c>
      <c r="K114" s="66">
        <f t="shared" si="76"/>
        <v>87.896516189562135</v>
      </c>
      <c r="L114" s="66">
        <f t="shared" si="76"/>
        <v>87.896516189562647</v>
      </c>
      <c r="M114" s="66">
        <f t="shared" si="76"/>
        <v>87.896516189562135</v>
      </c>
      <c r="N114" s="66">
        <f t="shared" si="76"/>
        <v>87.896516189562163</v>
      </c>
      <c r="O114" s="66">
        <f t="shared" si="76"/>
        <v>87.896516189562391</v>
      </c>
      <c r="P114" s="66">
        <f t="shared" si="76"/>
        <v>174.36158075409801</v>
      </c>
      <c r="Q114" s="66">
        <f t="shared" si="76"/>
        <v>185.84797845171394</v>
      </c>
      <c r="R114" s="66">
        <f t="shared" si="76"/>
        <v>175.40089830707433</v>
      </c>
      <c r="S114" s="66">
        <f t="shared" si="76"/>
        <v>166.54056128449548</v>
      </c>
      <c r="T114" s="66">
        <f t="shared" si="76"/>
        <v>158.96111765210674</v>
      </c>
      <c r="U114" s="66">
        <f t="shared" si="76"/>
        <v>152.42702171998462</v>
      </c>
      <c r="V114" s="66">
        <f t="shared" si="76"/>
        <v>146.75449168835712</v>
      </c>
      <c r="W114" s="66">
        <f t="shared" si="76"/>
        <v>141.79843351738509</v>
      </c>
      <c r="X114" s="66">
        <f t="shared" si="76"/>
        <v>137.44306280789306</v>
      </c>
      <c r="Y114" s="66">
        <f t="shared" si="76"/>
        <v>133.59507588260431</v>
      </c>
      <c r="Z114" s="66">
        <f t="shared" si="76"/>
        <v>130.17860774516635</v>
      </c>
      <c r="AA114" s="66">
        <f t="shared" si="76"/>
        <v>127.13146181688626</v>
      </c>
      <c r="AB114" s="66">
        <f t="shared" si="76"/>
        <v>124.40225758895576</v>
      </c>
      <c r="AC114" s="66">
        <f t="shared" si="76"/>
        <v>121.94824937177464</v>
      </c>
      <c r="AD114" s="66">
        <f t="shared" si="76"/>
        <v>172.96199733662775</v>
      </c>
      <c r="AE114" s="66">
        <f t="shared" si="76"/>
        <v>173.53792990627471</v>
      </c>
      <c r="AF114" s="66">
        <f t="shared" si="76"/>
        <v>131.8489982957185</v>
      </c>
      <c r="AG114" s="66">
        <f t="shared" si="76"/>
        <v>163.54336234706579</v>
      </c>
      <c r="AH114" s="66">
        <f t="shared" si="76"/>
        <v>159.18982892931535</v>
      </c>
      <c r="AI114" s="66">
        <f t="shared" si="76"/>
        <v>155.20160725670394</v>
      </c>
      <c r="AJ114" s="66">
        <f t="shared" ref="AJ114:BJ114" si="77">AK111-AJ111</f>
        <v>151.53893759561925</v>
      </c>
      <c r="AK114" s="66">
        <f t="shared" si="77"/>
        <v>148.16732613298836</v>
      </c>
      <c r="AL114" s="66">
        <f t="shared" si="77"/>
        <v>145.0567296485624</v>
      </c>
      <c r="AM114" s="66">
        <f t="shared" si="77"/>
        <v>142.18088375995012</v>
      </c>
      <c r="AN114" s="66">
        <f t="shared" si="77"/>
        <v>139.51674655567467</v>
      </c>
      <c r="AO114" s="66">
        <f t="shared" si="77"/>
        <v>137.04403550700226</v>
      </c>
      <c r="AP114" s="66">
        <f t="shared" si="77"/>
        <v>134.7448402036398</v>
      </c>
      <c r="AQ114" s="66">
        <f t="shared" si="77"/>
        <v>132.60329704899323</v>
      </c>
      <c r="AR114" s="66">
        <f t="shared" si="77"/>
        <v>435.40277336083182</v>
      </c>
      <c r="AS114" s="66">
        <f t="shared" si="77"/>
        <v>413.39883913431368</v>
      </c>
      <c r="AT114" s="66">
        <f t="shared" si="77"/>
        <v>394.70612003131464</v>
      </c>
      <c r="AU114" s="66">
        <f t="shared" si="77"/>
        <v>378.69197506523324</v>
      </c>
      <c r="AV114" s="66">
        <f t="shared" si="77"/>
        <v>364.86796594276439</v>
      </c>
      <c r="AW114" s="66">
        <f t="shared" si="77"/>
        <v>352.85213371236387</v>
      </c>
      <c r="AX114" s="66">
        <f t="shared" si="77"/>
        <v>305.88307761431679</v>
      </c>
      <c r="AY114" s="66">
        <f t="shared" si="77"/>
        <v>333.09690635782863</v>
      </c>
      <c r="AZ114" s="66">
        <f t="shared" si="77"/>
        <v>324.92092186044192</v>
      </c>
      <c r="BA114" s="66">
        <f t="shared" si="77"/>
        <v>309.65555708342345</v>
      </c>
      <c r="BB114" s="66">
        <f t="shared" si="77"/>
        <v>296.18600971009528</v>
      </c>
      <c r="BC114" s="66">
        <f t="shared" si="77"/>
        <v>288.48750682914124</v>
      </c>
      <c r="BD114" s="66">
        <f t="shared" si="77"/>
        <v>270.402422092302</v>
      </c>
      <c r="BE114" s="66">
        <f t="shared" si="77"/>
        <v>265.16968611636912</v>
      </c>
      <c r="BF114" s="66">
        <f t="shared" si="77"/>
        <v>260.83084945495648</v>
      </c>
      <c r="BG114" s="66">
        <f t="shared" si="77"/>
        <v>253.06687727119424</v>
      </c>
      <c r="BH114" s="66">
        <f t="shared" si="77"/>
        <v>247.35304321209878</v>
      </c>
      <c r="BI114" s="66">
        <f t="shared" si="77"/>
        <v>208.92103981960827</v>
      </c>
      <c r="BJ114" s="66">
        <f t="shared" si="77"/>
        <v>243.68198193919307</v>
      </c>
      <c r="BK114" s="66">
        <f t="shared" ref="BK114:BN115" si="78">BL111-BK111</f>
        <v>149.42252418513999</v>
      </c>
      <c r="BL114" s="66">
        <f t="shared" si="78"/>
        <v>55.742234589539294</v>
      </c>
      <c r="BM114" s="66">
        <f t="shared" si="78"/>
        <v>0</v>
      </c>
      <c r="BN114" s="66">
        <f t="shared" si="78"/>
        <v>0</v>
      </c>
      <c r="BO114" s="65">
        <v>0</v>
      </c>
      <c r="BP114" s="41"/>
      <c r="BQ114" s="41"/>
      <c r="BR114" s="41"/>
    </row>
    <row r="115" spans="1:70">
      <c r="A115" s="41"/>
      <c r="C115" s="65" t="s">
        <v>136</v>
      </c>
      <c r="D115" s="66">
        <f t="shared" ref="D115:AI115" si="79">E112-D112</f>
        <v>143.24123532097735</v>
      </c>
      <c r="E115" s="66">
        <f t="shared" si="79"/>
        <v>121.94149866080943</v>
      </c>
      <c r="F115" s="66">
        <f t="shared" si="79"/>
        <v>98.538964921607544</v>
      </c>
      <c r="G115" s="66">
        <f t="shared" si="79"/>
        <v>83.753530890228603</v>
      </c>
      <c r="H115" s="66">
        <f t="shared" si="79"/>
        <v>73.646820064782787</v>
      </c>
      <c r="I115" s="66">
        <f t="shared" si="79"/>
        <v>44.064143528795512</v>
      </c>
      <c r="J115" s="66">
        <f t="shared" si="79"/>
        <v>41.090212305147816</v>
      </c>
      <c r="K115" s="66">
        <f t="shared" si="79"/>
        <v>39.95406560540323</v>
      </c>
      <c r="L115" s="66">
        <f t="shared" si="79"/>
        <v>38.817918905659326</v>
      </c>
      <c r="M115" s="66">
        <f t="shared" si="79"/>
        <v>37.681772205914513</v>
      </c>
      <c r="N115" s="66">
        <f t="shared" si="79"/>
        <v>36.545625506170381</v>
      </c>
      <c r="O115" s="66">
        <f t="shared" si="79"/>
        <v>35.409478806425568</v>
      </c>
      <c r="P115" s="66">
        <f t="shared" si="79"/>
        <v>50.009973857426758</v>
      </c>
      <c r="Q115" s="66">
        <f t="shared" si="79"/>
        <v>50.964351538648771</v>
      </c>
      <c r="R115" s="66">
        <f t="shared" si="79"/>
        <v>47.926836252579733</v>
      </c>
      <c r="S115" s="66">
        <f t="shared" si="79"/>
        <v>45.17810821472608</v>
      </c>
      <c r="T115" s="66">
        <f t="shared" si="79"/>
        <v>42.662502773886899</v>
      </c>
      <c r="U115" s="66">
        <f t="shared" si="79"/>
        <v>40.337150614496295</v>
      </c>
      <c r="V115" s="66">
        <f t="shared" si="79"/>
        <v>38.168603448995327</v>
      </c>
      <c r="W115" s="66">
        <f t="shared" si="79"/>
        <v>36.130454162134811</v>
      </c>
      <c r="X115" s="66">
        <f t="shared" si="79"/>
        <v>34.201629993261577</v>
      </c>
      <c r="Y115" s="66">
        <f t="shared" si="79"/>
        <v>32.365149673115411</v>
      </c>
      <c r="Z115" s="66">
        <f t="shared" si="79"/>
        <v>30.607205772357247</v>
      </c>
      <c r="AA115" s="66">
        <f t="shared" si="79"/>
        <v>28.916478513666789</v>
      </c>
      <c r="AB115" s="66">
        <f t="shared" si="79"/>
        <v>27.283616644437188</v>
      </c>
      <c r="AC115" s="66">
        <f t="shared" si="79"/>
        <v>25.70084044916689</v>
      </c>
      <c r="AD115" s="66">
        <f t="shared" si="79"/>
        <v>14.474074375592863</v>
      </c>
      <c r="AE115" s="66">
        <f t="shared" si="79"/>
        <v>12.503154630594736</v>
      </c>
      <c r="AF115" s="66">
        <f t="shared" si="79"/>
        <v>5.0201424780782418</v>
      </c>
      <c r="AG115" s="66">
        <f t="shared" si="79"/>
        <v>10.782627990824949</v>
      </c>
      <c r="AH115" s="66">
        <f t="shared" si="79"/>
        <v>9.8868253592966084</v>
      </c>
      <c r="AI115" s="66">
        <f t="shared" si="79"/>
        <v>8.9708550840243788</v>
      </c>
      <c r="AJ115" s="66">
        <f t="shared" ref="AJ115:BJ115" si="80">AK112-AJ112</f>
        <v>8.0369121673693371</v>
      </c>
      <c r="AK115" s="66">
        <f t="shared" si="80"/>
        <v>7.086900897771784</v>
      </c>
      <c r="AL115" s="66">
        <f t="shared" si="80"/>
        <v>6.1224798612781797</v>
      </c>
      <c r="AM115" s="66">
        <f t="shared" si="80"/>
        <v>5.1450990268897385</v>
      </c>
      <c r="AN115" s="66">
        <f t="shared" si="80"/>
        <v>4.1560304617378279</v>
      </c>
      <c r="AO115" s="66">
        <f t="shared" si="80"/>
        <v>3.1563938966191927</v>
      </c>
      <c r="AP115" s="66">
        <f t="shared" si="80"/>
        <v>2.1471781055897736</v>
      </c>
      <c r="AQ115" s="66">
        <f t="shared" si="80"/>
        <v>1.129258864935764</v>
      </c>
      <c r="AR115" s="66">
        <f t="shared" si="80"/>
        <v>-57.413733571724606</v>
      </c>
      <c r="AS115" s="66">
        <f t="shared" si="80"/>
        <v>-58.506132922984762</v>
      </c>
      <c r="AT115" s="66">
        <f t="shared" si="80"/>
        <v>-60.575191124090907</v>
      </c>
      <c r="AU115" s="66">
        <f t="shared" si="80"/>
        <v>-63.434307668793281</v>
      </c>
      <c r="AV115" s="66">
        <f t="shared" si="80"/>
        <v>-66.939415329817621</v>
      </c>
      <c r="AW115" s="66">
        <f t="shared" si="80"/>
        <v>-70.977853474617859</v>
      </c>
      <c r="AX115" s="66">
        <f t="shared" si="80"/>
        <v>-68.8249155156509</v>
      </c>
      <c r="AY115" s="66">
        <f t="shared" si="80"/>
        <v>-80.316085487067539</v>
      </c>
      <c r="AZ115" s="66">
        <f t="shared" si="80"/>
        <v>-85.487105216152486</v>
      </c>
      <c r="BA115" s="66">
        <f t="shared" si="80"/>
        <v>-92.38271061111891</v>
      </c>
      <c r="BB115" s="66">
        <f t="shared" si="80"/>
        <v>-99.323607665582131</v>
      </c>
      <c r="BC115" s="66">
        <f t="shared" si="80"/>
        <v>-104.33667121837789</v>
      </c>
      <c r="BD115" s="66">
        <f t="shared" si="80"/>
        <v>-106.67178615897046</v>
      </c>
      <c r="BE115" s="66">
        <f t="shared" si="80"/>
        <v>-111.87345702784933</v>
      </c>
      <c r="BF115" s="66">
        <f t="shared" si="80"/>
        <v>-117.48185208483483</v>
      </c>
      <c r="BG115" s="66">
        <f t="shared" si="80"/>
        <v>-124.16032704627014</v>
      </c>
      <c r="BH115" s="66">
        <f t="shared" si="80"/>
        <v>-130.82103832306802</v>
      </c>
      <c r="BI115" s="66">
        <f t="shared" si="80"/>
        <v>-117.18036703009057</v>
      </c>
      <c r="BJ115" s="66">
        <f t="shared" si="80"/>
        <v>-143.53634824280562</v>
      </c>
      <c r="BK115" s="66">
        <f t="shared" si="78"/>
        <v>-99.714631139549965</v>
      </c>
      <c r="BL115" s="66">
        <f t="shared" si="78"/>
        <v>-40.507955744624269</v>
      </c>
      <c r="BM115" s="66">
        <f t="shared" si="78"/>
        <v>-37.836381776271082</v>
      </c>
      <c r="BN115" s="66">
        <f t="shared" si="78"/>
        <v>-124.31954012203551</v>
      </c>
      <c r="BO115" s="65">
        <v>0</v>
      </c>
      <c r="BP115" s="41"/>
      <c r="BQ115" s="41"/>
      <c r="BR115" s="41"/>
    </row>
    <row r="116" spans="1:70">
      <c r="A116" s="41"/>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16"/>
      <c r="BP116" s="41"/>
      <c r="BQ116" s="41"/>
      <c r="BR116" s="41"/>
    </row>
    <row r="117" spans="1:70" ht="18.75">
      <c r="A117" s="41"/>
      <c r="B117" s="275">
        <f>MAIN!C$35</f>
        <v>25</v>
      </c>
      <c r="C117" s="276" t="s">
        <v>43</v>
      </c>
      <c r="D117" s="258"/>
      <c r="E117" s="259"/>
      <c r="F117" s="259"/>
      <c r="G117" s="259"/>
      <c r="H117" s="259"/>
      <c r="I117" s="259"/>
      <c r="J117" s="259"/>
      <c r="K117" s="277"/>
      <c r="L117" s="259"/>
      <c r="M117" s="259"/>
      <c r="N117" s="278" t="s">
        <v>93</v>
      </c>
      <c r="O117" s="279">
        <f>$C$8*$C$9*MAIN!C$14</f>
        <v>5440.0000000000009</v>
      </c>
      <c r="P117" s="73"/>
      <c r="Q117" s="73"/>
      <c r="R117" s="73"/>
      <c r="S117" s="73"/>
      <c r="T117" s="73"/>
      <c r="U117" s="73"/>
      <c r="V117" s="73"/>
      <c r="W117" s="73"/>
      <c r="X117" s="73"/>
      <c r="Y117" s="73"/>
      <c r="Z117" s="73"/>
      <c r="AA117" s="73"/>
      <c r="AB117" s="73"/>
      <c r="AC117" s="73"/>
      <c r="AD117" s="73"/>
      <c r="AE117" s="73"/>
      <c r="AF117" s="73"/>
      <c r="AG117" s="73"/>
      <c r="AH117" s="73"/>
      <c r="AI117" s="73"/>
      <c r="AJ117" s="73"/>
      <c r="AK117" s="73"/>
      <c r="AL117" s="73"/>
      <c r="AM117" s="73"/>
      <c r="AN117" s="73"/>
      <c r="AO117" s="73"/>
      <c r="AP117" s="73"/>
      <c r="AQ117" s="73"/>
      <c r="AR117" s="41"/>
      <c r="AS117" s="73"/>
      <c r="AT117" s="41"/>
      <c r="AU117" s="41"/>
      <c r="AV117" s="41"/>
      <c r="AW117" s="41"/>
      <c r="AX117" s="41"/>
      <c r="AY117" s="41"/>
      <c r="AZ117" s="41"/>
      <c r="BA117" s="41"/>
      <c r="BB117" s="41"/>
      <c r="BC117" s="41"/>
      <c r="BD117" s="41"/>
      <c r="BE117" s="41"/>
      <c r="BF117" s="41"/>
      <c r="BG117" s="41"/>
      <c r="BH117" s="41"/>
      <c r="BI117" s="41"/>
      <c r="BJ117" s="41"/>
      <c r="BK117" s="41"/>
      <c r="BL117" s="41"/>
      <c r="BM117" s="41"/>
      <c r="BN117" s="41"/>
      <c r="BO117" s="41"/>
      <c r="BP117" s="41"/>
      <c r="BQ117" s="41"/>
      <c r="BR117" s="41"/>
    </row>
    <row r="118" spans="1:70" ht="18.75">
      <c r="A118" s="41"/>
      <c r="B118" s="260" t="str">
        <f>B66</f>
        <v>d' =</v>
      </c>
      <c r="C118" s="261">
        <f>MAIN!I$8+MAIN!E35+MAIN!C35/2</f>
        <v>50.5</v>
      </c>
      <c r="D118" s="262" t="str">
        <f>D66</f>
        <v>mm</v>
      </c>
      <c r="E118" s="263" t="str">
        <f>E66</f>
        <v>d =</v>
      </c>
      <c r="F118" s="261">
        <f>IF(I118=0,0,MAIN!C$13-C118)</f>
        <v>1149.5</v>
      </c>
      <c r="G118" s="262" t="str">
        <f>G66</f>
        <v>mm</v>
      </c>
      <c r="H118" s="263" t="str">
        <f>H66</f>
        <v>Asc =</v>
      </c>
      <c r="I118" s="264">
        <f>IF(MAIN!I35="ok",MAIN!C$13*MAIN!C$14*MAIN!D35/100,0)</f>
        <v>3926.9908169872406</v>
      </c>
      <c r="J118" s="262" t="str">
        <f>J66</f>
        <v>mm²</v>
      </c>
      <c r="K118" s="263" t="s">
        <v>48</v>
      </c>
      <c r="L118" s="261">
        <f>(F118-C118)/(MAIN!C$16-1)</f>
        <v>366.33333333333331</v>
      </c>
      <c r="M118" s="262" t="s">
        <v>14</v>
      </c>
      <c r="N118" s="263" t="s">
        <v>17</v>
      </c>
      <c r="O118" s="280">
        <f>I118*MAIN!C$15/MAIN!Q$1*(200000*F$8-C$9-C$10)</f>
        <v>238123.61707644371</v>
      </c>
      <c r="P118" s="45"/>
      <c r="Q118" s="45"/>
      <c r="R118" s="45"/>
      <c r="S118" s="45"/>
      <c r="T118" s="45"/>
      <c r="U118" s="45"/>
      <c r="V118" s="45"/>
      <c r="W118" s="45"/>
      <c r="X118" s="45"/>
      <c r="Y118" s="45"/>
      <c r="Z118" s="45"/>
      <c r="AA118" s="45"/>
      <c r="AB118" s="45"/>
      <c r="AC118" s="45"/>
      <c r="AD118" s="45"/>
      <c r="AE118" s="45"/>
      <c r="AF118" s="45"/>
      <c r="AG118" s="45"/>
      <c r="AH118" s="45"/>
      <c r="AI118" s="289"/>
      <c r="AJ118" s="45"/>
      <c r="AK118" s="45"/>
      <c r="AL118" s="45"/>
      <c r="AM118" s="45"/>
      <c r="AN118" s="45"/>
      <c r="AO118" s="45"/>
      <c r="AP118" s="45"/>
      <c r="AQ118" s="45"/>
      <c r="AR118" s="41"/>
      <c r="AS118" s="45"/>
      <c r="AT118" s="41"/>
      <c r="AU118" s="41"/>
      <c r="AV118" s="41"/>
      <c r="AW118" s="41"/>
      <c r="AX118" s="41"/>
      <c r="AY118" s="41"/>
      <c r="AZ118" s="41"/>
      <c r="BA118" s="41"/>
      <c r="BB118" s="41"/>
      <c r="BC118" s="41"/>
      <c r="BD118" s="41"/>
      <c r="BE118" s="41"/>
      <c r="BF118" s="41"/>
      <c r="BG118" s="41"/>
      <c r="BH118" s="41"/>
      <c r="BI118" s="41"/>
      <c r="BJ118" s="41"/>
      <c r="BK118" s="41"/>
      <c r="BL118" s="41"/>
      <c r="BM118" s="41"/>
      <c r="BN118" s="41"/>
      <c r="BO118" s="41"/>
      <c r="BP118" s="41"/>
      <c r="BQ118" s="41"/>
      <c r="BR118" s="41"/>
    </row>
    <row r="119" spans="1:70" ht="18.75">
      <c r="A119" s="41"/>
      <c r="B119" s="265"/>
      <c r="C119" s="266"/>
      <c r="D119" s="267"/>
      <c r="E119" s="268" t="s">
        <v>49</v>
      </c>
      <c r="F119" s="269">
        <f>(AR121-D121)/40</f>
        <v>16.508361375208203</v>
      </c>
      <c r="G119" s="270" t="s">
        <v>50</v>
      </c>
      <c r="H119" s="281"/>
      <c r="I119" s="281"/>
      <c r="J119" s="281"/>
      <c r="K119" s="281"/>
      <c r="L119" s="281"/>
      <c r="M119" s="281"/>
      <c r="N119" s="282" t="s">
        <v>120</v>
      </c>
      <c r="O119" s="283">
        <f>-100000*F$8*C118*I118*MAIN!C$15/MAIN!Q$1*2</f>
        <v>-34704781.345124736</v>
      </c>
      <c r="P119" s="49"/>
      <c r="Q119" s="49"/>
      <c r="R119" s="49"/>
      <c r="S119" s="49"/>
      <c r="T119" s="49"/>
      <c r="U119" s="49"/>
      <c r="V119" s="49"/>
      <c r="W119" s="49"/>
      <c r="X119" s="49"/>
      <c r="Y119" s="49"/>
      <c r="Z119" s="49"/>
      <c r="AA119" s="49"/>
      <c r="AB119" s="49"/>
      <c r="AC119" s="49"/>
      <c r="AD119" s="49"/>
      <c r="AE119" s="49"/>
      <c r="AF119" s="49"/>
      <c r="AG119" s="289"/>
      <c r="AH119" s="49"/>
      <c r="AI119" s="310" t="str">
        <f>B117&amp;" Bar diameter continued"</f>
        <v>25 Bar diameter continued</v>
      </c>
      <c r="AJ119" s="49"/>
      <c r="AK119" s="49"/>
      <c r="AL119" s="49"/>
      <c r="AM119" s="49"/>
      <c r="AN119" s="49"/>
      <c r="AO119" s="49"/>
      <c r="AP119" s="49"/>
      <c r="AQ119" s="49"/>
      <c r="AR119" s="49" t="s">
        <v>49</v>
      </c>
      <c r="AS119" s="50">
        <f>IF(I118=0,0,(BK121-AR121)/19)</f>
        <v>41.627445049405125</v>
      </c>
      <c r="AT119" s="46" t="s">
        <v>121</v>
      </c>
      <c r="AU119" s="41"/>
      <c r="AV119" s="41"/>
      <c r="AW119" s="41"/>
      <c r="AX119" s="41"/>
      <c r="AY119" s="41"/>
      <c r="AZ119" s="41"/>
      <c r="BA119" s="41"/>
      <c r="BB119" s="41"/>
      <c r="BC119" s="41"/>
      <c r="BD119" s="41"/>
      <c r="BE119" s="41"/>
      <c r="BF119" s="41"/>
      <c r="BG119" s="41"/>
      <c r="BH119" s="41"/>
      <c r="BI119" s="41"/>
      <c r="BJ119" s="41"/>
      <c r="BK119" s="41"/>
      <c r="BL119" s="41"/>
      <c r="BM119" s="41"/>
      <c r="BN119" s="41"/>
      <c r="BO119" s="41"/>
      <c r="BP119" s="41"/>
      <c r="BQ119" s="41"/>
      <c r="BR119" s="41"/>
    </row>
    <row r="120" spans="1:70" ht="15.75">
      <c r="A120" s="41"/>
      <c r="B120" s="41"/>
      <c r="C120" s="51"/>
      <c r="D120" s="52"/>
      <c r="E120" s="52"/>
      <c r="F120" s="52"/>
      <c r="G120" s="52"/>
      <c r="H120" s="52"/>
      <c r="I120" s="52"/>
      <c r="J120" s="52"/>
      <c r="K120" s="52"/>
      <c r="L120" s="52"/>
      <c r="M120" s="52"/>
      <c r="N120" s="45"/>
      <c r="O120" s="52"/>
      <c r="P120" s="52"/>
      <c r="Q120" s="52"/>
      <c r="R120" s="52"/>
      <c r="S120" s="52"/>
      <c r="T120" s="52"/>
      <c r="U120" s="52"/>
      <c r="V120" s="52"/>
      <c r="W120" s="52"/>
      <c r="X120" s="52"/>
      <c r="Y120" s="52"/>
      <c r="Z120" s="52"/>
      <c r="AA120" s="52"/>
      <c r="AB120" s="52"/>
      <c r="AC120" s="52"/>
      <c r="AD120" s="52"/>
      <c r="AE120" s="52"/>
      <c r="AF120" s="52"/>
      <c r="AG120" s="52"/>
      <c r="AH120" s="52"/>
      <c r="AI120" s="52"/>
      <c r="AJ120" s="52"/>
      <c r="AK120" s="52"/>
      <c r="AL120" s="52"/>
      <c r="AM120" s="52"/>
      <c r="AN120" s="52"/>
      <c r="AO120" s="52"/>
      <c r="AP120" s="52"/>
      <c r="AQ120" s="52"/>
      <c r="AR120" s="52"/>
      <c r="AS120" s="52"/>
      <c r="AT120" s="41"/>
      <c r="AU120" s="41"/>
      <c r="AV120" s="41"/>
      <c r="AW120" s="41"/>
      <c r="AX120" s="41"/>
      <c r="AY120" s="41"/>
      <c r="AZ120" s="41"/>
      <c r="BA120" s="41"/>
      <c r="BB120" s="41"/>
      <c r="BC120" s="41"/>
      <c r="BD120" s="41"/>
      <c r="BE120" s="41"/>
      <c r="BF120" s="41"/>
      <c r="BG120" s="41"/>
      <c r="BH120" s="41"/>
      <c r="BI120" s="41"/>
      <c r="BJ120" s="41"/>
      <c r="BK120" s="53"/>
      <c r="BL120" s="53"/>
      <c r="BM120" s="53"/>
      <c r="BN120" s="53"/>
      <c r="BO120" s="288" t="s">
        <v>51</v>
      </c>
      <c r="BP120" s="41"/>
      <c r="BQ120" s="41"/>
      <c r="BR120" s="41"/>
    </row>
    <row r="121" spans="1:70" ht="16.5">
      <c r="A121" s="41"/>
      <c r="B121" s="284" t="s">
        <v>115</v>
      </c>
      <c r="C121" s="297" t="s">
        <v>52</v>
      </c>
      <c r="D121" s="285">
        <f>0.8*(-O118+SQRT(O118^2-4*O117*O119))/2/O117</f>
        <v>48.744089052974402</v>
      </c>
      <c r="E121" s="286">
        <f t="shared" ref="E121:AQ121" si="81">D121+$F119</f>
        <v>65.252450428182613</v>
      </c>
      <c r="F121" s="286">
        <f t="shared" si="81"/>
        <v>81.760811803390823</v>
      </c>
      <c r="G121" s="286">
        <f t="shared" si="81"/>
        <v>98.269173178599033</v>
      </c>
      <c r="H121" s="286">
        <f t="shared" si="81"/>
        <v>114.77753455380724</v>
      </c>
      <c r="I121" s="286">
        <f t="shared" si="81"/>
        <v>131.28589592901545</v>
      </c>
      <c r="J121" s="286">
        <f t="shared" si="81"/>
        <v>147.79425730422366</v>
      </c>
      <c r="K121" s="286">
        <f t="shared" si="81"/>
        <v>164.30261867943187</v>
      </c>
      <c r="L121" s="286">
        <f t="shared" si="81"/>
        <v>180.81098005464008</v>
      </c>
      <c r="M121" s="286">
        <f t="shared" si="81"/>
        <v>197.31934142984829</v>
      </c>
      <c r="N121" s="286">
        <f t="shared" si="81"/>
        <v>213.8277028050565</v>
      </c>
      <c r="O121" s="286">
        <f t="shared" si="81"/>
        <v>230.33606418026471</v>
      </c>
      <c r="P121" s="286">
        <f t="shared" si="81"/>
        <v>246.84442555547292</v>
      </c>
      <c r="Q121" s="286">
        <f t="shared" si="81"/>
        <v>263.35278693068113</v>
      </c>
      <c r="R121" s="286">
        <f t="shared" si="81"/>
        <v>279.86114830588934</v>
      </c>
      <c r="S121" s="286">
        <f t="shared" si="81"/>
        <v>296.36950968109755</v>
      </c>
      <c r="T121" s="286">
        <f t="shared" si="81"/>
        <v>312.87787105630576</v>
      </c>
      <c r="U121" s="286">
        <f t="shared" si="81"/>
        <v>329.38623243151397</v>
      </c>
      <c r="V121" s="286">
        <f t="shared" si="81"/>
        <v>345.89459380672218</v>
      </c>
      <c r="W121" s="286">
        <f t="shared" si="81"/>
        <v>362.40295518193039</v>
      </c>
      <c r="X121" s="286">
        <f t="shared" si="81"/>
        <v>378.9113165571386</v>
      </c>
      <c r="Y121" s="286">
        <f t="shared" si="81"/>
        <v>395.41967793234681</v>
      </c>
      <c r="Z121" s="286">
        <f t="shared" si="81"/>
        <v>411.92803930755503</v>
      </c>
      <c r="AA121" s="286">
        <f t="shared" si="81"/>
        <v>428.43640068276324</v>
      </c>
      <c r="AB121" s="286">
        <f t="shared" si="81"/>
        <v>444.94476205797145</v>
      </c>
      <c r="AC121" s="286">
        <f t="shared" si="81"/>
        <v>461.45312343317966</v>
      </c>
      <c r="AD121" s="286">
        <f t="shared" si="81"/>
        <v>477.96148480838787</v>
      </c>
      <c r="AE121" s="286">
        <f t="shared" si="81"/>
        <v>494.46984618359608</v>
      </c>
      <c r="AF121" s="286">
        <f t="shared" si="81"/>
        <v>510.97820755880429</v>
      </c>
      <c r="AG121" s="286">
        <f t="shared" si="81"/>
        <v>527.48656893401244</v>
      </c>
      <c r="AH121" s="286">
        <f t="shared" si="81"/>
        <v>543.99493030922065</v>
      </c>
      <c r="AI121" s="286">
        <f t="shared" si="81"/>
        <v>560.50329168442886</v>
      </c>
      <c r="AJ121" s="286">
        <f t="shared" si="81"/>
        <v>577.01165305963707</v>
      </c>
      <c r="AK121" s="286">
        <f t="shared" si="81"/>
        <v>593.52001443484528</v>
      </c>
      <c r="AL121" s="286">
        <f t="shared" si="81"/>
        <v>610.02837581005349</v>
      </c>
      <c r="AM121" s="286">
        <f t="shared" si="81"/>
        <v>626.5367371852617</v>
      </c>
      <c r="AN121" s="286">
        <f t="shared" si="81"/>
        <v>643.04509856046991</v>
      </c>
      <c r="AO121" s="286">
        <f t="shared" si="81"/>
        <v>659.55345993567812</v>
      </c>
      <c r="AP121" s="286">
        <f t="shared" si="81"/>
        <v>676.06182131088633</v>
      </c>
      <c r="AQ121" s="286">
        <f t="shared" si="81"/>
        <v>692.57018268609454</v>
      </c>
      <c r="AR121" s="62">
        <f>200000*F$8/C$10*F118/(1+200000*F$8/C$10)</f>
        <v>709.07854406130264</v>
      </c>
      <c r="AS121" s="286">
        <f t="shared" ref="AS121:BJ121" si="82">AR121+$AS119</f>
        <v>750.70598911070772</v>
      </c>
      <c r="AT121" s="286">
        <f t="shared" si="82"/>
        <v>792.3334341601128</v>
      </c>
      <c r="AU121" s="286">
        <f t="shared" si="82"/>
        <v>833.96087920951788</v>
      </c>
      <c r="AV121" s="286">
        <f t="shared" si="82"/>
        <v>875.58832425892297</v>
      </c>
      <c r="AW121" s="286">
        <f t="shared" si="82"/>
        <v>917.21576930832805</v>
      </c>
      <c r="AX121" s="286">
        <f t="shared" si="82"/>
        <v>958.84321435773313</v>
      </c>
      <c r="AY121" s="286">
        <f t="shared" si="82"/>
        <v>1000.4706594071382</v>
      </c>
      <c r="AZ121" s="286">
        <f t="shared" si="82"/>
        <v>1042.0981044565433</v>
      </c>
      <c r="BA121" s="286">
        <f t="shared" si="82"/>
        <v>1083.7255495059485</v>
      </c>
      <c r="BB121" s="286">
        <f t="shared" si="82"/>
        <v>1125.3529945553537</v>
      </c>
      <c r="BC121" s="286">
        <f t="shared" si="82"/>
        <v>1166.9804396047589</v>
      </c>
      <c r="BD121" s="286">
        <f t="shared" si="82"/>
        <v>1208.6078846541641</v>
      </c>
      <c r="BE121" s="286">
        <f t="shared" si="82"/>
        <v>1250.2353297035693</v>
      </c>
      <c r="BF121" s="286">
        <f t="shared" si="82"/>
        <v>1291.8627747529745</v>
      </c>
      <c r="BG121" s="286">
        <f t="shared" si="82"/>
        <v>1333.4902198023797</v>
      </c>
      <c r="BH121" s="286">
        <f t="shared" si="82"/>
        <v>1375.1176648517849</v>
      </c>
      <c r="BI121" s="286">
        <f t="shared" si="82"/>
        <v>1416.7451099011901</v>
      </c>
      <c r="BJ121" s="286">
        <f t="shared" si="82"/>
        <v>1458.3725549505953</v>
      </c>
      <c r="BK121" s="286">
        <f>BK17</f>
        <v>1500</v>
      </c>
      <c r="BL121" s="286">
        <f>BL17</f>
        <v>2200</v>
      </c>
      <c r="BM121" s="286">
        <f>BM17</f>
        <v>2900</v>
      </c>
      <c r="BN121" s="286">
        <f>BN17</f>
        <v>3600</v>
      </c>
      <c r="BO121" s="287"/>
      <c r="BP121" s="41"/>
      <c r="BQ121" s="41"/>
      <c r="BR121" s="41"/>
    </row>
    <row r="122" spans="1:70" ht="16.5">
      <c r="A122" s="41"/>
      <c r="B122" s="290" t="s">
        <v>53</v>
      </c>
      <c r="C122" s="298" t="s">
        <v>54</v>
      </c>
      <c r="D122" s="3">
        <f>MIN($C$8*D121,MAIN!$C$13)*MAIN!$C$14*$C$9</f>
        <v>265167.84444818081</v>
      </c>
      <c r="E122" s="304">
        <f>MIN($C$8*E121,MAIN!$C$13)*MAIN!$C$14*$C$9</f>
        <v>354973.33032931347</v>
      </c>
      <c r="F122" s="304">
        <f>MIN($C$8*F121,MAIN!$C$13)*MAIN!$C$14*$C$9</f>
        <v>444778.81621044606</v>
      </c>
      <c r="G122" s="304">
        <f>MIN($C$8*G121,MAIN!$C$13)*MAIN!$C$14*$C$9</f>
        <v>534584.30209157884</v>
      </c>
      <c r="H122" s="304">
        <f>MIN($C$8*H121,MAIN!$C$13)*MAIN!$C$14*$C$9</f>
        <v>624389.78797271149</v>
      </c>
      <c r="I122" s="304">
        <f>MIN($C$8*I121,MAIN!$C$13)*MAIN!$C$14*$C$9</f>
        <v>714195.27385384415</v>
      </c>
      <c r="J122" s="304">
        <f>MIN($C$8*J121,MAIN!$C$13)*MAIN!$C$14*$C$9</f>
        <v>804000.75973497692</v>
      </c>
      <c r="K122" s="304">
        <f>MIN($C$8*K121,MAIN!$C$13)*MAIN!$C$14*$C$9</f>
        <v>893806.24561610946</v>
      </c>
      <c r="L122" s="304">
        <f>MIN($C$8*L121,MAIN!$C$13)*MAIN!$C$14*$C$9</f>
        <v>983611.73149724212</v>
      </c>
      <c r="M122" s="304">
        <f>MIN($C$8*M121,MAIN!$C$13)*MAIN!$C$14*$C$9</f>
        <v>1073417.2173783749</v>
      </c>
      <c r="N122" s="304">
        <f>MIN($C$8*N121,MAIN!$C$13)*MAIN!$C$14*$C$9</f>
        <v>1163222.7032595077</v>
      </c>
      <c r="O122" s="304">
        <f>MIN($C$8*O121,MAIN!$C$13)*MAIN!$C$14*$C$9</f>
        <v>1253028.1891406402</v>
      </c>
      <c r="P122" s="304">
        <f>MIN($C$8*P121,MAIN!$C$13)*MAIN!$C$14*$C$9</f>
        <v>1342833.6750217727</v>
      </c>
      <c r="Q122" s="304">
        <f>MIN($C$8*Q121,MAIN!$C$13)*MAIN!$C$14*$C$9</f>
        <v>1432639.1609029055</v>
      </c>
      <c r="R122" s="304">
        <f>MIN($C$8*R121,MAIN!$C$13)*MAIN!$C$14*$C$9</f>
        <v>1522444.6467840381</v>
      </c>
      <c r="S122" s="304">
        <f>MIN($C$8*S121,MAIN!$C$13)*MAIN!$C$14*$C$9</f>
        <v>1612250.1326651711</v>
      </c>
      <c r="T122" s="304">
        <f>MIN($C$8*T121,MAIN!$C$13)*MAIN!$C$14*$C$9</f>
        <v>1702055.6185463036</v>
      </c>
      <c r="U122" s="304">
        <f>MIN($C$8*U121,MAIN!$C$13)*MAIN!$C$14*$C$9</f>
        <v>1791861.1044274361</v>
      </c>
      <c r="V122" s="304">
        <f>MIN($C$8*V121,MAIN!$C$13)*MAIN!$C$14*$C$9</f>
        <v>1881666.5903085687</v>
      </c>
      <c r="W122" s="304">
        <f>MIN($C$8*W121,MAIN!$C$13)*MAIN!$C$14*$C$9</f>
        <v>1971472.0761897019</v>
      </c>
      <c r="X122" s="304">
        <f>MIN($C$8*X121,MAIN!$C$13)*MAIN!$C$14*$C$9</f>
        <v>2061277.5620708345</v>
      </c>
      <c r="Y122" s="304">
        <f>MIN($C$8*Y121,MAIN!$C$13)*MAIN!$C$14*$C$9</f>
        <v>2151083.047951967</v>
      </c>
      <c r="Z122" s="304">
        <f>MIN($C$8*Z121,MAIN!$C$13)*MAIN!$C$14*$C$9</f>
        <v>2240888.5338330995</v>
      </c>
      <c r="AA122" s="304">
        <f>MIN($C$8*AA121,MAIN!$C$13)*MAIN!$C$14*$C$9</f>
        <v>2330694.0197142325</v>
      </c>
      <c r="AB122" s="304">
        <f>MIN($C$8*AB121,MAIN!$C$13)*MAIN!$C$14*$C$9</f>
        <v>2420499.5055953651</v>
      </c>
      <c r="AC122" s="304">
        <f>MIN($C$8*AC121,MAIN!$C$13)*MAIN!$C$14*$C$9</f>
        <v>2510304.9914764976</v>
      </c>
      <c r="AD122" s="304">
        <f>MIN($C$8*AD121,MAIN!$C$13)*MAIN!$C$14*$C$9</f>
        <v>2600110.4773576302</v>
      </c>
      <c r="AE122" s="304">
        <f>MIN($C$8*AE121,MAIN!$C$13)*MAIN!$C$14*$C$9</f>
        <v>2689915.9632387627</v>
      </c>
      <c r="AF122" s="304">
        <f>MIN($C$8*AF121,MAIN!$C$13)*MAIN!$C$14*$C$9</f>
        <v>2779721.4491198957</v>
      </c>
      <c r="AG122" s="304">
        <f>MIN($C$8*AG121,MAIN!$C$13)*MAIN!$C$14*$C$9</f>
        <v>2869526.9350010278</v>
      </c>
      <c r="AH122" s="304">
        <f>MIN($C$8*AH121,MAIN!$C$13)*MAIN!$C$14*$C$9</f>
        <v>2959332.4208821603</v>
      </c>
      <c r="AI122" s="304">
        <f>MIN($C$8*AI121,MAIN!$C$13)*MAIN!$C$14*$C$9</f>
        <v>3049137.9067632933</v>
      </c>
      <c r="AJ122" s="304">
        <f>MIN($C$8*AJ121,MAIN!$C$13)*MAIN!$C$14*$C$9</f>
        <v>3138943.3926444259</v>
      </c>
      <c r="AK122" s="304">
        <f>MIN($C$8*AK121,MAIN!$C$13)*MAIN!$C$14*$C$9</f>
        <v>3228748.8785255584</v>
      </c>
      <c r="AL122" s="304">
        <f>MIN($C$8*AL121,MAIN!$C$13)*MAIN!$C$14*$C$9</f>
        <v>3318554.3644066914</v>
      </c>
      <c r="AM122" s="304">
        <f>MIN($C$8*AM121,MAIN!$C$13)*MAIN!$C$14*$C$9</f>
        <v>3408359.8502878239</v>
      </c>
      <c r="AN122" s="304">
        <f>MIN($C$8*AN121,MAIN!$C$13)*MAIN!$C$14*$C$9</f>
        <v>3498165.3361689565</v>
      </c>
      <c r="AO122" s="304">
        <f>MIN($C$8*AO121,MAIN!$C$13)*MAIN!$C$14*$C$9</f>
        <v>3587970.822050089</v>
      </c>
      <c r="AP122" s="304">
        <f>MIN($C$8*AP121,MAIN!$C$13)*MAIN!$C$14*$C$9</f>
        <v>3677776.3079312216</v>
      </c>
      <c r="AQ122" s="304">
        <f>MIN($C$8*AQ121,MAIN!$C$13)*MAIN!$C$14*$C$9</f>
        <v>3767581.7938123546</v>
      </c>
      <c r="AR122" s="56">
        <f>MIN($C$8*AR121,MAIN!$C$13)*MAIN!$C$14*$C$9</f>
        <v>3857387.2796934871</v>
      </c>
      <c r="AS122" s="304">
        <f>MIN($C$8*AS121,MAIN!$C$13)*MAIN!$C$14*$C$9</f>
        <v>4083840.5807622503</v>
      </c>
      <c r="AT122" s="304">
        <f>MIN($C$8*AT121,MAIN!$C$13)*MAIN!$C$14*$C$9</f>
        <v>4310293.8818310136</v>
      </c>
      <c r="AU122" s="304">
        <f>MIN($C$8*AU121,MAIN!$C$13)*MAIN!$C$14*$C$9</f>
        <v>4536747.1828997778</v>
      </c>
      <c r="AV122" s="304">
        <f>MIN($C$8*AV121,MAIN!$C$13)*MAIN!$C$14*$C$9</f>
        <v>4763200.483968541</v>
      </c>
      <c r="AW122" s="304">
        <f>MIN($C$8*AW121,MAIN!$C$13)*MAIN!$C$14*$C$9</f>
        <v>4989653.7850373052</v>
      </c>
      <c r="AX122" s="304">
        <f>MIN($C$8*AX121,MAIN!$C$13)*MAIN!$C$14*$C$9</f>
        <v>5216107.0861060694</v>
      </c>
      <c r="AY122" s="304">
        <f>MIN($C$8*AY121,MAIN!$C$13)*MAIN!$C$14*$C$9</f>
        <v>5442560.3871748326</v>
      </c>
      <c r="AZ122" s="304">
        <f>MIN($C$8*AZ121,MAIN!$C$13)*MAIN!$C$14*$C$9</f>
        <v>5669013.6882435968</v>
      </c>
      <c r="BA122" s="304">
        <f>MIN($C$8*BA121,MAIN!$C$13)*MAIN!$C$14*$C$9</f>
        <v>5895466.989312361</v>
      </c>
      <c r="BB122" s="304">
        <f>MIN($C$8*BB121,MAIN!$C$13)*MAIN!$C$14*$C$9</f>
        <v>6121920.2903811252</v>
      </c>
      <c r="BC122" s="304">
        <f>MIN($C$8*BC121,MAIN!$C$13)*MAIN!$C$14*$C$9</f>
        <v>6348373.5914498884</v>
      </c>
      <c r="BD122" s="304">
        <f>MIN($C$8*BD121,MAIN!$C$13)*MAIN!$C$14*$C$9</f>
        <v>6574826.8925186526</v>
      </c>
      <c r="BE122" s="304">
        <f>MIN($C$8*BE121,MAIN!$C$13)*MAIN!$C$14*$C$9</f>
        <v>6801280.1935874186</v>
      </c>
      <c r="BF122" s="304">
        <f>MIN($C$8*BF121,MAIN!$C$13)*MAIN!$C$14*$C$9</f>
        <v>7027733.4946561828</v>
      </c>
      <c r="BG122" s="304">
        <f>MIN($C$8*BG121,MAIN!$C$13)*MAIN!$C$14*$C$9</f>
        <v>7254186.795724947</v>
      </c>
      <c r="BH122" s="304">
        <f>MIN($C$8*BH121,MAIN!$C$13)*MAIN!$C$14*$C$9</f>
        <v>7480640.0967937112</v>
      </c>
      <c r="BI122" s="304">
        <f>MIN($C$8*BI121,MAIN!$C$13)*MAIN!$C$14*$C$9</f>
        <v>7707093.3978624744</v>
      </c>
      <c r="BJ122" s="304">
        <f>MIN($C$8*BJ121,MAIN!$C$13)*MAIN!$C$14*$C$9</f>
        <v>7933546.6989312386</v>
      </c>
      <c r="BK122" s="304">
        <f>MIN($C$8*BK121,MAIN!$C$13)*MAIN!$C$14*$C$9</f>
        <v>8160000</v>
      </c>
      <c r="BL122" s="304">
        <f>MIN($C$8*BL121,MAIN!$C$13)*MAIN!$C$14*$C$9</f>
        <v>8160000</v>
      </c>
      <c r="BM122" s="304">
        <f>MIN($C$8*BM121,MAIN!$C$13)*MAIN!$C$14*$C$9</f>
        <v>8160000</v>
      </c>
      <c r="BN122" s="304">
        <f>MIN($C$8*BN121,MAIN!$C$13)*MAIN!$C$14*$C$9</f>
        <v>8160000</v>
      </c>
      <c r="BO122" s="3">
        <f>MAIN!$C$13*MAIN!$C$14*$C$9</f>
        <v>8160000</v>
      </c>
      <c r="BP122" s="41"/>
      <c r="BQ122" s="41"/>
      <c r="BR122" s="41"/>
    </row>
    <row r="123" spans="1:70" ht="16.5">
      <c r="A123" s="41"/>
      <c r="B123" s="4">
        <v>2</v>
      </c>
      <c r="C123" s="299" t="s">
        <v>55</v>
      </c>
      <c r="D123" s="5">
        <f>IF(C118+L118&gt;=F118,0,C118+L118)</f>
        <v>416.83333333333331</v>
      </c>
      <c r="E123" s="6"/>
      <c r="F123" s="6"/>
      <c r="G123" s="6"/>
      <c r="H123" s="6"/>
      <c r="I123" s="6"/>
      <c r="J123" s="6"/>
      <c r="K123" s="6"/>
      <c r="L123" s="6"/>
      <c r="M123" s="6"/>
      <c r="N123" s="6"/>
      <c r="O123" s="6"/>
      <c r="P123" s="6"/>
      <c r="Q123" s="6"/>
      <c r="R123" s="6"/>
      <c r="S123" s="6"/>
      <c r="T123" s="6"/>
      <c r="U123" s="6"/>
      <c r="V123" s="6"/>
      <c r="W123" s="6"/>
      <c r="X123" s="6"/>
      <c r="Y123" s="6"/>
      <c r="Z123" s="6"/>
      <c r="AA123" s="6"/>
      <c r="AB123" s="6"/>
      <c r="AC123" s="6"/>
      <c r="AD123" s="6"/>
      <c r="AE123" s="6"/>
      <c r="AF123" s="6"/>
      <c r="AG123" s="6"/>
      <c r="AH123" s="6"/>
      <c r="AI123" s="6"/>
      <c r="AJ123" s="6"/>
      <c r="AK123" s="6"/>
      <c r="AL123" s="6"/>
      <c r="AM123" s="6"/>
      <c r="AN123" s="6"/>
      <c r="AO123" s="6"/>
      <c r="AP123" s="6"/>
      <c r="AQ123" s="6"/>
      <c r="AR123" s="57"/>
      <c r="AS123" s="6"/>
      <c r="AT123" s="6"/>
      <c r="AU123" s="6"/>
      <c r="AV123" s="6"/>
      <c r="AW123" s="6"/>
      <c r="AX123" s="6"/>
      <c r="AY123" s="6"/>
      <c r="AZ123" s="6"/>
      <c r="BA123" s="6"/>
      <c r="BB123" s="6"/>
      <c r="BC123" s="6"/>
      <c r="BD123" s="6"/>
      <c r="BE123" s="6"/>
      <c r="BF123" s="6"/>
      <c r="BG123" s="6"/>
      <c r="BH123" s="6"/>
      <c r="BI123" s="6"/>
      <c r="BJ123" s="6"/>
      <c r="BK123" s="6"/>
      <c r="BL123" s="6"/>
      <c r="BM123" s="6"/>
      <c r="BN123" s="6"/>
      <c r="BO123" s="7"/>
      <c r="BP123" s="43"/>
      <c r="BQ123" s="43"/>
      <c r="BR123" s="42"/>
    </row>
    <row r="124" spans="1:70" ht="16.5">
      <c r="A124" s="41"/>
      <c r="B124" s="4">
        <f t="shared" ref="B124:B130" si="83">1+B123</f>
        <v>3</v>
      </c>
      <c r="C124" s="299" t="s">
        <v>55</v>
      </c>
      <c r="D124" s="5">
        <f>IF(C118+B123*L118&gt;=F118,0,C118+B123*L118)</f>
        <v>783.16666666666663</v>
      </c>
      <c r="E124" s="6"/>
      <c r="F124" s="6"/>
      <c r="G124" s="6"/>
      <c r="H124" s="6"/>
      <c r="I124" s="6"/>
      <c r="J124" s="6"/>
      <c r="K124" s="6"/>
      <c r="L124" s="6"/>
      <c r="M124" s="6"/>
      <c r="N124" s="6"/>
      <c r="O124" s="6"/>
      <c r="P124" s="6"/>
      <c r="Q124" s="6"/>
      <c r="R124" s="6"/>
      <c r="S124" s="6"/>
      <c r="T124" s="6"/>
      <c r="U124" s="6"/>
      <c r="V124" s="6"/>
      <c r="W124" s="6"/>
      <c r="X124" s="6"/>
      <c r="Y124" s="6"/>
      <c r="Z124" s="6"/>
      <c r="AA124" s="6"/>
      <c r="AB124" s="6"/>
      <c r="AC124" s="6"/>
      <c r="AD124" s="6"/>
      <c r="AE124" s="6"/>
      <c r="AF124" s="6"/>
      <c r="AG124" s="6"/>
      <c r="AH124" s="6"/>
      <c r="AI124" s="6"/>
      <c r="AJ124" s="6"/>
      <c r="AK124" s="6"/>
      <c r="AL124" s="6"/>
      <c r="AM124" s="6"/>
      <c r="AN124" s="6"/>
      <c r="AO124" s="6"/>
      <c r="AP124" s="6"/>
      <c r="AQ124" s="6"/>
      <c r="AR124" s="57"/>
      <c r="AS124" s="6"/>
      <c r="AT124" s="6"/>
      <c r="AU124" s="6"/>
      <c r="AV124" s="6"/>
      <c r="AW124" s="6"/>
      <c r="AX124" s="6"/>
      <c r="AY124" s="6"/>
      <c r="AZ124" s="6"/>
      <c r="BA124" s="6"/>
      <c r="BB124" s="6"/>
      <c r="BC124" s="6"/>
      <c r="BD124" s="6"/>
      <c r="BE124" s="6"/>
      <c r="BF124" s="6"/>
      <c r="BG124" s="6"/>
      <c r="BH124" s="6"/>
      <c r="BI124" s="6"/>
      <c r="BJ124" s="6"/>
      <c r="BK124" s="6"/>
      <c r="BL124" s="6"/>
      <c r="BM124" s="6"/>
      <c r="BN124" s="6"/>
      <c r="BO124" s="7"/>
      <c r="BP124" s="43"/>
      <c r="BQ124" s="43"/>
      <c r="BR124" s="42"/>
    </row>
    <row r="125" spans="1:70" ht="16.5">
      <c r="A125" s="41"/>
      <c r="B125" s="4">
        <f t="shared" si="83"/>
        <v>4</v>
      </c>
      <c r="C125" s="299" t="s">
        <v>55</v>
      </c>
      <c r="D125" s="5">
        <f>IF(C118+B124*L118&gt;=F118,0,C118+B124*L118)</f>
        <v>0</v>
      </c>
      <c r="E125" s="6"/>
      <c r="F125" s="6"/>
      <c r="G125" s="6"/>
      <c r="H125" s="6"/>
      <c r="I125" s="6"/>
      <c r="J125" s="6"/>
      <c r="K125" s="6"/>
      <c r="L125" s="6"/>
      <c r="M125" s="6"/>
      <c r="N125" s="6"/>
      <c r="O125" s="6"/>
      <c r="P125" s="6"/>
      <c r="Q125" s="6"/>
      <c r="R125" s="6"/>
      <c r="S125" s="6"/>
      <c r="T125" s="6"/>
      <c r="U125" s="6"/>
      <c r="V125" s="6"/>
      <c r="W125" s="6"/>
      <c r="X125" s="6"/>
      <c r="Y125" s="6"/>
      <c r="Z125" s="6"/>
      <c r="AA125" s="6"/>
      <c r="AB125" s="6"/>
      <c r="AC125" s="6"/>
      <c r="AD125" s="6"/>
      <c r="AE125" s="6"/>
      <c r="AF125" s="6"/>
      <c r="AG125" s="6"/>
      <c r="AH125" s="6"/>
      <c r="AI125" s="6"/>
      <c r="AJ125" s="6"/>
      <c r="AK125" s="6"/>
      <c r="AL125" s="6"/>
      <c r="AM125" s="6"/>
      <c r="AN125" s="6"/>
      <c r="AO125" s="6"/>
      <c r="AP125" s="6"/>
      <c r="AQ125" s="6"/>
      <c r="AR125" s="57"/>
      <c r="AS125" s="6"/>
      <c r="AT125" s="6"/>
      <c r="AU125" s="6"/>
      <c r="AV125" s="6"/>
      <c r="AW125" s="6"/>
      <c r="AX125" s="6"/>
      <c r="AY125" s="6"/>
      <c r="AZ125" s="6"/>
      <c r="BA125" s="6"/>
      <c r="BB125" s="6"/>
      <c r="BC125" s="6"/>
      <c r="BD125" s="6"/>
      <c r="BE125" s="6"/>
      <c r="BF125" s="6"/>
      <c r="BG125" s="6"/>
      <c r="BH125" s="6"/>
      <c r="BI125" s="6"/>
      <c r="BJ125" s="6"/>
      <c r="BK125" s="6"/>
      <c r="BL125" s="6"/>
      <c r="BM125" s="6"/>
      <c r="BN125" s="6"/>
      <c r="BO125" s="7"/>
      <c r="BP125" s="43"/>
      <c r="BQ125" s="43"/>
      <c r="BR125" s="42"/>
    </row>
    <row r="126" spans="1:70" ht="16.5">
      <c r="A126" s="41"/>
      <c r="B126" s="4">
        <f t="shared" si="83"/>
        <v>5</v>
      </c>
      <c r="C126" s="299" t="s">
        <v>55</v>
      </c>
      <c r="D126" s="5">
        <f>IF(C118+B125*L118&gt;=F118,0,C118+B125*L118)</f>
        <v>0</v>
      </c>
      <c r="E126" s="6"/>
      <c r="F126" s="6"/>
      <c r="G126" s="6"/>
      <c r="H126" s="6"/>
      <c r="I126" s="6"/>
      <c r="J126" s="6"/>
      <c r="K126" s="6"/>
      <c r="L126" s="6"/>
      <c r="M126" s="6"/>
      <c r="N126" s="6"/>
      <c r="O126" s="6"/>
      <c r="P126" s="6"/>
      <c r="Q126" s="6"/>
      <c r="R126" s="6"/>
      <c r="S126" s="6"/>
      <c r="T126" s="6"/>
      <c r="U126" s="6"/>
      <c r="V126" s="6"/>
      <c r="W126" s="6"/>
      <c r="X126" s="6"/>
      <c r="Y126" s="6"/>
      <c r="Z126" s="6"/>
      <c r="AA126" s="6"/>
      <c r="AB126" s="6"/>
      <c r="AC126" s="6"/>
      <c r="AD126" s="6"/>
      <c r="AE126" s="6"/>
      <c r="AF126" s="6"/>
      <c r="AG126" s="6"/>
      <c r="AH126" s="6"/>
      <c r="AI126" s="6"/>
      <c r="AJ126" s="6"/>
      <c r="AK126" s="6"/>
      <c r="AL126" s="6"/>
      <c r="AM126" s="6"/>
      <c r="AN126" s="6"/>
      <c r="AO126" s="6"/>
      <c r="AP126" s="6"/>
      <c r="AQ126" s="6"/>
      <c r="AR126" s="57"/>
      <c r="AS126" s="6"/>
      <c r="AT126" s="6"/>
      <c r="AU126" s="6"/>
      <c r="AV126" s="6"/>
      <c r="AW126" s="6"/>
      <c r="AX126" s="6"/>
      <c r="AY126" s="6"/>
      <c r="AZ126" s="6"/>
      <c r="BA126" s="6"/>
      <c r="BB126" s="6"/>
      <c r="BC126" s="6"/>
      <c r="BD126" s="6"/>
      <c r="BE126" s="6"/>
      <c r="BF126" s="6"/>
      <c r="BG126" s="6"/>
      <c r="BH126" s="6"/>
      <c r="BI126" s="6"/>
      <c r="BJ126" s="6"/>
      <c r="BK126" s="6"/>
      <c r="BL126" s="6"/>
      <c r="BM126" s="6"/>
      <c r="BN126" s="6"/>
      <c r="BO126" s="7"/>
      <c r="BP126" s="43"/>
      <c r="BQ126" s="43"/>
      <c r="BR126" s="42"/>
    </row>
    <row r="127" spans="1:70" ht="16.5">
      <c r="A127" s="41"/>
      <c r="B127" s="4">
        <f t="shared" si="83"/>
        <v>6</v>
      </c>
      <c r="C127" s="299" t="s">
        <v>55</v>
      </c>
      <c r="D127" s="5">
        <f>IF(C118+B126*L118&gt;=F118,0,C118+B126*L118)</f>
        <v>0</v>
      </c>
      <c r="E127" s="6"/>
      <c r="F127" s="6"/>
      <c r="G127" s="6"/>
      <c r="H127" s="6"/>
      <c r="I127" s="6"/>
      <c r="J127" s="6"/>
      <c r="K127" s="6"/>
      <c r="L127" s="6"/>
      <c r="M127" s="6"/>
      <c r="N127" s="6"/>
      <c r="O127" s="6"/>
      <c r="P127" s="6"/>
      <c r="Q127" s="6"/>
      <c r="R127" s="6"/>
      <c r="S127" s="6"/>
      <c r="T127" s="6"/>
      <c r="U127" s="6"/>
      <c r="V127" s="6"/>
      <c r="W127" s="6"/>
      <c r="X127" s="6"/>
      <c r="Y127" s="6"/>
      <c r="Z127" s="6"/>
      <c r="AA127" s="6"/>
      <c r="AB127" s="6"/>
      <c r="AC127" s="6"/>
      <c r="AD127" s="6"/>
      <c r="AE127" s="6"/>
      <c r="AF127" s="6"/>
      <c r="AG127" s="6"/>
      <c r="AH127" s="6"/>
      <c r="AI127" s="6"/>
      <c r="AJ127" s="6"/>
      <c r="AK127" s="6"/>
      <c r="AL127" s="6"/>
      <c r="AM127" s="6"/>
      <c r="AN127" s="6"/>
      <c r="AO127" s="6"/>
      <c r="AP127" s="6"/>
      <c r="AQ127" s="6"/>
      <c r="AR127" s="57"/>
      <c r="AS127" s="6"/>
      <c r="AT127" s="6"/>
      <c r="AU127" s="6"/>
      <c r="AV127" s="6"/>
      <c r="AW127" s="6"/>
      <c r="AX127" s="6"/>
      <c r="AY127" s="6"/>
      <c r="AZ127" s="6"/>
      <c r="BA127" s="6"/>
      <c r="BB127" s="6"/>
      <c r="BC127" s="6"/>
      <c r="BD127" s="6"/>
      <c r="BE127" s="6"/>
      <c r="BF127" s="6"/>
      <c r="BG127" s="6"/>
      <c r="BH127" s="6"/>
      <c r="BI127" s="6"/>
      <c r="BJ127" s="6"/>
      <c r="BK127" s="6"/>
      <c r="BL127" s="6"/>
      <c r="BM127" s="6"/>
      <c r="BN127" s="6"/>
      <c r="BO127" s="7"/>
      <c r="BP127" s="43"/>
      <c r="BQ127" s="43"/>
      <c r="BR127" s="42"/>
    </row>
    <row r="128" spans="1:70" ht="16.5">
      <c r="A128" s="41"/>
      <c r="B128" s="4">
        <f t="shared" si="83"/>
        <v>7</v>
      </c>
      <c r="C128" s="299" t="s">
        <v>55</v>
      </c>
      <c r="D128" s="5">
        <f>IF(C118+B127*L118&gt;=F118,0,C118+B127*L118)</f>
        <v>0</v>
      </c>
      <c r="E128" s="6"/>
      <c r="F128" s="6"/>
      <c r="G128" s="6"/>
      <c r="H128" s="6"/>
      <c r="I128" s="6"/>
      <c r="J128" s="6"/>
      <c r="K128" s="6"/>
      <c r="L128" s="6"/>
      <c r="M128" s="6"/>
      <c r="N128" s="6"/>
      <c r="O128" s="6"/>
      <c r="P128" s="6"/>
      <c r="Q128" s="6"/>
      <c r="R128" s="6"/>
      <c r="S128" s="6"/>
      <c r="T128" s="6"/>
      <c r="U128" s="6"/>
      <c r="V128" s="6"/>
      <c r="W128" s="6"/>
      <c r="X128" s="6"/>
      <c r="Y128" s="6"/>
      <c r="Z128" s="6"/>
      <c r="AA128" s="6"/>
      <c r="AB128" s="6"/>
      <c r="AC128" s="6"/>
      <c r="AD128" s="6"/>
      <c r="AE128" s="6"/>
      <c r="AF128" s="6"/>
      <c r="AG128" s="6"/>
      <c r="AH128" s="6"/>
      <c r="AI128" s="6"/>
      <c r="AJ128" s="6"/>
      <c r="AK128" s="6"/>
      <c r="AL128" s="6"/>
      <c r="AM128" s="6"/>
      <c r="AN128" s="6"/>
      <c r="AO128" s="6"/>
      <c r="AP128" s="6"/>
      <c r="AQ128" s="6"/>
      <c r="AR128" s="57"/>
      <c r="AS128" s="6"/>
      <c r="AT128" s="6"/>
      <c r="AU128" s="6"/>
      <c r="AV128" s="6"/>
      <c r="AW128" s="6"/>
      <c r="AX128" s="6"/>
      <c r="AY128" s="6"/>
      <c r="AZ128" s="6"/>
      <c r="BA128" s="6"/>
      <c r="BB128" s="6"/>
      <c r="BC128" s="6"/>
      <c r="BD128" s="6"/>
      <c r="BE128" s="6"/>
      <c r="BF128" s="6"/>
      <c r="BG128" s="6"/>
      <c r="BH128" s="6"/>
      <c r="BI128" s="6"/>
      <c r="BJ128" s="6"/>
      <c r="BK128" s="6"/>
      <c r="BL128" s="6"/>
      <c r="BM128" s="6"/>
      <c r="BN128" s="6"/>
      <c r="BO128" s="7"/>
      <c r="BP128" s="43"/>
      <c r="BQ128" s="43"/>
      <c r="BR128" s="42"/>
    </row>
    <row r="129" spans="1:70" ht="16.5">
      <c r="A129" s="41"/>
      <c r="B129" s="4">
        <f t="shared" si="83"/>
        <v>8</v>
      </c>
      <c r="C129" s="299" t="s">
        <v>55</v>
      </c>
      <c r="D129" s="5">
        <f>IF(C118+B128*L118&gt;=F118,0,C118+B128*L118)</f>
        <v>0</v>
      </c>
      <c r="E129" s="6"/>
      <c r="F129" s="6"/>
      <c r="G129" s="6"/>
      <c r="H129" s="6"/>
      <c r="I129" s="6"/>
      <c r="J129" s="6"/>
      <c r="K129" s="6"/>
      <c r="L129" s="6"/>
      <c r="M129" s="6"/>
      <c r="N129" s="6"/>
      <c r="O129" s="6"/>
      <c r="P129" s="6"/>
      <c r="Q129" s="6"/>
      <c r="R129" s="6"/>
      <c r="S129" s="6"/>
      <c r="T129" s="6"/>
      <c r="U129" s="6"/>
      <c r="V129" s="6"/>
      <c r="W129" s="6"/>
      <c r="X129" s="6"/>
      <c r="Y129" s="6"/>
      <c r="Z129" s="6"/>
      <c r="AA129" s="6"/>
      <c r="AB129" s="6"/>
      <c r="AC129" s="6"/>
      <c r="AD129" s="6"/>
      <c r="AE129" s="6"/>
      <c r="AF129" s="6"/>
      <c r="AG129" s="6"/>
      <c r="AH129" s="6"/>
      <c r="AI129" s="6"/>
      <c r="AJ129" s="6"/>
      <c r="AK129" s="6"/>
      <c r="AL129" s="6"/>
      <c r="AM129" s="6"/>
      <c r="AN129" s="6"/>
      <c r="AO129" s="6"/>
      <c r="AP129" s="6"/>
      <c r="AQ129" s="6"/>
      <c r="AR129" s="57"/>
      <c r="AS129" s="6"/>
      <c r="AT129" s="6"/>
      <c r="AU129" s="6"/>
      <c r="AV129" s="6"/>
      <c r="AW129" s="6"/>
      <c r="AX129" s="6"/>
      <c r="AY129" s="6"/>
      <c r="AZ129" s="6"/>
      <c r="BA129" s="6"/>
      <c r="BB129" s="6"/>
      <c r="BC129" s="6"/>
      <c r="BD129" s="6"/>
      <c r="BE129" s="6"/>
      <c r="BF129" s="6"/>
      <c r="BG129" s="6"/>
      <c r="BH129" s="6"/>
      <c r="BI129" s="6"/>
      <c r="BJ129" s="6"/>
      <c r="BK129" s="6"/>
      <c r="BL129" s="6"/>
      <c r="BM129" s="6"/>
      <c r="BN129" s="6"/>
      <c r="BO129" s="7"/>
      <c r="BP129" s="43"/>
      <c r="BQ129" s="43"/>
      <c r="BR129" s="42"/>
    </row>
    <row r="130" spans="1:70" ht="16.5">
      <c r="A130" s="41"/>
      <c r="B130" s="4">
        <f t="shared" si="83"/>
        <v>9</v>
      </c>
      <c r="C130" s="299" t="s">
        <v>55</v>
      </c>
      <c r="D130" s="5">
        <f>IF(C118+B129*L118&gt;=F118,0,C118+B129*L118)</f>
        <v>0</v>
      </c>
      <c r="E130" s="6"/>
      <c r="F130" s="6"/>
      <c r="G130" s="6"/>
      <c r="H130" s="6"/>
      <c r="I130" s="6"/>
      <c r="J130" s="6"/>
      <c r="K130" s="6"/>
      <c r="L130" s="6"/>
      <c r="M130" s="6"/>
      <c r="N130" s="6"/>
      <c r="O130" s="6"/>
      <c r="P130" s="6"/>
      <c r="Q130" s="6"/>
      <c r="R130" s="6"/>
      <c r="S130" s="6"/>
      <c r="T130" s="6"/>
      <c r="U130" s="6"/>
      <c r="V130" s="6"/>
      <c r="W130" s="6"/>
      <c r="X130" s="6"/>
      <c r="Y130" s="6"/>
      <c r="Z130" s="6"/>
      <c r="AA130" s="6"/>
      <c r="AB130" s="6"/>
      <c r="AC130" s="6"/>
      <c r="AD130" s="6"/>
      <c r="AE130" s="6"/>
      <c r="AF130" s="6"/>
      <c r="AG130" s="6"/>
      <c r="AH130" s="6"/>
      <c r="AI130" s="6"/>
      <c r="AJ130" s="6"/>
      <c r="AK130" s="6"/>
      <c r="AL130" s="6"/>
      <c r="AM130" s="6"/>
      <c r="AN130" s="6"/>
      <c r="AO130" s="6"/>
      <c r="AP130" s="6"/>
      <c r="AQ130" s="6"/>
      <c r="AR130" s="57"/>
      <c r="AS130" s="6"/>
      <c r="AT130" s="6"/>
      <c r="AU130" s="6"/>
      <c r="AV130" s="6"/>
      <c r="AW130" s="6"/>
      <c r="AX130" s="6"/>
      <c r="AY130" s="6"/>
      <c r="AZ130" s="6"/>
      <c r="BA130" s="6"/>
      <c r="BB130" s="6"/>
      <c r="BC130" s="6"/>
      <c r="BD130" s="6"/>
      <c r="BE130" s="6"/>
      <c r="BF130" s="6"/>
      <c r="BG130" s="6"/>
      <c r="BH130" s="6"/>
      <c r="BI130" s="6"/>
      <c r="BJ130" s="6"/>
      <c r="BK130" s="6"/>
      <c r="BL130" s="6"/>
      <c r="BM130" s="6"/>
      <c r="BN130" s="6"/>
      <c r="BO130" s="7"/>
      <c r="BP130" s="43"/>
      <c r="BQ130" s="43"/>
      <c r="BR130" s="42"/>
    </row>
    <row r="131" spans="1:70" ht="16.5">
      <c r="A131" s="41"/>
      <c r="B131" s="291" t="s">
        <v>116</v>
      </c>
      <c r="C131" s="298" t="s">
        <v>117</v>
      </c>
      <c r="D131" s="3">
        <f>IF(D121&gt;MAIN!$C$13,MAX($F$9,$F$9*D121/(D121-$F$10)),$F$8)</f>
        <v>3.5000000000000001E-3</v>
      </c>
      <c r="E131" s="304">
        <f>IF(E121&gt;MAIN!$C$13,MAX($F$9,$F$9*E121/(E121-$F$10)),$F$8)</f>
        <v>3.5000000000000001E-3</v>
      </c>
      <c r="F131" s="304">
        <f>IF(F121&gt;MAIN!$C$13,MAX($F$9,$F$9*F121/(F121-$F$10)),$F$8)</f>
        <v>3.5000000000000001E-3</v>
      </c>
      <c r="G131" s="304">
        <f>IF(G121&gt;MAIN!$C$13,MAX($F$9,$F$9*G121/(G121-$F$10)),$F$8)</f>
        <v>3.5000000000000001E-3</v>
      </c>
      <c r="H131" s="304">
        <f>IF(H121&gt;MAIN!$C$13,MAX($F$9,$F$9*H121/(H121-$F$10)),$F$8)</f>
        <v>3.5000000000000001E-3</v>
      </c>
      <c r="I131" s="304">
        <f>IF(I121&gt;MAIN!$C$13,MAX($F$9,$F$9*I121/(I121-$F$10)),$F$8)</f>
        <v>3.5000000000000001E-3</v>
      </c>
      <c r="J131" s="304">
        <f>IF(J121&gt;MAIN!$C$13,MAX($F$9,$F$9*J121/(J121-$F$10)),$F$8)</f>
        <v>3.5000000000000001E-3</v>
      </c>
      <c r="K131" s="304">
        <f>IF(K121&gt;MAIN!$C$13,MAX($F$9,$F$9*K121/(K121-$F$10)),$F$8)</f>
        <v>3.5000000000000001E-3</v>
      </c>
      <c r="L131" s="304">
        <f>IF(L121&gt;MAIN!$C$13,MAX($F$9,$F$9*L121/(L121-$F$10)),$F$8)</f>
        <v>3.5000000000000001E-3</v>
      </c>
      <c r="M131" s="304">
        <f>IF(M121&gt;MAIN!$C$13,MAX($F$9,$F$9*M121/(M121-$F$10)),$F$8)</f>
        <v>3.5000000000000001E-3</v>
      </c>
      <c r="N131" s="304">
        <f>IF(N121&gt;MAIN!$C$13,MAX($F$9,$F$9*N121/(N121-$F$10)),$F$8)</f>
        <v>3.5000000000000001E-3</v>
      </c>
      <c r="O131" s="304">
        <f>IF(O121&gt;MAIN!$C$13,MAX($F$9,$F$9*O121/(O121-$F$10)),$F$8)</f>
        <v>3.5000000000000001E-3</v>
      </c>
      <c r="P131" s="304">
        <f>IF(P121&gt;MAIN!$C$13,MAX($F$9,$F$9*P121/(P121-$F$10)),$F$8)</f>
        <v>3.5000000000000001E-3</v>
      </c>
      <c r="Q131" s="304">
        <f>IF(Q121&gt;MAIN!$C$13,MAX($F$9,$F$9*Q121/(Q121-$F$10)),$F$8)</f>
        <v>3.5000000000000001E-3</v>
      </c>
      <c r="R131" s="304">
        <f>IF(R121&gt;MAIN!$C$13,MAX($F$9,$F$9*R121/(R121-$F$10)),$F$8)</f>
        <v>3.5000000000000001E-3</v>
      </c>
      <c r="S131" s="304">
        <f>IF(S121&gt;MAIN!$C$13,MAX($F$9,$F$9*S121/(S121-$F$10)),$F$8)</f>
        <v>3.5000000000000001E-3</v>
      </c>
      <c r="T131" s="304">
        <f>IF(T121&gt;MAIN!$C$13,MAX($F$9,$F$9*T121/(T121-$F$10)),$F$8)</f>
        <v>3.5000000000000001E-3</v>
      </c>
      <c r="U131" s="304">
        <f>IF(U121&gt;MAIN!$C$13,MAX($F$9,$F$9*U121/(U121-$F$10)),$F$8)</f>
        <v>3.5000000000000001E-3</v>
      </c>
      <c r="V131" s="304">
        <f>IF(V121&gt;MAIN!$C$13,MAX($F$9,$F$9*V121/(V121-$F$10)),$F$8)</f>
        <v>3.5000000000000001E-3</v>
      </c>
      <c r="W131" s="304">
        <f>IF(W121&gt;MAIN!$C$13,MAX($F$9,$F$9*W121/(W121-$F$10)),$F$8)</f>
        <v>3.5000000000000001E-3</v>
      </c>
      <c r="X131" s="304">
        <f>IF(X121&gt;MAIN!$C$13,MAX($F$9,$F$9*X121/(X121-$F$10)),$F$8)</f>
        <v>3.5000000000000001E-3</v>
      </c>
      <c r="Y131" s="304">
        <f>IF(Y121&gt;MAIN!$C$13,MAX($F$9,$F$9*Y121/(Y121-$F$10)),$F$8)</f>
        <v>3.5000000000000001E-3</v>
      </c>
      <c r="Z131" s="304">
        <f>IF(Z121&gt;MAIN!$C$13,MAX($F$9,$F$9*Z121/(Z121-$F$10)),$F$8)</f>
        <v>3.5000000000000001E-3</v>
      </c>
      <c r="AA131" s="304">
        <f>IF(AA121&gt;MAIN!$C$13,MAX($F$9,$F$9*AA121/(AA121-$F$10)),$F$8)</f>
        <v>3.5000000000000001E-3</v>
      </c>
      <c r="AB131" s="304">
        <f>IF(AB121&gt;MAIN!$C$13,MAX($F$9,$F$9*AB121/(AB121-$F$10)),$F$8)</f>
        <v>3.5000000000000001E-3</v>
      </c>
      <c r="AC131" s="304">
        <f>IF(AC121&gt;MAIN!$C$13,MAX($F$9,$F$9*AC121/(AC121-$F$10)),$F$8)</f>
        <v>3.5000000000000001E-3</v>
      </c>
      <c r="AD131" s="304">
        <f>IF(AD121&gt;MAIN!$C$13,MAX($F$9,$F$9*AD121/(AD121-$F$10)),$F$8)</f>
        <v>3.5000000000000001E-3</v>
      </c>
      <c r="AE131" s="304">
        <f>IF(AE121&gt;MAIN!$C$13,MAX($F$9,$F$9*AE121/(AE121-$F$10)),$F$8)</f>
        <v>3.5000000000000001E-3</v>
      </c>
      <c r="AF131" s="304">
        <f>IF(AF121&gt;MAIN!$C$13,MAX($F$9,$F$9*AF121/(AF121-$F$10)),$F$8)</f>
        <v>3.5000000000000001E-3</v>
      </c>
      <c r="AG131" s="304">
        <f>IF(AG121&gt;MAIN!$C$13,MAX($F$9,$F$9*AG121/(AG121-$F$10)),$F$8)</f>
        <v>3.5000000000000001E-3</v>
      </c>
      <c r="AH131" s="304">
        <f>IF(AH121&gt;MAIN!$C$13,MAX($F$9,$F$9*AH121/(AH121-$F$10)),$F$8)</f>
        <v>3.5000000000000001E-3</v>
      </c>
      <c r="AI131" s="304">
        <f>IF(AI121&gt;MAIN!$C$13,MAX($F$9,$F$9*AI121/(AI121-$F$10)),$F$8)</f>
        <v>3.5000000000000001E-3</v>
      </c>
      <c r="AJ131" s="304">
        <f>IF(AJ121&gt;MAIN!$C$13,MAX($F$9,$F$9*AJ121/(AJ121-$F$10)),$F$8)</f>
        <v>3.5000000000000001E-3</v>
      </c>
      <c r="AK131" s="304">
        <f>IF(AK121&gt;MAIN!$C$13,MAX($F$9,$F$9*AK121/(AK121-$F$10)),$F$8)</f>
        <v>3.5000000000000001E-3</v>
      </c>
      <c r="AL131" s="304">
        <f>IF(AL121&gt;MAIN!$C$13,MAX($F$9,$F$9*AL121/(AL121-$F$10)),$F$8)</f>
        <v>3.5000000000000001E-3</v>
      </c>
      <c r="AM131" s="304">
        <f>IF(AM121&gt;MAIN!$C$13,MAX($F$9,$F$9*AM121/(AM121-$F$10)),$F$8)</f>
        <v>3.5000000000000001E-3</v>
      </c>
      <c r="AN131" s="304">
        <f>IF(AN121&gt;MAIN!$C$13,MAX($F$9,$F$9*AN121/(AN121-$F$10)),$F$8)</f>
        <v>3.5000000000000001E-3</v>
      </c>
      <c r="AO131" s="304">
        <f>IF(AO121&gt;MAIN!$C$13,MAX($F$9,$F$9*AO121/(AO121-$F$10)),$F$8)</f>
        <v>3.5000000000000001E-3</v>
      </c>
      <c r="AP131" s="304">
        <f>IF(AP121&gt;MAIN!$C$13,MAX($F$9,$F$9*AP121/(AP121-$F$10)),$F$8)</f>
        <v>3.5000000000000001E-3</v>
      </c>
      <c r="AQ131" s="304">
        <f>IF(AQ121&gt;MAIN!$C$13,MAX($F$9,$F$9*AQ121/(AQ121-$F$10)),$F$8)</f>
        <v>3.5000000000000001E-3</v>
      </c>
      <c r="AR131" s="56">
        <f>IF(AR121&gt;MAIN!$C$13,MAX($F$9,$F$9*AR121/(AR121-$F$10)),$F$8)</f>
        <v>3.5000000000000001E-3</v>
      </c>
      <c r="AS131" s="304">
        <f>IF(AS121&gt;MAIN!$C$13,MAX($F$9,$F$9*AS121/(AS121-$F$10)),$F$8)</f>
        <v>3.5000000000000001E-3</v>
      </c>
      <c r="AT131" s="304">
        <f>IF(AT121&gt;MAIN!$C$13,MAX($F$9,$F$9*AT121/(AT121-$F$10)),$F$8)</f>
        <v>3.5000000000000001E-3</v>
      </c>
      <c r="AU131" s="304">
        <f>IF(AU121&gt;MAIN!$C$13,MAX($F$9,$F$9*AU121/(AU121-$F$10)),$F$8)</f>
        <v>3.5000000000000001E-3</v>
      </c>
      <c r="AV131" s="304">
        <f>IF(AV121&gt;MAIN!$C$13,MAX($F$9,$F$9*AV121/(AV121-$F$10)),$F$8)</f>
        <v>3.5000000000000001E-3</v>
      </c>
      <c r="AW131" s="304">
        <f>IF(AW121&gt;MAIN!$C$13,MAX($F$9,$F$9*AW121/(AW121-$F$10)),$F$8)</f>
        <v>3.5000000000000001E-3</v>
      </c>
      <c r="AX131" s="304">
        <f>IF(AX121&gt;MAIN!$C$13,MAX($F$9,$F$9*AX121/(AX121-$F$10)),$F$8)</f>
        <v>3.5000000000000001E-3</v>
      </c>
      <c r="AY131" s="304">
        <f>IF(AY121&gt;MAIN!$C$13,MAX($F$9,$F$9*AY121/(AY121-$F$10)),$F$8)</f>
        <v>3.5000000000000001E-3</v>
      </c>
      <c r="AZ131" s="304">
        <f>IF(AZ121&gt;MAIN!$C$13,MAX($F$9,$F$9*AZ121/(AZ121-$F$10)),$F$8)</f>
        <v>3.5000000000000001E-3</v>
      </c>
      <c r="BA131" s="304">
        <f>IF(BA121&gt;MAIN!$C$13,MAX($F$9,$F$9*BA121/(BA121-$F$10)),$F$8)</f>
        <v>3.5000000000000001E-3</v>
      </c>
      <c r="BB131" s="304">
        <f>IF(BB121&gt;MAIN!$C$13,MAX($F$9,$F$9*BB121/(BB121-$F$10)),$F$8)</f>
        <v>3.5000000000000001E-3</v>
      </c>
      <c r="BC131" s="304">
        <f>IF(BC121&gt;MAIN!$C$13,MAX($F$9,$F$9*BC121/(BC121-$F$10)),$F$8)</f>
        <v>3.5000000000000001E-3</v>
      </c>
      <c r="BD131" s="304">
        <f>IF(BD121&gt;MAIN!$C$13,MAX($F$9,$F$9*BD121/(BD121-$F$10)),$F$8)</f>
        <v>3.4752487627508362E-3</v>
      </c>
      <c r="BE131" s="304">
        <f>IF(BE121&gt;MAIN!$C$13,MAX($F$9,$F$9*BE121/(BE121-$F$10)),$F$8)</f>
        <v>3.3647999839976034E-3</v>
      </c>
      <c r="BF131" s="304">
        <f>IF(BF121&gt;MAIN!$C$13,MAX($F$9,$F$9*BF121/(BF121-$F$10)),$F$8)</f>
        <v>3.2676419924816684E-3</v>
      </c>
      <c r="BG131" s="304">
        <f>IF(BG121&gt;MAIN!$C$13,MAX($F$9,$F$9*BG121/(BG121-$F$10)),$F$8)</f>
        <v>3.1815119297471965E-3</v>
      </c>
      <c r="BH131" s="304">
        <f>IF(BH121&gt;MAIN!$C$13,MAX($F$9,$F$9*BH121/(BH121-$F$10)),$F$8)</f>
        <v>3.1046330416824872E-3</v>
      </c>
      <c r="BI131" s="304">
        <f>IF(BI121&gt;MAIN!$C$13,MAX($F$9,$F$9*BI121/(BI121-$F$10)),$F$8)</f>
        <v>3.0355908009379196E-3</v>
      </c>
      <c r="BJ131" s="304">
        <f>IF(BJ121&gt;MAIN!$C$13,MAX($F$9,$F$9*BJ121/(BJ121-$F$10)),$F$8)</f>
        <v>2.9732450745823696E-3</v>
      </c>
      <c r="BK131" s="304">
        <f>IF(BK121&gt;MAIN!$C$13,MAX($F$9,$F$9*BK121/(BK121-$F$10)),$F$8)</f>
        <v>2.9166666666666668E-3</v>
      </c>
      <c r="BL131" s="304">
        <f>IF(BL121&gt;MAIN!$C$13,MAX($F$9,$F$9*BL121/(BL121-$F$10)),$F$8)</f>
        <v>2.40625E-3</v>
      </c>
      <c r="BM131" s="304">
        <f>IF(BM121&gt;MAIN!$C$13,MAX($F$9,$F$9*BM121/(BM121-$F$10)),$F$8)</f>
        <v>2.2065217391304347E-3</v>
      </c>
      <c r="BN131" s="304">
        <f>IF(BN121&gt;MAIN!$C$13,MAX($F$9,$F$9*BN121/(BN121-$F$10)),$F$8)</f>
        <v>2.0999999999999999E-3</v>
      </c>
      <c r="BO131" s="3">
        <f>$F$9</f>
        <v>1.75E-3</v>
      </c>
      <c r="BP131" s="43"/>
      <c r="BQ131" s="43"/>
      <c r="BR131" s="42"/>
    </row>
    <row r="132" spans="1:70" ht="16.5">
      <c r="A132" s="41"/>
      <c r="B132" s="292" t="s">
        <v>118</v>
      </c>
      <c r="C132" s="300" t="s">
        <v>56</v>
      </c>
      <c r="D132" s="8">
        <f t="shared" ref="D132:AI132" si="84">D131*(D121-$C118)/D121</f>
        <v>-1.2608068863304725E-4</v>
      </c>
      <c r="E132" s="305">
        <f t="shared" si="84"/>
        <v>7.9128946361129359E-4</v>
      </c>
      <c r="F132" s="305">
        <f t="shared" si="84"/>
        <v>1.3382063961763435E-3</v>
      </c>
      <c r="G132" s="305">
        <f t="shared" si="84"/>
        <v>1.7013688089268218E-3</v>
      </c>
      <c r="H132" s="305">
        <f t="shared" si="84"/>
        <v>1.9600645005391688E-3</v>
      </c>
      <c r="I132" s="305">
        <f t="shared" si="84"/>
        <v>2.1537015362597181E-3</v>
      </c>
      <c r="J132" s="305">
        <f t="shared" si="84"/>
        <v>2.3040807320667874E-3</v>
      </c>
      <c r="K132" s="305">
        <f t="shared" si="84"/>
        <v>2.424241126400706E-3</v>
      </c>
      <c r="L132" s="305">
        <f t="shared" si="84"/>
        <v>2.5224598088756161E-3</v>
      </c>
      <c r="M132" s="305">
        <f t="shared" si="84"/>
        <v>2.6042439189224702E-3</v>
      </c>
      <c r="N132" s="305">
        <f t="shared" si="84"/>
        <v>2.6733999024385522E-3</v>
      </c>
      <c r="O132" s="305">
        <f t="shared" si="84"/>
        <v>2.7326429618000562E-3</v>
      </c>
      <c r="P132" s="305">
        <f t="shared" si="84"/>
        <v>2.7839619545701297E-3</v>
      </c>
      <c r="Q132" s="305">
        <f t="shared" si="84"/>
        <v>2.8288470493895946E-3</v>
      </c>
      <c r="R132" s="305">
        <f t="shared" si="84"/>
        <v>2.8684368085032954E-3</v>
      </c>
      <c r="S132" s="305">
        <f t="shared" si="84"/>
        <v>2.9036161135800095E-3</v>
      </c>
      <c r="T132" s="305">
        <f t="shared" si="84"/>
        <v>2.9350830903979402E-3</v>
      </c>
      <c r="U132" s="305">
        <f t="shared" si="84"/>
        <v>2.9633959085197956E-3</v>
      </c>
      <c r="V132" s="305">
        <f t="shared" si="84"/>
        <v>2.9890061794410013E-3</v>
      </c>
      <c r="W132" s="305">
        <f t="shared" si="84"/>
        <v>3.0122832265226164E-3</v>
      </c>
      <c r="X132" s="305">
        <f t="shared" si="84"/>
        <v>3.0335320105876365E-3</v>
      </c>
      <c r="Y132" s="305">
        <f t="shared" si="84"/>
        <v>3.0530065652669908E-3</v>
      </c>
      <c r="Z132" s="305">
        <f t="shared" si="84"/>
        <v>3.070920201749038E-3</v>
      </c>
      <c r="AA132" s="305">
        <f t="shared" si="84"/>
        <v>3.0874533542940607E-3</v>
      </c>
      <c r="AB132" s="305">
        <f t="shared" si="84"/>
        <v>3.1027596792408776E-3</v>
      </c>
      <c r="AC132" s="305">
        <f t="shared" si="84"/>
        <v>3.1169708448715396E-3</v>
      </c>
      <c r="AD132" s="305">
        <f t="shared" si="84"/>
        <v>3.1302003286502091E-3</v>
      </c>
      <c r="AE132" s="305">
        <f t="shared" si="84"/>
        <v>3.1425464538147531E-3</v>
      </c>
      <c r="AF132" s="305">
        <f t="shared" si="84"/>
        <v>3.1540948373426289E-3</v>
      </c>
      <c r="AG132" s="305">
        <f t="shared" si="84"/>
        <v>3.1649203782435813E-3</v>
      </c>
      <c r="AH132" s="305">
        <f t="shared" si="84"/>
        <v>3.1750888838255704E-3</v>
      </c>
      <c r="AI132" s="305">
        <f t="shared" si="84"/>
        <v>3.1846584085727142E-3</v>
      </c>
      <c r="AJ132" s="305">
        <f t="shared" ref="AJ132:BK132" si="85">AJ131*(AJ121-$C118)/AJ121</f>
        <v>3.1936803631906338E-3</v>
      </c>
      <c r="AK132" s="305">
        <f t="shared" si="85"/>
        <v>3.2022004385676818E-3</v>
      </c>
      <c r="AL132" s="305">
        <f t="shared" si="85"/>
        <v>3.2102593797127968E-3</v>
      </c>
      <c r="AM132" s="305">
        <f t="shared" si="85"/>
        <v>3.2178936373403171E-3</v>
      </c>
      <c r="AN132" s="305">
        <f t="shared" si="85"/>
        <v>3.2251359190892288E-3</v>
      </c>
      <c r="AO132" s="305">
        <f t="shared" si="85"/>
        <v>3.2320156579616196E-3</v>
      </c>
      <c r="AP132" s="305">
        <f t="shared" si="85"/>
        <v>3.2385594121299719E-3</v>
      </c>
      <c r="AQ132" s="305">
        <f t="shared" si="85"/>
        <v>3.2447912075647192E-3</v>
      </c>
      <c r="AR132" s="58">
        <f t="shared" si="85"/>
        <v>3.2507328328006506E-3</v>
      </c>
      <c r="AS132" s="305">
        <f t="shared" si="85"/>
        <v>3.2645549621771646E-3</v>
      </c>
      <c r="AT132" s="305">
        <f t="shared" si="85"/>
        <v>3.2769247233806835E-3</v>
      </c>
      <c r="AU132" s="305">
        <f t="shared" si="85"/>
        <v>3.2880596027867214E-3</v>
      </c>
      <c r="AV132" s="305">
        <f t="shared" si="85"/>
        <v>3.2981357275982445E-3</v>
      </c>
      <c r="AW132" s="305">
        <f t="shared" si="85"/>
        <v>3.3072972511873763E-3</v>
      </c>
      <c r="AX132" s="305">
        <f t="shared" si="85"/>
        <v>3.3156632936925008E-3</v>
      </c>
      <c r="AY132" s="305">
        <f t="shared" si="85"/>
        <v>3.323333149914922E-3</v>
      </c>
      <c r="AZ132" s="305">
        <f t="shared" si="85"/>
        <v>3.3303902490138628E-3</v>
      </c>
      <c r="BA132" s="305">
        <f t="shared" si="85"/>
        <v>3.3369052016162422E-3</v>
      </c>
      <c r="BB132" s="305">
        <f t="shared" si="85"/>
        <v>3.3429381706405492E-3</v>
      </c>
      <c r="BC132" s="305">
        <f t="shared" si="85"/>
        <v>3.3485407347017206E-3</v>
      </c>
      <c r="BD132" s="305">
        <f t="shared" si="85"/>
        <v>3.3300403252193079E-3</v>
      </c>
      <c r="BE132" s="305">
        <f t="shared" si="85"/>
        <v>3.228887652011138E-3</v>
      </c>
      <c r="BF132" s="305">
        <f t="shared" si="85"/>
        <v>3.1399071247811281E-3</v>
      </c>
      <c r="BG132" s="305">
        <f t="shared" si="85"/>
        <v>3.0610263423268076E-3</v>
      </c>
      <c r="BH132" s="305">
        <f t="shared" si="85"/>
        <v>2.9906180940075448E-3</v>
      </c>
      <c r="BI132" s="305">
        <f t="shared" si="85"/>
        <v>2.9273869085256446E-3</v>
      </c>
      <c r="BJ132" s="305">
        <f t="shared" si="85"/>
        <v>2.8702886141383534E-3</v>
      </c>
      <c r="BK132" s="305">
        <f t="shared" si="85"/>
        <v>2.8184722222222222E-3</v>
      </c>
      <c r="BL132" s="305">
        <f>BL131*(BL121-$C118)/BL121</f>
        <v>2.3510156249999998E-3</v>
      </c>
      <c r="BM132" s="305">
        <f>BM131*(BM121-$C118)/BM121</f>
        <v>2.1680978260869566E-3</v>
      </c>
      <c r="BN132" s="305">
        <f>BN131*(BN121-$C118)/BN121</f>
        <v>2.0705416666666667E-3</v>
      </c>
      <c r="BO132" s="8">
        <f>BO131</f>
        <v>1.75E-3</v>
      </c>
      <c r="BP132" s="41"/>
      <c r="BQ132" s="41"/>
      <c r="BR132" s="41"/>
    </row>
    <row r="133" spans="1:70" ht="16.5">
      <c r="A133" s="41"/>
      <c r="B133" s="9">
        <v>2</v>
      </c>
      <c r="C133" s="300" t="s">
        <v>57</v>
      </c>
      <c r="D133" s="8">
        <f>IF($D123=0,0,D131*(D121-$D123)/D121)</f>
        <v>-2.6430124759971127E-2</v>
      </c>
      <c r="E133" s="305">
        <f t="shared" ref="E133:BK133" si="86">IF($D123=0,0,E131*(E121-$D123)/E121)</f>
        <v>-1.8858036473624273E-2</v>
      </c>
      <c r="F133" s="305">
        <f t="shared" si="86"/>
        <v>-1.4343715521989982E-2</v>
      </c>
      <c r="G133" s="305">
        <f t="shared" si="86"/>
        <v>-1.1346127422026463E-2</v>
      </c>
      <c r="H133" s="305">
        <f t="shared" si="86"/>
        <v>-9.2108207397740578E-3</v>
      </c>
      <c r="I133" s="305">
        <f t="shared" si="86"/>
        <v>-7.6125163624239083E-3</v>
      </c>
      <c r="J133" s="305">
        <f t="shared" si="86"/>
        <v>-6.3712676207952615E-3</v>
      </c>
      <c r="K133" s="305">
        <f t="shared" si="86"/>
        <v>-5.3794486563426896E-3</v>
      </c>
      <c r="L133" s="305">
        <f t="shared" si="86"/>
        <v>-4.5687393333402101E-3</v>
      </c>
      <c r="M133" s="305">
        <f t="shared" si="86"/>
        <v>-3.8936830322604038E-3</v>
      </c>
      <c r="N133" s="305">
        <f t="shared" si="86"/>
        <v>-3.3228608712910267E-3</v>
      </c>
      <c r="O133" s="305">
        <f t="shared" si="86"/>
        <v>-2.8338612294985422E-3</v>
      </c>
      <c r="P133" s="305">
        <f t="shared" si="86"/>
        <v>-2.4102678271290625E-3</v>
      </c>
      <c r="Q133" s="305">
        <f t="shared" si="86"/>
        <v>-2.0397806253353904E-3</v>
      </c>
      <c r="R133" s="305">
        <f t="shared" si="86"/>
        <v>-1.7130017885586065E-3</v>
      </c>
      <c r="S133" s="305">
        <f t="shared" si="86"/>
        <v>-1.4226273925293615E-3</v>
      </c>
      <c r="T133" s="305">
        <f t="shared" si="86"/>
        <v>-1.1628950195206318E-3</v>
      </c>
      <c r="U133" s="305">
        <f t="shared" si="86"/>
        <v>-9.2919746796036706E-4</v>
      </c>
      <c r="V133" s="305">
        <f t="shared" si="86"/>
        <v>-7.17807079927578E-4</v>
      </c>
      <c r="W133" s="305">
        <f t="shared" si="86"/>
        <v>-5.2567541408229934E-4</v>
      </c>
      <c r="X133" s="305">
        <f t="shared" si="86"/>
        <v>-3.5028528554561307E-4</v>
      </c>
      <c r="Y133" s="305">
        <f t="shared" si="86"/>
        <v>-1.8953986886883191E-4</v>
      </c>
      <c r="Z133" s="305">
        <f t="shared" si="86"/>
        <v>-4.1678466751338558E-5</v>
      </c>
      <c r="AA133" s="305">
        <f t="shared" si="86"/>
        <v>9.4788247819948984E-5</v>
      </c>
      <c r="AB133" s="305">
        <f t="shared" si="86"/>
        <v>2.2112857353608835E-4</v>
      </c>
      <c r="AC133" s="305">
        <f t="shared" si="86"/>
        <v>3.3842931690996817E-4</v>
      </c>
      <c r="AD133" s="305">
        <f t="shared" si="86"/>
        <v>4.4762713516228558E-4</v>
      </c>
      <c r="AE133" s="305">
        <f t="shared" si="86"/>
        <v>5.4953360062936466E-4</v>
      </c>
      <c r="AF133" s="305">
        <f t="shared" si="86"/>
        <v>6.4485540658057938E-4</v>
      </c>
      <c r="AG133" s="305">
        <f t="shared" si="86"/>
        <v>7.3421077883563271E-4</v>
      </c>
      <c r="AH133" s="305">
        <f t="shared" si="86"/>
        <v>8.18142899167496E-4</v>
      </c>
      <c r="AI133" s="305">
        <f t="shared" si="86"/>
        <v>8.9713095656883857E-4</v>
      </c>
      <c r="AJ133" s="305">
        <f t="shared" si="86"/>
        <v>9.7159930145140373E-4</v>
      </c>
      <c r="AK133" s="305">
        <f t="shared" si="86"/>
        <v>1.0419250721378634E-3</v>
      </c>
      <c r="AL133" s="305">
        <f t="shared" si="86"/>
        <v>1.1084445830419302E-3</v>
      </c>
      <c r="AM133" s="305">
        <f t="shared" si="86"/>
        <v>1.1714587029311306E-3</v>
      </c>
      <c r="AN133" s="305">
        <f t="shared" si="86"/>
        <v>1.2312374047596061E-3</v>
      </c>
      <c r="AO133" s="305">
        <f t="shared" si="86"/>
        <v>1.2880236322178567E-3</v>
      </c>
      <c r="AP133" s="305">
        <f t="shared" si="86"/>
        <v>1.3420365997922766E-3</v>
      </c>
      <c r="AQ133" s="305">
        <f t="shared" si="86"/>
        <v>1.3934746208559827E-3</v>
      </c>
      <c r="AR133" s="58">
        <f t="shared" si="86"/>
        <v>1.4425175407076802E-3</v>
      </c>
      <c r="AS133" s="305">
        <f t="shared" si="86"/>
        <v>1.5566071300497936E-3</v>
      </c>
      <c r="AT133" s="305">
        <f t="shared" si="86"/>
        <v>1.6587086903468314E-3</v>
      </c>
      <c r="AU133" s="305">
        <f t="shared" si="86"/>
        <v>1.7506173814177922E-3</v>
      </c>
      <c r="AV133" s="305">
        <f t="shared" si="86"/>
        <v>1.8337869792845185E-3</v>
      </c>
      <c r="AW133" s="305">
        <f t="shared" si="86"/>
        <v>1.9094073439591701E-3</v>
      </c>
      <c r="AX133" s="305">
        <f t="shared" si="86"/>
        <v>1.978461708003117E-3</v>
      </c>
      <c r="AY133" s="305">
        <f t="shared" si="86"/>
        <v>2.0417696631591415E-3</v>
      </c>
      <c r="AZ133" s="305">
        <f t="shared" si="86"/>
        <v>2.1000198441705306E-3</v>
      </c>
      <c r="BA133" s="305">
        <f t="shared" si="86"/>
        <v>2.1537950800073311E-3</v>
      </c>
      <c r="BB133" s="305">
        <f t="shared" si="86"/>
        <v>2.2035919629439385E-3</v>
      </c>
      <c r="BC133" s="305">
        <f t="shared" si="86"/>
        <v>2.2498362293366441E-3</v>
      </c>
      <c r="BD133" s="305">
        <f t="shared" si="86"/>
        <v>2.2766801084064363E-3</v>
      </c>
      <c r="BE133" s="305">
        <f t="shared" si="86"/>
        <v>2.2429625506703793E-3</v>
      </c>
      <c r="BF133" s="305">
        <f t="shared" si="86"/>
        <v>2.2133023749270429E-3</v>
      </c>
      <c r="BG133" s="305">
        <f t="shared" si="86"/>
        <v>2.1870087807756029E-3</v>
      </c>
      <c r="BH133" s="305">
        <f t="shared" si="86"/>
        <v>2.1635393646691815E-3</v>
      </c>
      <c r="BI133" s="305">
        <f t="shared" si="86"/>
        <v>2.1424623028418821E-3</v>
      </c>
      <c r="BJ133" s="305">
        <f t="shared" si="86"/>
        <v>2.1234295380461181E-3</v>
      </c>
      <c r="BK133" s="305">
        <f t="shared" si="86"/>
        <v>2.1061574074074077E-3</v>
      </c>
      <c r="BL133" s="305">
        <f>IF($D123=0,0,BL131*(BL121-$D123)/BL121)</f>
        <v>1.9503385416666666E-3</v>
      </c>
      <c r="BM133" s="305">
        <f>IF($D123=0,0,BM131*(BM121-$D123)/BM121)</f>
        <v>1.8893659420289853E-3</v>
      </c>
      <c r="BN133" s="305">
        <f>IF($D123=0,0,BN131*(BN121-$D123)/BN121)</f>
        <v>1.8568472222222222E-3</v>
      </c>
      <c r="BO133" s="8">
        <f>IF(D133=0,0,BO132)</f>
        <v>1.75E-3</v>
      </c>
      <c r="BP133" s="43"/>
      <c r="BQ133" s="43"/>
      <c r="BR133" s="42"/>
    </row>
    <row r="134" spans="1:70" ht="16.5">
      <c r="A134" s="41"/>
      <c r="B134" s="9">
        <f t="shared" ref="B134:B140" si="87">1+B133</f>
        <v>3</v>
      </c>
      <c r="C134" s="300" t="s">
        <v>57</v>
      </c>
      <c r="D134" s="8">
        <f>IF($D124=0,0,D131*(D121-$D124)/D121)</f>
        <v>-5.2734168831309207E-2</v>
      </c>
      <c r="E134" s="305">
        <f t="shared" ref="E134:BK134" si="88">IF($D124=0,0,E131*(E121-$D124)/E121)</f>
        <v>-3.8507362410859836E-2</v>
      </c>
      <c r="F134" s="305">
        <f t="shared" si="88"/>
        <v>-3.0025637440156315E-2</v>
      </c>
      <c r="G134" s="305">
        <f t="shared" si="88"/>
        <v>-2.439362365297975E-2</v>
      </c>
      <c r="H134" s="305">
        <f t="shared" si="88"/>
        <v>-2.0381705980087282E-2</v>
      </c>
      <c r="I134" s="305">
        <f t="shared" si="88"/>
        <v>-1.7378734261107531E-2</v>
      </c>
      <c r="J134" s="305">
        <f t="shared" si="88"/>
        <v>-1.5046615973657312E-2</v>
      </c>
      <c r="K134" s="305">
        <f t="shared" si="88"/>
        <v>-1.3183138439086082E-2</v>
      </c>
      <c r="L134" s="305">
        <f t="shared" si="88"/>
        <v>-1.1659938475556037E-2</v>
      </c>
      <c r="M134" s="305">
        <f t="shared" si="88"/>
        <v>-1.0391609983443276E-2</v>
      </c>
      <c r="N134" s="305">
        <f t="shared" si="88"/>
        <v>-9.3191216450206078E-3</v>
      </c>
      <c r="O134" s="305">
        <f t="shared" si="88"/>
        <v>-8.4003654207971401E-3</v>
      </c>
      <c r="P134" s="305">
        <f t="shared" si="88"/>
        <v>-7.604497608828256E-3</v>
      </c>
      <c r="Q134" s="305">
        <f t="shared" si="88"/>
        <v>-6.9084083000603754E-3</v>
      </c>
      <c r="R134" s="305">
        <f t="shared" si="88"/>
        <v>-6.2944403856205087E-3</v>
      </c>
      <c r="S134" s="305">
        <f t="shared" si="88"/>
        <v>-5.7488708986387325E-3</v>
      </c>
      <c r="T134" s="305">
        <f t="shared" si="88"/>
        <v>-5.2608731294392043E-3</v>
      </c>
      <c r="U134" s="305">
        <f t="shared" si="88"/>
        <v>-4.8217908444405299E-3</v>
      </c>
      <c r="V134" s="305">
        <f t="shared" si="88"/>
        <v>-4.4246203392961578E-3</v>
      </c>
      <c r="W134" s="305">
        <f t="shared" si="88"/>
        <v>-4.0636340546872148E-3</v>
      </c>
      <c r="X134" s="305">
        <f t="shared" si="88"/>
        <v>-3.7341025816788626E-3</v>
      </c>
      <c r="Y134" s="305">
        <f t="shared" si="88"/>
        <v>-3.4320863030046543E-3</v>
      </c>
      <c r="Z134" s="305">
        <f t="shared" si="88"/>
        <v>-3.1542771352517152E-3</v>
      </c>
      <c r="AA134" s="305">
        <f t="shared" si="88"/>
        <v>-2.8978768586541623E-3</v>
      </c>
      <c r="AB134" s="305">
        <f t="shared" si="88"/>
        <v>-2.660502532168701E-3</v>
      </c>
      <c r="AC134" s="305">
        <f t="shared" si="88"/>
        <v>-2.4401122110516036E-3</v>
      </c>
      <c r="AD134" s="305">
        <f t="shared" si="88"/>
        <v>-2.234946058325638E-3</v>
      </c>
      <c r="AE134" s="305">
        <f t="shared" si="88"/>
        <v>-2.0434792525560238E-3</v>
      </c>
      <c r="AF134" s="305">
        <f t="shared" si="88"/>
        <v>-1.8643840241814706E-3</v>
      </c>
      <c r="AG134" s="305">
        <f t="shared" si="88"/>
        <v>-1.6964988205723159E-3</v>
      </c>
      <c r="AH134" s="305">
        <f t="shared" si="88"/>
        <v>-1.5388030854905786E-3</v>
      </c>
      <c r="AI134" s="305">
        <f t="shared" si="88"/>
        <v>-1.3903964954350369E-3</v>
      </c>
      <c r="AJ134" s="305">
        <f t="shared" si="88"/>
        <v>-1.2504817602878263E-3</v>
      </c>
      <c r="AK134" s="305">
        <f t="shared" si="88"/>
        <v>-1.1183502942919553E-3</v>
      </c>
      <c r="AL134" s="305">
        <f t="shared" si="88"/>
        <v>-9.9337021362893652E-4</v>
      </c>
      <c r="AM134" s="305">
        <f t="shared" si="88"/>
        <v>-8.7497623147805566E-4</v>
      </c>
      <c r="AN134" s="305">
        <f t="shared" si="88"/>
        <v>-7.6266110957001634E-4</v>
      </c>
      <c r="AO134" s="305">
        <f t="shared" si="88"/>
        <v>-6.5596839352590603E-4</v>
      </c>
      <c r="AP134" s="305">
        <f t="shared" si="88"/>
        <v>-5.5448621254541885E-4</v>
      </c>
      <c r="AQ134" s="305">
        <f t="shared" si="88"/>
        <v>-4.5784196585275374E-4</v>
      </c>
      <c r="AR134" s="58">
        <f t="shared" si="88"/>
        <v>-3.6569775138529047E-4</v>
      </c>
      <c r="AS134" s="305">
        <f t="shared" si="88"/>
        <v>-1.5134070207757674E-4</v>
      </c>
      <c r="AT134" s="305">
        <f t="shared" si="88"/>
        <v>4.0492657312979442E-5</v>
      </c>
      <c r="AU134" s="305">
        <f t="shared" si="88"/>
        <v>2.1317516004886288E-4</v>
      </c>
      <c r="AV134" s="305">
        <f t="shared" si="88"/>
        <v>3.6943823097079255E-4</v>
      </c>
      <c r="AW134" s="305">
        <f t="shared" si="88"/>
        <v>5.1151743673096385E-4</v>
      </c>
      <c r="AX134" s="305">
        <f t="shared" si="88"/>
        <v>6.4126012231373287E-4</v>
      </c>
      <c r="AY134" s="305">
        <f t="shared" si="88"/>
        <v>7.6020617640336179E-4</v>
      </c>
      <c r="AZ134" s="305">
        <f t="shared" si="88"/>
        <v>8.6964943932719768E-4</v>
      </c>
      <c r="BA134" s="305">
        <f t="shared" si="88"/>
        <v>9.7068495839841996E-4</v>
      </c>
      <c r="BB134" s="305">
        <f t="shared" si="88"/>
        <v>1.0642457552473281E-3</v>
      </c>
      <c r="BC134" s="305">
        <f t="shared" si="88"/>
        <v>1.1511317239715668E-3</v>
      </c>
      <c r="BD134" s="305">
        <f t="shared" si="88"/>
        <v>1.2233198915935644E-3</v>
      </c>
      <c r="BE134" s="305">
        <f t="shared" si="88"/>
        <v>1.2570374493296205E-3</v>
      </c>
      <c r="BF134" s="305">
        <f t="shared" si="88"/>
        <v>1.2866976250729572E-3</v>
      </c>
      <c r="BG134" s="305">
        <f t="shared" si="88"/>
        <v>1.3129912192243974E-3</v>
      </c>
      <c r="BH134" s="305">
        <f t="shared" si="88"/>
        <v>1.3364606353308186E-3</v>
      </c>
      <c r="BI134" s="305">
        <f t="shared" si="88"/>
        <v>1.3575376971581186E-3</v>
      </c>
      <c r="BJ134" s="305">
        <f t="shared" si="88"/>
        <v>1.3765704619538822E-3</v>
      </c>
      <c r="BK134" s="305">
        <f t="shared" si="88"/>
        <v>1.3938425925925928E-3</v>
      </c>
      <c r="BL134" s="305">
        <f>IF($D124=0,0,BL131*(BL121-$D124)/BL121)</f>
        <v>1.5496614583333334E-3</v>
      </c>
      <c r="BM134" s="305">
        <f>IF($D124=0,0,BM131*(BM121-$D124)/BM121)</f>
        <v>1.6106340579710146E-3</v>
      </c>
      <c r="BN134" s="305">
        <f>IF($D124=0,0,BN131*(BN121-$D124)/BN121)</f>
        <v>1.6431527777777779E-3</v>
      </c>
      <c r="BO134" s="8">
        <f>IF(D134=0,0,BO132)</f>
        <v>1.75E-3</v>
      </c>
      <c r="BP134" s="43"/>
      <c r="BQ134" s="43"/>
      <c r="BR134" s="42"/>
    </row>
    <row r="135" spans="1:70" ht="16.5">
      <c r="A135" s="41"/>
      <c r="B135" s="9">
        <f t="shared" si="87"/>
        <v>4</v>
      </c>
      <c r="C135" s="300" t="s">
        <v>57</v>
      </c>
      <c r="D135" s="8">
        <f>IF($D125=0,0,D131*(D121-$D125)/D121)</f>
        <v>0</v>
      </c>
      <c r="E135" s="305">
        <f t="shared" ref="E135:BK135" si="89">IF($D125=0,0,E131*(E121-$D125)/E121)</f>
        <v>0</v>
      </c>
      <c r="F135" s="305">
        <f t="shared" si="89"/>
        <v>0</v>
      </c>
      <c r="G135" s="305">
        <f t="shared" si="89"/>
        <v>0</v>
      </c>
      <c r="H135" s="305">
        <f t="shared" si="89"/>
        <v>0</v>
      </c>
      <c r="I135" s="305">
        <f t="shared" si="89"/>
        <v>0</v>
      </c>
      <c r="J135" s="305">
        <f t="shared" si="89"/>
        <v>0</v>
      </c>
      <c r="K135" s="305">
        <f t="shared" si="89"/>
        <v>0</v>
      </c>
      <c r="L135" s="305">
        <f t="shared" si="89"/>
        <v>0</v>
      </c>
      <c r="M135" s="305">
        <f t="shared" si="89"/>
        <v>0</v>
      </c>
      <c r="N135" s="305">
        <f t="shared" si="89"/>
        <v>0</v>
      </c>
      <c r="O135" s="305">
        <f t="shared" si="89"/>
        <v>0</v>
      </c>
      <c r="P135" s="305">
        <f t="shared" si="89"/>
        <v>0</v>
      </c>
      <c r="Q135" s="305">
        <f t="shared" si="89"/>
        <v>0</v>
      </c>
      <c r="R135" s="305">
        <f t="shared" si="89"/>
        <v>0</v>
      </c>
      <c r="S135" s="305">
        <f t="shared" si="89"/>
        <v>0</v>
      </c>
      <c r="T135" s="305">
        <f t="shared" si="89"/>
        <v>0</v>
      </c>
      <c r="U135" s="305">
        <f t="shared" si="89"/>
        <v>0</v>
      </c>
      <c r="V135" s="305">
        <f t="shared" si="89"/>
        <v>0</v>
      </c>
      <c r="W135" s="305">
        <f t="shared" si="89"/>
        <v>0</v>
      </c>
      <c r="X135" s="305">
        <f t="shared" si="89"/>
        <v>0</v>
      </c>
      <c r="Y135" s="305">
        <f t="shared" si="89"/>
        <v>0</v>
      </c>
      <c r="Z135" s="305">
        <f t="shared" si="89"/>
        <v>0</v>
      </c>
      <c r="AA135" s="305">
        <f t="shared" si="89"/>
        <v>0</v>
      </c>
      <c r="AB135" s="305">
        <f t="shared" si="89"/>
        <v>0</v>
      </c>
      <c r="AC135" s="305">
        <f t="shared" si="89"/>
        <v>0</v>
      </c>
      <c r="AD135" s="305">
        <f t="shared" si="89"/>
        <v>0</v>
      </c>
      <c r="AE135" s="305">
        <f t="shared" si="89"/>
        <v>0</v>
      </c>
      <c r="AF135" s="305">
        <f t="shared" si="89"/>
        <v>0</v>
      </c>
      <c r="AG135" s="305">
        <f t="shared" si="89"/>
        <v>0</v>
      </c>
      <c r="AH135" s="305">
        <f t="shared" si="89"/>
        <v>0</v>
      </c>
      <c r="AI135" s="305">
        <f t="shared" si="89"/>
        <v>0</v>
      </c>
      <c r="AJ135" s="305">
        <f t="shared" si="89"/>
        <v>0</v>
      </c>
      <c r="AK135" s="305">
        <f t="shared" si="89"/>
        <v>0</v>
      </c>
      <c r="AL135" s="305">
        <f t="shared" si="89"/>
        <v>0</v>
      </c>
      <c r="AM135" s="305">
        <f t="shared" si="89"/>
        <v>0</v>
      </c>
      <c r="AN135" s="305">
        <f t="shared" si="89"/>
        <v>0</v>
      </c>
      <c r="AO135" s="305">
        <f t="shared" si="89"/>
        <v>0</v>
      </c>
      <c r="AP135" s="305">
        <f t="shared" si="89"/>
        <v>0</v>
      </c>
      <c r="AQ135" s="305">
        <f t="shared" si="89"/>
        <v>0</v>
      </c>
      <c r="AR135" s="58">
        <f t="shared" si="89"/>
        <v>0</v>
      </c>
      <c r="AS135" s="305">
        <f t="shared" si="89"/>
        <v>0</v>
      </c>
      <c r="AT135" s="305">
        <f t="shared" si="89"/>
        <v>0</v>
      </c>
      <c r="AU135" s="305">
        <f t="shared" si="89"/>
        <v>0</v>
      </c>
      <c r="AV135" s="305">
        <f t="shared" si="89"/>
        <v>0</v>
      </c>
      <c r="AW135" s="305">
        <f t="shared" si="89"/>
        <v>0</v>
      </c>
      <c r="AX135" s="305">
        <f t="shared" si="89"/>
        <v>0</v>
      </c>
      <c r="AY135" s="305">
        <f t="shared" si="89"/>
        <v>0</v>
      </c>
      <c r="AZ135" s="305">
        <f t="shared" si="89"/>
        <v>0</v>
      </c>
      <c r="BA135" s="305">
        <f t="shared" si="89"/>
        <v>0</v>
      </c>
      <c r="BB135" s="305">
        <f t="shared" si="89"/>
        <v>0</v>
      </c>
      <c r="BC135" s="305">
        <f t="shared" si="89"/>
        <v>0</v>
      </c>
      <c r="BD135" s="305">
        <f t="shared" si="89"/>
        <v>0</v>
      </c>
      <c r="BE135" s="305">
        <f t="shared" si="89"/>
        <v>0</v>
      </c>
      <c r="BF135" s="305">
        <f t="shared" si="89"/>
        <v>0</v>
      </c>
      <c r="BG135" s="305">
        <f t="shared" si="89"/>
        <v>0</v>
      </c>
      <c r="BH135" s="305">
        <f t="shared" si="89"/>
        <v>0</v>
      </c>
      <c r="BI135" s="305">
        <f t="shared" si="89"/>
        <v>0</v>
      </c>
      <c r="BJ135" s="305">
        <f t="shared" si="89"/>
        <v>0</v>
      </c>
      <c r="BK135" s="305">
        <f t="shared" si="89"/>
        <v>0</v>
      </c>
      <c r="BL135" s="305">
        <f>IF($D125=0,0,BL131*(BL121-$D125)/BL121)</f>
        <v>0</v>
      </c>
      <c r="BM135" s="305">
        <f>IF($D125=0,0,BM131*(BM121-$D125)/BM121)</f>
        <v>0</v>
      </c>
      <c r="BN135" s="305">
        <f>IF($D125=0,0,BN131*(BN121-$D125)/BN121)</f>
        <v>0</v>
      </c>
      <c r="BO135" s="8">
        <f>IF(D135=0,0,BO132)</f>
        <v>0</v>
      </c>
      <c r="BP135" s="43"/>
      <c r="BQ135" s="43"/>
      <c r="BR135" s="42"/>
    </row>
    <row r="136" spans="1:70" ht="16.5">
      <c r="A136" s="41"/>
      <c r="B136" s="9">
        <f t="shared" si="87"/>
        <v>5</v>
      </c>
      <c r="C136" s="300" t="s">
        <v>57</v>
      </c>
      <c r="D136" s="8">
        <f>IF($D126=0,0,D131*(D121-$D126)/D121)</f>
        <v>0</v>
      </c>
      <c r="E136" s="305">
        <f t="shared" ref="E136:BK136" si="90">IF($D126=0,0,E131*(E121-$D126)/E121)</f>
        <v>0</v>
      </c>
      <c r="F136" s="305">
        <f t="shared" si="90"/>
        <v>0</v>
      </c>
      <c r="G136" s="305">
        <f t="shared" si="90"/>
        <v>0</v>
      </c>
      <c r="H136" s="305">
        <f t="shared" si="90"/>
        <v>0</v>
      </c>
      <c r="I136" s="305">
        <f t="shared" si="90"/>
        <v>0</v>
      </c>
      <c r="J136" s="305">
        <f t="shared" si="90"/>
        <v>0</v>
      </c>
      <c r="K136" s="305">
        <f t="shared" si="90"/>
        <v>0</v>
      </c>
      <c r="L136" s="305">
        <f t="shared" si="90"/>
        <v>0</v>
      </c>
      <c r="M136" s="305">
        <f t="shared" si="90"/>
        <v>0</v>
      </c>
      <c r="N136" s="305">
        <f t="shared" si="90"/>
        <v>0</v>
      </c>
      <c r="O136" s="305">
        <f t="shared" si="90"/>
        <v>0</v>
      </c>
      <c r="P136" s="305">
        <f t="shared" si="90"/>
        <v>0</v>
      </c>
      <c r="Q136" s="305">
        <f t="shared" si="90"/>
        <v>0</v>
      </c>
      <c r="R136" s="305">
        <f t="shared" si="90"/>
        <v>0</v>
      </c>
      <c r="S136" s="305">
        <f t="shared" si="90"/>
        <v>0</v>
      </c>
      <c r="T136" s="305">
        <f t="shared" si="90"/>
        <v>0</v>
      </c>
      <c r="U136" s="305">
        <f t="shared" si="90"/>
        <v>0</v>
      </c>
      <c r="V136" s="305">
        <f t="shared" si="90"/>
        <v>0</v>
      </c>
      <c r="W136" s="305">
        <f t="shared" si="90"/>
        <v>0</v>
      </c>
      <c r="X136" s="305">
        <f t="shared" si="90"/>
        <v>0</v>
      </c>
      <c r="Y136" s="305">
        <f t="shared" si="90"/>
        <v>0</v>
      </c>
      <c r="Z136" s="305">
        <f t="shared" si="90"/>
        <v>0</v>
      </c>
      <c r="AA136" s="305">
        <f t="shared" si="90"/>
        <v>0</v>
      </c>
      <c r="AB136" s="305">
        <f t="shared" si="90"/>
        <v>0</v>
      </c>
      <c r="AC136" s="305">
        <f t="shared" si="90"/>
        <v>0</v>
      </c>
      <c r="AD136" s="305">
        <f t="shared" si="90"/>
        <v>0</v>
      </c>
      <c r="AE136" s="305">
        <f t="shared" si="90"/>
        <v>0</v>
      </c>
      <c r="AF136" s="305">
        <f t="shared" si="90"/>
        <v>0</v>
      </c>
      <c r="AG136" s="305">
        <f t="shared" si="90"/>
        <v>0</v>
      </c>
      <c r="AH136" s="305">
        <f t="shared" si="90"/>
        <v>0</v>
      </c>
      <c r="AI136" s="305">
        <f t="shared" si="90"/>
        <v>0</v>
      </c>
      <c r="AJ136" s="305">
        <f t="shared" si="90"/>
        <v>0</v>
      </c>
      <c r="AK136" s="305">
        <f t="shared" si="90"/>
        <v>0</v>
      </c>
      <c r="AL136" s="305">
        <f t="shared" si="90"/>
        <v>0</v>
      </c>
      <c r="AM136" s="305">
        <f t="shared" si="90"/>
        <v>0</v>
      </c>
      <c r="AN136" s="305">
        <f t="shared" si="90"/>
        <v>0</v>
      </c>
      <c r="AO136" s="305">
        <f t="shared" si="90"/>
        <v>0</v>
      </c>
      <c r="AP136" s="305">
        <f t="shared" si="90"/>
        <v>0</v>
      </c>
      <c r="AQ136" s="305">
        <f t="shared" si="90"/>
        <v>0</v>
      </c>
      <c r="AR136" s="58">
        <f t="shared" si="90"/>
        <v>0</v>
      </c>
      <c r="AS136" s="305">
        <f t="shared" si="90"/>
        <v>0</v>
      </c>
      <c r="AT136" s="305">
        <f t="shared" si="90"/>
        <v>0</v>
      </c>
      <c r="AU136" s="305">
        <f t="shared" si="90"/>
        <v>0</v>
      </c>
      <c r="AV136" s="305">
        <f t="shared" si="90"/>
        <v>0</v>
      </c>
      <c r="AW136" s="305">
        <f t="shared" si="90"/>
        <v>0</v>
      </c>
      <c r="AX136" s="305">
        <f t="shared" si="90"/>
        <v>0</v>
      </c>
      <c r="AY136" s="305">
        <f t="shared" si="90"/>
        <v>0</v>
      </c>
      <c r="AZ136" s="305">
        <f t="shared" si="90"/>
        <v>0</v>
      </c>
      <c r="BA136" s="305">
        <f t="shared" si="90"/>
        <v>0</v>
      </c>
      <c r="BB136" s="305">
        <f t="shared" si="90"/>
        <v>0</v>
      </c>
      <c r="BC136" s="305">
        <f t="shared" si="90"/>
        <v>0</v>
      </c>
      <c r="BD136" s="305">
        <f t="shared" si="90"/>
        <v>0</v>
      </c>
      <c r="BE136" s="305">
        <f t="shared" si="90"/>
        <v>0</v>
      </c>
      <c r="BF136" s="305">
        <f t="shared" si="90"/>
        <v>0</v>
      </c>
      <c r="BG136" s="305">
        <f t="shared" si="90"/>
        <v>0</v>
      </c>
      <c r="BH136" s="305">
        <f t="shared" si="90"/>
        <v>0</v>
      </c>
      <c r="BI136" s="305">
        <f t="shared" si="90"/>
        <v>0</v>
      </c>
      <c r="BJ136" s="305">
        <f t="shared" si="90"/>
        <v>0</v>
      </c>
      <c r="BK136" s="305">
        <f t="shared" si="90"/>
        <v>0</v>
      </c>
      <c r="BL136" s="305">
        <f>IF($D126=0,0,BL131*(BL121-$D126)/BL121)</f>
        <v>0</v>
      </c>
      <c r="BM136" s="305">
        <f>IF($D126=0,0,BM131*(BM121-$D126)/BM121)</f>
        <v>0</v>
      </c>
      <c r="BN136" s="305">
        <f>IF($D126=0,0,BN131*(BN121-$D126)/BN121)</f>
        <v>0</v>
      </c>
      <c r="BO136" s="8">
        <f>IF(D136=0,0,BO132)</f>
        <v>0</v>
      </c>
      <c r="BP136" s="43"/>
      <c r="BQ136" s="43"/>
      <c r="BR136" s="42"/>
    </row>
    <row r="137" spans="1:70" ht="16.5">
      <c r="A137" s="41"/>
      <c r="B137" s="9">
        <f t="shared" si="87"/>
        <v>6</v>
      </c>
      <c r="C137" s="300" t="s">
        <v>57</v>
      </c>
      <c r="D137" s="8">
        <f>IF($D127=0,0,D131*(D121-$D127)/D121)</f>
        <v>0</v>
      </c>
      <c r="E137" s="305">
        <f t="shared" ref="E137:BK137" si="91">IF($D127=0,0,E131*(E121-$D127)/E121)</f>
        <v>0</v>
      </c>
      <c r="F137" s="306">
        <f t="shared" si="91"/>
        <v>0</v>
      </c>
      <c r="G137" s="306">
        <f t="shared" si="91"/>
        <v>0</v>
      </c>
      <c r="H137" s="306">
        <f t="shared" si="91"/>
        <v>0</v>
      </c>
      <c r="I137" s="305">
        <f t="shared" si="91"/>
        <v>0</v>
      </c>
      <c r="J137" s="305">
        <f t="shared" si="91"/>
        <v>0</v>
      </c>
      <c r="K137" s="305">
        <f t="shared" si="91"/>
        <v>0</v>
      </c>
      <c r="L137" s="305">
        <f t="shared" si="91"/>
        <v>0</v>
      </c>
      <c r="M137" s="305">
        <f t="shared" si="91"/>
        <v>0</v>
      </c>
      <c r="N137" s="305">
        <f t="shared" si="91"/>
        <v>0</v>
      </c>
      <c r="O137" s="305">
        <f t="shared" si="91"/>
        <v>0</v>
      </c>
      <c r="P137" s="305">
        <f t="shared" si="91"/>
        <v>0</v>
      </c>
      <c r="Q137" s="305">
        <f t="shared" si="91"/>
        <v>0</v>
      </c>
      <c r="R137" s="305">
        <f t="shared" si="91"/>
        <v>0</v>
      </c>
      <c r="S137" s="305">
        <f t="shared" si="91"/>
        <v>0</v>
      </c>
      <c r="T137" s="305">
        <f t="shared" si="91"/>
        <v>0</v>
      </c>
      <c r="U137" s="305">
        <f t="shared" si="91"/>
        <v>0</v>
      </c>
      <c r="V137" s="305">
        <f t="shared" si="91"/>
        <v>0</v>
      </c>
      <c r="W137" s="305">
        <f t="shared" si="91"/>
        <v>0</v>
      </c>
      <c r="X137" s="305">
        <f t="shared" si="91"/>
        <v>0</v>
      </c>
      <c r="Y137" s="305">
        <f t="shared" si="91"/>
        <v>0</v>
      </c>
      <c r="Z137" s="305">
        <f t="shared" si="91"/>
        <v>0</v>
      </c>
      <c r="AA137" s="305">
        <f t="shared" si="91"/>
        <v>0</v>
      </c>
      <c r="AB137" s="305">
        <f t="shared" si="91"/>
        <v>0</v>
      </c>
      <c r="AC137" s="305">
        <f t="shared" si="91"/>
        <v>0</v>
      </c>
      <c r="AD137" s="305">
        <f t="shared" si="91"/>
        <v>0</v>
      </c>
      <c r="AE137" s="305">
        <f t="shared" si="91"/>
        <v>0</v>
      </c>
      <c r="AF137" s="305">
        <f t="shared" si="91"/>
        <v>0</v>
      </c>
      <c r="AG137" s="305">
        <f t="shared" si="91"/>
        <v>0</v>
      </c>
      <c r="AH137" s="305">
        <f t="shared" si="91"/>
        <v>0</v>
      </c>
      <c r="AI137" s="305">
        <f t="shared" si="91"/>
        <v>0</v>
      </c>
      <c r="AJ137" s="305">
        <f t="shared" si="91"/>
        <v>0</v>
      </c>
      <c r="AK137" s="305">
        <f t="shared" si="91"/>
        <v>0</v>
      </c>
      <c r="AL137" s="305">
        <f t="shared" si="91"/>
        <v>0</v>
      </c>
      <c r="AM137" s="305">
        <f t="shared" si="91"/>
        <v>0</v>
      </c>
      <c r="AN137" s="305">
        <f t="shared" si="91"/>
        <v>0</v>
      </c>
      <c r="AO137" s="305">
        <f t="shared" si="91"/>
        <v>0</v>
      </c>
      <c r="AP137" s="305">
        <f t="shared" si="91"/>
        <v>0</v>
      </c>
      <c r="AQ137" s="305">
        <f t="shared" si="91"/>
        <v>0</v>
      </c>
      <c r="AR137" s="58">
        <f t="shared" si="91"/>
        <v>0</v>
      </c>
      <c r="AS137" s="305">
        <f t="shared" si="91"/>
        <v>0</v>
      </c>
      <c r="AT137" s="305">
        <f t="shared" si="91"/>
        <v>0</v>
      </c>
      <c r="AU137" s="305">
        <f t="shared" si="91"/>
        <v>0</v>
      </c>
      <c r="AV137" s="305">
        <f t="shared" si="91"/>
        <v>0</v>
      </c>
      <c r="AW137" s="305">
        <f t="shared" si="91"/>
        <v>0</v>
      </c>
      <c r="AX137" s="305">
        <f t="shared" si="91"/>
        <v>0</v>
      </c>
      <c r="AY137" s="305">
        <f t="shared" si="91"/>
        <v>0</v>
      </c>
      <c r="AZ137" s="305">
        <f t="shared" si="91"/>
        <v>0</v>
      </c>
      <c r="BA137" s="305">
        <f t="shared" si="91"/>
        <v>0</v>
      </c>
      <c r="BB137" s="305">
        <f t="shared" si="91"/>
        <v>0</v>
      </c>
      <c r="BC137" s="305">
        <f t="shared" si="91"/>
        <v>0</v>
      </c>
      <c r="BD137" s="305">
        <f t="shared" si="91"/>
        <v>0</v>
      </c>
      <c r="BE137" s="305">
        <f t="shared" si="91"/>
        <v>0</v>
      </c>
      <c r="BF137" s="305">
        <f t="shared" si="91"/>
        <v>0</v>
      </c>
      <c r="BG137" s="305">
        <f t="shared" si="91"/>
        <v>0</v>
      </c>
      <c r="BH137" s="305">
        <f t="shared" si="91"/>
        <v>0</v>
      </c>
      <c r="BI137" s="305">
        <f t="shared" si="91"/>
        <v>0</v>
      </c>
      <c r="BJ137" s="305">
        <f t="shared" si="91"/>
        <v>0</v>
      </c>
      <c r="BK137" s="305">
        <f t="shared" si="91"/>
        <v>0</v>
      </c>
      <c r="BL137" s="305">
        <f>IF($D127=0,0,BL131*(BL121-$D127)/BL121)</f>
        <v>0</v>
      </c>
      <c r="BM137" s="305">
        <f>IF($D127=0,0,BM131*(BM121-$D127)/BM121)</f>
        <v>0</v>
      </c>
      <c r="BN137" s="305">
        <f>IF($D127=0,0,BN131*(BN121-$D127)/BN121)</f>
        <v>0</v>
      </c>
      <c r="BO137" s="8">
        <f>IF(D137=0,0,BO132)</f>
        <v>0</v>
      </c>
      <c r="BP137" s="43"/>
      <c r="BQ137" s="43"/>
      <c r="BR137" s="42"/>
    </row>
    <row r="138" spans="1:70" ht="16.5">
      <c r="A138" s="41"/>
      <c r="B138" s="9">
        <f t="shared" si="87"/>
        <v>7</v>
      </c>
      <c r="C138" s="300" t="s">
        <v>57</v>
      </c>
      <c r="D138" s="8">
        <f>IF($D128=0,0,D131*(D121-$D128)/D121)</f>
        <v>0</v>
      </c>
      <c r="E138" s="305">
        <f t="shared" ref="E138:BK138" si="92">IF($D128=0,0,E131*(E121-$D128)/E121)</f>
        <v>0</v>
      </c>
      <c r="F138" s="306">
        <f t="shared" si="92"/>
        <v>0</v>
      </c>
      <c r="G138" s="306">
        <f t="shared" si="92"/>
        <v>0</v>
      </c>
      <c r="H138" s="306">
        <f t="shared" si="92"/>
        <v>0</v>
      </c>
      <c r="I138" s="305">
        <f t="shared" si="92"/>
        <v>0</v>
      </c>
      <c r="J138" s="305">
        <f t="shared" si="92"/>
        <v>0</v>
      </c>
      <c r="K138" s="305">
        <f t="shared" si="92"/>
        <v>0</v>
      </c>
      <c r="L138" s="305">
        <f t="shared" si="92"/>
        <v>0</v>
      </c>
      <c r="M138" s="305">
        <f t="shared" si="92"/>
        <v>0</v>
      </c>
      <c r="N138" s="305">
        <f t="shared" si="92"/>
        <v>0</v>
      </c>
      <c r="O138" s="305">
        <f t="shared" si="92"/>
        <v>0</v>
      </c>
      <c r="P138" s="305">
        <f t="shared" si="92"/>
        <v>0</v>
      </c>
      <c r="Q138" s="305">
        <f t="shared" si="92"/>
        <v>0</v>
      </c>
      <c r="R138" s="305">
        <f t="shared" si="92"/>
        <v>0</v>
      </c>
      <c r="S138" s="305">
        <f t="shared" si="92"/>
        <v>0</v>
      </c>
      <c r="T138" s="305">
        <f t="shared" si="92"/>
        <v>0</v>
      </c>
      <c r="U138" s="305">
        <f t="shared" si="92"/>
        <v>0</v>
      </c>
      <c r="V138" s="305">
        <f t="shared" si="92"/>
        <v>0</v>
      </c>
      <c r="W138" s="305">
        <f t="shared" si="92"/>
        <v>0</v>
      </c>
      <c r="X138" s="305">
        <f t="shared" si="92"/>
        <v>0</v>
      </c>
      <c r="Y138" s="305">
        <f t="shared" si="92"/>
        <v>0</v>
      </c>
      <c r="Z138" s="305">
        <f t="shared" si="92"/>
        <v>0</v>
      </c>
      <c r="AA138" s="305">
        <f t="shared" si="92"/>
        <v>0</v>
      </c>
      <c r="AB138" s="305">
        <f t="shared" si="92"/>
        <v>0</v>
      </c>
      <c r="AC138" s="305">
        <f t="shared" si="92"/>
        <v>0</v>
      </c>
      <c r="AD138" s="305">
        <f t="shared" si="92"/>
        <v>0</v>
      </c>
      <c r="AE138" s="305">
        <f t="shared" si="92"/>
        <v>0</v>
      </c>
      <c r="AF138" s="305">
        <f t="shared" si="92"/>
        <v>0</v>
      </c>
      <c r="AG138" s="305">
        <f t="shared" si="92"/>
        <v>0</v>
      </c>
      <c r="AH138" s="305">
        <f t="shared" si="92"/>
        <v>0</v>
      </c>
      <c r="AI138" s="305">
        <f t="shared" si="92"/>
        <v>0</v>
      </c>
      <c r="AJ138" s="305">
        <f t="shared" si="92"/>
        <v>0</v>
      </c>
      <c r="AK138" s="305">
        <f t="shared" si="92"/>
        <v>0</v>
      </c>
      <c r="AL138" s="305">
        <f t="shared" si="92"/>
        <v>0</v>
      </c>
      <c r="AM138" s="305">
        <f t="shared" si="92"/>
        <v>0</v>
      </c>
      <c r="AN138" s="305">
        <f t="shared" si="92"/>
        <v>0</v>
      </c>
      <c r="AO138" s="305">
        <f t="shared" si="92"/>
        <v>0</v>
      </c>
      <c r="AP138" s="305">
        <f t="shared" si="92"/>
        <v>0</v>
      </c>
      <c r="AQ138" s="305">
        <f t="shared" si="92"/>
        <v>0</v>
      </c>
      <c r="AR138" s="58">
        <f t="shared" si="92"/>
        <v>0</v>
      </c>
      <c r="AS138" s="305">
        <f t="shared" si="92"/>
        <v>0</v>
      </c>
      <c r="AT138" s="305">
        <f t="shared" si="92"/>
        <v>0</v>
      </c>
      <c r="AU138" s="305">
        <f t="shared" si="92"/>
        <v>0</v>
      </c>
      <c r="AV138" s="305">
        <f t="shared" si="92"/>
        <v>0</v>
      </c>
      <c r="AW138" s="305">
        <f t="shared" si="92"/>
        <v>0</v>
      </c>
      <c r="AX138" s="305">
        <f t="shared" si="92"/>
        <v>0</v>
      </c>
      <c r="AY138" s="305">
        <f t="shared" si="92"/>
        <v>0</v>
      </c>
      <c r="AZ138" s="305">
        <f t="shared" si="92"/>
        <v>0</v>
      </c>
      <c r="BA138" s="305">
        <f t="shared" si="92"/>
        <v>0</v>
      </c>
      <c r="BB138" s="305">
        <f t="shared" si="92"/>
        <v>0</v>
      </c>
      <c r="BC138" s="305">
        <f t="shared" si="92"/>
        <v>0</v>
      </c>
      <c r="BD138" s="305">
        <f t="shared" si="92"/>
        <v>0</v>
      </c>
      <c r="BE138" s="305">
        <f t="shared" si="92"/>
        <v>0</v>
      </c>
      <c r="BF138" s="305">
        <f t="shared" si="92"/>
        <v>0</v>
      </c>
      <c r="BG138" s="305">
        <f t="shared" si="92"/>
        <v>0</v>
      </c>
      <c r="BH138" s="305">
        <f t="shared" si="92"/>
        <v>0</v>
      </c>
      <c r="BI138" s="305">
        <f t="shared" si="92"/>
        <v>0</v>
      </c>
      <c r="BJ138" s="305">
        <f t="shared" si="92"/>
        <v>0</v>
      </c>
      <c r="BK138" s="305">
        <f t="shared" si="92"/>
        <v>0</v>
      </c>
      <c r="BL138" s="305">
        <f>IF($D128=0,0,BL131*(BL121-$D128)/BL121)</f>
        <v>0</v>
      </c>
      <c r="BM138" s="305">
        <f>IF($D128=0,0,BM131*(BM121-$D128)/BM121)</f>
        <v>0</v>
      </c>
      <c r="BN138" s="305">
        <f>IF($D128=0,0,BN131*(BN121-$D128)/BN121)</f>
        <v>0</v>
      </c>
      <c r="BO138" s="8">
        <f>IF(D138=0,0,BO132)</f>
        <v>0</v>
      </c>
      <c r="BP138" s="43"/>
      <c r="BQ138" s="43"/>
      <c r="BR138" s="42"/>
    </row>
    <row r="139" spans="1:70" ht="16.5">
      <c r="A139" s="41"/>
      <c r="B139" s="9">
        <f t="shared" si="87"/>
        <v>8</v>
      </c>
      <c r="C139" s="300" t="s">
        <v>57</v>
      </c>
      <c r="D139" s="8">
        <f>IF($D129=0,0,D131*(D121-$D129)/D121)</f>
        <v>0</v>
      </c>
      <c r="E139" s="305">
        <f t="shared" ref="E139:BK139" si="93">IF($D129=0,0,E131*(E121-$D129)/E121)</f>
        <v>0</v>
      </c>
      <c r="F139" s="306">
        <f t="shared" si="93"/>
        <v>0</v>
      </c>
      <c r="G139" s="306">
        <f t="shared" si="93"/>
        <v>0</v>
      </c>
      <c r="H139" s="306">
        <f t="shared" si="93"/>
        <v>0</v>
      </c>
      <c r="I139" s="305">
        <f t="shared" si="93"/>
        <v>0</v>
      </c>
      <c r="J139" s="305">
        <f t="shared" si="93"/>
        <v>0</v>
      </c>
      <c r="K139" s="305">
        <f t="shared" si="93"/>
        <v>0</v>
      </c>
      <c r="L139" s="305">
        <f t="shared" si="93"/>
        <v>0</v>
      </c>
      <c r="M139" s="305">
        <f t="shared" si="93"/>
        <v>0</v>
      </c>
      <c r="N139" s="305">
        <f t="shared" si="93"/>
        <v>0</v>
      </c>
      <c r="O139" s="305">
        <f t="shared" si="93"/>
        <v>0</v>
      </c>
      <c r="P139" s="305">
        <f t="shared" si="93"/>
        <v>0</v>
      </c>
      <c r="Q139" s="305">
        <f t="shared" si="93"/>
        <v>0</v>
      </c>
      <c r="R139" s="305">
        <f t="shared" si="93"/>
        <v>0</v>
      </c>
      <c r="S139" s="305">
        <f t="shared" si="93"/>
        <v>0</v>
      </c>
      <c r="T139" s="305">
        <f t="shared" si="93"/>
        <v>0</v>
      </c>
      <c r="U139" s="305">
        <f t="shared" si="93"/>
        <v>0</v>
      </c>
      <c r="V139" s="305">
        <f t="shared" si="93"/>
        <v>0</v>
      </c>
      <c r="W139" s="305">
        <f t="shared" si="93"/>
        <v>0</v>
      </c>
      <c r="X139" s="305">
        <f t="shared" si="93"/>
        <v>0</v>
      </c>
      <c r="Y139" s="305">
        <f t="shared" si="93"/>
        <v>0</v>
      </c>
      <c r="Z139" s="305">
        <f t="shared" si="93"/>
        <v>0</v>
      </c>
      <c r="AA139" s="305">
        <f t="shared" si="93"/>
        <v>0</v>
      </c>
      <c r="AB139" s="305">
        <f t="shared" si="93"/>
        <v>0</v>
      </c>
      <c r="AC139" s="305">
        <f t="shared" si="93"/>
        <v>0</v>
      </c>
      <c r="AD139" s="305">
        <f t="shared" si="93"/>
        <v>0</v>
      </c>
      <c r="AE139" s="305">
        <f t="shared" si="93"/>
        <v>0</v>
      </c>
      <c r="AF139" s="305">
        <f t="shared" si="93"/>
        <v>0</v>
      </c>
      <c r="AG139" s="305">
        <f t="shared" si="93"/>
        <v>0</v>
      </c>
      <c r="AH139" s="305">
        <f t="shared" si="93"/>
        <v>0</v>
      </c>
      <c r="AI139" s="305">
        <f t="shared" si="93"/>
        <v>0</v>
      </c>
      <c r="AJ139" s="305">
        <f t="shared" si="93"/>
        <v>0</v>
      </c>
      <c r="AK139" s="305">
        <f t="shared" si="93"/>
        <v>0</v>
      </c>
      <c r="AL139" s="305">
        <f t="shared" si="93"/>
        <v>0</v>
      </c>
      <c r="AM139" s="305">
        <f t="shared" si="93"/>
        <v>0</v>
      </c>
      <c r="AN139" s="305">
        <f t="shared" si="93"/>
        <v>0</v>
      </c>
      <c r="AO139" s="305">
        <f t="shared" si="93"/>
        <v>0</v>
      </c>
      <c r="AP139" s="305">
        <f t="shared" si="93"/>
        <v>0</v>
      </c>
      <c r="AQ139" s="305">
        <f t="shared" si="93"/>
        <v>0</v>
      </c>
      <c r="AR139" s="58">
        <f t="shared" si="93"/>
        <v>0</v>
      </c>
      <c r="AS139" s="305">
        <f t="shared" si="93"/>
        <v>0</v>
      </c>
      <c r="AT139" s="305">
        <f t="shared" si="93"/>
        <v>0</v>
      </c>
      <c r="AU139" s="305">
        <f t="shared" si="93"/>
        <v>0</v>
      </c>
      <c r="AV139" s="305">
        <f t="shared" si="93"/>
        <v>0</v>
      </c>
      <c r="AW139" s="305">
        <f t="shared" si="93"/>
        <v>0</v>
      </c>
      <c r="AX139" s="305">
        <f t="shared" si="93"/>
        <v>0</v>
      </c>
      <c r="AY139" s="305">
        <f t="shared" si="93"/>
        <v>0</v>
      </c>
      <c r="AZ139" s="305">
        <f t="shared" si="93"/>
        <v>0</v>
      </c>
      <c r="BA139" s="305">
        <f t="shared" si="93"/>
        <v>0</v>
      </c>
      <c r="BB139" s="305">
        <f t="shared" si="93"/>
        <v>0</v>
      </c>
      <c r="BC139" s="305">
        <f t="shared" si="93"/>
        <v>0</v>
      </c>
      <c r="BD139" s="305">
        <f t="shared" si="93"/>
        <v>0</v>
      </c>
      <c r="BE139" s="305">
        <f t="shared" si="93"/>
        <v>0</v>
      </c>
      <c r="BF139" s="305">
        <f t="shared" si="93"/>
        <v>0</v>
      </c>
      <c r="BG139" s="305">
        <f t="shared" si="93"/>
        <v>0</v>
      </c>
      <c r="BH139" s="305">
        <f t="shared" si="93"/>
        <v>0</v>
      </c>
      <c r="BI139" s="305">
        <f t="shared" si="93"/>
        <v>0</v>
      </c>
      <c r="BJ139" s="305">
        <f t="shared" si="93"/>
        <v>0</v>
      </c>
      <c r="BK139" s="305">
        <f t="shared" si="93"/>
        <v>0</v>
      </c>
      <c r="BL139" s="305">
        <f>IF($D129=0,0,BL131*(BL121-$D129)/BL121)</f>
        <v>0</v>
      </c>
      <c r="BM139" s="305">
        <f>IF($D129=0,0,BM131*(BM121-$D129)/BM121)</f>
        <v>0</v>
      </c>
      <c r="BN139" s="305">
        <f>IF($D129=0,0,BN131*(BN121-$D129)/BN121)</f>
        <v>0</v>
      </c>
      <c r="BO139" s="8">
        <f>IF(D139=0,0,BO132)</f>
        <v>0</v>
      </c>
      <c r="BP139" s="43"/>
      <c r="BQ139" s="43"/>
      <c r="BR139" s="42"/>
    </row>
    <row r="140" spans="1:70" ht="16.5">
      <c r="A140" s="41"/>
      <c r="B140" s="9">
        <f t="shared" si="87"/>
        <v>9</v>
      </c>
      <c r="C140" s="300" t="s">
        <v>57</v>
      </c>
      <c r="D140" s="8">
        <f>IF($D130=0,0,D131*(D121-$D130)/D121)</f>
        <v>0</v>
      </c>
      <c r="E140" s="305">
        <f t="shared" ref="E140:BK140" si="94">IF($D130=0,0,E131*(E121-$D130)/E121)</f>
        <v>0</v>
      </c>
      <c r="F140" s="306">
        <f t="shared" si="94"/>
        <v>0</v>
      </c>
      <c r="G140" s="306">
        <f t="shared" si="94"/>
        <v>0</v>
      </c>
      <c r="H140" s="306">
        <f t="shared" si="94"/>
        <v>0</v>
      </c>
      <c r="I140" s="305">
        <f t="shared" si="94"/>
        <v>0</v>
      </c>
      <c r="J140" s="305">
        <f t="shared" si="94"/>
        <v>0</v>
      </c>
      <c r="K140" s="305">
        <f t="shared" si="94"/>
        <v>0</v>
      </c>
      <c r="L140" s="305">
        <f t="shared" si="94"/>
        <v>0</v>
      </c>
      <c r="M140" s="305">
        <f t="shared" si="94"/>
        <v>0</v>
      </c>
      <c r="N140" s="305">
        <f t="shared" si="94"/>
        <v>0</v>
      </c>
      <c r="O140" s="305">
        <f t="shared" si="94"/>
        <v>0</v>
      </c>
      <c r="P140" s="305">
        <f t="shared" si="94"/>
        <v>0</v>
      </c>
      <c r="Q140" s="305">
        <f t="shared" si="94"/>
        <v>0</v>
      </c>
      <c r="R140" s="305">
        <f t="shared" si="94"/>
        <v>0</v>
      </c>
      <c r="S140" s="305">
        <f t="shared" si="94"/>
        <v>0</v>
      </c>
      <c r="T140" s="305">
        <f t="shared" si="94"/>
        <v>0</v>
      </c>
      <c r="U140" s="305">
        <f t="shared" si="94"/>
        <v>0</v>
      </c>
      <c r="V140" s="305">
        <f t="shared" si="94"/>
        <v>0</v>
      </c>
      <c r="W140" s="305">
        <f t="shared" si="94"/>
        <v>0</v>
      </c>
      <c r="X140" s="305">
        <f t="shared" si="94"/>
        <v>0</v>
      </c>
      <c r="Y140" s="305">
        <f t="shared" si="94"/>
        <v>0</v>
      </c>
      <c r="Z140" s="305">
        <f t="shared" si="94"/>
        <v>0</v>
      </c>
      <c r="AA140" s="305">
        <f t="shared" si="94"/>
        <v>0</v>
      </c>
      <c r="AB140" s="305">
        <f t="shared" si="94"/>
        <v>0</v>
      </c>
      <c r="AC140" s="305">
        <f t="shared" si="94"/>
        <v>0</v>
      </c>
      <c r="AD140" s="305">
        <f t="shared" si="94"/>
        <v>0</v>
      </c>
      <c r="AE140" s="305">
        <f t="shared" si="94"/>
        <v>0</v>
      </c>
      <c r="AF140" s="305">
        <f t="shared" si="94"/>
        <v>0</v>
      </c>
      <c r="AG140" s="305">
        <f t="shared" si="94"/>
        <v>0</v>
      </c>
      <c r="AH140" s="305">
        <f t="shared" si="94"/>
        <v>0</v>
      </c>
      <c r="AI140" s="305">
        <f t="shared" si="94"/>
        <v>0</v>
      </c>
      <c r="AJ140" s="305">
        <f t="shared" si="94"/>
        <v>0</v>
      </c>
      <c r="AK140" s="305">
        <f t="shared" si="94"/>
        <v>0</v>
      </c>
      <c r="AL140" s="305">
        <f t="shared" si="94"/>
        <v>0</v>
      </c>
      <c r="AM140" s="305">
        <f t="shared" si="94"/>
        <v>0</v>
      </c>
      <c r="AN140" s="305">
        <f t="shared" si="94"/>
        <v>0</v>
      </c>
      <c r="AO140" s="305">
        <f t="shared" si="94"/>
        <v>0</v>
      </c>
      <c r="AP140" s="305">
        <f t="shared" si="94"/>
        <v>0</v>
      </c>
      <c r="AQ140" s="305">
        <f t="shared" si="94"/>
        <v>0</v>
      </c>
      <c r="AR140" s="58">
        <f t="shared" si="94"/>
        <v>0</v>
      </c>
      <c r="AS140" s="305">
        <f t="shared" si="94"/>
        <v>0</v>
      </c>
      <c r="AT140" s="305">
        <f t="shared" si="94"/>
        <v>0</v>
      </c>
      <c r="AU140" s="305">
        <f t="shared" si="94"/>
        <v>0</v>
      </c>
      <c r="AV140" s="305">
        <f t="shared" si="94"/>
        <v>0</v>
      </c>
      <c r="AW140" s="305">
        <f t="shared" si="94"/>
        <v>0</v>
      </c>
      <c r="AX140" s="305">
        <f t="shared" si="94"/>
        <v>0</v>
      </c>
      <c r="AY140" s="305">
        <f t="shared" si="94"/>
        <v>0</v>
      </c>
      <c r="AZ140" s="305">
        <f t="shared" si="94"/>
        <v>0</v>
      </c>
      <c r="BA140" s="305">
        <f t="shared" si="94"/>
        <v>0</v>
      </c>
      <c r="BB140" s="305">
        <f t="shared" si="94"/>
        <v>0</v>
      </c>
      <c r="BC140" s="305">
        <f t="shared" si="94"/>
        <v>0</v>
      </c>
      <c r="BD140" s="305">
        <f t="shared" si="94"/>
        <v>0</v>
      </c>
      <c r="BE140" s="305">
        <f t="shared" si="94"/>
        <v>0</v>
      </c>
      <c r="BF140" s="305">
        <f t="shared" si="94"/>
        <v>0</v>
      </c>
      <c r="BG140" s="305">
        <f t="shared" si="94"/>
        <v>0</v>
      </c>
      <c r="BH140" s="305">
        <f t="shared" si="94"/>
        <v>0</v>
      </c>
      <c r="BI140" s="305">
        <f t="shared" si="94"/>
        <v>0</v>
      </c>
      <c r="BJ140" s="305">
        <f t="shared" si="94"/>
        <v>0</v>
      </c>
      <c r="BK140" s="305">
        <f t="shared" si="94"/>
        <v>0</v>
      </c>
      <c r="BL140" s="305">
        <f>IF($D130=0,0,BL131*(BL121-$D130)/BL121)</f>
        <v>0</v>
      </c>
      <c r="BM140" s="305">
        <f>IF($D130=0,0,BM131*(BM121-$D130)/BM121)</f>
        <v>0</v>
      </c>
      <c r="BN140" s="305">
        <f>IF($D130=0,0,BN131*(BN121-$D130)/BN121)</f>
        <v>0</v>
      </c>
      <c r="BO140" s="8">
        <f>IF(D140=0,0,BO132)</f>
        <v>0</v>
      </c>
      <c r="BP140" s="43"/>
      <c r="BQ140" s="43"/>
      <c r="BR140" s="42"/>
    </row>
    <row r="141" spans="1:70" ht="16.5">
      <c r="A141" s="41"/>
      <c r="B141" s="292" t="s">
        <v>119</v>
      </c>
      <c r="C141" s="300" t="s">
        <v>58</v>
      </c>
      <c r="D141" s="8">
        <f>D131*(D121-$F118)/D121</f>
        <v>-7.9038212902647287E-2</v>
      </c>
      <c r="E141" s="10">
        <f t="shared" ref="E141:BK141" si="95">E131*(E121-$F118)/E121</f>
        <v>-5.8156688348095405E-2</v>
      </c>
      <c r="F141" s="32">
        <f t="shared" si="95"/>
        <v>-4.570755935832263E-2</v>
      </c>
      <c r="G141" s="32">
        <f t="shared" si="95"/>
        <v>-3.744111988393304E-2</v>
      </c>
      <c r="H141" s="32">
        <f t="shared" si="95"/>
        <v>-3.1552591220400508E-2</v>
      </c>
      <c r="I141" s="10">
        <f t="shared" si="95"/>
        <v>-2.7144952159791166E-2</v>
      </c>
      <c r="J141" s="10">
        <f t="shared" si="95"/>
        <v>-2.3721964326519358E-2</v>
      </c>
      <c r="K141" s="10">
        <f t="shared" si="95"/>
        <v>-2.0986828221829481E-2</v>
      </c>
      <c r="L141" s="10">
        <f t="shared" si="95"/>
        <v>-1.8751137617771862E-2</v>
      </c>
      <c r="M141" s="10">
        <f t="shared" si="95"/>
        <v>-1.6889536934626154E-2</v>
      </c>
      <c r="N141" s="10">
        <f t="shared" si="95"/>
        <v>-1.5315382418750186E-2</v>
      </c>
      <c r="O141" s="10">
        <f t="shared" si="95"/>
        <v>-1.3966869612095742E-2</v>
      </c>
      <c r="P141" s="10">
        <f t="shared" si="95"/>
        <v>-1.2798727390527448E-2</v>
      </c>
      <c r="Q141" s="10">
        <f t="shared" si="95"/>
        <v>-1.1777035974785363E-2</v>
      </c>
      <c r="R141" s="10">
        <f t="shared" si="95"/>
        <v>-1.0875878982682411E-2</v>
      </c>
      <c r="S141" s="10">
        <f t="shared" si="95"/>
        <v>-1.0075114404748104E-2</v>
      </c>
      <c r="T141" s="10">
        <f t="shared" si="95"/>
        <v>-9.3588512393577763E-3</v>
      </c>
      <c r="U141" s="10">
        <f t="shared" si="95"/>
        <v>-8.7143842209206936E-3</v>
      </c>
      <c r="V141" s="10">
        <f t="shared" si="95"/>
        <v>-8.1314335986647363E-3</v>
      </c>
      <c r="W141" s="10">
        <f t="shared" si="95"/>
        <v>-7.6015926952921319E-3</v>
      </c>
      <c r="X141" s="10">
        <f t="shared" si="95"/>
        <v>-7.1179198778121124E-3</v>
      </c>
      <c r="Y141" s="10">
        <f t="shared" si="95"/>
        <v>-6.6746327371404787E-3</v>
      </c>
      <c r="Z141" s="10">
        <f t="shared" si="95"/>
        <v>-6.2668758037520917E-3</v>
      </c>
      <c r="AA141" s="10">
        <f t="shared" si="95"/>
        <v>-5.890541965128275E-3</v>
      </c>
      <c r="AB141" s="10">
        <f t="shared" si="95"/>
        <v>-5.5421336378734904E-3</v>
      </c>
      <c r="AC141" s="10">
        <f t="shared" si="95"/>
        <v>-5.2186537390131764E-3</v>
      </c>
      <c r="AD141" s="10">
        <f t="shared" si="95"/>
        <v>-4.9175192518135617E-3</v>
      </c>
      <c r="AE141" s="10">
        <f t="shared" si="95"/>
        <v>-4.6364921057414129E-3</v>
      </c>
      <c r="AF141" s="10">
        <f t="shared" si="95"/>
        <v>-4.3736234549435204E-3</v>
      </c>
      <c r="AG141" s="10">
        <f t="shared" si="95"/>
        <v>-4.1272084199802644E-3</v>
      </c>
      <c r="AH141" s="10">
        <f t="shared" si="95"/>
        <v>-3.8957490701486529E-3</v>
      </c>
      <c r="AI141" s="10">
        <f t="shared" si="95"/>
        <v>-3.677923947438913E-3</v>
      </c>
      <c r="AJ141" s="10">
        <f t="shared" si="95"/>
        <v>-3.4725628220270565E-3</v>
      </c>
      <c r="AK141" s="10">
        <f t="shared" si="95"/>
        <v>-3.278625660721774E-3</v>
      </c>
      <c r="AL141" s="10">
        <f t="shared" si="95"/>
        <v>-3.0951850102998034E-3</v>
      </c>
      <c r="AM141" s="10">
        <f t="shared" si="95"/>
        <v>-2.9214111658872424E-3</v>
      </c>
      <c r="AN141" s="10">
        <f t="shared" si="95"/>
        <v>-2.7565596238996394E-3</v>
      </c>
      <c r="AO141" s="10">
        <f t="shared" si="95"/>
        <v>-2.599960419269669E-3</v>
      </c>
      <c r="AP141" s="10">
        <f t="shared" si="95"/>
        <v>-2.4510090248831143E-3</v>
      </c>
      <c r="AQ141" s="10">
        <f t="shared" si="95"/>
        <v>-2.3091585525614904E-3</v>
      </c>
      <c r="AR141" s="58">
        <f t="shared" si="95"/>
        <v>-2.1739130434782613E-3</v>
      </c>
      <c r="AS141" s="10">
        <f t="shared" si="95"/>
        <v>-1.8592885342049474E-3</v>
      </c>
      <c r="AT141" s="10">
        <f t="shared" si="95"/>
        <v>-1.5777233757208729E-3</v>
      </c>
      <c r="AU141" s="10">
        <f t="shared" si="95"/>
        <v>-1.3242670613200667E-3</v>
      </c>
      <c r="AV141" s="10">
        <f t="shared" si="95"/>
        <v>-1.0949105173429336E-3</v>
      </c>
      <c r="AW141" s="10">
        <f t="shared" si="95"/>
        <v>-8.863724704972428E-4</v>
      </c>
      <c r="AX141" s="10">
        <f t="shared" si="95"/>
        <v>-6.9594146337565116E-4</v>
      </c>
      <c r="AY141" s="10">
        <f t="shared" si="95"/>
        <v>-5.2135731035241864E-4</v>
      </c>
      <c r="AZ141" s="10">
        <f t="shared" si="95"/>
        <v>-3.6072096551613506E-4</v>
      </c>
      <c r="BA141" s="10">
        <f t="shared" si="95"/>
        <v>-2.124251632104911E-4</v>
      </c>
      <c r="BB141" s="10">
        <f t="shared" si="95"/>
        <v>-7.5100452449282571E-5</v>
      </c>
      <c r="BC141" s="10">
        <f t="shared" si="95"/>
        <v>5.2427218606489666E-5</v>
      </c>
      <c r="BD141" s="10">
        <f t="shared" si="95"/>
        <v>1.6995967478069285E-4</v>
      </c>
      <c r="BE141" s="10">
        <f t="shared" si="95"/>
        <v>2.7111234798886158E-4</v>
      </c>
      <c r="BF141" s="10">
        <f t="shared" si="95"/>
        <v>3.6009287521887194E-4</v>
      </c>
      <c r="BG141" s="10">
        <f t="shared" si="95"/>
        <v>4.3897365767319227E-4</v>
      </c>
      <c r="BH141" s="10">
        <f t="shared" si="95"/>
        <v>5.0938190599245548E-4</v>
      </c>
      <c r="BI141" s="10">
        <f t="shared" si="95"/>
        <v>5.7261309147435546E-4</v>
      </c>
      <c r="BJ141" s="10">
        <f t="shared" si="95"/>
        <v>6.2971138586164659E-4</v>
      </c>
      <c r="BK141" s="10">
        <f t="shared" si="95"/>
        <v>6.8152777777777786E-4</v>
      </c>
      <c r="BL141" s="10">
        <f>BL131*(BL121-$F118)/BL121</f>
        <v>1.1489843749999998E-3</v>
      </c>
      <c r="BM141" s="10">
        <f>BM131*(BM121-$F118)/BM121</f>
        <v>1.3319021739130435E-3</v>
      </c>
      <c r="BN141" s="10">
        <f>BN131*(BN121-$F118)/BN121</f>
        <v>1.4294583333333334E-3</v>
      </c>
      <c r="BO141" s="8">
        <f>BO132</f>
        <v>1.75E-3</v>
      </c>
      <c r="BP141" s="41"/>
      <c r="BQ141" s="41"/>
      <c r="BR141" s="41"/>
    </row>
    <row r="142" spans="1:70" ht="16.5">
      <c r="A142" s="41"/>
      <c r="B142" s="293" t="s">
        <v>59</v>
      </c>
      <c r="C142" s="301" t="s">
        <v>60</v>
      </c>
      <c r="D142" s="12">
        <f t="shared" ref="D142:BJ142" si="96">IF(D132&lt;0,MAX(-$C$10,200000*D132),MIN(200000*D132,$C$10)-IF(AND($C118&lt;$C$8*D121,$C118&gt;0),$C$9,0))</f>
        <v>-25.21613772660945</v>
      </c>
      <c r="E142" s="307">
        <f t="shared" si="96"/>
        <v>135.59122605559207</v>
      </c>
      <c r="F142" s="307">
        <f t="shared" si="96"/>
        <v>244.97461256860205</v>
      </c>
      <c r="G142" s="307">
        <f t="shared" si="96"/>
        <v>317.60709511869766</v>
      </c>
      <c r="H142" s="307">
        <f t="shared" si="96"/>
        <v>369.34623344116704</v>
      </c>
      <c r="I142" s="307">
        <f t="shared" si="96"/>
        <v>408.07364058527696</v>
      </c>
      <c r="J142" s="307">
        <f t="shared" si="96"/>
        <v>412.1159420289855</v>
      </c>
      <c r="K142" s="307">
        <f t="shared" si="96"/>
        <v>412.1159420289855</v>
      </c>
      <c r="L142" s="307">
        <f t="shared" si="96"/>
        <v>412.1159420289855</v>
      </c>
      <c r="M142" s="307">
        <f t="shared" si="96"/>
        <v>412.1159420289855</v>
      </c>
      <c r="N142" s="307">
        <f t="shared" si="96"/>
        <v>412.1159420289855</v>
      </c>
      <c r="O142" s="307">
        <f t="shared" si="96"/>
        <v>412.1159420289855</v>
      </c>
      <c r="P142" s="307">
        <f t="shared" si="96"/>
        <v>412.1159420289855</v>
      </c>
      <c r="Q142" s="307">
        <f t="shared" si="96"/>
        <v>412.1159420289855</v>
      </c>
      <c r="R142" s="307">
        <f t="shared" si="96"/>
        <v>412.1159420289855</v>
      </c>
      <c r="S142" s="307">
        <f t="shared" si="96"/>
        <v>412.1159420289855</v>
      </c>
      <c r="T142" s="307">
        <f t="shared" si="96"/>
        <v>412.1159420289855</v>
      </c>
      <c r="U142" s="307">
        <f t="shared" si="96"/>
        <v>412.1159420289855</v>
      </c>
      <c r="V142" s="307">
        <f t="shared" si="96"/>
        <v>412.1159420289855</v>
      </c>
      <c r="W142" s="307">
        <f t="shared" si="96"/>
        <v>412.1159420289855</v>
      </c>
      <c r="X142" s="307">
        <f t="shared" si="96"/>
        <v>412.1159420289855</v>
      </c>
      <c r="Y142" s="307">
        <f t="shared" si="96"/>
        <v>412.1159420289855</v>
      </c>
      <c r="Z142" s="307">
        <f t="shared" si="96"/>
        <v>412.1159420289855</v>
      </c>
      <c r="AA142" s="307">
        <f t="shared" si="96"/>
        <v>412.1159420289855</v>
      </c>
      <c r="AB142" s="307">
        <f t="shared" si="96"/>
        <v>412.1159420289855</v>
      </c>
      <c r="AC142" s="307">
        <f t="shared" si="96"/>
        <v>412.1159420289855</v>
      </c>
      <c r="AD142" s="307">
        <f t="shared" si="96"/>
        <v>412.1159420289855</v>
      </c>
      <c r="AE142" s="307">
        <f t="shared" si="96"/>
        <v>412.1159420289855</v>
      </c>
      <c r="AF142" s="307">
        <f t="shared" si="96"/>
        <v>412.1159420289855</v>
      </c>
      <c r="AG142" s="307">
        <f t="shared" si="96"/>
        <v>412.1159420289855</v>
      </c>
      <c r="AH142" s="307">
        <f t="shared" si="96"/>
        <v>412.1159420289855</v>
      </c>
      <c r="AI142" s="307">
        <f t="shared" si="96"/>
        <v>412.1159420289855</v>
      </c>
      <c r="AJ142" s="307">
        <f t="shared" si="96"/>
        <v>412.1159420289855</v>
      </c>
      <c r="AK142" s="307">
        <f t="shared" si="96"/>
        <v>412.1159420289855</v>
      </c>
      <c r="AL142" s="307">
        <f t="shared" si="96"/>
        <v>412.1159420289855</v>
      </c>
      <c r="AM142" s="307">
        <f t="shared" si="96"/>
        <v>412.1159420289855</v>
      </c>
      <c r="AN142" s="307">
        <f t="shared" si="96"/>
        <v>412.1159420289855</v>
      </c>
      <c r="AO142" s="307">
        <f t="shared" si="96"/>
        <v>412.1159420289855</v>
      </c>
      <c r="AP142" s="307">
        <f t="shared" si="96"/>
        <v>412.1159420289855</v>
      </c>
      <c r="AQ142" s="307">
        <f t="shared" si="96"/>
        <v>412.1159420289855</v>
      </c>
      <c r="AR142" s="61">
        <f t="shared" si="96"/>
        <v>412.1159420289855</v>
      </c>
      <c r="AS142" s="307">
        <f t="shared" si="96"/>
        <v>412.1159420289855</v>
      </c>
      <c r="AT142" s="307">
        <f t="shared" si="96"/>
        <v>412.1159420289855</v>
      </c>
      <c r="AU142" s="307">
        <f t="shared" si="96"/>
        <v>412.1159420289855</v>
      </c>
      <c r="AV142" s="307">
        <f t="shared" si="96"/>
        <v>412.1159420289855</v>
      </c>
      <c r="AW142" s="307">
        <f t="shared" si="96"/>
        <v>412.1159420289855</v>
      </c>
      <c r="AX142" s="307">
        <f t="shared" si="96"/>
        <v>412.1159420289855</v>
      </c>
      <c r="AY142" s="307">
        <f t="shared" si="96"/>
        <v>412.1159420289855</v>
      </c>
      <c r="AZ142" s="307">
        <f t="shared" si="96"/>
        <v>412.1159420289855</v>
      </c>
      <c r="BA142" s="307">
        <f t="shared" si="96"/>
        <v>412.1159420289855</v>
      </c>
      <c r="BB142" s="307">
        <f t="shared" si="96"/>
        <v>412.1159420289855</v>
      </c>
      <c r="BC142" s="307">
        <f t="shared" si="96"/>
        <v>412.1159420289855</v>
      </c>
      <c r="BD142" s="307">
        <f t="shared" si="96"/>
        <v>412.1159420289855</v>
      </c>
      <c r="BE142" s="307">
        <f t="shared" si="96"/>
        <v>412.1159420289855</v>
      </c>
      <c r="BF142" s="307">
        <f t="shared" si="96"/>
        <v>412.1159420289855</v>
      </c>
      <c r="BG142" s="307">
        <f t="shared" si="96"/>
        <v>412.1159420289855</v>
      </c>
      <c r="BH142" s="307">
        <f t="shared" si="96"/>
        <v>412.1159420289855</v>
      </c>
      <c r="BI142" s="307">
        <f t="shared" si="96"/>
        <v>412.1159420289855</v>
      </c>
      <c r="BJ142" s="307">
        <f t="shared" si="96"/>
        <v>412.1159420289855</v>
      </c>
      <c r="BK142" s="307">
        <f>IF(BK132&lt;0,MAX(-$C$10,200000*BK132),MIN(200000*BK132,$C$10)-IF(AND($C118&lt;$C$8*BK121,$C118&gt;0),$C$9,0))</f>
        <v>412.1159420289855</v>
      </c>
      <c r="BL142" s="307">
        <f>IF(BL132&lt;0,MAX(-$C$10,200000*BL132),MIN(200000*BL132,$C$10)-IF(AND($C118&lt;$C$8*BL121,$C118&gt;0),$C$9,0))</f>
        <v>412.1159420289855</v>
      </c>
      <c r="BM142" s="307">
        <f>IF(BM132&lt;0,MAX(-$C$10,200000*BM132),MIN(200000*BM132,$C$10)-IF(AND($C118&lt;$C$8*BM121,$C118&gt;0),$C$9,0))</f>
        <v>410.95289855072463</v>
      </c>
      <c r="BN142" s="307">
        <f>IF(BN132&lt;0,MAX(-$C$10,200000*BN132),MIN(200000*BN132,$C$10)-IF(AND($C118&lt;$C$8*BN121,$C118&gt;0),$C$9,0))</f>
        <v>391.44166666666666</v>
      </c>
      <c r="BO142" s="12">
        <f>200000*BO132-C$9</f>
        <v>327.33333333333331</v>
      </c>
      <c r="BP142" s="41"/>
      <c r="BQ142" s="41"/>
      <c r="BR142" s="41"/>
    </row>
    <row r="143" spans="1:70" ht="16.5">
      <c r="A143" s="41"/>
      <c r="B143" s="11">
        <v>2</v>
      </c>
      <c r="C143" s="302" t="s">
        <v>61</v>
      </c>
      <c r="D143" s="12">
        <f t="shared" ref="D143:AI143" si="97">IF(D133&lt;0,MAX(-$C$10,200000*D133),MIN(200000*D133,$C$10)-IF(AND($D123&lt;$C$8*D121,$D123&gt;0),$C$9,0))</f>
        <v>-434.78260869565219</v>
      </c>
      <c r="E143" s="307">
        <f t="shared" si="97"/>
        <v>-434.78260869565219</v>
      </c>
      <c r="F143" s="307">
        <f t="shared" si="97"/>
        <v>-434.78260869565219</v>
      </c>
      <c r="G143" s="307">
        <f t="shared" si="97"/>
        <v>-434.78260869565219</v>
      </c>
      <c r="H143" s="307">
        <f t="shared" si="97"/>
        <v>-434.78260869565219</v>
      </c>
      <c r="I143" s="307">
        <f t="shared" si="97"/>
        <v>-434.78260869565219</v>
      </c>
      <c r="J143" s="307">
        <f t="shared" si="97"/>
        <v>-434.78260869565219</v>
      </c>
      <c r="K143" s="307">
        <f t="shared" si="97"/>
        <v>-434.78260869565219</v>
      </c>
      <c r="L143" s="307">
        <f t="shared" si="97"/>
        <v>-434.78260869565219</v>
      </c>
      <c r="M143" s="307">
        <f t="shared" si="97"/>
        <v>-434.78260869565219</v>
      </c>
      <c r="N143" s="307">
        <f t="shared" si="97"/>
        <v>-434.78260869565219</v>
      </c>
      <c r="O143" s="307">
        <f t="shared" si="97"/>
        <v>-434.78260869565219</v>
      </c>
      <c r="P143" s="307">
        <f t="shared" si="97"/>
        <v>-434.78260869565219</v>
      </c>
      <c r="Q143" s="307">
        <f t="shared" si="97"/>
        <v>-407.95612506707806</v>
      </c>
      <c r="R143" s="307">
        <f t="shared" si="97"/>
        <v>-342.6003577117213</v>
      </c>
      <c r="S143" s="307">
        <f t="shared" si="97"/>
        <v>-284.52547850587229</v>
      </c>
      <c r="T143" s="307">
        <f t="shared" si="97"/>
        <v>-232.57900390412635</v>
      </c>
      <c r="U143" s="307">
        <f t="shared" si="97"/>
        <v>-185.83949359207341</v>
      </c>
      <c r="V143" s="307">
        <f t="shared" si="97"/>
        <v>-143.56141598551559</v>
      </c>
      <c r="W143" s="307">
        <f t="shared" si="97"/>
        <v>-105.13508281645987</v>
      </c>
      <c r="X143" s="307">
        <f t="shared" si="97"/>
        <v>-70.05705710912261</v>
      </c>
      <c r="Y143" s="307">
        <f t="shared" si="97"/>
        <v>-37.907973773766379</v>
      </c>
      <c r="Z143" s="307">
        <f t="shared" si="97"/>
        <v>-8.3356933502677109</v>
      </c>
      <c r="AA143" s="307">
        <f t="shared" si="97"/>
        <v>18.957649563989797</v>
      </c>
      <c r="AB143" s="307">
        <f t="shared" si="97"/>
        <v>44.225714707217669</v>
      </c>
      <c r="AC143" s="307">
        <f t="shared" si="97"/>
        <v>67.685863381993627</v>
      </c>
      <c r="AD143" s="307">
        <f t="shared" si="97"/>
        <v>89.525427032457117</v>
      </c>
      <c r="AE143" s="307">
        <f t="shared" si="97"/>
        <v>109.90672012587294</v>
      </c>
      <c r="AF143" s="307">
        <f t="shared" si="97"/>
        <v>128.97108131611589</v>
      </c>
      <c r="AG143" s="307">
        <f t="shared" si="97"/>
        <v>124.17548910045987</v>
      </c>
      <c r="AH143" s="307">
        <f t="shared" si="97"/>
        <v>140.96191316683255</v>
      </c>
      <c r="AI143" s="307">
        <f t="shared" si="97"/>
        <v>156.75952464710105</v>
      </c>
      <c r="AJ143" s="307">
        <f t="shared" ref="AJ143:BK143" si="98">IF(AJ133&lt;0,MAX(-$C$10,200000*AJ133),MIN(200000*AJ133,$C$10)-IF(AND($D123&lt;$C$8*AJ121,$D123&gt;0),$C$9,0))</f>
        <v>171.6531936236141</v>
      </c>
      <c r="AK143" s="307">
        <f t="shared" si="98"/>
        <v>185.71834776090603</v>
      </c>
      <c r="AL143" s="307">
        <f t="shared" si="98"/>
        <v>199.02224994171937</v>
      </c>
      <c r="AM143" s="307">
        <f t="shared" si="98"/>
        <v>211.62507391955947</v>
      </c>
      <c r="AN143" s="307">
        <f t="shared" si="98"/>
        <v>223.58081428525455</v>
      </c>
      <c r="AO143" s="307">
        <f t="shared" si="98"/>
        <v>234.93805977690468</v>
      </c>
      <c r="AP143" s="307">
        <f t="shared" si="98"/>
        <v>245.74065329178868</v>
      </c>
      <c r="AQ143" s="307">
        <f t="shared" si="98"/>
        <v>256.02825750452985</v>
      </c>
      <c r="AR143" s="61">
        <f t="shared" si="98"/>
        <v>265.83684147486935</v>
      </c>
      <c r="AS143" s="307">
        <f t="shared" si="98"/>
        <v>288.65475934329203</v>
      </c>
      <c r="AT143" s="307">
        <f t="shared" si="98"/>
        <v>309.07507140269962</v>
      </c>
      <c r="AU143" s="307">
        <f t="shared" si="98"/>
        <v>327.45680961689175</v>
      </c>
      <c r="AV143" s="307">
        <f t="shared" si="98"/>
        <v>344.09072919023703</v>
      </c>
      <c r="AW143" s="307">
        <f t="shared" si="98"/>
        <v>359.21480212516735</v>
      </c>
      <c r="AX143" s="307">
        <f t="shared" si="98"/>
        <v>373.02567493395674</v>
      </c>
      <c r="AY143" s="307">
        <f t="shared" si="98"/>
        <v>385.6872659651616</v>
      </c>
      <c r="AZ143" s="307">
        <f t="shared" si="98"/>
        <v>397.33730216743942</v>
      </c>
      <c r="BA143" s="307">
        <f t="shared" si="98"/>
        <v>408.09234933479951</v>
      </c>
      <c r="BB143" s="307">
        <f t="shared" si="98"/>
        <v>412.1159420289855</v>
      </c>
      <c r="BC143" s="307">
        <f t="shared" si="98"/>
        <v>412.1159420289855</v>
      </c>
      <c r="BD143" s="307">
        <f t="shared" si="98"/>
        <v>412.1159420289855</v>
      </c>
      <c r="BE143" s="307">
        <f t="shared" si="98"/>
        <v>412.1159420289855</v>
      </c>
      <c r="BF143" s="307">
        <f t="shared" si="98"/>
        <v>412.1159420289855</v>
      </c>
      <c r="BG143" s="307">
        <f t="shared" si="98"/>
        <v>412.1159420289855</v>
      </c>
      <c r="BH143" s="307">
        <f t="shared" si="98"/>
        <v>410.04120626716963</v>
      </c>
      <c r="BI143" s="307">
        <f t="shared" si="98"/>
        <v>405.82579390170974</v>
      </c>
      <c r="BJ143" s="307">
        <f t="shared" si="98"/>
        <v>402.01924094255696</v>
      </c>
      <c r="BK143" s="307">
        <f t="shared" si="98"/>
        <v>398.56481481481484</v>
      </c>
      <c r="BL143" s="307">
        <f>IF(BL133&lt;0,MAX(-$C$10,200000*BL133),MIN(200000*BL133,$C$10)-IF(AND($D123&lt;$C$8*BL121,$D123&gt;0),$C$9,0))</f>
        <v>367.40104166666663</v>
      </c>
      <c r="BM143" s="307">
        <f>IF(BM133&lt;0,MAX(-$C$10,200000*BM133),MIN(200000*BM133,$C$10)-IF(AND($D123&lt;$C$8*BM121,$D123&gt;0),$C$9,0))</f>
        <v>355.20652173913038</v>
      </c>
      <c r="BN143" s="307">
        <f>IF(BN133&lt;0,MAX(-$C$10,200000*BN133),MIN(200000*BN133,$C$10)-IF(AND($D123&lt;$C$8*BN121,$D123&gt;0),$C$9,0))</f>
        <v>348.70277777777773</v>
      </c>
      <c r="BO143" s="12">
        <f>IF(D143=0,0,BO142)</f>
        <v>327.33333333333331</v>
      </c>
      <c r="BP143" s="43"/>
      <c r="BQ143" s="43"/>
      <c r="BR143" s="42"/>
    </row>
    <row r="144" spans="1:70" ht="16.5">
      <c r="A144" s="41"/>
      <c r="B144" s="11">
        <f t="shared" ref="B144:B150" si="99">1+B143</f>
        <v>3</v>
      </c>
      <c r="C144" s="302" t="s">
        <v>61</v>
      </c>
      <c r="D144" s="12">
        <f t="shared" ref="D144:AI144" si="100">IF(D134&lt;0,MAX(-$C$10,200000*D134),MIN(200000*D134,$C$10)-IF(AND($D124&lt;$C$8*D121,$D124&gt;0),$C$9,0))</f>
        <v>-434.78260869565219</v>
      </c>
      <c r="E144" s="307">
        <f t="shared" si="100"/>
        <v>-434.78260869565219</v>
      </c>
      <c r="F144" s="307">
        <f t="shared" si="100"/>
        <v>-434.78260869565219</v>
      </c>
      <c r="G144" s="307">
        <f t="shared" si="100"/>
        <v>-434.78260869565219</v>
      </c>
      <c r="H144" s="307">
        <f t="shared" si="100"/>
        <v>-434.78260869565219</v>
      </c>
      <c r="I144" s="307">
        <f t="shared" si="100"/>
        <v>-434.78260869565219</v>
      </c>
      <c r="J144" s="307">
        <f t="shared" si="100"/>
        <v>-434.78260869565219</v>
      </c>
      <c r="K144" s="307">
        <f t="shared" si="100"/>
        <v>-434.78260869565219</v>
      </c>
      <c r="L144" s="307">
        <f t="shared" si="100"/>
        <v>-434.78260869565219</v>
      </c>
      <c r="M144" s="307">
        <f t="shared" si="100"/>
        <v>-434.78260869565219</v>
      </c>
      <c r="N144" s="307">
        <f t="shared" si="100"/>
        <v>-434.78260869565219</v>
      </c>
      <c r="O144" s="307">
        <f t="shared" si="100"/>
        <v>-434.78260869565219</v>
      </c>
      <c r="P144" s="307">
        <f t="shared" si="100"/>
        <v>-434.78260869565219</v>
      </c>
      <c r="Q144" s="307">
        <f t="shared" si="100"/>
        <v>-434.78260869565219</v>
      </c>
      <c r="R144" s="307">
        <f t="shared" si="100"/>
        <v>-434.78260869565219</v>
      </c>
      <c r="S144" s="307">
        <f t="shared" si="100"/>
        <v>-434.78260869565219</v>
      </c>
      <c r="T144" s="307">
        <f t="shared" si="100"/>
        <v>-434.78260869565219</v>
      </c>
      <c r="U144" s="307">
        <f t="shared" si="100"/>
        <v>-434.78260869565219</v>
      </c>
      <c r="V144" s="307">
        <f t="shared" si="100"/>
        <v>-434.78260869565219</v>
      </c>
      <c r="W144" s="307">
        <f t="shared" si="100"/>
        <v>-434.78260869565219</v>
      </c>
      <c r="X144" s="307">
        <f t="shared" si="100"/>
        <v>-434.78260869565219</v>
      </c>
      <c r="Y144" s="307">
        <f t="shared" si="100"/>
        <v>-434.78260869565219</v>
      </c>
      <c r="Z144" s="307">
        <f t="shared" si="100"/>
        <v>-434.78260869565219</v>
      </c>
      <c r="AA144" s="307">
        <f t="shared" si="100"/>
        <v>-434.78260869565219</v>
      </c>
      <c r="AB144" s="307">
        <f t="shared" si="100"/>
        <v>-434.78260869565219</v>
      </c>
      <c r="AC144" s="307">
        <f t="shared" si="100"/>
        <v>-434.78260869565219</v>
      </c>
      <c r="AD144" s="307">
        <f t="shared" si="100"/>
        <v>-434.78260869565219</v>
      </c>
      <c r="AE144" s="307">
        <f t="shared" si="100"/>
        <v>-408.69585051120475</v>
      </c>
      <c r="AF144" s="307">
        <f t="shared" si="100"/>
        <v>-372.87680483629413</v>
      </c>
      <c r="AG144" s="307">
        <f t="shared" si="100"/>
        <v>-339.29976411446319</v>
      </c>
      <c r="AH144" s="307">
        <f t="shared" si="100"/>
        <v>-307.76061709811574</v>
      </c>
      <c r="AI144" s="307">
        <f t="shared" si="100"/>
        <v>-278.07929908700737</v>
      </c>
      <c r="AJ144" s="307">
        <f t="shared" ref="AJ144:BK144" si="101">IF(AJ134&lt;0,MAX(-$C$10,200000*AJ134),MIN(200000*AJ134,$C$10)-IF(AND($D124&lt;$C$8*AJ121,$D124&gt;0),$C$9,0))</f>
        <v>-250.09635205756527</v>
      </c>
      <c r="AK144" s="307">
        <f t="shared" si="101"/>
        <v>-223.67005885839106</v>
      </c>
      <c r="AL144" s="307">
        <f t="shared" si="101"/>
        <v>-198.6740427257873</v>
      </c>
      <c r="AM144" s="307">
        <f t="shared" si="101"/>
        <v>-174.99524629561114</v>
      </c>
      <c r="AN144" s="307">
        <f t="shared" si="101"/>
        <v>-152.53222191400326</v>
      </c>
      <c r="AO144" s="307">
        <f t="shared" si="101"/>
        <v>-131.19367870518121</v>
      </c>
      <c r="AP144" s="307">
        <f t="shared" si="101"/>
        <v>-110.89724250908377</v>
      </c>
      <c r="AQ144" s="307">
        <f t="shared" si="101"/>
        <v>-91.568393170550749</v>
      </c>
      <c r="AR144" s="61">
        <f t="shared" si="101"/>
        <v>-73.139550277058092</v>
      </c>
      <c r="AS144" s="307">
        <f t="shared" si="101"/>
        <v>-30.268140415515347</v>
      </c>
      <c r="AT144" s="307">
        <f t="shared" si="101"/>
        <v>8.0985314625958882</v>
      </c>
      <c r="AU144" s="307">
        <f t="shared" si="101"/>
        <v>42.635032009772573</v>
      </c>
      <c r="AV144" s="307">
        <f t="shared" si="101"/>
        <v>73.887646194158506</v>
      </c>
      <c r="AW144" s="307">
        <f t="shared" si="101"/>
        <v>102.30348734619277</v>
      </c>
      <c r="AX144" s="307">
        <f t="shared" si="101"/>
        <v>128.25202446274656</v>
      </c>
      <c r="AY144" s="307">
        <f t="shared" si="101"/>
        <v>129.37456861400571</v>
      </c>
      <c r="AZ144" s="307">
        <f t="shared" si="101"/>
        <v>151.26322119877287</v>
      </c>
      <c r="BA144" s="307">
        <f t="shared" si="101"/>
        <v>171.47032501301734</v>
      </c>
      <c r="BB144" s="307">
        <f t="shared" si="101"/>
        <v>190.18248438279898</v>
      </c>
      <c r="BC144" s="307">
        <f t="shared" si="101"/>
        <v>207.55967812764672</v>
      </c>
      <c r="BD144" s="307">
        <f t="shared" si="101"/>
        <v>221.99731165204622</v>
      </c>
      <c r="BE144" s="307">
        <f t="shared" si="101"/>
        <v>228.74082319925745</v>
      </c>
      <c r="BF144" s="307">
        <f t="shared" si="101"/>
        <v>234.6728583479248</v>
      </c>
      <c r="BG144" s="307">
        <f t="shared" si="101"/>
        <v>239.93157717821285</v>
      </c>
      <c r="BH144" s="307">
        <f t="shared" si="101"/>
        <v>244.62546039949709</v>
      </c>
      <c r="BI144" s="307">
        <f t="shared" si="101"/>
        <v>248.84087276495708</v>
      </c>
      <c r="BJ144" s="307">
        <f t="shared" si="101"/>
        <v>252.64742572410975</v>
      </c>
      <c r="BK144" s="307">
        <f t="shared" si="101"/>
        <v>256.10185185185185</v>
      </c>
      <c r="BL144" s="307">
        <f>IF(BL134&lt;0,MAX(-$C$10,200000*BL134),MIN(200000*BL134,$C$10)-IF(AND($D124&lt;$C$8*BL121,$D124&gt;0),$C$9,0))</f>
        <v>287.265625</v>
      </c>
      <c r="BM144" s="307">
        <f>IF(BM134&lt;0,MAX(-$C$10,200000*BM134),MIN(200000*BM134,$C$10)-IF(AND($D124&lt;$C$8*BM121,$D124&gt;0),$C$9,0))</f>
        <v>299.46014492753625</v>
      </c>
      <c r="BN144" s="307">
        <f>IF(BN134&lt;0,MAX(-$C$10,200000*BN134),MIN(200000*BN134,$C$10)-IF(AND($D124&lt;$C$8*BN121,$D124&gt;0),$C$9,0))</f>
        <v>305.9638888888889</v>
      </c>
      <c r="BO144" s="12">
        <f>IF(D144=0,0,BO142)</f>
        <v>327.33333333333331</v>
      </c>
      <c r="BP144" s="43"/>
      <c r="BQ144" s="43"/>
      <c r="BR144" s="42"/>
    </row>
    <row r="145" spans="1:70" ht="16.5">
      <c r="A145" s="41"/>
      <c r="B145" s="11">
        <f t="shared" si="99"/>
        <v>4</v>
      </c>
      <c r="C145" s="302" t="s">
        <v>61</v>
      </c>
      <c r="D145" s="12">
        <f t="shared" ref="D145:AI145" si="102">IF(D135&lt;0,MAX(-$C$10,200000*D135),MIN(200000*D135,$C$10)-IF(AND($D125&lt;$C$8*D121,$D125&gt;0),$C$9,0))</f>
        <v>0</v>
      </c>
      <c r="E145" s="307">
        <f t="shared" si="102"/>
        <v>0</v>
      </c>
      <c r="F145" s="307">
        <f t="shared" si="102"/>
        <v>0</v>
      </c>
      <c r="G145" s="307">
        <f t="shared" si="102"/>
        <v>0</v>
      </c>
      <c r="H145" s="307">
        <f t="shared" si="102"/>
        <v>0</v>
      </c>
      <c r="I145" s="307">
        <f t="shared" si="102"/>
        <v>0</v>
      </c>
      <c r="J145" s="307">
        <f t="shared" si="102"/>
        <v>0</v>
      </c>
      <c r="K145" s="307">
        <f t="shared" si="102"/>
        <v>0</v>
      </c>
      <c r="L145" s="307">
        <f t="shared" si="102"/>
        <v>0</v>
      </c>
      <c r="M145" s="307">
        <f t="shared" si="102"/>
        <v>0</v>
      </c>
      <c r="N145" s="307">
        <f t="shared" si="102"/>
        <v>0</v>
      </c>
      <c r="O145" s="307">
        <f t="shared" si="102"/>
        <v>0</v>
      </c>
      <c r="P145" s="307">
        <f t="shared" si="102"/>
        <v>0</v>
      </c>
      <c r="Q145" s="307">
        <f t="shared" si="102"/>
        <v>0</v>
      </c>
      <c r="R145" s="307">
        <f t="shared" si="102"/>
        <v>0</v>
      </c>
      <c r="S145" s="307">
        <f t="shared" si="102"/>
        <v>0</v>
      </c>
      <c r="T145" s="307">
        <f t="shared" si="102"/>
        <v>0</v>
      </c>
      <c r="U145" s="307">
        <f t="shared" si="102"/>
        <v>0</v>
      </c>
      <c r="V145" s="307">
        <f t="shared" si="102"/>
        <v>0</v>
      </c>
      <c r="W145" s="307">
        <f t="shared" si="102"/>
        <v>0</v>
      </c>
      <c r="X145" s="307">
        <f t="shared" si="102"/>
        <v>0</v>
      </c>
      <c r="Y145" s="307">
        <f t="shared" si="102"/>
        <v>0</v>
      </c>
      <c r="Z145" s="307">
        <f t="shared" si="102"/>
        <v>0</v>
      </c>
      <c r="AA145" s="307">
        <f t="shared" si="102"/>
        <v>0</v>
      </c>
      <c r="AB145" s="307">
        <f t="shared" si="102"/>
        <v>0</v>
      </c>
      <c r="AC145" s="307">
        <f t="shared" si="102"/>
        <v>0</v>
      </c>
      <c r="AD145" s="307">
        <f t="shared" si="102"/>
        <v>0</v>
      </c>
      <c r="AE145" s="307">
        <f t="shared" si="102"/>
        <v>0</v>
      </c>
      <c r="AF145" s="307">
        <f t="shared" si="102"/>
        <v>0</v>
      </c>
      <c r="AG145" s="307">
        <f t="shared" si="102"/>
        <v>0</v>
      </c>
      <c r="AH145" s="307">
        <f t="shared" si="102"/>
        <v>0</v>
      </c>
      <c r="AI145" s="307">
        <f t="shared" si="102"/>
        <v>0</v>
      </c>
      <c r="AJ145" s="307">
        <f t="shared" ref="AJ145:BK145" si="103">IF(AJ135&lt;0,MAX(-$C$10,200000*AJ135),MIN(200000*AJ135,$C$10)-IF(AND($D125&lt;$C$8*AJ121,$D125&gt;0),$C$9,0))</f>
        <v>0</v>
      </c>
      <c r="AK145" s="307">
        <f t="shared" si="103"/>
        <v>0</v>
      </c>
      <c r="AL145" s="307">
        <f t="shared" si="103"/>
        <v>0</v>
      </c>
      <c r="AM145" s="307">
        <f t="shared" si="103"/>
        <v>0</v>
      </c>
      <c r="AN145" s="307">
        <f t="shared" si="103"/>
        <v>0</v>
      </c>
      <c r="AO145" s="307">
        <f t="shared" si="103"/>
        <v>0</v>
      </c>
      <c r="AP145" s="307">
        <f t="shared" si="103"/>
        <v>0</v>
      </c>
      <c r="AQ145" s="307">
        <f t="shared" si="103"/>
        <v>0</v>
      </c>
      <c r="AR145" s="61">
        <f t="shared" si="103"/>
        <v>0</v>
      </c>
      <c r="AS145" s="307">
        <f t="shared" si="103"/>
        <v>0</v>
      </c>
      <c r="AT145" s="307">
        <f t="shared" si="103"/>
        <v>0</v>
      </c>
      <c r="AU145" s="307">
        <f t="shared" si="103"/>
        <v>0</v>
      </c>
      <c r="AV145" s="307">
        <f t="shared" si="103"/>
        <v>0</v>
      </c>
      <c r="AW145" s="307">
        <f t="shared" si="103"/>
        <v>0</v>
      </c>
      <c r="AX145" s="307">
        <f t="shared" si="103"/>
        <v>0</v>
      </c>
      <c r="AY145" s="307">
        <f t="shared" si="103"/>
        <v>0</v>
      </c>
      <c r="AZ145" s="307">
        <f t="shared" si="103"/>
        <v>0</v>
      </c>
      <c r="BA145" s="307">
        <f t="shared" si="103"/>
        <v>0</v>
      </c>
      <c r="BB145" s="307">
        <f t="shared" si="103"/>
        <v>0</v>
      </c>
      <c r="BC145" s="307">
        <f t="shared" si="103"/>
        <v>0</v>
      </c>
      <c r="BD145" s="307">
        <f t="shared" si="103"/>
        <v>0</v>
      </c>
      <c r="BE145" s="307">
        <f t="shared" si="103"/>
        <v>0</v>
      </c>
      <c r="BF145" s="307">
        <f t="shared" si="103"/>
        <v>0</v>
      </c>
      <c r="BG145" s="307">
        <f t="shared" si="103"/>
        <v>0</v>
      </c>
      <c r="BH145" s="307">
        <f t="shared" si="103"/>
        <v>0</v>
      </c>
      <c r="BI145" s="307">
        <f t="shared" si="103"/>
        <v>0</v>
      </c>
      <c r="BJ145" s="307">
        <f t="shared" si="103"/>
        <v>0</v>
      </c>
      <c r="BK145" s="307">
        <f t="shared" si="103"/>
        <v>0</v>
      </c>
      <c r="BL145" s="307">
        <f>IF(BL135&lt;0,MAX(-$C$10,200000*BL135),MIN(200000*BL135,$C$10)-IF(AND($D125&lt;$C$8*BL121,$D125&gt;0),$C$9,0))</f>
        <v>0</v>
      </c>
      <c r="BM145" s="307">
        <f>IF(BM135&lt;0,MAX(-$C$10,200000*BM135),MIN(200000*BM135,$C$10)-IF(AND($D125&lt;$C$8*BM121,$D125&gt;0),$C$9,0))</f>
        <v>0</v>
      </c>
      <c r="BN145" s="307">
        <f>IF(BN135&lt;0,MAX(-$C$10,200000*BN135),MIN(200000*BN135,$C$10)-IF(AND($D125&lt;$C$8*BN121,$D125&gt;0),$C$9,0))</f>
        <v>0</v>
      </c>
      <c r="BO145" s="12">
        <f>IF(D145=0,0,BO142)</f>
        <v>0</v>
      </c>
      <c r="BP145" s="43"/>
      <c r="BQ145" s="43"/>
      <c r="BR145" s="42"/>
    </row>
    <row r="146" spans="1:70" ht="16.5">
      <c r="A146" s="41"/>
      <c r="B146" s="11">
        <f t="shared" si="99"/>
        <v>5</v>
      </c>
      <c r="C146" s="302" t="s">
        <v>61</v>
      </c>
      <c r="D146" s="12">
        <f t="shared" ref="D146:AI146" si="104">IF(D136&lt;0,MAX(-$C$10,200000*D136),MIN(200000*D136,$C$10)-IF(AND($D126&lt;$C$8*D121,$D126&gt;0),$C$9,0))</f>
        <v>0</v>
      </c>
      <c r="E146" s="307">
        <f t="shared" si="104"/>
        <v>0</v>
      </c>
      <c r="F146" s="307">
        <f t="shared" si="104"/>
        <v>0</v>
      </c>
      <c r="G146" s="307">
        <f t="shared" si="104"/>
        <v>0</v>
      </c>
      <c r="H146" s="307">
        <f t="shared" si="104"/>
        <v>0</v>
      </c>
      <c r="I146" s="307">
        <f t="shared" si="104"/>
        <v>0</v>
      </c>
      <c r="J146" s="307">
        <f t="shared" si="104"/>
        <v>0</v>
      </c>
      <c r="K146" s="307">
        <f t="shared" si="104"/>
        <v>0</v>
      </c>
      <c r="L146" s="307">
        <f t="shared" si="104"/>
        <v>0</v>
      </c>
      <c r="M146" s="307">
        <f t="shared" si="104"/>
        <v>0</v>
      </c>
      <c r="N146" s="307">
        <f t="shared" si="104"/>
        <v>0</v>
      </c>
      <c r="O146" s="307">
        <f t="shared" si="104"/>
        <v>0</v>
      </c>
      <c r="P146" s="307">
        <f t="shared" si="104"/>
        <v>0</v>
      </c>
      <c r="Q146" s="307">
        <f t="shared" si="104"/>
        <v>0</v>
      </c>
      <c r="R146" s="307">
        <f t="shared" si="104"/>
        <v>0</v>
      </c>
      <c r="S146" s="307">
        <f t="shared" si="104"/>
        <v>0</v>
      </c>
      <c r="T146" s="307">
        <f t="shared" si="104"/>
        <v>0</v>
      </c>
      <c r="U146" s="307">
        <f t="shared" si="104"/>
        <v>0</v>
      </c>
      <c r="V146" s="307">
        <f t="shared" si="104"/>
        <v>0</v>
      </c>
      <c r="W146" s="307">
        <f t="shared" si="104"/>
        <v>0</v>
      </c>
      <c r="X146" s="307">
        <f t="shared" si="104"/>
        <v>0</v>
      </c>
      <c r="Y146" s="307">
        <f t="shared" si="104"/>
        <v>0</v>
      </c>
      <c r="Z146" s="307">
        <f t="shared" si="104"/>
        <v>0</v>
      </c>
      <c r="AA146" s="307">
        <f t="shared" si="104"/>
        <v>0</v>
      </c>
      <c r="AB146" s="307">
        <f t="shared" si="104"/>
        <v>0</v>
      </c>
      <c r="AC146" s="307">
        <f t="shared" si="104"/>
        <v>0</v>
      </c>
      <c r="AD146" s="307">
        <f t="shared" si="104"/>
        <v>0</v>
      </c>
      <c r="AE146" s="307">
        <f t="shared" si="104"/>
        <v>0</v>
      </c>
      <c r="AF146" s="307">
        <f t="shared" si="104"/>
        <v>0</v>
      </c>
      <c r="AG146" s="307">
        <f t="shared" si="104"/>
        <v>0</v>
      </c>
      <c r="AH146" s="307">
        <f t="shared" si="104"/>
        <v>0</v>
      </c>
      <c r="AI146" s="307">
        <f t="shared" si="104"/>
        <v>0</v>
      </c>
      <c r="AJ146" s="307">
        <f t="shared" ref="AJ146:BK146" si="105">IF(AJ136&lt;0,MAX(-$C$10,200000*AJ136),MIN(200000*AJ136,$C$10)-IF(AND($D126&lt;$C$8*AJ121,$D126&gt;0),$C$9,0))</f>
        <v>0</v>
      </c>
      <c r="AK146" s="307">
        <f t="shared" si="105"/>
        <v>0</v>
      </c>
      <c r="AL146" s="307">
        <f t="shared" si="105"/>
        <v>0</v>
      </c>
      <c r="AM146" s="307">
        <f t="shared" si="105"/>
        <v>0</v>
      </c>
      <c r="AN146" s="307">
        <f t="shared" si="105"/>
        <v>0</v>
      </c>
      <c r="AO146" s="307">
        <f t="shared" si="105"/>
        <v>0</v>
      </c>
      <c r="AP146" s="307">
        <f t="shared" si="105"/>
        <v>0</v>
      </c>
      <c r="AQ146" s="307">
        <f t="shared" si="105"/>
        <v>0</v>
      </c>
      <c r="AR146" s="61">
        <f t="shared" si="105"/>
        <v>0</v>
      </c>
      <c r="AS146" s="307">
        <f t="shared" si="105"/>
        <v>0</v>
      </c>
      <c r="AT146" s="307">
        <f t="shared" si="105"/>
        <v>0</v>
      </c>
      <c r="AU146" s="307">
        <f t="shared" si="105"/>
        <v>0</v>
      </c>
      <c r="AV146" s="307">
        <f t="shared" si="105"/>
        <v>0</v>
      </c>
      <c r="AW146" s="307">
        <f t="shared" si="105"/>
        <v>0</v>
      </c>
      <c r="AX146" s="307">
        <f t="shared" si="105"/>
        <v>0</v>
      </c>
      <c r="AY146" s="307">
        <f t="shared" si="105"/>
        <v>0</v>
      </c>
      <c r="AZ146" s="307">
        <f t="shared" si="105"/>
        <v>0</v>
      </c>
      <c r="BA146" s="307">
        <f t="shared" si="105"/>
        <v>0</v>
      </c>
      <c r="BB146" s="307">
        <f t="shared" si="105"/>
        <v>0</v>
      </c>
      <c r="BC146" s="307">
        <f t="shared" si="105"/>
        <v>0</v>
      </c>
      <c r="BD146" s="307">
        <f t="shared" si="105"/>
        <v>0</v>
      </c>
      <c r="BE146" s="307">
        <f t="shared" si="105"/>
        <v>0</v>
      </c>
      <c r="BF146" s="307">
        <f t="shared" si="105"/>
        <v>0</v>
      </c>
      <c r="BG146" s="307">
        <f t="shared" si="105"/>
        <v>0</v>
      </c>
      <c r="BH146" s="307">
        <f t="shared" si="105"/>
        <v>0</v>
      </c>
      <c r="BI146" s="307">
        <f t="shared" si="105"/>
        <v>0</v>
      </c>
      <c r="BJ146" s="307">
        <f t="shared" si="105"/>
        <v>0</v>
      </c>
      <c r="BK146" s="307">
        <f t="shared" si="105"/>
        <v>0</v>
      </c>
      <c r="BL146" s="307">
        <f>IF(BL136&lt;0,MAX(-$C$10,200000*BL136),MIN(200000*BL136,$C$10)-IF(AND($D126&lt;$C$8*BL121,$D126&gt;0),$C$9,0))</f>
        <v>0</v>
      </c>
      <c r="BM146" s="307">
        <f>IF(BM136&lt;0,MAX(-$C$10,200000*BM136),MIN(200000*BM136,$C$10)-IF(AND($D126&lt;$C$8*BM121,$D126&gt;0),$C$9,0))</f>
        <v>0</v>
      </c>
      <c r="BN146" s="307">
        <f>IF(BN136&lt;0,MAX(-$C$10,200000*BN136),MIN(200000*BN136,$C$10)-IF(AND($D126&lt;$C$8*BN121,$D126&gt;0),$C$9,0))</f>
        <v>0</v>
      </c>
      <c r="BO146" s="12">
        <f>IF(D146=0,0,BO142)</f>
        <v>0</v>
      </c>
      <c r="BP146" s="43"/>
      <c r="BQ146" s="43"/>
      <c r="BR146" s="42"/>
    </row>
    <row r="147" spans="1:70" ht="16.5">
      <c r="A147" s="41"/>
      <c r="B147" s="11">
        <f t="shared" si="99"/>
        <v>6</v>
      </c>
      <c r="C147" s="302" t="s">
        <v>61</v>
      </c>
      <c r="D147" s="12">
        <f t="shared" ref="D147:AI147" si="106">IF(D137&lt;0,MAX(-$C$10,200000*D137),MIN(200000*D137,$C$10)-IF(AND($D127&lt;$C$8*D121,$D127&gt;0),$C$9,0))</f>
        <v>0</v>
      </c>
      <c r="E147" s="307">
        <f t="shared" si="106"/>
        <v>0</v>
      </c>
      <c r="F147" s="307">
        <f t="shared" si="106"/>
        <v>0</v>
      </c>
      <c r="G147" s="307">
        <f t="shared" si="106"/>
        <v>0</v>
      </c>
      <c r="H147" s="307">
        <f t="shared" si="106"/>
        <v>0</v>
      </c>
      <c r="I147" s="307">
        <f t="shared" si="106"/>
        <v>0</v>
      </c>
      <c r="J147" s="307">
        <f t="shared" si="106"/>
        <v>0</v>
      </c>
      <c r="K147" s="307">
        <f t="shared" si="106"/>
        <v>0</v>
      </c>
      <c r="L147" s="307">
        <f t="shared" si="106"/>
        <v>0</v>
      </c>
      <c r="M147" s="307">
        <f t="shared" si="106"/>
        <v>0</v>
      </c>
      <c r="N147" s="307">
        <f t="shared" si="106"/>
        <v>0</v>
      </c>
      <c r="O147" s="307">
        <f t="shared" si="106"/>
        <v>0</v>
      </c>
      <c r="P147" s="307">
        <f t="shared" si="106"/>
        <v>0</v>
      </c>
      <c r="Q147" s="307">
        <f t="shared" si="106"/>
        <v>0</v>
      </c>
      <c r="R147" s="307">
        <f t="shared" si="106"/>
        <v>0</v>
      </c>
      <c r="S147" s="307">
        <f t="shared" si="106"/>
        <v>0</v>
      </c>
      <c r="T147" s="307">
        <f t="shared" si="106"/>
        <v>0</v>
      </c>
      <c r="U147" s="307">
        <f t="shared" si="106"/>
        <v>0</v>
      </c>
      <c r="V147" s="307">
        <f t="shared" si="106"/>
        <v>0</v>
      </c>
      <c r="W147" s="307">
        <f t="shared" si="106"/>
        <v>0</v>
      </c>
      <c r="X147" s="307">
        <f t="shared" si="106"/>
        <v>0</v>
      </c>
      <c r="Y147" s="307">
        <f t="shared" si="106"/>
        <v>0</v>
      </c>
      <c r="Z147" s="307">
        <f t="shared" si="106"/>
        <v>0</v>
      </c>
      <c r="AA147" s="307">
        <f t="shared" si="106"/>
        <v>0</v>
      </c>
      <c r="AB147" s="307">
        <f t="shared" si="106"/>
        <v>0</v>
      </c>
      <c r="AC147" s="307">
        <f t="shared" si="106"/>
        <v>0</v>
      </c>
      <c r="AD147" s="307">
        <f t="shared" si="106"/>
        <v>0</v>
      </c>
      <c r="AE147" s="307">
        <f t="shared" si="106"/>
        <v>0</v>
      </c>
      <c r="AF147" s="307">
        <f t="shared" si="106"/>
        <v>0</v>
      </c>
      <c r="AG147" s="307">
        <f t="shared" si="106"/>
        <v>0</v>
      </c>
      <c r="AH147" s="307">
        <f t="shared" si="106"/>
        <v>0</v>
      </c>
      <c r="AI147" s="307">
        <f t="shared" si="106"/>
        <v>0</v>
      </c>
      <c r="AJ147" s="307">
        <f t="shared" ref="AJ147:BK147" si="107">IF(AJ137&lt;0,MAX(-$C$10,200000*AJ137),MIN(200000*AJ137,$C$10)-IF(AND($D127&lt;$C$8*AJ121,$D127&gt;0),$C$9,0))</f>
        <v>0</v>
      </c>
      <c r="AK147" s="307">
        <f t="shared" si="107"/>
        <v>0</v>
      </c>
      <c r="AL147" s="307">
        <f t="shared" si="107"/>
        <v>0</v>
      </c>
      <c r="AM147" s="307">
        <f t="shared" si="107"/>
        <v>0</v>
      </c>
      <c r="AN147" s="307">
        <f t="shared" si="107"/>
        <v>0</v>
      </c>
      <c r="AO147" s="307">
        <f t="shared" si="107"/>
        <v>0</v>
      </c>
      <c r="AP147" s="307">
        <f t="shared" si="107"/>
        <v>0</v>
      </c>
      <c r="AQ147" s="307">
        <f t="shared" si="107"/>
        <v>0</v>
      </c>
      <c r="AR147" s="61">
        <f t="shared" si="107"/>
        <v>0</v>
      </c>
      <c r="AS147" s="307">
        <f t="shared" si="107"/>
        <v>0</v>
      </c>
      <c r="AT147" s="307">
        <f t="shared" si="107"/>
        <v>0</v>
      </c>
      <c r="AU147" s="307">
        <f t="shared" si="107"/>
        <v>0</v>
      </c>
      <c r="AV147" s="307">
        <f t="shared" si="107"/>
        <v>0</v>
      </c>
      <c r="AW147" s="307">
        <f t="shared" si="107"/>
        <v>0</v>
      </c>
      <c r="AX147" s="307">
        <f t="shared" si="107"/>
        <v>0</v>
      </c>
      <c r="AY147" s="307">
        <f t="shared" si="107"/>
        <v>0</v>
      </c>
      <c r="AZ147" s="307">
        <f t="shared" si="107"/>
        <v>0</v>
      </c>
      <c r="BA147" s="307">
        <f t="shared" si="107"/>
        <v>0</v>
      </c>
      <c r="BB147" s="307">
        <f t="shared" si="107"/>
        <v>0</v>
      </c>
      <c r="BC147" s="307">
        <f t="shared" si="107"/>
        <v>0</v>
      </c>
      <c r="BD147" s="307">
        <f t="shared" si="107"/>
        <v>0</v>
      </c>
      <c r="BE147" s="307">
        <f t="shared" si="107"/>
        <v>0</v>
      </c>
      <c r="BF147" s="307">
        <f t="shared" si="107"/>
        <v>0</v>
      </c>
      <c r="BG147" s="307">
        <f t="shared" si="107"/>
        <v>0</v>
      </c>
      <c r="BH147" s="307">
        <f t="shared" si="107"/>
        <v>0</v>
      </c>
      <c r="BI147" s="307">
        <f t="shared" si="107"/>
        <v>0</v>
      </c>
      <c r="BJ147" s="307">
        <f t="shared" si="107"/>
        <v>0</v>
      </c>
      <c r="BK147" s="307">
        <f t="shared" si="107"/>
        <v>0</v>
      </c>
      <c r="BL147" s="307">
        <f>IF(BL137&lt;0,MAX(-$C$10,200000*BL137),MIN(200000*BL137,$C$10)-IF(AND($D127&lt;$C$8*BL121,$D127&gt;0),$C$9,0))</f>
        <v>0</v>
      </c>
      <c r="BM147" s="307">
        <f>IF(BM137&lt;0,MAX(-$C$10,200000*BM137),MIN(200000*BM137,$C$10)-IF(AND($D127&lt;$C$8*BM121,$D127&gt;0),$C$9,0))</f>
        <v>0</v>
      </c>
      <c r="BN147" s="307">
        <f>IF(BN137&lt;0,MAX(-$C$10,200000*BN137),MIN(200000*BN137,$C$10)-IF(AND($D127&lt;$C$8*BN121,$D127&gt;0),$C$9,0))</f>
        <v>0</v>
      </c>
      <c r="BO147" s="12">
        <f>IF(D147=0,0,BO142)</f>
        <v>0</v>
      </c>
      <c r="BP147" s="43"/>
      <c r="BQ147" s="43"/>
      <c r="BR147" s="42"/>
    </row>
    <row r="148" spans="1:70" ht="16.5">
      <c r="A148" s="41"/>
      <c r="B148" s="11">
        <f t="shared" si="99"/>
        <v>7</v>
      </c>
      <c r="C148" s="302" t="s">
        <v>61</v>
      </c>
      <c r="D148" s="12">
        <f t="shared" ref="D148:AI148" si="108">IF(D138&lt;0,MAX(-$C$10,200000*D138),MIN(200000*D138,$C$10)-IF(AND($D128&lt;$C$8*D121,$D128&gt;0),$C$9,0))</f>
        <v>0</v>
      </c>
      <c r="E148" s="307">
        <f t="shared" si="108"/>
        <v>0</v>
      </c>
      <c r="F148" s="307">
        <f t="shared" si="108"/>
        <v>0</v>
      </c>
      <c r="G148" s="307">
        <f t="shared" si="108"/>
        <v>0</v>
      </c>
      <c r="H148" s="307">
        <f t="shared" si="108"/>
        <v>0</v>
      </c>
      <c r="I148" s="307">
        <f t="shared" si="108"/>
        <v>0</v>
      </c>
      <c r="J148" s="307">
        <f t="shared" si="108"/>
        <v>0</v>
      </c>
      <c r="K148" s="307">
        <f t="shared" si="108"/>
        <v>0</v>
      </c>
      <c r="L148" s="307">
        <f t="shared" si="108"/>
        <v>0</v>
      </c>
      <c r="M148" s="307">
        <f t="shared" si="108"/>
        <v>0</v>
      </c>
      <c r="N148" s="307">
        <f t="shared" si="108"/>
        <v>0</v>
      </c>
      <c r="O148" s="307">
        <f t="shared" si="108"/>
        <v>0</v>
      </c>
      <c r="P148" s="307">
        <f t="shared" si="108"/>
        <v>0</v>
      </c>
      <c r="Q148" s="307">
        <f t="shared" si="108"/>
        <v>0</v>
      </c>
      <c r="R148" s="307">
        <f t="shared" si="108"/>
        <v>0</v>
      </c>
      <c r="S148" s="307">
        <f t="shared" si="108"/>
        <v>0</v>
      </c>
      <c r="T148" s="307">
        <f t="shared" si="108"/>
        <v>0</v>
      </c>
      <c r="U148" s="307">
        <f t="shared" si="108"/>
        <v>0</v>
      </c>
      <c r="V148" s="307">
        <f t="shared" si="108"/>
        <v>0</v>
      </c>
      <c r="W148" s="307">
        <f t="shared" si="108"/>
        <v>0</v>
      </c>
      <c r="X148" s="307">
        <f t="shared" si="108"/>
        <v>0</v>
      </c>
      <c r="Y148" s="307">
        <f t="shared" si="108"/>
        <v>0</v>
      </c>
      <c r="Z148" s="307">
        <f t="shared" si="108"/>
        <v>0</v>
      </c>
      <c r="AA148" s="307">
        <f t="shared" si="108"/>
        <v>0</v>
      </c>
      <c r="AB148" s="307">
        <f t="shared" si="108"/>
        <v>0</v>
      </c>
      <c r="AC148" s="307">
        <f t="shared" si="108"/>
        <v>0</v>
      </c>
      <c r="AD148" s="307">
        <f t="shared" si="108"/>
        <v>0</v>
      </c>
      <c r="AE148" s="307">
        <f t="shared" si="108"/>
        <v>0</v>
      </c>
      <c r="AF148" s="307">
        <f t="shared" si="108"/>
        <v>0</v>
      </c>
      <c r="AG148" s="307">
        <f t="shared" si="108"/>
        <v>0</v>
      </c>
      <c r="AH148" s="307">
        <f t="shared" si="108"/>
        <v>0</v>
      </c>
      <c r="AI148" s="307">
        <f t="shared" si="108"/>
        <v>0</v>
      </c>
      <c r="AJ148" s="307">
        <f t="shared" ref="AJ148:BK148" si="109">IF(AJ138&lt;0,MAX(-$C$10,200000*AJ138),MIN(200000*AJ138,$C$10)-IF(AND($D128&lt;$C$8*AJ121,$D128&gt;0),$C$9,0))</f>
        <v>0</v>
      </c>
      <c r="AK148" s="307">
        <f t="shared" si="109"/>
        <v>0</v>
      </c>
      <c r="AL148" s="307">
        <f t="shared" si="109"/>
        <v>0</v>
      </c>
      <c r="AM148" s="307">
        <f t="shared" si="109"/>
        <v>0</v>
      </c>
      <c r="AN148" s="307">
        <f t="shared" si="109"/>
        <v>0</v>
      </c>
      <c r="AO148" s="307">
        <f t="shared" si="109"/>
        <v>0</v>
      </c>
      <c r="AP148" s="307">
        <f t="shared" si="109"/>
        <v>0</v>
      </c>
      <c r="AQ148" s="307">
        <f t="shared" si="109"/>
        <v>0</v>
      </c>
      <c r="AR148" s="61">
        <f t="shared" si="109"/>
        <v>0</v>
      </c>
      <c r="AS148" s="307">
        <f t="shared" si="109"/>
        <v>0</v>
      </c>
      <c r="AT148" s="307">
        <f t="shared" si="109"/>
        <v>0</v>
      </c>
      <c r="AU148" s="307">
        <f t="shared" si="109"/>
        <v>0</v>
      </c>
      <c r="AV148" s="307">
        <f t="shared" si="109"/>
        <v>0</v>
      </c>
      <c r="AW148" s="307">
        <f t="shared" si="109"/>
        <v>0</v>
      </c>
      <c r="AX148" s="307">
        <f t="shared" si="109"/>
        <v>0</v>
      </c>
      <c r="AY148" s="307">
        <f t="shared" si="109"/>
        <v>0</v>
      </c>
      <c r="AZ148" s="307">
        <f t="shared" si="109"/>
        <v>0</v>
      </c>
      <c r="BA148" s="307">
        <f t="shared" si="109"/>
        <v>0</v>
      </c>
      <c r="BB148" s="307">
        <f t="shared" si="109"/>
        <v>0</v>
      </c>
      <c r="BC148" s="307">
        <f t="shared" si="109"/>
        <v>0</v>
      </c>
      <c r="BD148" s="307">
        <f t="shared" si="109"/>
        <v>0</v>
      </c>
      <c r="BE148" s="307">
        <f t="shared" si="109"/>
        <v>0</v>
      </c>
      <c r="BF148" s="307">
        <f t="shared" si="109"/>
        <v>0</v>
      </c>
      <c r="BG148" s="307">
        <f t="shared" si="109"/>
        <v>0</v>
      </c>
      <c r="BH148" s="307">
        <f t="shared" si="109"/>
        <v>0</v>
      </c>
      <c r="BI148" s="307">
        <f t="shared" si="109"/>
        <v>0</v>
      </c>
      <c r="BJ148" s="307">
        <f t="shared" si="109"/>
        <v>0</v>
      </c>
      <c r="BK148" s="307">
        <f t="shared" si="109"/>
        <v>0</v>
      </c>
      <c r="BL148" s="307">
        <f>IF(BL138&lt;0,MAX(-$C$10,200000*BL138),MIN(200000*BL138,$C$10)-IF(AND($D128&lt;$C$8*BL121,$D128&gt;0),$C$9,0))</f>
        <v>0</v>
      </c>
      <c r="BM148" s="307">
        <f>IF(BM138&lt;0,MAX(-$C$10,200000*BM138),MIN(200000*BM138,$C$10)-IF(AND($D128&lt;$C$8*BM121,$D128&gt;0),$C$9,0))</f>
        <v>0</v>
      </c>
      <c r="BN148" s="307">
        <f>IF(BN138&lt;0,MAX(-$C$10,200000*BN138),MIN(200000*BN138,$C$10)-IF(AND($D128&lt;$C$8*BN121,$D128&gt;0),$C$9,0))</f>
        <v>0</v>
      </c>
      <c r="BO148" s="12">
        <f>IF(D148=0,0,BO142)</f>
        <v>0</v>
      </c>
      <c r="BP148" s="43"/>
      <c r="BQ148" s="43"/>
      <c r="BR148" s="42"/>
    </row>
    <row r="149" spans="1:70" ht="16.5">
      <c r="A149" s="41"/>
      <c r="B149" s="11">
        <f t="shared" si="99"/>
        <v>8</v>
      </c>
      <c r="C149" s="302" t="s">
        <v>61</v>
      </c>
      <c r="D149" s="12">
        <f t="shared" ref="D149:AI149" si="110">IF(D139&lt;0,MAX(-$C$10,200000*D139),MIN(200000*D139,$C$10)-IF(AND($D129&lt;$C$8*D121,$D129&gt;0),$C$9,0))</f>
        <v>0</v>
      </c>
      <c r="E149" s="307">
        <f t="shared" si="110"/>
        <v>0</v>
      </c>
      <c r="F149" s="307">
        <f t="shared" si="110"/>
        <v>0</v>
      </c>
      <c r="G149" s="307">
        <f t="shared" si="110"/>
        <v>0</v>
      </c>
      <c r="H149" s="307">
        <f t="shared" si="110"/>
        <v>0</v>
      </c>
      <c r="I149" s="307">
        <f t="shared" si="110"/>
        <v>0</v>
      </c>
      <c r="J149" s="307">
        <f t="shared" si="110"/>
        <v>0</v>
      </c>
      <c r="K149" s="307">
        <f t="shared" si="110"/>
        <v>0</v>
      </c>
      <c r="L149" s="307">
        <f t="shared" si="110"/>
        <v>0</v>
      </c>
      <c r="M149" s="307">
        <f t="shared" si="110"/>
        <v>0</v>
      </c>
      <c r="N149" s="307">
        <f t="shared" si="110"/>
        <v>0</v>
      </c>
      <c r="O149" s="307">
        <f t="shared" si="110"/>
        <v>0</v>
      </c>
      <c r="P149" s="307">
        <f t="shared" si="110"/>
        <v>0</v>
      </c>
      <c r="Q149" s="307">
        <f t="shared" si="110"/>
        <v>0</v>
      </c>
      <c r="R149" s="307">
        <f t="shared" si="110"/>
        <v>0</v>
      </c>
      <c r="S149" s="307">
        <f t="shared" si="110"/>
        <v>0</v>
      </c>
      <c r="T149" s="307">
        <f t="shared" si="110"/>
        <v>0</v>
      </c>
      <c r="U149" s="307">
        <f t="shared" si="110"/>
        <v>0</v>
      </c>
      <c r="V149" s="307">
        <f t="shared" si="110"/>
        <v>0</v>
      </c>
      <c r="W149" s="307">
        <f t="shared" si="110"/>
        <v>0</v>
      </c>
      <c r="X149" s="307">
        <f t="shared" si="110"/>
        <v>0</v>
      </c>
      <c r="Y149" s="307">
        <f t="shared" si="110"/>
        <v>0</v>
      </c>
      <c r="Z149" s="307">
        <f t="shared" si="110"/>
        <v>0</v>
      </c>
      <c r="AA149" s="307">
        <f t="shared" si="110"/>
        <v>0</v>
      </c>
      <c r="AB149" s="307">
        <f t="shared" si="110"/>
        <v>0</v>
      </c>
      <c r="AC149" s="307">
        <f t="shared" si="110"/>
        <v>0</v>
      </c>
      <c r="AD149" s="307">
        <f t="shared" si="110"/>
        <v>0</v>
      </c>
      <c r="AE149" s="307">
        <f t="shared" si="110"/>
        <v>0</v>
      </c>
      <c r="AF149" s="307">
        <f t="shared" si="110"/>
        <v>0</v>
      </c>
      <c r="AG149" s="307">
        <f t="shared" si="110"/>
        <v>0</v>
      </c>
      <c r="AH149" s="307">
        <f t="shared" si="110"/>
        <v>0</v>
      </c>
      <c r="AI149" s="307">
        <f t="shared" si="110"/>
        <v>0</v>
      </c>
      <c r="AJ149" s="307">
        <f t="shared" ref="AJ149:BK149" si="111">IF(AJ139&lt;0,MAX(-$C$10,200000*AJ139),MIN(200000*AJ139,$C$10)-IF(AND($D129&lt;$C$8*AJ121,$D129&gt;0),$C$9,0))</f>
        <v>0</v>
      </c>
      <c r="AK149" s="307">
        <f t="shared" si="111"/>
        <v>0</v>
      </c>
      <c r="AL149" s="307">
        <f t="shared" si="111"/>
        <v>0</v>
      </c>
      <c r="AM149" s="307">
        <f t="shared" si="111"/>
        <v>0</v>
      </c>
      <c r="AN149" s="307">
        <f t="shared" si="111"/>
        <v>0</v>
      </c>
      <c r="AO149" s="307">
        <f t="shared" si="111"/>
        <v>0</v>
      </c>
      <c r="AP149" s="307">
        <f t="shared" si="111"/>
        <v>0</v>
      </c>
      <c r="AQ149" s="307">
        <f t="shared" si="111"/>
        <v>0</v>
      </c>
      <c r="AR149" s="61">
        <f t="shared" si="111"/>
        <v>0</v>
      </c>
      <c r="AS149" s="307">
        <f t="shared" si="111"/>
        <v>0</v>
      </c>
      <c r="AT149" s="307">
        <f t="shared" si="111"/>
        <v>0</v>
      </c>
      <c r="AU149" s="307">
        <f t="shared" si="111"/>
        <v>0</v>
      </c>
      <c r="AV149" s="307">
        <f t="shared" si="111"/>
        <v>0</v>
      </c>
      <c r="AW149" s="307">
        <f t="shared" si="111"/>
        <v>0</v>
      </c>
      <c r="AX149" s="307">
        <f t="shared" si="111"/>
        <v>0</v>
      </c>
      <c r="AY149" s="307">
        <f t="shared" si="111"/>
        <v>0</v>
      </c>
      <c r="AZ149" s="307">
        <f t="shared" si="111"/>
        <v>0</v>
      </c>
      <c r="BA149" s="307">
        <f t="shared" si="111"/>
        <v>0</v>
      </c>
      <c r="BB149" s="307">
        <f t="shared" si="111"/>
        <v>0</v>
      </c>
      <c r="BC149" s="307">
        <f t="shared" si="111"/>
        <v>0</v>
      </c>
      <c r="BD149" s="307">
        <f t="shared" si="111"/>
        <v>0</v>
      </c>
      <c r="BE149" s="307">
        <f t="shared" si="111"/>
        <v>0</v>
      </c>
      <c r="BF149" s="307">
        <f t="shared" si="111"/>
        <v>0</v>
      </c>
      <c r="BG149" s="307">
        <f t="shared" si="111"/>
        <v>0</v>
      </c>
      <c r="BH149" s="307">
        <f t="shared" si="111"/>
        <v>0</v>
      </c>
      <c r="BI149" s="307">
        <f t="shared" si="111"/>
        <v>0</v>
      </c>
      <c r="BJ149" s="307">
        <f t="shared" si="111"/>
        <v>0</v>
      </c>
      <c r="BK149" s="307">
        <f t="shared" si="111"/>
        <v>0</v>
      </c>
      <c r="BL149" s="307">
        <f>IF(BL139&lt;0,MAX(-$C$10,200000*BL139),MIN(200000*BL139,$C$10)-IF(AND($D129&lt;$C$8*BL121,$D129&gt;0),$C$9,0))</f>
        <v>0</v>
      </c>
      <c r="BM149" s="307">
        <f>IF(BM139&lt;0,MAX(-$C$10,200000*BM139),MIN(200000*BM139,$C$10)-IF(AND($D129&lt;$C$8*BM121,$D129&gt;0),$C$9,0))</f>
        <v>0</v>
      </c>
      <c r="BN149" s="307">
        <f>IF(BN139&lt;0,MAX(-$C$10,200000*BN139),MIN(200000*BN139,$C$10)-IF(AND($D129&lt;$C$8*BN121,$D129&gt;0),$C$9,0))</f>
        <v>0</v>
      </c>
      <c r="BO149" s="12">
        <f>IF(D149=0,0,BO142)</f>
        <v>0</v>
      </c>
      <c r="BP149" s="43"/>
      <c r="BQ149" s="43"/>
      <c r="BR149" s="42"/>
    </row>
    <row r="150" spans="1:70" ht="16.5">
      <c r="A150" s="41"/>
      <c r="B150" s="11">
        <f t="shared" si="99"/>
        <v>9</v>
      </c>
      <c r="C150" s="302" t="s">
        <v>61</v>
      </c>
      <c r="D150" s="12">
        <f t="shared" ref="D150:AI150" si="112">IF(D140&lt;0,MAX(-$C$10,200000*D140),MIN(200000*D140,$C$10)-IF(AND($D130&lt;$C$8*D121,$D130&gt;0),$C$9,0))</f>
        <v>0</v>
      </c>
      <c r="E150" s="307">
        <f t="shared" si="112"/>
        <v>0</v>
      </c>
      <c r="F150" s="307">
        <f t="shared" si="112"/>
        <v>0</v>
      </c>
      <c r="G150" s="307">
        <f t="shared" si="112"/>
        <v>0</v>
      </c>
      <c r="H150" s="307">
        <f t="shared" si="112"/>
        <v>0</v>
      </c>
      <c r="I150" s="307">
        <f t="shared" si="112"/>
        <v>0</v>
      </c>
      <c r="J150" s="307">
        <f t="shared" si="112"/>
        <v>0</v>
      </c>
      <c r="K150" s="307">
        <f t="shared" si="112"/>
        <v>0</v>
      </c>
      <c r="L150" s="307">
        <f t="shared" si="112"/>
        <v>0</v>
      </c>
      <c r="M150" s="307">
        <f t="shared" si="112"/>
        <v>0</v>
      </c>
      <c r="N150" s="307">
        <f t="shared" si="112"/>
        <v>0</v>
      </c>
      <c r="O150" s="307">
        <f t="shared" si="112"/>
        <v>0</v>
      </c>
      <c r="P150" s="307">
        <f t="shared" si="112"/>
        <v>0</v>
      </c>
      <c r="Q150" s="307">
        <f t="shared" si="112"/>
        <v>0</v>
      </c>
      <c r="R150" s="307">
        <f t="shared" si="112"/>
        <v>0</v>
      </c>
      <c r="S150" s="307">
        <f t="shared" si="112"/>
        <v>0</v>
      </c>
      <c r="T150" s="307">
        <f t="shared" si="112"/>
        <v>0</v>
      </c>
      <c r="U150" s="307">
        <f t="shared" si="112"/>
        <v>0</v>
      </c>
      <c r="V150" s="307">
        <f t="shared" si="112"/>
        <v>0</v>
      </c>
      <c r="W150" s="307">
        <f t="shared" si="112"/>
        <v>0</v>
      </c>
      <c r="X150" s="307">
        <f t="shared" si="112"/>
        <v>0</v>
      </c>
      <c r="Y150" s="307">
        <f t="shared" si="112"/>
        <v>0</v>
      </c>
      <c r="Z150" s="307">
        <f t="shared" si="112"/>
        <v>0</v>
      </c>
      <c r="AA150" s="307">
        <f t="shared" si="112"/>
        <v>0</v>
      </c>
      <c r="AB150" s="307">
        <f t="shared" si="112"/>
        <v>0</v>
      </c>
      <c r="AC150" s="307">
        <f t="shared" si="112"/>
        <v>0</v>
      </c>
      <c r="AD150" s="307">
        <f t="shared" si="112"/>
        <v>0</v>
      </c>
      <c r="AE150" s="307">
        <f t="shared" si="112"/>
        <v>0</v>
      </c>
      <c r="AF150" s="307">
        <f t="shared" si="112"/>
        <v>0</v>
      </c>
      <c r="AG150" s="307">
        <f t="shared" si="112"/>
        <v>0</v>
      </c>
      <c r="AH150" s="307">
        <f t="shared" si="112"/>
        <v>0</v>
      </c>
      <c r="AI150" s="307">
        <f t="shared" si="112"/>
        <v>0</v>
      </c>
      <c r="AJ150" s="307">
        <f t="shared" ref="AJ150:BK150" si="113">IF(AJ140&lt;0,MAX(-$C$10,200000*AJ140),MIN(200000*AJ140,$C$10)-IF(AND($D130&lt;$C$8*AJ121,$D130&gt;0),$C$9,0))</f>
        <v>0</v>
      </c>
      <c r="AK150" s="307">
        <f t="shared" si="113"/>
        <v>0</v>
      </c>
      <c r="AL150" s="307">
        <f t="shared" si="113"/>
        <v>0</v>
      </c>
      <c r="AM150" s="307">
        <f t="shared" si="113"/>
        <v>0</v>
      </c>
      <c r="AN150" s="307">
        <f t="shared" si="113"/>
        <v>0</v>
      </c>
      <c r="AO150" s="307">
        <f t="shared" si="113"/>
        <v>0</v>
      </c>
      <c r="AP150" s="307">
        <f t="shared" si="113"/>
        <v>0</v>
      </c>
      <c r="AQ150" s="307">
        <f t="shared" si="113"/>
        <v>0</v>
      </c>
      <c r="AR150" s="61">
        <f t="shared" si="113"/>
        <v>0</v>
      </c>
      <c r="AS150" s="307">
        <f t="shared" si="113"/>
        <v>0</v>
      </c>
      <c r="AT150" s="307">
        <f t="shared" si="113"/>
        <v>0</v>
      </c>
      <c r="AU150" s="307">
        <f t="shared" si="113"/>
        <v>0</v>
      </c>
      <c r="AV150" s="307">
        <f t="shared" si="113"/>
        <v>0</v>
      </c>
      <c r="AW150" s="307">
        <f t="shared" si="113"/>
        <v>0</v>
      </c>
      <c r="AX150" s="307">
        <f t="shared" si="113"/>
        <v>0</v>
      </c>
      <c r="AY150" s="307">
        <f t="shared" si="113"/>
        <v>0</v>
      </c>
      <c r="AZ150" s="307">
        <f t="shared" si="113"/>
        <v>0</v>
      </c>
      <c r="BA150" s="307">
        <f t="shared" si="113"/>
        <v>0</v>
      </c>
      <c r="BB150" s="307">
        <f t="shared" si="113"/>
        <v>0</v>
      </c>
      <c r="BC150" s="307">
        <f t="shared" si="113"/>
        <v>0</v>
      </c>
      <c r="BD150" s="307">
        <f t="shared" si="113"/>
        <v>0</v>
      </c>
      <c r="BE150" s="307">
        <f t="shared" si="113"/>
        <v>0</v>
      </c>
      <c r="BF150" s="307">
        <f t="shared" si="113"/>
        <v>0</v>
      </c>
      <c r="BG150" s="307">
        <f t="shared" si="113"/>
        <v>0</v>
      </c>
      <c r="BH150" s="307">
        <f t="shared" si="113"/>
        <v>0</v>
      </c>
      <c r="BI150" s="307">
        <f t="shared" si="113"/>
        <v>0</v>
      </c>
      <c r="BJ150" s="307">
        <f t="shared" si="113"/>
        <v>0</v>
      </c>
      <c r="BK150" s="307">
        <f t="shared" si="113"/>
        <v>0</v>
      </c>
      <c r="BL150" s="307">
        <f>IF(BL140&lt;0,MAX(-$C$10,200000*BL140),MIN(200000*BL140,$C$10)-IF(AND($D130&lt;$C$8*BL121,$D130&gt;0),$C$9,0))</f>
        <v>0</v>
      </c>
      <c r="BM150" s="307">
        <f>IF(BM140&lt;0,MAX(-$C$10,200000*BM140),MIN(200000*BM140,$C$10)-IF(AND($D130&lt;$C$8*BM121,$D130&gt;0),$C$9,0))</f>
        <v>0</v>
      </c>
      <c r="BN150" s="307">
        <f>IF(BN140&lt;0,MAX(-$C$10,200000*BN140),MIN(200000*BN140,$C$10)-IF(AND($D130&lt;$C$8*BN121,$D130&gt;0),$C$9,0))</f>
        <v>0</v>
      </c>
      <c r="BO150" s="12">
        <f>IF(D150=0,0,BO142)</f>
        <v>0</v>
      </c>
      <c r="BP150" s="43"/>
      <c r="BQ150" s="43"/>
      <c r="BR150" s="42"/>
    </row>
    <row r="151" spans="1:70" ht="16.5">
      <c r="A151" s="41"/>
      <c r="B151" s="294" t="s">
        <v>62</v>
      </c>
      <c r="C151" s="302" t="s">
        <v>63</v>
      </c>
      <c r="D151" s="12">
        <f t="shared" ref="D151:BJ151" si="114">IF(D141&lt;0,MAX(-$C$10,200000*D141),MIN(200000*D141,$C$10)-IF(AND($F118&lt;$C$8*D121,$D131&gt;0),$C$9,0))</f>
        <v>-434.78260869565219</v>
      </c>
      <c r="E151" s="307">
        <f t="shared" si="114"/>
        <v>-434.78260869565219</v>
      </c>
      <c r="F151" s="307">
        <f t="shared" si="114"/>
        <v>-434.78260869565219</v>
      </c>
      <c r="G151" s="307">
        <f t="shared" si="114"/>
        <v>-434.78260869565219</v>
      </c>
      <c r="H151" s="307">
        <f t="shared" si="114"/>
        <v>-434.78260869565219</v>
      </c>
      <c r="I151" s="307">
        <f t="shared" si="114"/>
        <v>-434.78260869565219</v>
      </c>
      <c r="J151" s="307">
        <f t="shared" si="114"/>
        <v>-434.78260869565219</v>
      </c>
      <c r="K151" s="307">
        <f t="shared" si="114"/>
        <v>-434.78260869565219</v>
      </c>
      <c r="L151" s="307">
        <f t="shared" si="114"/>
        <v>-434.78260869565219</v>
      </c>
      <c r="M151" s="307">
        <f t="shared" si="114"/>
        <v>-434.78260869565219</v>
      </c>
      <c r="N151" s="307">
        <f t="shared" si="114"/>
        <v>-434.78260869565219</v>
      </c>
      <c r="O151" s="307">
        <f t="shared" si="114"/>
        <v>-434.78260869565219</v>
      </c>
      <c r="P151" s="307">
        <f t="shared" si="114"/>
        <v>-434.78260869565219</v>
      </c>
      <c r="Q151" s="307">
        <f t="shared" si="114"/>
        <v>-434.78260869565219</v>
      </c>
      <c r="R151" s="307">
        <f t="shared" si="114"/>
        <v>-434.78260869565219</v>
      </c>
      <c r="S151" s="307">
        <f t="shared" si="114"/>
        <v>-434.78260869565219</v>
      </c>
      <c r="T151" s="307">
        <f t="shared" si="114"/>
        <v>-434.78260869565219</v>
      </c>
      <c r="U151" s="307">
        <f t="shared" si="114"/>
        <v>-434.78260869565219</v>
      </c>
      <c r="V151" s="307">
        <f t="shared" si="114"/>
        <v>-434.78260869565219</v>
      </c>
      <c r="W151" s="307">
        <f t="shared" si="114"/>
        <v>-434.78260869565219</v>
      </c>
      <c r="X151" s="307">
        <f t="shared" si="114"/>
        <v>-434.78260869565219</v>
      </c>
      <c r="Y151" s="307">
        <f t="shared" si="114"/>
        <v>-434.78260869565219</v>
      </c>
      <c r="Z151" s="307">
        <f t="shared" si="114"/>
        <v>-434.78260869565219</v>
      </c>
      <c r="AA151" s="307">
        <f t="shared" si="114"/>
        <v>-434.78260869565219</v>
      </c>
      <c r="AB151" s="307">
        <f t="shared" si="114"/>
        <v>-434.78260869565219</v>
      </c>
      <c r="AC151" s="307">
        <f t="shared" si="114"/>
        <v>-434.78260869565219</v>
      </c>
      <c r="AD151" s="307">
        <f t="shared" si="114"/>
        <v>-434.78260869565219</v>
      </c>
      <c r="AE151" s="307">
        <f t="shared" si="114"/>
        <v>-434.78260869565219</v>
      </c>
      <c r="AF151" s="307">
        <f t="shared" si="114"/>
        <v>-434.78260869565219</v>
      </c>
      <c r="AG151" s="307">
        <f t="shared" si="114"/>
        <v>-434.78260869565219</v>
      </c>
      <c r="AH151" s="307">
        <f t="shared" si="114"/>
        <v>-434.78260869565219</v>
      </c>
      <c r="AI151" s="307">
        <f t="shared" si="114"/>
        <v>-434.78260869565219</v>
      </c>
      <c r="AJ151" s="307">
        <f t="shared" si="114"/>
        <v>-434.78260869565219</v>
      </c>
      <c r="AK151" s="307">
        <f t="shared" si="114"/>
        <v>-434.78260869565219</v>
      </c>
      <c r="AL151" s="307">
        <f t="shared" si="114"/>
        <v>-434.78260869565219</v>
      </c>
      <c r="AM151" s="307">
        <f t="shared" si="114"/>
        <v>-434.78260869565219</v>
      </c>
      <c r="AN151" s="307">
        <f t="shared" si="114"/>
        <v>-434.78260869565219</v>
      </c>
      <c r="AO151" s="307">
        <f t="shared" si="114"/>
        <v>-434.78260869565219</v>
      </c>
      <c r="AP151" s="307">
        <f t="shared" si="114"/>
        <v>-434.78260869565219</v>
      </c>
      <c r="AQ151" s="307">
        <f t="shared" si="114"/>
        <v>-434.78260869565219</v>
      </c>
      <c r="AR151" s="61">
        <f t="shared" si="114"/>
        <v>-434.78260869565219</v>
      </c>
      <c r="AS151" s="307">
        <f t="shared" si="114"/>
        <v>-371.85770684098947</v>
      </c>
      <c r="AT151" s="307">
        <f t="shared" si="114"/>
        <v>-315.54467514417456</v>
      </c>
      <c r="AU151" s="307">
        <f t="shared" si="114"/>
        <v>-264.85341226401334</v>
      </c>
      <c r="AV151" s="307">
        <f t="shared" si="114"/>
        <v>-218.98210346858673</v>
      </c>
      <c r="AW151" s="307">
        <f t="shared" si="114"/>
        <v>-177.27449409944856</v>
      </c>
      <c r="AX151" s="307">
        <f t="shared" si="114"/>
        <v>-139.18829267513024</v>
      </c>
      <c r="AY151" s="307">
        <f t="shared" si="114"/>
        <v>-104.27146207048372</v>
      </c>
      <c r="AZ151" s="307">
        <f t="shared" si="114"/>
        <v>-72.144193103227011</v>
      </c>
      <c r="BA151" s="307">
        <f t="shared" si="114"/>
        <v>-42.485032642098219</v>
      </c>
      <c r="BB151" s="307">
        <f t="shared" si="114"/>
        <v>-15.020090489856514</v>
      </c>
      <c r="BC151" s="307">
        <f t="shared" si="114"/>
        <v>10.485443721297933</v>
      </c>
      <c r="BD151" s="307">
        <f t="shared" si="114"/>
        <v>33.991934956138572</v>
      </c>
      <c r="BE151" s="307">
        <f t="shared" si="114"/>
        <v>54.222469597772317</v>
      </c>
      <c r="BF151" s="307">
        <f t="shared" si="114"/>
        <v>72.018575043774391</v>
      </c>
      <c r="BG151" s="307">
        <f t="shared" si="114"/>
        <v>87.794731534638458</v>
      </c>
      <c r="BH151" s="307">
        <f t="shared" si="114"/>
        <v>101.87638119849109</v>
      </c>
      <c r="BI151" s="307">
        <f t="shared" si="114"/>
        <v>114.52261829487109</v>
      </c>
      <c r="BJ151" s="307">
        <f t="shared" si="114"/>
        <v>103.27561050566264</v>
      </c>
      <c r="BK151" s="307">
        <f>IF(BK141&lt;0,MAX(-$C$10,200000*BK141),MIN(200000*BK141,$C$10)-IF(AND($F118&lt;$C$8*BK121,$D131&gt;0),$C$9,0))</f>
        <v>113.6388888888889</v>
      </c>
      <c r="BL151" s="307">
        <f>IF(BL141&lt;0,MAX(-$C$10,200000*BL141),MIN(200000*BL141,$C$10)-IF(AND($F118&lt;$C$8*BL121,$D131&gt;0),$C$9,0))</f>
        <v>207.13020833333331</v>
      </c>
      <c r="BM151" s="307">
        <f>IF(BM141&lt;0,MAX(-$C$10,200000*BM141),MIN(200000*BM141,$C$10)-IF(AND($F118&lt;$C$8*BM121,$D131&gt;0),$C$9,0))</f>
        <v>243.71376811594203</v>
      </c>
      <c r="BN151" s="307">
        <f>IF(BN141&lt;0,MAX(-$C$10,200000*BN141),MIN(200000*BN141,$C$10)-IF(AND($F118&lt;$C$8*BN121,$D131&gt;0),$C$9,0))</f>
        <v>263.22499999999997</v>
      </c>
      <c r="BO151" s="12">
        <f>BO142</f>
        <v>327.33333333333331</v>
      </c>
      <c r="BP151" s="41"/>
      <c r="BQ151" s="41"/>
      <c r="BR151" s="41"/>
    </row>
    <row r="152" spans="1:70" ht="16.5">
      <c r="A152" s="41"/>
      <c r="B152" s="290" t="s">
        <v>64</v>
      </c>
      <c r="C152" s="298" t="s">
        <v>65</v>
      </c>
      <c r="D152" s="3">
        <f>D142*$I118*MAIN!$C$15/MAIN!$Q$1</f>
        <v>-24755.885323070204</v>
      </c>
      <c r="E152" s="13">
        <f>E142*$I118*MAIN!$C$15/MAIN!$Q$1</f>
        <v>133116.37489608777</v>
      </c>
      <c r="F152" s="13">
        <f>F142*$I118*MAIN!$C$15/MAIN!$Q$1</f>
        <v>240503.26348797683</v>
      </c>
      <c r="G152" s="13">
        <f>G142*$I118*MAIN!$C$15/MAIN!$Q$1</f>
        <v>311810.03648527968</v>
      </c>
      <c r="H152" s="13">
        <f>H142*$I118*MAIN!$C$15/MAIN!$Q$1</f>
        <v>362604.81675307214</v>
      </c>
      <c r="I152" s="13">
        <f>I142*$I118*MAIN!$C$15/MAIN!$Q$1</f>
        <v>400625.35980823357</v>
      </c>
      <c r="J152" s="13">
        <f>J142*$I118*MAIN!$C$15/MAIN!$Q$1</f>
        <v>404593.879970468</v>
      </c>
      <c r="K152" s="13">
        <f>K142*$I118*MAIN!$C$15/MAIN!$Q$1</f>
        <v>404593.879970468</v>
      </c>
      <c r="L152" s="13">
        <f>L142*$I118*MAIN!$C$15/MAIN!$Q$1</f>
        <v>404593.879970468</v>
      </c>
      <c r="M152" s="13">
        <f>M142*$I118*MAIN!$C$15/MAIN!$Q$1</f>
        <v>404593.879970468</v>
      </c>
      <c r="N152" s="13">
        <f>N142*$I118*MAIN!$C$15/MAIN!$Q$1</f>
        <v>404593.879970468</v>
      </c>
      <c r="O152" s="13">
        <f>O142*$I118*MAIN!$C$15/MAIN!$Q$1</f>
        <v>404593.879970468</v>
      </c>
      <c r="P152" s="13">
        <f>P142*$I118*MAIN!$C$15/MAIN!$Q$1</f>
        <v>404593.879970468</v>
      </c>
      <c r="Q152" s="13">
        <f>Q142*$I118*MAIN!$C$15/MAIN!$Q$1</f>
        <v>404593.879970468</v>
      </c>
      <c r="R152" s="13">
        <f>R142*$I118*MAIN!$C$15/MAIN!$Q$1</f>
        <v>404593.879970468</v>
      </c>
      <c r="S152" s="13">
        <f>S142*$I118*MAIN!$C$15/MAIN!$Q$1</f>
        <v>404593.879970468</v>
      </c>
      <c r="T152" s="13">
        <f>T142*$I118*MAIN!$C$15/MAIN!$Q$1</f>
        <v>404593.879970468</v>
      </c>
      <c r="U152" s="13">
        <f>U142*$I118*MAIN!$C$15/MAIN!$Q$1</f>
        <v>404593.879970468</v>
      </c>
      <c r="V152" s="13">
        <f>V142*$I118*MAIN!$C$15/MAIN!$Q$1</f>
        <v>404593.879970468</v>
      </c>
      <c r="W152" s="13">
        <f>W142*$I118*MAIN!$C$15/MAIN!$Q$1</f>
        <v>404593.879970468</v>
      </c>
      <c r="X152" s="13">
        <f>X142*$I118*MAIN!$C$15/MAIN!$Q$1</f>
        <v>404593.879970468</v>
      </c>
      <c r="Y152" s="13">
        <f>Y142*$I118*MAIN!$C$15/MAIN!$Q$1</f>
        <v>404593.879970468</v>
      </c>
      <c r="Z152" s="13">
        <f>Z142*$I118*MAIN!$C$15/MAIN!$Q$1</f>
        <v>404593.879970468</v>
      </c>
      <c r="AA152" s="13">
        <f>AA142*$I118*MAIN!$C$15/MAIN!$Q$1</f>
        <v>404593.879970468</v>
      </c>
      <c r="AB152" s="13">
        <f>AB142*$I118*MAIN!$C$15/MAIN!$Q$1</f>
        <v>404593.879970468</v>
      </c>
      <c r="AC152" s="13">
        <f>AC142*$I118*MAIN!$C$15/MAIN!$Q$1</f>
        <v>404593.879970468</v>
      </c>
      <c r="AD152" s="13">
        <f>AD142*$I118*MAIN!$C$15/MAIN!$Q$1</f>
        <v>404593.879970468</v>
      </c>
      <c r="AE152" s="13">
        <f>AE142*$I118*MAIN!$C$15/MAIN!$Q$1</f>
        <v>404593.879970468</v>
      </c>
      <c r="AF152" s="13">
        <f>AF142*$I118*MAIN!$C$15/MAIN!$Q$1</f>
        <v>404593.879970468</v>
      </c>
      <c r="AG152" s="13">
        <f>AG142*$I118*MAIN!$C$15/MAIN!$Q$1</f>
        <v>404593.879970468</v>
      </c>
      <c r="AH152" s="13">
        <f>AH142*$I118*MAIN!$C$15/MAIN!$Q$1</f>
        <v>404593.879970468</v>
      </c>
      <c r="AI152" s="13">
        <f>AI142*$I118*MAIN!$C$15/MAIN!$Q$1</f>
        <v>404593.879970468</v>
      </c>
      <c r="AJ152" s="13">
        <f>AJ142*$I118*MAIN!$C$15/MAIN!$Q$1</f>
        <v>404593.879970468</v>
      </c>
      <c r="AK152" s="13">
        <f>AK142*$I118*MAIN!$C$15/MAIN!$Q$1</f>
        <v>404593.879970468</v>
      </c>
      <c r="AL152" s="13">
        <f>AL142*$I118*MAIN!$C$15/MAIN!$Q$1</f>
        <v>404593.879970468</v>
      </c>
      <c r="AM152" s="13">
        <f>AM142*$I118*MAIN!$C$15/MAIN!$Q$1</f>
        <v>404593.879970468</v>
      </c>
      <c r="AN152" s="13">
        <f>AN142*$I118*MAIN!$C$15/MAIN!$Q$1</f>
        <v>404593.879970468</v>
      </c>
      <c r="AO152" s="13">
        <f>AO142*$I118*MAIN!$C$15/MAIN!$Q$1</f>
        <v>404593.879970468</v>
      </c>
      <c r="AP152" s="13">
        <f>AP142*$I118*MAIN!$C$15/MAIN!$Q$1</f>
        <v>404593.879970468</v>
      </c>
      <c r="AQ152" s="13">
        <f>AQ142*$I118*MAIN!$C$15/MAIN!$Q$1</f>
        <v>404593.879970468</v>
      </c>
      <c r="AR152" s="56">
        <f>AR142*$I118*MAIN!$C$15/MAIN!$Q$1</f>
        <v>404593.879970468</v>
      </c>
      <c r="AS152" s="13">
        <f>AS142*$I118*MAIN!$C$15/MAIN!$Q$1</f>
        <v>404593.879970468</v>
      </c>
      <c r="AT152" s="13">
        <f>AT142*$I118*MAIN!$C$15/MAIN!$Q$1</f>
        <v>404593.879970468</v>
      </c>
      <c r="AU152" s="13">
        <f>AU142*$I118*MAIN!$C$15/MAIN!$Q$1</f>
        <v>404593.879970468</v>
      </c>
      <c r="AV152" s="13">
        <f>AV142*$I118*MAIN!$C$15/MAIN!$Q$1</f>
        <v>404593.879970468</v>
      </c>
      <c r="AW152" s="13">
        <f>AW142*$I118*MAIN!$C$15/MAIN!$Q$1</f>
        <v>404593.879970468</v>
      </c>
      <c r="AX152" s="13">
        <f>AX142*$I118*MAIN!$C$15/MAIN!$Q$1</f>
        <v>404593.879970468</v>
      </c>
      <c r="AY152" s="13">
        <f>AY142*$I118*MAIN!$C$15/MAIN!$Q$1</f>
        <v>404593.879970468</v>
      </c>
      <c r="AZ152" s="13">
        <f>AZ142*$I118*MAIN!$C$15/MAIN!$Q$1</f>
        <v>404593.879970468</v>
      </c>
      <c r="BA152" s="13">
        <f>BA142*$I118*MAIN!$C$15/MAIN!$Q$1</f>
        <v>404593.879970468</v>
      </c>
      <c r="BB152" s="13">
        <f>BB142*$I118*MAIN!$C$15/MAIN!$Q$1</f>
        <v>404593.879970468</v>
      </c>
      <c r="BC152" s="13">
        <f>BC142*$I118*MAIN!$C$15/MAIN!$Q$1</f>
        <v>404593.879970468</v>
      </c>
      <c r="BD152" s="13">
        <f>BD142*$I118*MAIN!$C$15/MAIN!$Q$1</f>
        <v>404593.879970468</v>
      </c>
      <c r="BE152" s="13">
        <f>BE142*$I118*MAIN!$C$15/MAIN!$Q$1</f>
        <v>404593.879970468</v>
      </c>
      <c r="BF152" s="13">
        <f>BF142*$I118*MAIN!$C$15/MAIN!$Q$1</f>
        <v>404593.879970468</v>
      </c>
      <c r="BG152" s="13">
        <f>BG142*$I118*MAIN!$C$15/MAIN!$Q$1</f>
        <v>404593.879970468</v>
      </c>
      <c r="BH152" s="13">
        <f>BH142*$I118*MAIN!$C$15/MAIN!$Q$1</f>
        <v>404593.879970468</v>
      </c>
      <c r="BI152" s="13">
        <f>BI142*$I118*MAIN!$C$15/MAIN!$Q$1</f>
        <v>404593.879970468</v>
      </c>
      <c r="BJ152" s="13">
        <f>BJ142*$I118*MAIN!$C$15/MAIN!$Q$1</f>
        <v>404593.879970468</v>
      </c>
      <c r="BK152" s="13">
        <f>BK142*$I118*MAIN!$C$15/MAIN!$Q$1</f>
        <v>404593.879970468</v>
      </c>
      <c r="BL152" s="13">
        <f>BL142*$I118*MAIN!$C$15/MAIN!$Q$1</f>
        <v>404593.879970468</v>
      </c>
      <c r="BM152" s="13">
        <f>BM142*$I118*MAIN!$C$15/MAIN!$Q$1</f>
        <v>403452.06470574619</v>
      </c>
      <c r="BN152" s="13">
        <f>BN142*$I118*MAIN!$C$15/MAIN!$Q$1</f>
        <v>384296.95759654511</v>
      </c>
      <c r="BO152" s="3">
        <f>BO142*$I118*MAIN!$C$15/MAIN!$Q$1</f>
        <v>321358.74852345581</v>
      </c>
      <c r="BP152" s="41"/>
      <c r="BQ152" s="41"/>
      <c r="BR152" s="41"/>
    </row>
    <row r="153" spans="1:70" ht="16.5">
      <c r="A153" s="41"/>
      <c r="B153" s="14">
        <v>2</v>
      </c>
      <c r="C153" s="298" t="s">
        <v>66</v>
      </c>
      <c r="D153" s="3">
        <f>D143*$I118*2/MAIN!$Q$1</f>
        <v>-426846.82793339575</v>
      </c>
      <c r="E153" s="13">
        <f>E143*$I118*2/MAIN!$Q$1</f>
        <v>-426846.82793339575</v>
      </c>
      <c r="F153" s="13">
        <f>F143*$I118*2/MAIN!$Q$1</f>
        <v>-426846.82793339575</v>
      </c>
      <c r="G153" s="13">
        <f>G143*$I118*2/MAIN!$Q$1</f>
        <v>-426846.82793339575</v>
      </c>
      <c r="H153" s="13">
        <f>H143*$I118*2/MAIN!$Q$1</f>
        <v>-426846.82793339575</v>
      </c>
      <c r="I153" s="13">
        <f>I143*$I118*2/MAIN!$Q$1</f>
        <v>-426846.82793339575</v>
      </c>
      <c r="J153" s="13">
        <f>J143*$I118*2/MAIN!$Q$1</f>
        <v>-426846.82793339575</v>
      </c>
      <c r="K153" s="13">
        <f>K143*$I118*2/MAIN!$Q$1</f>
        <v>-426846.82793339575</v>
      </c>
      <c r="L153" s="13">
        <f>L143*$I118*2/MAIN!$Q$1</f>
        <v>-426846.82793339575</v>
      </c>
      <c r="M153" s="13">
        <f>M143*$I118*2/MAIN!$Q$1</f>
        <v>-426846.82793339575</v>
      </c>
      <c r="N153" s="13">
        <f>N143*$I118*2/MAIN!$Q$1</f>
        <v>-426846.82793339575</v>
      </c>
      <c r="O153" s="13">
        <f>O143*$I118*2/MAIN!$Q$1</f>
        <v>-426846.82793339575</v>
      </c>
      <c r="P153" s="13">
        <f>P143*$I118*2/MAIN!$Q$1</f>
        <v>-426846.82793339575</v>
      </c>
      <c r="Q153" s="13">
        <f>Q143*$I118*2/MAIN!$Q$1</f>
        <v>-400509.98921802844</v>
      </c>
      <c r="R153" s="13">
        <f>R143*$I118*2/MAIN!$Q$1</f>
        <v>-336347.11465761834</v>
      </c>
      <c r="S153" s="13">
        <f>S143*$I118*2/MAIN!$Q$1</f>
        <v>-279332.23532286525</v>
      </c>
      <c r="T153" s="13">
        <f>T143*$I118*2/MAIN!$Q$1</f>
        <v>-228333.90313888594</v>
      </c>
      <c r="U153" s="13">
        <f>U143*$I118*2/MAIN!$Q$1</f>
        <v>-182447.49619240785</v>
      </c>
      <c r="V153" s="13">
        <f>V143*$I118*2/MAIN!$Q$1</f>
        <v>-140941.09056220125</v>
      </c>
      <c r="W153" s="13">
        <f>W143*$I118*2/MAIN!$Q$1</f>
        <v>-103216.12619085774</v>
      </c>
      <c r="X153" s="13">
        <f>X143*$I118*2/MAIN!$Q$1</f>
        <v>-68778.354983168785</v>
      </c>
      <c r="Y153" s="13">
        <f>Y143*$I118*2/MAIN!$Q$1</f>
        <v>-37216.066225043432</v>
      </c>
      <c r="Z153" s="13">
        <f>Z143*$I118*2/MAIN!$Q$1</f>
        <v>-8183.5478099307265</v>
      </c>
      <c r="AA153" s="13">
        <f>AA143*$I118*2/MAIN!$Q$1</f>
        <v>18611.628937362526</v>
      </c>
      <c r="AB153" s="13">
        <f>AB143*$I118*2/MAIN!$Q$1</f>
        <v>43418.493882485331</v>
      </c>
      <c r="AC153" s="13">
        <f>AC143*$I118*2/MAIN!$Q$1</f>
        <v>66450.440985235473</v>
      </c>
      <c r="AD153" s="13">
        <f>AD143*$I118*2/MAIN!$Q$1</f>
        <v>87891.382460830093</v>
      </c>
      <c r="AE153" s="13">
        <f>AE143*$I118*2/MAIN!$Q$1</f>
        <v>107900.67016487244</v>
      </c>
      <c r="AF153" s="13">
        <f>AF143*$I118*2/MAIN!$Q$1</f>
        <v>126617.06299632545</v>
      </c>
      <c r="AG153" s="13">
        <f>AG143*$I118*2/MAIN!$Q$1</f>
        <v>121909.00134810127</v>
      </c>
      <c r="AH153" s="13">
        <f>AH143*$I118*2/MAIN!$Q$1</f>
        <v>138389.03463777606</v>
      </c>
      <c r="AI153" s="13">
        <f>AI143*$I118*2/MAIN!$Q$1</f>
        <v>153898.30344111272</v>
      </c>
      <c r="AJ153" s="13">
        <f>AJ143*$I118*2/MAIN!$Q$1</f>
        <v>168520.12876661634</v>
      </c>
      <c r="AK153" s="13">
        <f>AK143*$I118*2/MAIN!$Q$1</f>
        <v>182328.5615507802</v>
      </c>
      <c r="AL153" s="13">
        <f>AL143*$I118*2/MAIN!$Q$1</f>
        <v>195389.63697431784</v>
      </c>
      <c r="AM153" s="13">
        <f>AM143*$I118*2/MAIN!$Q$1</f>
        <v>207762.43048158899</v>
      </c>
      <c r="AN153" s="13">
        <f>AN143*$I118*2/MAIN!$Q$1</f>
        <v>219499.95113818106</v>
      </c>
      <c r="AO153" s="13">
        <f>AO143*$I118*2/MAIN!$Q$1</f>
        <v>230649.90082617602</v>
      </c>
      <c r="AP153" s="13">
        <f>AP143*$I118*2/MAIN!$Q$1</f>
        <v>241255.32220932486</v>
      </c>
      <c r="AQ153" s="13">
        <f>AQ143*$I118*2/MAIN!$Q$1</f>
        <v>251355.15402738331</v>
      </c>
      <c r="AR153" s="56">
        <f>AR143*$I118*2/MAIN!$Q$1</f>
        <v>260984.70882217618</v>
      </c>
      <c r="AS153" s="13">
        <f>AS143*$I118*2/MAIN!$Q$1</f>
        <v>283386.14730519243</v>
      </c>
      <c r="AT153" s="13">
        <f>AT143*$I118*2/MAIN!$Q$1</f>
        <v>303433.74178951926</v>
      </c>
      <c r="AU153" s="13">
        <f>AU143*$I118*2/MAIN!$Q$1</f>
        <v>321479.97108136828</v>
      </c>
      <c r="AV153" s="13">
        <f>AV143*$I118*2/MAIN!$Q$1</f>
        <v>337810.28343512607</v>
      </c>
      <c r="AW153" s="13">
        <f>AW143*$I118*2/MAIN!$Q$1</f>
        <v>352658.30731785524</v>
      </c>
      <c r="AX153" s="13">
        <f>AX143*$I118*2/MAIN!$Q$1</f>
        <v>366217.0999915289</v>
      </c>
      <c r="AY153" s="13">
        <f>AY143*$I118*2/MAIN!$Q$1</f>
        <v>378647.58791852626</v>
      </c>
      <c r="AZ153" s="13">
        <f>AZ143*$I118*2/MAIN!$Q$1</f>
        <v>390084.98421450477</v>
      </c>
      <c r="BA153" s="13">
        <f>BA143*$I118*2/MAIN!$Q$1</f>
        <v>400643.7270801267</v>
      </c>
      <c r="BB153" s="13">
        <f>BB143*$I118*2/MAIN!$Q$1</f>
        <v>404593.879970468</v>
      </c>
      <c r="BC153" s="13">
        <f>BC143*$I118*2/MAIN!$Q$1</f>
        <v>404593.879970468</v>
      </c>
      <c r="BD153" s="13">
        <f>BD143*$I118*2/MAIN!$Q$1</f>
        <v>404593.879970468</v>
      </c>
      <c r="BE153" s="13">
        <f>BE143*$I118*2/MAIN!$Q$1</f>
        <v>404593.879970468</v>
      </c>
      <c r="BF153" s="13">
        <f>BF143*$I118*2/MAIN!$Q$1</f>
        <v>404593.879970468</v>
      </c>
      <c r="BG153" s="13">
        <f>BG143*$I118*2/MAIN!$Q$1</f>
        <v>404593.879970468</v>
      </c>
      <c r="BH153" s="13">
        <f>BH143*$I118*2/MAIN!$Q$1</f>
        <v>402557.01289938652</v>
      </c>
      <c r="BI153" s="13">
        <f>BI143*$I118*2/MAIN!$Q$1</f>
        <v>398418.54148714268</v>
      </c>
      <c r="BJ153" s="13">
        <f>BJ143*$I118*2/MAIN!$Q$1</f>
        <v>394681.4668584005</v>
      </c>
      <c r="BK153" s="13">
        <f>BK143*$I118*2/MAIN!$Q$1</f>
        <v>391290.09193799947</v>
      </c>
      <c r="BL153" s="13">
        <f>BL143*$I118*2/MAIN!$Q$1</f>
        <v>360695.12919413659</v>
      </c>
      <c r="BM153" s="13">
        <f>BM143*$I118*2/MAIN!$Q$1</f>
        <v>348723.18725088594</v>
      </c>
      <c r="BN153" s="13">
        <f>BN143*$I118*2/MAIN!$Q$1</f>
        <v>342338.15154781891</v>
      </c>
      <c r="BO153" s="3">
        <f>BO143*$I118*2/MAIN!$Q$1</f>
        <v>321358.74852345581</v>
      </c>
      <c r="BP153" s="43"/>
      <c r="BQ153" s="43"/>
      <c r="BR153" s="42"/>
    </row>
    <row r="154" spans="1:70" ht="16.5">
      <c r="A154" s="41"/>
      <c r="B154" s="14">
        <f t="shared" ref="B154:B160" si="115">1+B153</f>
        <v>3</v>
      </c>
      <c r="C154" s="298" t="s">
        <v>66</v>
      </c>
      <c r="D154" s="3">
        <f>D144*$I118*2/MAIN!$Q$1</f>
        <v>-426846.82793339575</v>
      </c>
      <c r="E154" s="13">
        <f>E144*$I118*2/MAIN!$Q$1</f>
        <v>-426846.82793339575</v>
      </c>
      <c r="F154" s="13">
        <f>F144*$I118*2/MAIN!$Q$1</f>
        <v>-426846.82793339575</v>
      </c>
      <c r="G154" s="13">
        <f>G144*$I118*2/MAIN!$Q$1</f>
        <v>-426846.82793339575</v>
      </c>
      <c r="H154" s="13">
        <f>H144*$I118*2/MAIN!$Q$1</f>
        <v>-426846.82793339575</v>
      </c>
      <c r="I154" s="13">
        <f>I144*$I118*2/MAIN!$Q$1</f>
        <v>-426846.82793339575</v>
      </c>
      <c r="J154" s="13">
        <f>J144*$I118*2/MAIN!$Q$1</f>
        <v>-426846.82793339575</v>
      </c>
      <c r="K154" s="13">
        <f>K144*$I118*2/MAIN!$Q$1</f>
        <v>-426846.82793339575</v>
      </c>
      <c r="L154" s="13">
        <f>L144*$I118*2/MAIN!$Q$1</f>
        <v>-426846.82793339575</v>
      </c>
      <c r="M154" s="13">
        <f>M144*$I118*2/MAIN!$Q$1</f>
        <v>-426846.82793339575</v>
      </c>
      <c r="N154" s="13">
        <f>N144*$I118*2/MAIN!$Q$1</f>
        <v>-426846.82793339575</v>
      </c>
      <c r="O154" s="13">
        <f>O144*$I118*2/MAIN!$Q$1</f>
        <v>-426846.82793339575</v>
      </c>
      <c r="P154" s="13">
        <f>P144*$I118*2/MAIN!$Q$1</f>
        <v>-426846.82793339575</v>
      </c>
      <c r="Q154" s="13">
        <f>Q144*$I118*2/MAIN!$Q$1</f>
        <v>-426846.82793339575</v>
      </c>
      <c r="R154" s="13">
        <f>R144*$I118*2/MAIN!$Q$1</f>
        <v>-426846.82793339575</v>
      </c>
      <c r="S154" s="13">
        <f>S144*$I118*2/MAIN!$Q$1</f>
        <v>-426846.82793339575</v>
      </c>
      <c r="T154" s="13">
        <f>T144*$I118*2/MAIN!$Q$1</f>
        <v>-426846.82793339575</v>
      </c>
      <c r="U154" s="13">
        <f>U144*$I118*2/MAIN!$Q$1</f>
        <v>-426846.82793339575</v>
      </c>
      <c r="V154" s="13">
        <f>V144*$I118*2/MAIN!$Q$1</f>
        <v>-426846.82793339575</v>
      </c>
      <c r="W154" s="13">
        <f>W144*$I118*2/MAIN!$Q$1</f>
        <v>-426846.82793339575</v>
      </c>
      <c r="X154" s="13">
        <f>X144*$I118*2/MAIN!$Q$1</f>
        <v>-426846.82793339575</v>
      </c>
      <c r="Y154" s="13">
        <f>Y144*$I118*2/MAIN!$Q$1</f>
        <v>-426846.82793339575</v>
      </c>
      <c r="Z154" s="13">
        <f>Z144*$I118*2/MAIN!$Q$1</f>
        <v>-426846.82793339575</v>
      </c>
      <c r="AA154" s="13">
        <f>AA144*$I118*2/MAIN!$Q$1</f>
        <v>-426846.82793339575</v>
      </c>
      <c r="AB154" s="13">
        <f>AB144*$I118*2/MAIN!$Q$1</f>
        <v>-426846.82793339575</v>
      </c>
      <c r="AC154" s="13">
        <f>AC144*$I118*2/MAIN!$Q$1</f>
        <v>-426846.82793339575</v>
      </c>
      <c r="AD154" s="13">
        <f>AD144*$I118*2/MAIN!$Q$1</f>
        <v>-426846.82793339575</v>
      </c>
      <c r="AE154" s="13">
        <f>AE144*$I118*2/MAIN!$Q$1</f>
        <v>-401236.21297457279</v>
      </c>
      <c r="AF154" s="13">
        <f>AF144*$I118*2/MAIN!$Q$1</f>
        <v>-366070.94711491762</v>
      </c>
      <c r="AG154" s="13">
        <f>AG144*$I118*2/MAIN!$Q$1</f>
        <v>-333106.76447085844</v>
      </c>
      <c r="AH154" s="13">
        <f>AH144*$I118*2/MAIN!$Q$1</f>
        <v>-302143.2792936567</v>
      </c>
      <c r="AI154" s="13">
        <f>AI144*$I118*2/MAIN!$Q$1</f>
        <v>-273003.71347723156</v>
      </c>
      <c r="AJ154" s="13">
        <f>AJ144*$I118*2/MAIN!$Q$1</f>
        <v>-245531.5194730167</v>
      </c>
      <c r="AK154" s="13">
        <f>AK144*$I118*2/MAIN!$Q$1</f>
        <v>-219587.56679297434</v>
      </c>
      <c r="AL154" s="13">
        <f>AL144*$I118*2/MAIN!$Q$1</f>
        <v>-195047.78533947436</v>
      </c>
      <c r="AM154" s="13">
        <f>AM144*$I118*2/MAIN!$Q$1</f>
        <v>-171801.18130482134</v>
      </c>
      <c r="AN154" s="13">
        <f>AN144*$I118*2/MAIN!$Q$1</f>
        <v>-149748.15868773768</v>
      </c>
      <c r="AO154" s="13">
        <f>AO144*$I118*2/MAIN!$Q$1</f>
        <v>-128799.09288050528</v>
      </c>
      <c r="AP154" s="13">
        <f>AP144*$I118*2/MAIN!$Q$1</f>
        <v>-108873.11324059476</v>
      </c>
      <c r="AQ154" s="13">
        <f>AQ144*$I118*2/MAIN!$Q$1</f>
        <v>-89897.05977675748</v>
      </c>
      <c r="AR154" s="59">
        <f>AR144*$I118*2/MAIN!$Q$1</f>
        <v>-71804.585574145924</v>
      </c>
      <c r="AS154" s="13">
        <f>AS144*$I118*2/MAIN!$Q$1</f>
        <v>-29715.677364752282</v>
      </c>
      <c r="AT154" s="13">
        <f>AT144*$I118*2/MAIN!$Q$1</f>
        <v>7950.7146711740752</v>
      </c>
      <c r="AU154" s="13">
        <f>AU144*$I118*2/MAIN!$Q$1</f>
        <v>41856.844796083489</v>
      </c>
      <c r="AV154" s="13">
        <f>AV144*$I118*2/MAIN!$Q$1</f>
        <v>72539.027023315677</v>
      </c>
      <c r="AW154" s="13">
        <f>AW144*$I118*2/MAIN!$Q$1</f>
        <v>100436.21383856735</v>
      </c>
      <c r="AX154" s="13">
        <f>AX144*$I118*2/MAIN!$Q$1</f>
        <v>125911.13058130717</v>
      </c>
      <c r="AY154" s="13">
        <f>AY144*$I118*2/MAIN!$Q$1</f>
        <v>127013.18572472152</v>
      </c>
      <c r="AZ154" s="13">
        <f>AZ144*$I118*2/MAIN!$Q$1</f>
        <v>148502.32014887268</v>
      </c>
      <c r="BA154" s="13">
        <f>BA144*$I118*2/MAIN!$Q$1</f>
        <v>168340.59792798417</v>
      </c>
      <c r="BB154" s="13">
        <f>BB144*$I118*2/MAIN!$Q$1</f>
        <v>186711.21743076772</v>
      </c>
      <c r="BC154" s="13">
        <f>BC144*$I118*2/MAIN!$Q$1</f>
        <v>203771.23749602403</v>
      </c>
      <c r="BD154" s="13">
        <f>BD144*$I118*2/MAIN!$Q$1</f>
        <v>217945.35106336002</v>
      </c>
      <c r="BE154" s="13">
        <f>BE144*$I118*2/MAIN!$Q$1</f>
        <v>224565.77804339648</v>
      </c>
      <c r="BF154" s="13">
        <f>BF144*$I118*2/MAIN!$Q$1</f>
        <v>230389.53993211203</v>
      </c>
      <c r="BG154" s="13">
        <f>BG144*$I118*2/MAIN!$Q$1</f>
        <v>235552.27507102682</v>
      </c>
      <c r="BH154" s="13">
        <f>BH144*$I118*2/MAIN!$Q$1</f>
        <v>240160.48414752525</v>
      </c>
      <c r="BI154" s="13">
        <f>BI144*$I118*2/MAIN!$Q$1</f>
        <v>244298.95555976921</v>
      </c>
      <c r="BJ154" s="13">
        <f>BJ144*$I118*2/MAIN!$Q$1</f>
        <v>248036.03018851124</v>
      </c>
      <c r="BK154" s="13">
        <f>BK144*$I118*2/MAIN!$Q$1</f>
        <v>251427.40510891224</v>
      </c>
      <c r="BL154" s="13">
        <f>BL144*$I118*2/MAIN!$Q$1</f>
        <v>282022.36785277509</v>
      </c>
      <c r="BM154" s="13">
        <f>BM144*$I118*2/MAIN!$Q$1</f>
        <v>293994.30979602574</v>
      </c>
      <c r="BN154" s="13">
        <f>BN144*$I118*2/MAIN!$Q$1</f>
        <v>300379.34549909277</v>
      </c>
      <c r="BO154" s="3">
        <f>BO144*$I118*2/MAIN!$Q$1</f>
        <v>321358.74852345581</v>
      </c>
      <c r="BP154" s="43"/>
      <c r="BQ154" s="43"/>
      <c r="BR154" s="42"/>
    </row>
    <row r="155" spans="1:70" ht="16.5">
      <c r="A155" s="41"/>
      <c r="B155" s="14">
        <f t="shared" si="115"/>
        <v>4</v>
      </c>
      <c r="C155" s="298" t="s">
        <v>66</v>
      </c>
      <c r="D155" s="3">
        <f>D145*$I118*2/MAIN!$Q$1</f>
        <v>0</v>
      </c>
      <c r="E155" s="13">
        <f>E145*$I118*2/MAIN!$Q$1</f>
        <v>0</v>
      </c>
      <c r="F155" s="13">
        <f>F145*$I118*2/MAIN!$Q$1</f>
        <v>0</v>
      </c>
      <c r="G155" s="13">
        <f>G145*$I118*2/MAIN!$Q$1</f>
        <v>0</v>
      </c>
      <c r="H155" s="13">
        <f>H145*$I118*2/MAIN!$Q$1</f>
        <v>0</v>
      </c>
      <c r="I155" s="13">
        <f>I145*$I118*2/MAIN!$Q$1</f>
        <v>0</v>
      </c>
      <c r="J155" s="13">
        <f>J145*$I118*2/MAIN!$Q$1</f>
        <v>0</v>
      </c>
      <c r="K155" s="13">
        <f>K145*$I118*2/MAIN!$Q$1</f>
        <v>0</v>
      </c>
      <c r="L155" s="13">
        <f>L145*$I118*2/MAIN!$Q$1</f>
        <v>0</v>
      </c>
      <c r="M155" s="13">
        <f>M145*$I118*2/MAIN!$Q$1</f>
        <v>0</v>
      </c>
      <c r="N155" s="13">
        <f>N145*$I118*2/MAIN!$Q$1</f>
        <v>0</v>
      </c>
      <c r="O155" s="13">
        <f>O145*$I118*2/MAIN!$Q$1</f>
        <v>0</v>
      </c>
      <c r="P155" s="13">
        <f>P145*$I118*2/MAIN!$Q$1</f>
        <v>0</v>
      </c>
      <c r="Q155" s="13">
        <f>Q145*$I118*2/MAIN!$Q$1</f>
        <v>0</v>
      </c>
      <c r="R155" s="13">
        <f>R145*$I118*2/MAIN!$Q$1</f>
        <v>0</v>
      </c>
      <c r="S155" s="13">
        <f>S145*$I118*2/MAIN!$Q$1</f>
        <v>0</v>
      </c>
      <c r="T155" s="13">
        <f>T145*$I118*2/MAIN!$Q$1</f>
        <v>0</v>
      </c>
      <c r="U155" s="13">
        <f>U145*$I118*2/MAIN!$Q$1</f>
        <v>0</v>
      </c>
      <c r="V155" s="13">
        <f>V145*$I118*2/MAIN!$Q$1</f>
        <v>0</v>
      </c>
      <c r="W155" s="13">
        <f>W145*$I118*2/MAIN!$Q$1</f>
        <v>0</v>
      </c>
      <c r="X155" s="13">
        <f>X145*$I118*2/MAIN!$Q$1</f>
        <v>0</v>
      </c>
      <c r="Y155" s="13">
        <f>Y145*$I118*2/MAIN!$Q$1</f>
        <v>0</v>
      </c>
      <c r="Z155" s="13">
        <f>Z145*$I118*2/MAIN!$Q$1</f>
        <v>0</v>
      </c>
      <c r="AA155" s="13">
        <f>AA145*$I118*2/MAIN!$Q$1</f>
        <v>0</v>
      </c>
      <c r="AB155" s="13">
        <f>AB145*$I118*2/MAIN!$Q$1</f>
        <v>0</v>
      </c>
      <c r="AC155" s="13">
        <f>AC145*$I118*2/MAIN!$Q$1</f>
        <v>0</v>
      </c>
      <c r="AD155" s="13">
        <f>AD145*$I118*2/MAIN!$Q$1</f>
        <v>0</v>
      </c>
      <c r="AE155" s="13">
        <f>AE145*$I118*2/MAIN!$Q$1</f>
        <v>0</v>
      </c>
      <c r="AF155" s="13">
        <f>AF145*$I118*2/MAIN!$Q$1</f>
        <v>0</v>
      </c>
      <c r="AG155" s="13">
        <f>AG145*$I118*2/MAIN!$Q$1</f>
        <v>0</v>
      </c>
      <c r="AH155" s="13">
        <f>AH145*$I118*2/MAIN!$Q$1</f>
        <v>0</v>
      </c>
      <c r="AI155" s="13">
        <f>AI145*$I118*2/MAIN!$Q$1</f>
        <v>0</v>
      </c>
      <c r="AJ155" s="13">
        <f>AJ145*$I118*2/MAIN!$Q$1</f>
        <v>0</v>
      </c>
      <c r="AK155" s="13">
        <f>AK145*$I118*2/MAIN!$Q$1</f>
        <v>0</v>
      </c>
      <c r="AL155" s="13">
        <f>AL145*$I118*2/MAIN!$Q$1</f>
        <v>0</v>
      </c>
      <c r="AM155" s="13">
        <f>AM145*$I118*2/MAIN!$Q$1</f>
        <v>0</v>
      </c>
      <c r="AN155" s="13">
        <f>AN145*$I118*2/MAIN!$Q$1</f>
        <v>0</v>
      </c>
      <c r="AO155" s="13">
        <f>AO145*$I118*2/MAIN!$Q$1</f>
        <v>0</v>
      </c>
      <c r="AP155" s="13">
        <f>AP145*$I118*2/MAIN!$Q$1</f>
        <v>0</v>
      </c>
      <c r="AQ155" s="13">
        <f>AQ145*$I118*2/MAIN!$Q$1</f>
        <v>0</v>
      </c>
      <c r="AR155" s="59">
        <f>AR145*$I118*2/MAIN!$Q$1</f>
        <v>0</v>
      </c>
      <c r="AS155" s="13">
        <f>AS145*$I118*2/MAIN!$Q$1</f>
        <v>0</v>
      </c>
      <c r="AT155" s="13">
        <f>AT145*$I118*2/MAIN!$Q$1</f>
        <v>0</v>
      </c>
      <c r="AU155" s="13">
        <f>AU145*$I118*2/MAIN!$Q$1</f>
        <v>0</v>
      </c>
      <c r="AV155" s="13">
        <f>AV145*$I118*2/MAIN!$Q$1</f>
        <v>0</v>
      </c>
      <c r="AW155" s="13">
        <f>AW145*$I118*2/MAIN!$Q$1</f>
        <v>0</v>
      </c>
      <c r="AX155" s="13">
        <f>AX145*$I118*2/MAIN!$Q$1</f>
        <v>0</v>
      </c>
      <c r="AY155" s="13">
        <f>AY145*$I118*2/MAIN!$Q$1</f>
        <v>0</v>
      </c>
      <c r="AZ155" s="13">
        <f>AZ145*$I118*2/MAIN!$Q$1</f>
        <v>0</v>
      </c>
      <c r="BA155" s="13">
        <f>BA145*$I118*2/MAIN!$Q$1</f>
        <v>0</v>
      </c>
      <c r="BB155" s="13">
        <f>BB145*$I118*2/MAIN!$Q$1</f>
        <v>0</v>
      </c>
      <c r="BC155" s="13">
        <f>BC145*$I118*2/MAIN!$Q$1</f>
        <v>0</v>
      </c>
      <c r="BD155" s="13">
        <f>BD145*$I118*2/MAIN!$Q$1</f>
        <v>0</v>
      </c>
      <c r="BE155" s="13">
        <f>BE145*$I118*2/MAIN!$Q$1</f>
        <v>0</v>
      </c>
      <c r="BF155" s="13">
        <f>BF145*$I118*2/MAIN!$Q$1</f>
        <v>0</v>
      </c>
      <c r="BG155" s="13">
        <f>BG145*$I118*2/MAIN!$Q$1</f>
        <v>0</v>
      </c>
      <c r="BH155" s="13">
        <f>BH145*$I118*2/MAIN!$Q$1</f>
        <v>0</v>
      </c>
      <c r="BI155" s="13">
        <f>BI145*$I118*2/MAIN!$Q$1</f>
        <v>0</v>
      </c>
      <c r="BJ155" s="13">
        <f>BJ145*$I118*2/MAIN!$Q$1</f>
        <v>0</v>
      </c>
      <c r="BK155" s="13">
        <f>BK145*$I118*2/MAIN!$Q$1</f>
        <v>0</v>
      </c>
      <c r="BL155" s="13">
        <f>BL145*$I118*2/MAIN!$Q$1</f>
        <v>0</v>
      </c>
      <c r="BM155" s="13">
        <f>BM145*$I118*2/MAIN!$Q$1</f>
        <v>0</v>
      </c>
      <c r="BN155" s="13">
        <f>BN145*$I118*2/MAIN!$Q$1</f>
        <v>0</v>
      </c>
      <c r="BO155" s="3">
        <f>BO145*$I118*2/MAIN!$Q$1</f>
        <v>0</v>
      </c>
      <c r="BP155" s="43"/>
      <c r="BQ155" s="43"/>
      <c r="BR155" s="42"/>
    </row>
    <row r="156" spans="1:70" ht="16.5">
      <c r="A156" s="41"/>
      <c r="B156" s="14">
        <f t="shared" si="115"/>
        <v>5</v>
      </c>
      <c r="C156" s="298" t="s">
        <v>66</v>
      </c>
      <c r="D156" s="3">
        <f>D146*$I118*2/MAIN!$Q$1</f>
        <v>0</v>
      </c>
      <c r="E156" s="13">
        <f>E146*$I118*2/MAIN!$Q$1</f>
        <v>0</v>
      </c>
      <c r="F156" s="13">
        <f>F146*$I118*2/MAIN!$Q$1</f>
        <v>0</v>
      </c>
      <c r="G156" s="13">
        <f>G146*$I118*2/MAIN!$Q$1</f>
        <v>0</v>
      </c>
      <c r="H156" s="13">
        <f>H146*$I118*2/MAIN!$Q$1</f>
        <v>0</v>
      </c>
      <c r="I156" s="13">
        <f>I146*$I118*2/MAIN!$Q$1</f>
        <v>0</v>
      </c>
      <c r="J156" s="13">
        <f>J146*$I118*2/MAIN!$Q$1</f>
        <v>0</v>
      </c>
      <c r="K156" s="13">
        <f>K146*$I118*2/MAIN!$Q$1</f>
        <v>0</v>
      </c>
      <c r="L156" s="13">
        <f>L146*$I118*2/MAIN!$Q$1</f>
        <v>0</v>
      </c>
      <c r="M156" s="13">
        <f>M146*$I118*2/MAIN!$Q$1</f>
        <v>0</v>
      </c>
      <c r="N156" s="13">
        <f>N146*$I118*2/MAIN!$Q$1</f>
        <v>0</v>
      </c>
      <c r="O156" s="13">
        <f>O146*$I118*2/MAIN!$Q$1</f>
        <v>0</v>
      </c>
      <c r="P156" s="13">
        <f>P146*$I118*2/MAIN!$Q$1</f>
        <v>0</v>
      </c>
      <c r="Q156" s="13">
        <f>Q146*$I118*2/MAIN!$Q$1</f>
        <v>0</v>
      </c>
      <c r="R156" s="13">
        <f>R146*$I118*2/MAIN!$Q$1</f>
        <v>0</v>
      </c>
      <c r="S156" s="13">
        <f>S146*$I118*2/MAIN!$Q$1</f>
        <v>0</v>
      </c>
      <c r="T156" s="13">
        <f>T146*$I118*2/MAIN!$Q$1</f>
        <v>0</v>
      </c>
      <c r="U156" s="13">
        <f>U146*$I118*2/MAIN!$Q$1</f>
        <v>0</v>
      </c>
      <c r="V156" s="13">
        <f>V146*$I118*2/MAIN!$Q$1</f>
        <v>0</v>
      </c>
      <c r="W156" s="13">
        <f>W146*$I118*2/MAIN!$Q$1</f>
        <v>0</v>
      </c>
      <c r="X156" s="13">
        <f>X146*$I118*2/MAIN!$Q$1</f>
        <v>0</v>
      </c>
      <c r="Y156" s="13">
        <f>Y146*$I118*2/MAIN!$Q$1</f>
        <v>0</v>
      </c>
      <c r="Z156" s="13">
        <f>Z146*$I118*2/MAIN!$Q$1</f>
        <v>0</v>
      </c>
      <c r="AA156" s="13">
        <f>AA146*$I118*2/MAIN!$Q$1</f>
        <v>0</v>
      </c>
      <c r="AB156" s="13">
        <f>AB146*$I118*2/MAIN!$Q$1</f>
        <v>0</v>
      </c>
      <c r="AC156" s="13">
        <f>AC146*$I118*2/MAIN!$Q$1</f>
        <v>0</v>
      </c>
      <c r="AD156" s="13">
        <f>AD146*$I118*2/MAIN!$Q$1</f>
        <v>0</v>
      </c>
      <c r="AE156" s="13">
        <f>AE146*$I118*2/MAIN!$Q$1</f>
        <v>0</v>
      </c>
      <c r="AF156" s="13">
        <f>AF146*$I118*2/MAIN!$Q$1</f>
        <v>0</v>
      </c>
      <c r="AG156" s="13">
        <f>AG146*$I118*2/MAIN!$Q$1</f>
        <v>0</v>
      </c>
      <c r="AH156" s="13">
        <f>AH146*$I118*2/MAIN!$Q$1</f>
        <v>0</v>
      </c>
      <c r="AI156" s="13">
        <f>AI146*$I118*2/MAIN!$Q$1</f>
        <v>0</v>
      </c>
      <c r="AJ156" s="13">
        <f>AJ146*$I118*2/MAIN!$Q$1</f>
        <v>0</v>
      </c>
      <c r="AK156" s="13">
        <f>AK146*$I118*2/MAIN!$Q$1</f>
        <v>0</v>
      </c>
      <c r="AL156" s="13">
        <f>AL146*$I118*2/MAIN!$Q$1</f>
        <v>0</v>
      </c>
      <c r="AM156" s="13">
        <f>AM146*$I118*2/MAIN!$Q$1</f>
        <v>0</v>
      </c>
      <c r="AN156" s="13">
        <f>AN146*$I118*2/MAIN!$Q$1</f>
        <v>0</v>
      </c>
      <c r="AO156" s="13">
        <f>AO146*$I118*2/MAIN!$Q$1</f>
        <v>0</v>
      </c>
      <c r="AP156" s="13">
        <f>AP146*$I118*2/MAIN!$Q$1</f>
        <v>0</v>
      </c>
      <c r="AQ156" s="13">
        <f>AQ146*$I118*2/MAIN!$Q$1</f>
        <v>0</v>
      </c>
      <c r="AR156" s="59">
        <f>AR146*$I118*2/MAIN!$Q$1</f>
        <v>0</v>
      </c>
      <c r="AS156" s="13">
        <f>AS146*$I118*2/MAIN!$Q$1</f>
        <v>0</v>
      </c>
      <c r="AT156" s="13">
        <f>AT146*$I118*2/MAIN!$Q$1</f>
        <v>0</v>
      </c>
      <c r="AU156" s="13">
        <f>AU146*$I118*2/MAIN!$Q$1</f>
        <v>0</v>
      </c>
      <c r="AV156" s="13">
        <f>AV146*$I118*2/MAIN!$Q$1</f>
        <v>0</v>
      </c>
      <c r="AW156" s="13">
        <f>AW146*$I118*2/MAIN!$Q$1</f>
        <v>0</v>
      </c>
      <c r="AX156" s="13">
        <f>AX146*$I118*2/MAIN!$Q$1</f>
        <v>0</v>
      </c>
      <c r="AY156" s="13">
        <f>AY146*$I118*2/MAIN!$Q$1</f>
        <v>0</v>
      </c>
      <c r="AZ156" s="13">
        <f>AZ146*$I118*2/MAIN!$Q$1</f>
        <v>0</v>
      </c>
      <c r="BA156" s="13">
        <f>BA146*$I118*2/MAIN!$Q$1</f>
        <v>0</v>
      </c>
      <c r="BB156" s="13">
        <f>BB146*$I118*2/MAIN!$Q$1</f>
        <v>0</v>
      </c>
      <c r="BC156" s="13">
        <f>BC146*$I118*2/MAIN!$Q$1</f>
        <v>0</v>
      </c>
      <c r="BD156" s="13">
        <f>BD146*$I118*2/MAIN!$Q$1</f>
        <v>0</v>
      </c>
      <c r="BE156" s="13">
        <f>BE146*$I118*2/MAIN!$Q$1</f>
        <v>0</v>
      </c>
      <c r="BF156" s="13">
        <f>BF146*$I118*2/MAIN!$Q$1</f>
        <v>0</v>
      </c>
      <c r="BG156" s="13">
        <f>BG146*$I118*2/MAIN!$Q$1</f>
        <v>0</v>
      </c>
      <c r="BH156" s="13">
        <f>BH146*$I118*2/MAIN!$Q$1</f>
        <v>0</v>
      </c>
      <c r="BI156" s="13">
        <f>BI146*$I118*2/MAIN!$Q$1</f>
        <v>0</v>
      </c>
      <c r="BJ156" s="13">
        <f>BJ146*$I118*2/MAIN!$Q$1</f>
        <v>0</v>
      </c>
      <c r="BK156" s="13">
        <f>BK146*$I118*2/MAIN!$Q$1</f>
        <v>0</v>
      </c>
      <c r="BL156" s="13">
        <f>BL146*$I118*2/MAIN!$Q$1</f>
        <v>0</v>
      </c>
      <c r="BM156" s="13">
        <f>BM146*$I118*2/MAIN!$Q$1</f>
        <v>0</v>
      </c>
      <c r="BN156" s="13">
        <f>BN146*$I118*2/MAIN!$Q$1</f>
        <v>0</v>
      </c>
      <c r="BO156" s="3">
        <f>BO146*$I118*2/MAIN!$Q$1</f>
        <v>0</v>
      </c>
      <c r="BP156" s="43"/>
      <c r="BQ156" s="43"/>
      <c r="BR156" s="42"/>
    </row>
    <row r="157" spans="1:70" ht="16.5">
      <c r="A157" s="41"/>
      <c r="B157" s="14">
        <f t="shared" si="115"/>
        <v>6</v>
      </c>
      <c r="C157" s="298" t="s">
        <v>66</v>
      </c>
      <c r="D157" s="3">
        <f>D147*$I118*2/MAIN!$Q$1</f>
        <v>0</v>
      </c>
      <c r="E157" s="13">
        <f>E147*$I118*2/MAIN!$Q$1</f>
        <v>0</v>
      </c>
      <c r="F157" s="13">
        <f>F147*$I118*2/MAIN!$Q$1</f>
        <v>0</v>
      </c>
      <c r="G157" s="13">
        <f>G147*$I118*2/MAIN!$Q$1</f>
        <v>0</v>
      </c>
      <c r="H157" s="13">
        <f>H147*$I118*2/MAIN!$Q$1</f>
        <v>0</v>
      </c>
      <c r="I157" s="13">
        <f>I147*$I118*2/MAIN!$Q$1</f>
        <v>0</v>
      </c>
      <c r="J157" s="13">
        <f>J147*$I118*2/MAIN!$Q$1</f>
        <v>0</v>
      </c>
      <c r="K157" s="13">
        <f>K147*$I118*2/MAIN!$Q$1</f>
        <v>0</v>
      </c>
      <c r="L157" s="13">
        <f>L147*$I118*2/MAIN!$Q$1</f>
        <v>0</v>
      </c>
      <c r="M157" s="13">
        <f>M147*$I118*2/MAIN!$Q$1</f>
        <v>0</v>
      </c>
      <c r="N157" s="13">
        <f>N147*$I118*2/MAIN!$Q$1</f>
        <v>0</v>
      </c>
      <c r="O157" s="13">
        <f>O147*$I118*2/MAIN!$Q$1</f>
        <v>0</v>
      </c>
      <c r="P157" s="13">
        <f>P147*$I118*2/MAIN!$Q$1</f>
        <v>0</v>
      </c>
      <c r="Q157" s="13">
        <f>Q147*$I118*2/MAIN!$Q$1</f>
        <v>0</v>
      </c>
      <c r="R157" s="13">
        <f>R147*$I118*2/MAIN!$Q$1</f>
        <v>0</v>
      </c>
      <c r="S157" s="13">
        <f>S147*$I118*2/MAIN!$Q$1</f>
        <v>0</v>
      </c>
      <c r="T157" s="13">
        <f>T147*$I118*2/MAIN!$Q$1</f>
        <v>0</v>
      </c>
      <c r="U157" s="13">
        <f>U147*$I118*2/MAIN!$Q$1</f>
        <v>0</v>
      </c>
      <c r="V157" s="13">
        <f>V147*$I118*2/MAIN!$Q$1</f>
        <v>0</v>
      </c>
      <c r="W157" s="13">
        <f>W147*$I118*2/MAIN!$Q$1</f>
        <v>0</v>
      </c>
      <c r="X157" s="13">
        <f>X147*$I118*2/MAIN!$Q$1</f>
        <v>0</v>
      </c>
      <c r="Y157" s="13">
        <f>Y147*$I118*2/MAIN!$Q$1</f>
        <v>0</v>
      </c>
      <c r="Z157" s="13">
        <f>Z147*$I118*2/MAIN!$Q$1</f>
        <v>0</v>
      </c>
      <c r="AA157" s="13">
        <f>AA147*$I118*2/MAIN!$Q$1</f>
        <v>0</v>
      </c>
      <c r="AB157" s="13">
        <f>AB147*$I118*2/MAIN!$Q$1</f>
        <v>0</v>
      </c>
      <c r="AC157" s="13">
        <f>AC147*$I118*2/MAIN!$Q$1</f>
        <v>0</v>
      </c>
      <c r="AD157" s="13">
        <f>AD147*$I118*2/MAIN!$Q$1</f>
        <v>0</v>
      </c>
      <c r="AE157" s="13">
        <f>AE147*$I118*2/MAIN!$Q$1</f>
        <v>0</v>
      </c>
      <c r="AF157" s="13">
        <f>AF147*$I118*2/MAIN!$Q$1</f>
        <v>0</v>
      </c>
      <c r="AG157" s="13">
        <f>AG147*$I118*2/MAIN!$Q$1</f>
        <v>0</v>
      </c>
      <c r="AH157" s="13">
        <f>AH147*$I118*2/MAIN!$Q$1</f>
        <v>0</v>
      </c>
      <c r="AI157" s="13">
        <f>AI147*$I118*2/MAIN!$Q$1</f>
        <v>0</v>
      </c>
      <c r="AJ157" s="13">
        <f>AJ147*$I118*2/MAIN!$Q$1</f>
        <v>0</v>
      </c>
      <c r="AK157" s="13">
        <f>AK147*$I118*2/MAIN!$Q$1</f>
        <v>0</v>
      </c>
      <c r="AL157" s="13">
        <f>AL147*$I118*2/MAIN!$Q$1</f>
        <v>0</v>
      </c>
      <c r="AM157" s="13">
        <f>AM147*$I118*2/MAIN!$Q$1</f>
        <v>0</v>
      </c>
      <c r="AN157" s="13">
        <f>AN147*$I118*2/MAIN!$Q$1</f>
        <v>0</v>
      </c>
      <c r="AO157" s="13">
        <f>AO147*$I118*2/MAIN!$Q$1</f>
        <v>0</v>
      </c>
      <c r="AP157" s="13">
        <f>AP147*$I118*2/MAIN!$Q$1</f>
        <v>0</v>
      </c>
      <c r="AQ157" s="13">
        <f>AQ147*$I118*2/MAIN!$Q$1</f>
        <v>0</v>
      </c>
      <c r="AR157" s="59">
        <f>AR147*$I118*2/MAIN!$Q$1</f>
        <v>0</v>
      </c>
      <c r="AS157" s="13">
        <f>AS147*$I118*2/MAIN!$Q$1</f>
        <v>0</v>
      </c>
      <c r="AT157" s="13">
        <f>AT147*$I118*2/MAIN!$Q$1</f>
        <v>0</v>
      </c>
      <c r="AU157" s="13">
        <f>AU147*$I118*2/MAIN!$Q$1</f>
        <v>0</v>
      </c>
      <c r="AV157" s="13">
        <f>AV147*$I118*2/MAIN!$Q$1</f>
        <v>0</v>
      </c>
      <c r="AW157" s="13">
        <f>AW147*$I118*2/MAIN!$Q$1</f>
        <v>0</v>
      </c>
      <c r="AX157" s="13">
        <f>AX147*$I118*2/MAIN!$Q$1</f>
        <v>0</v>
      </c>
      <c r="AY157" s="13">
        <f>AY147*$I118*2/MAIN!$Q$1</f>
        <v>0</v>
      </c>
      <c r="AZ157" s="13">
        <f>AZ147*$I118*2/MAIN!$Q$1</f>
        <v>0</v>
      </c>
      <c r="BA157" s="13">
        <f>BA147*$I118*2/MAIN!$Q$1</f>
        <v>0</v>
      </c>
      <c r="BB157" s="13">
        <f>BB147*$I118*2/MAIN!$Q$1</f>
        <v>0</v>
      </c>
      <c r="BC157" s="13">
        <f>BC147*$I118*2/MAIN!$Q$1</f>
        <v>0</v>
      </c>
      <c r="BD157" s="13">
        <f>BD147*$I118*2/MAIN!$Q$1</f>
        <v>0</v>
      </c>
      <c r="BE157" s="13">
        <f>BE147*$I118*2/MAIN!$Q$1</f>
        <v>0</v>
      </c>
      <c r="BF157" s="13">
        <f>BF147*$I118*2/MAIN!$Q$1</f>
        <v>0</v>
      </c>
      <c r="BG157" s="13">
        <f>BG147*$I118*2/MAIN!$Q$1</f>
        <v>0</v>
      </c>
      <c r="BH157" s="13">
        <f>BH147*$I118*2/MAIN!$Q$1</f>
        <v>0</v>
      </c>
      <c r="BI157" s="13">
        <f>BI147*$I118*2/MAIN!$Q$1</f>
        <v>0</v>
      </c>
      <c r="BJ157" s="13">
        <f>BJ147*$I118*2/MAIN!$Q$1</f>
        <v>0</v>
      </c>
      <c r="BK157" s="13">
        <f>BK147*$I118*2/MAIN!$Q$1</f>
        <v>0</v>
      </c>
      <c r="BL157" s="13">
        <f>BL147*$I118*2/MAIN!$Q$1</f>
        <v>0</v>
      </c>
      <c r="BM157" s="13">
        <f>BM147*$I118*2/MAIN!$Q$1</f>
        <v>0</v>
      </c>
      <c r="BN157" s="13">
        <f>BN147*$I118*2/MAIN!$Q$1</f>
        <v>0</v>
      </c>
      <c r="BO157" s="3">
        <f>BO147*$I118*2/MAIN!$Q$1</f>
        <v>0</v>
      </c>
      <c r="BP157" s="43"/>
      <c r="BQ157" s="43"/>
      <c r="BR157" s="42"/>
    </row>
    <row r="158" spans="1:70" ht="16.5">
      <c r="A158" s="41"/>
      <c r="B158" s="14">
        <f t="shared" si="115"/>
        <v>7</v>
      </c>
      <c r="C158" s="298" t="s">
        <v>66</v>
      </c>
      <c r="D158" s="3">
        <f>D148*$I118*2/MAIN!$Q$1</f>
        <v>0</v>
      </c>
      <c r="E158" s="13">
        <f>E148*$I118*2/MAIN!$Q$1</f>
        <v>0</v>
      </c>
      <c r="F158" s="13">
        <f>F148*$I118*2/MAIN!$Q$1</f>
        <v>0</v>
      </c>
      <c r="G158" s="13">
        <f>G148*$I118*2/MAIN!$Q$1</f>
        <v>0</v>
      </c>
      <c r="H158" s="13">
        <f>H148*$I118*2/MAIN!$Q$1</f>
        <v>0</v>
      </c>
      <c r="I158" s="13">
        <f>I148*$I118*2/MAIN!$Q$1</f>
        <v>0</v>
      </c>
      <c r="J158" s="13">
        <f>J148*$I118*2/MAIN!$Q$1</f>
        <v>0</v>
      </c>
      <c r="K158" s="13">
        <f>K148*$I118*2/MAIN!$Q$1</f>
        <v>0</v>
      </c>
      <c r="L158" s="13">
        <f>L148*$I118*2/MAIN!$Q$1</f>
        <v>0</v>
      </c>
      <c r="M158" s="13">
        <f>M148*$I118*2/MAIN!$Q$1</f>
        <v>0</v>
      </c>
      <c r="N158" s="13">
        <f>N148*$I118*2/MAIN!$Q$1</f>
        <v>0</v>
      </c>
      <c r="O158" s="13">
        <f>O148*$I118*2/MAIN!$Q$1</f>
        <v>0</v>
      </c>
      <c r="P158" s="13">
        <f>P148*$I118*2/MAIN!$Q$1</f>
        <v>0</v>
      </c>
      <c r="Q158" s="13">
        <f>Q148*$I118*2/MAIN!$Q$1</f>
        <v>0</v>
      </c>
      <c r="R158" s="13">
        <f>R148*$I118*2/MAIN!$Q$1</f>
        <v>0</v>
      </c>
      <c r="S158" s="13">
        <f>S148*$I118*2/MAIN!$Q$1</f>
        <v>0</v>
      </c>
      <c r="T158" s="13">
        <f>T148*$I118*2/MAIN!$Q$1</f>
        <v>0</v>
      </c>
      <c r="U158" s="13">
        <f>U148*$I118*2/MAIN!$Q$1</f>
        <v>0</v>
      </c>
      <c r="V158" s="13">
        <f>V148*$I118*2/MAIN!$Q$1</f>
        <v>0</v>
      </c>
      <c r="W158" s="13">
        <f>W148*$I118*2/MAIN!$Q$1</f>
        <v>0</v>
      </c>
      <c r="X158" s="13">
        <f>X148*$I118*2/MAIN!$Q$1</f>
        <v>0</v>
      </c>
      <c r="Y158" s="13">
        <f>Y148*$I118*2/MAIN!$Q$1</f>
        <v>0</v>
      </c>
      <c r="Z158" s="13">
        <f>Z148*$I118*2/MAIN!$Q$1</f>
        <v>0</v>
      </c>
      <c r="AA158" s="13">
        <f>AA148*$I118*2/MAIN!$Q$1</f>
        <v>0</v>
      </c>
      <c r="AB158" s="13">
        <f>AB148*$I118*2/MAIN!$Q$1</f>
        <v>0</v>
      </c>
      <c r="AC158" s="13">
        <f>AC148*$I118*2/MAIN!$Q$1</f>
        <v>0</v>
      </c>
      <c r="AD158" s="13">
        <f>AD148*$I118*2/MAIN!$Q$1</f>
        <v>0</v>
      </c>
      <c r="AE158" s="13">
        <f>AE148*$I118*2/MAIN!$Q$1</f>
        <v>0</v>
      </c>
      <c r="AF158" s="13">
        <f>AF148*$I118*2/MAIN!$Q$1</f>
        <v>0</v>
      </c>
      <c r="AG158" s="13">
        <f>AG148*$I118*2/MAIN!$Q$1</f>
        <v>0</v>
      </c>
      <c r="AH158" s="13">
        <f>AH148*$I118*2/MAIN!$Q$1</f>
        <v>0</v>
      </c>
      <c r="AI158" s="13">
        <f>AI148*$I118*2/MAIN!$Q$1</f>
        <v>0</v>
      </c>
      <c r="AJ158" s="13">
        <f>AJ148*$I118*2/MAIN!$Q$1</f>
        <v>0</v>
      </c>
      <c r="AK158" s="13">
        <f>AK148*$I118*2/MAIN!$Q$1</f>
        <v>0</v>
      </c>
      <c r="AL158" s="13">
        <f>AL148*$I118*2/MAIN!$Q$1</f>
        <v>0</v>
      </c>
      <c r="AM158" s="13">
        <f>AM148*$I118*2/MAIN!$Q$1</f>
        <v>0</v>
      </c>
      <c r="AN158" s="13">
        <f>AN148*$I118*2/MAIN!$Q$1</f>
        <v>0</v>
      </c>
      <c r="AO158" s="13">
        <f>AO148*$I118*2/MAIN!$Q$1</f>
        <v>0</v>
      </c>
      <c r="AP158" s="13">
        <f>AP148*$I118*2/MAIN!$Q$1</f>
        <v>0</v>
      </c>
      <c r="AQ158" s="13">
        <f>AQ148*$I118*2/MAIN!$Q$1</f>
        <v>0</v>
      </c>
      <c r="AR158" s="59">
        <f>AR148*$I118*2/MAIN!$Q$1</f>
        <v>0</v>
      </c>
      <c r="AS158" s="13">
        <f>AS148*$I118*2/MAIN!$Q$1</f>
        <v>0</v>
      </c>
      <c r="AT158" s="13">
        <f>AT148*$I118*2/MAIN!$Q$1</f>
        <v>0</v>
      </c>
      <c r="AU158" s="13">
        <f>AU148*$I118*2/MAIN!$Q$1</f>
        <v>0</v>
      </c>
      <c r="AV158" s="13">
        <f>AV148*$I118*2/MAIN!$Q$1</f>
        <v>0</v>
      </c>
      <c r="AW158" s="13">
        <f>AW148*$I118*2/MAIN!$Q$1</f>
        <v>0</v>
      </c>
      <c r="AX158" s="13">
        <f>AX148*$I118*2/MAIN!$Q$1</f>
        <v>0</v>
      </c>
      <c r="AY158" s="13">
        <f>AY148*$I118*2/MAIN!$Q$1</f>
        <v>0</v>
      </c>
      <c r="AZ158" s="13">
        <f>AZ148*$I118*2/MAIN!$Q$1</f>
        <v>0</v>
      </c>
      <c r="BA158" s="13">
        <f>BA148*$I118*2/MAIN!$Q$1</f>
        <v>0</v>
      </c>
      <c r="BB158" s="13">
        <f>BB148*$I118*2/MAIN!$Q$1</f>
        <v>0</v>
      </c>
      <c r="BC158" s="13">
        <f>BC148*$I118*2/MAIN!$Q$1</f>
        <v>0</v>
      </c>
      <c r="BD158" s="13">
        <f>BD148*$I118*2/MAIN!$Q$1</f>
        <v>0</v>
      </c>
      <c r="BE158" s="13">
        <f>BE148*$I118*2/MAIN!$Q$1</f>
        <v>0</v>
      </c>
      <c r="BF158" s="13">
        <f>BF148*$I118*2/MAIN!$Q$1</f>
        <v>0</v>
      </c>
      <c r="BG158" s="13">
        <f>BG148*$I118*2/MAIN!$Q$1</f>
        <v>0</v>
      </c>
      <c r="BH158" s="13">
        <f>BH148*$I118*2/MAIN!$Q$1</f>
        <v>0</v>
      </c>
      <c r="BI158" s="13">
        <f>BI148*$I118*2/MAIN!$Q$1</f>
        <v>0</v>
      </c>
      <c r="BJ158" s="13">
        <f>BJ148*$I118*2/MAIN!$Q$1</f>
        <v>0</v>
      </c>
      <c r="BK158" s="13">
        <f>BK148*$I118*2/MAIN!$Q$1</f>
        <v>0</v>
      </c>
      <c r="BL158" s="13">
        <f>BL148*$I118*2/MAIN!$Q$1</f>
        <v>0</v>
      </c>
      <c r="BM158" s="13">
        <f>BM148*$I118*2/MAIN!$Q$1</f>
        <v>0</v>
      </c>
      <c r="BN158" s="13">
        <f>BN148*$I118*2/MAIN!$Q$1</f>
        <v>0</v>
      </c>
      <c r="BO158" s="3">
        <f>BO148*$I118*2/MAIN!$Q$1</f>
        <v>0</v>
      </c>
      <c r="BP158" s="43"/>
      <c r="BQ158" s="43"/>
      <c r="BR158" s="42"/>
    </row>
    <row r="159" spans="1:70" ht="16.5">
      <c r="A159" s="41"/>
      <c r="B159" s="14">
        <f t="shared" si="115"/>
        <v>8</v>
      </c>
      <c r="C159" s="298" t="s">
        <v>66</v>
      </c>
      <c r="D159" s="3">
        <f>D149*$I118*2/MAIN!$Q$1</f>
        <v>0</v>
      </c>
      <c r="E159" s="13">
        <f>E149*$I118*2/MAIN!$Q$1</f>
        <v>0</v>
      </c>
      <c r="F159" s="13">
        <f>F149*$I118*2/MAIN!$Q$1</f>
        <v>0</v>
      </c>
      <c r="G159" s="13">
        <f>G149*$I118*2/MAIN!$Q$1</f>
        <v>0</v>
      </c>
      <c r="H159" s="13">
        <f>H149*$I118*2/MAIN!$Q$1</f>
        <v>0</v>
      </c>
      <c r="I159" s="13">
        <f>I149*$I118*2/MAIN!$Q$1</f>
        <v>0</v>
      </c>
      <c r="J159" s="13">
        <f>J149*$I118*2/MAIN!$Q$1</f>
        <v>0</v>
      </c>
      <c r="K159" s="13">
        <f>K149*$I118*2/MAIN!$Q$1</f>
        <v>0</v>
      </c>
      <c r="L159" s="13">
        <f>L149*$I118*2/MAIN!$Q$1</f>
        <v>0</v>
      </c>
      <c r="M159" s="13">
        <f>M149*$I118*2/MAIN!$Q$1</f>
        <v>0</v>
      </c>
      <c r="N159" s="13">
        <f>N149*$I118*2/MAIN!$Q$1</f>
        <v>0</v>
      </c>
      <c r="O159" s="13">
        <f>O149*$I118*2/MAIN!$Q$1</f>
        <v>0</v>
      </c>
      <c r="P159" s="13">
        <f>P149*$I118*2/MAIN!$Q$1</f>
        <v>0</v>
      </c>
      <c r="Q159" s="13">
        <f>Q149*$I118*2/MAIN!$Q$1</f>
        <v>0</v>
      </c>
      <c r="R159" s="13">
        <f>R149*$I118*2/MAIN!$Q$1</f>
        <v>0</v>
      </c>
      <c r="S159" s="13">
        <f>S149*$I118*2/MAIN!$Q$1</f>
        <v>0</v>
      </c>
      <c r="T159" s="13">
        <f>T149*$I118*2/MAIN!$Q$1</f>
        <v>0</v>
      </c>
      <c r="U159" s="13">
        <f>U149*$I118*2/MAIN!$Q$1</f>
        <v>0</v>
      </c>
      <c r="V159" s="13">
        <f>V149*$I118*2/MAIN!$Q$1</f>
        <v>0</v>
      </c>
      <c r="W159" s="13">
        <f>W149*$I118*2/MAIN!$Q$1</f>
        <v>0</v>
      </c>
      <c r="X159" s="13">
        <f>X149*$I118*2/MAIN!$Q$1</f>
        <v>0</v>
      </c>
      <c r="Y159" s="13">
        <f>Y149*$I118*2/MAIN!$Q$1</f>
        <v>0</v>
      </c>
      <c r="Z159" s="13">
        <f>Z149*$I118*2/MAIN!$Q$1</f>
        <v>0</v>
      </c>
      <c r="AA159" s="13">
        <f>AA149*$I118*2/MAIN!$Q$1</f>
        <v>0</v>
      </c>
      <c r="AB159" s="13">
        <f>AB149*$I118*2/MAIN!$Q$1</f>
        <v>0</v>
      </c>
      <c r="AC159" s="13">
        <f>AC149*$I118*2/MAIN!$Q$1</f>
        <v>0</v>
      </c>
      <c r="AD159" s="13">
        <f>AD149*$I118*2/MAIN!$Q$1</f>
        <v>0</v>
      </c>
      <c r="AE159" s="13">
        <f>AE149*$I118*2/MAIN!$Q$1</f>
        <v>0</v>
      </c>
      <c r="AF159" s="13">
        <f>AF149*$I118*2/MAIN!$Q$1</f>
        <v>0</v>
      </c>
      <c r="AG159" s="13">
        <f>AG149*$I118*2/MAIN!$Q$1</f>
        <v>0</v>
      </c>
      <c r="AH159" s="13">
        <f>AH149*$I118*2/MAIN!$Q$1</f>
        <v>0</v>
      </c>
      <c r="AI159" s="13">
        <f>AI149*$I118*2/MAIN!$Q$1</f>
        <v>0</v>
      </c>
      <c r="AJ159" s="13">
        <f>AJ149*$I118*2/MAIN!$Q$1</f>
        <v>0</v>
      </c>
      <c r="AK159" s="13">
        <f>AK149*$I118*2/MAIN!$Q$1</f>
        <v>0</v>
      </c>
      <c r="AL159" s="13">
        <f>AL149*$I118*2/MAIN!$Q$1</f>
        <v>0</v>
      </c>
      <c r="AM159" s="13">
        <f>AM149*$I118*2/MAIN!$Q$1</f>
        <v>0</v>
      </c>
      <c r="AN159" s="13">
        <f>AN149*$I118*2/MAIN!$Q$1</f>
        <v>0</v>
      </c>
      <c r="AO159" s="13">
        <f>AO149*$I118*2/MAIN!$Q$1</f>
        <v>0</v>
      </c>
      <c r="AP159" s="13">
        <f>AP149*$I118*2/MAIN!$Q$1</f>
        <v>0</v>
      </c>
      <c r="AQ159" s="13">
        <f>AQ149*$I118*2/MAIN!$Q$1</f>
        <v>0</v>
      </c>
      <c r="AR159" s="59">
        <f>AR149*$I118*2/MAIN!$Q$1</f>
        <v>0</v>
      </c>
      <c r="AS159" s="13">
        <f>AS149*$I118*2/MAIN!$Q$1</f>
        <v>0</v>
      </c>
      <c r="AT159" s="13">
        <f>AT149*$I118*2/MAIN!$Q$1</f>
        <v>0</v>
      </c>
      <c r="AU159" s="13">
        <f>AU149*$I118*2/MAIN!$Q$1</f>
        <v>0</v>
      </c>
      <c r="AV159" s="13">
        <f>AV149*$I118*2/MAIN!$Q$1</f>
        <v>0</v>
      </c>
      <c r="AW159" s="13">
        <f>AW149*$I118*2/MAIN!$Q$1</f>
        <v>0</v>
      </c>
      <c r="AX159" s="13">
        <f>AX149*$I118*2/MAIN!$Q$1</f>
        <v>0</v>
      </c>
      <c r="AY159" s="13">
        <f>AY149*$I118*2/MAIN!$Q$1</f>
        <v>0</v>
      </c>
      <c r="AZ159" s="13">
        <f>AZ149*$I118*2/MAIN!$Q$1</f>
        <v>0</v>
      </c>
      <c r="BA159" s="13">
        <f>BA149*$I118*2/MAIN!$Q$1</f>
        <v>0</v>
      </c>
      <c r="BB159" s="13">
        <f>BB149*$I118*2/MAIN!$Q$1</f>
        <v>0</v>
      </c>
      <c r="BC159" s="13">
        <f>BC149*$I118*2/MAIN!$Q$1</f>
        <v>0</v>
      </c>
      <c r="BD159" s="13">
        <f>BD149*$I118*2/MAIN!$Q$1</f>
        <v>0</v>
      </c>
      <c r="BE159" s="13">
        <f>BE149*$I118*2/MAIN!$Q$1</f>
        <v>0</v>
      </c>
      <c r="BF159" s="13">
        <f>BF149*$I118*2/MAIN!$Q$1</f>
        <v>0</v>
      </c>
      <c r="BG159" s="13">
        <f>BG149*$I118*2/MAIN!$Q$1</f>
        <v>0</v>
      </c>
      <c r="BH159" s="13">
        <f>BH149*$I118*2/MAIN!$Q$1</f>
        <v>0</v>
      </c>
      <c r="BI159" s="13">
        <f>BI149*$I118*2/MAIN!$Q$1</f>
        <v>0</v>
      </c>
      <c r="BJ159" s="13">
        <f>BJ149*$I118*2/MAIN!$Q$1</f>
        <v>0</v>
      </c>
      <c r="BK159" s="13">
        <f>BK149*$I118*2/MAIN!$Q$1</f>
        <v>0</v>
      </c>
      <c r="BL159" s="13">
        <f>BL149*$I118*2/MAIN!$Q$1</f>
        <v>0</v>
      </c>
      <c r="BM159" s="13">
        <f>BM149*$I118*2/MAIN!$Q$1</f>
        <v>0</v>
      </c>
      <c r="BN159" s="13">
        <f>BN149*$I118*2/MAIN!$Q$1</f>
        <v>0</v>
      </c>
      <c r="BO159" s="3">
        <f>BO149*$I118*2/MAIN!$Q$1</f>
        <v>0</v>
      </c>
      <c r="BP159" s="43"/>
      <c r="BQ159" s="43"/>
      <c r="BR159" s="42"/>
    </row>
    <row r="160" spans="1:70" ht="16.5">
      <c r="A160" s="41"/>
      <c r="B160" s="14">
        <f t="shared" si="115"/>
        <v>9</v>
      </c>
      <c r="C160" s="298" t="s">
        <v>66</v>
      </c>
      <c r="D160" s="3">
        <f>D150*$I118*2/MAIN!$Q$1</f>
        <v>0</v>
      </c>
      <c r="E160" s="13">
        <f>E150*$I118*2/MAIN!$Q$1</f>
        <v>0</v>
      </c>
      <c r="F160" s="13">
        <f>F150*$I118*2/MAIN!$Q$1</f>
        <v>0</v>
      </c>
      <c r="G160" s="13">
        <f>G150*$I118*2/MAIN!$Q$1</f>
        <v>0</v>
      </c>
      <c r="H160" s="13">
        <f>H150*$I118*2/MAIN!$Q$1</f>
        <v>0</v>
      </c>
      <c r="I160" s="13">
        <f>I150*$I118*2/MAIN!$Q$1</f>
        <v>0</v>
      </c>
      <c r="J160" s="13">
        <f>J150*$I118*2/MAIN!$Q$1</f>
        <v>0</v>
      </c>
      <c r="K160" s="13">
        <f>K150*$I118*2/MAIN!$Q$1</f>
        <v>0</v>
      </c>
      <c r="L160" s="13">
        <f>L150*$I118*2/MAIN!$Q$1</f>
        <v>0</v>
      </c>
      <c r="M160" s="13">
        <f>M150*$I118*2/MAIN!$Q$1</f>
        <v>0</v>
      </c>
      <c r="N160" s="13">
        <f>N150*$I118*2/MAIN!$Q$1</f>
        <v>0</v>
      </c>
      <c r="O160" s="13">
        <f>O150*$I118*2/MAIN!$Q$1</f>
        <v>0</v>
      </c>
      <c r="P160" s="13">
        <f>P150*$I118*2/MAIN!$Q$1</f>
        <v>0</v>
      </c>
      <c r="Q160" s="13">
        <f>Q150*$I118*2/MAIN!$Q$1</f>
        <v>0</v>
      </c>
      <c r="R160" s="13">
        <f>R150*$I118*2/MAIN!$Q$1</f>
        <v>0</v>
      </c>
      <c r="S160" s="13">
        <f>S150*$I118*2/MAIN!$Q$1</f>
        <v>0</v>
      </c>
      <c r="T160" s="13">
        <f>T150*$I118*2/MAIN!$Q$1</f>
        <v>0</v>
      </c>
      <c r="U160" s="13">
        <f>U150*$I118*2/MAIN!$Q$1</f>
        <v>0</v>
      </c>
      <c r="V160" s="13">
        <f>V150*$I118*2/MAIN!$Q$1</f>
        <v>0</v>
      </c>
      <c r="W160" s="13">
        <f>W150*$I118*2/MAIN!$Q$1</f>
        <v>0</v>
      </c>
      <c r="X160" s="13">
        <f>X150*$I118*2/MAIN!$Q$1</f>
        <v>0</v>
      </c>
      <c r="Y160" s="13">
        <f>Y150*$I118*2/MAIN!$Q$1</f>
        <v>0</v>
      </c>
      <c r="Z160" s="13">
        <f>Z150*$I118*2/MAIN!$Q$1</f>
        <v>0</v>
      </c>
      <c r="AA160" s="13">
        <f>AA150*$I118*2/MAIN!$Q$1</f>
        <v>0</v>
      </c>
      <c r="AB160" s="13">
        <f>AB150*$I118*2/MAIN!$Q$1</f>
        <v>0</v>
      </c>
      <c r="AC160" s="13">
        <f>AC150*$I118*2/MAIN!$Q$1</f>
        <v>0</v>
      </c>
      <c r="AD160" s="13">
        <f>AD150*$I118*2/MAIN!$Q$1</f>
        <v>0</v>
      </c>
      <c r="AE160" s="13">
        <f>AE150*$I118*2/MAIN!$Q$1</f>
        <v>0</v>
      </c>
      <c r="AF160" s="13">
        <f>AF150*$I118*2/MAIN!$Q$1</f>
        <v>0</v>
      </c>
      <c r="AG160" s="13">
        <f>AG150*$I118*2/MAIN!$Q$1</f>
        <v>0</v>
      </c>
      <c r="AH160" s="13">
        <f>AH150*$I118*2/MAIN!$Q$1</f>
        <v>0</v>
      </c>
      <c r="AI160" s="13">
        <f>AI150*$I118*2/MAIN!$Q$1</f>
        <v>0</v>
      </c>
      <c r="AJ160" s="13">
        <f>AJ150*$I118*2/MAIN!$Q$1</f>
        <v>0</v>
      </c>
      <c r="AK160" s="13">
        <f>AK150*$I118*2/MAIN!$Q$1</f>
        <v>0</v>
      </c>
      <c r="AL160" s="13">
        <f>AL150*$I118*2/MAIN!$Q$1</f>
        <v>0</v>
      </c>
      <c r="AM160" s="13">
        <f>AM150*$I118*2/MAIN!$Q$1</f>
        <v>0</v>
      </c>
      <c r="AN160" s="13">
        <f>AN150*$I118*2/MAIN!$Q$1</f>
        <v>0</v>
      </c>
      <c r="AO160" s="13">
        <f>AO150*$I118*2/MAIN!$Q$1</f>
        <v>0</v>
      </c>
      <c r="AP160" s="13">
        <f>AP150*$I118*2/MAIN!$Q$1</f>
        <v>0</v>
      </c>
      <c r="AQ160" s="13">
        <f>AQ150*$I118*2/MAIN!$Q$1</f>
        <v>0</v>
      </c>
      <c r="AR160" s="59">
        <f>AR150*$I118*2/MAIN!$Q$1</f>
        <v>0</v>
      </c>
      <c r="AS160" s="13">
        <f>AS150*$I118*2/MAIN!$Q$1</f>
        <v>0</v>
      </c>
      <c r="AT160" s="13">
        <f>AT150*$I118*2/MAIN!$Q$1</f>
        <v>0</v>
      </c>
      <c r="AU160" s="13">
        <f>AU150*$I118*2/MAIN!$Q$1</f>
        <v>0</v>
      </c>
      <c r="AV160" s="13">
        <f>AV150*$I118*2/MAIN!$Q$1</f>
        <v>0</v>
      </c>
      <c r="AW160" s="13">
        <f>AW150*$I118*2/MAIN!$Q$1</f>
        <v>0</v>
      </c>
      <c r="AX160" s="13">
        <f>AX150*$I118*2/MAIN!$Q$1</f>
        <v>0</v>
      </c>
      <c r="AY160" s="13">
        <f>AY150*$I118*2/MAIN!$Q$1</f>
        <v>0</v>
      </c>
      <c r="AZ160" s="13">
        <f>AZ150*$I118*2/MAIN!$Q$1</f>
        <v>0</v>
      </c>
      <c r="BA160" s="13">
        <f>BA150*$I118*2/MAIN!$Q$1</f>
        <v>0</v>
      </c>
      <c r="BB160" s="13">
        <f>BB150*$I118*2/MAIN!$Q$1</f>
        <v>0</v>
      </c>
      <c r="BC160" s="13">
        <f>BC150*$I118*2/MAIN!$Q$1</f>
        <v>0</v>
      </c>
      <c r="BD160" s="13">
        <f>BD150*$I118*2/MAIN!$Q$1</f>
        <v>0</v>
      </c>
      <c r="BE160" s="13">
        <f>BE150*$I118*2/MAIN!$Q$1</f>
        <v>0</v>
      </c>
      <c r="BF160" s="13">
        <f>BF150*$I118*2/MAIN!$Q$1</f>
        <v>0</v>
      </c>
      <c r="BG160" s="13">
        <f>BG150*$I118*2/MAIN!$Q$1</f>
        <v>0</v>
      </c>
      <c r="BH160" s="13">
        <f>BH150*$I118*2/MAIN!$Q$1</f>
        <v>0</v>
      </c>
      <c r="BI160" s="13">
        <f>BI150*$I118*2/MAIN!$Q$1</f>
        <v>0</v>
      </c>
      <c r="BJ160" s="13">
        <f>BJ150*$I118*2/MAIN!$Q$1</f>
        <v>0</v>
      </c>
      <c r="BK160" s="13">
        <f>BK150*$I118*2/MAIN!$Q$1</f>
        <v>0</v>
      </c>
      <c r="BL160" s="13">
        <f>BL150*$I118*2/MAIN!$Q$1</f>
        <v>0</v>
      </c>
      <c r="BM160" s="13">
        <f>BM150*$I118*2/MAIN!$Q$1</f>
        <v>0</v>
      </c>
      <c r="BN160" s="13">
        <f>BN150*$I118*2/MAIN!$Q$1</f>
        <v>0</v>
      </c>
      <c r="BO160" s="3">
        <f>BO150*$I118*2/MAIN!$Q$1</f>
        <v>0</v>
      </c>
      <c r="BP160" s="43"/>
      <c r="BQ160" s="43"/>
      <c r="BR160" s="42"/>
    </row>
    <row r="161" spans="1:70" ht="16.5">
      <c r="A161" s="41"/>
      <c r="B161" s="290" t="s">
        <v>67</v>
      </c>
      <c r="C161" s="298" t="s">
        <v>68</v>
      </c>
      <c r="D161" s="3">
        <f>D151*$I118*MAIN!$C$15/MAIN!$Q$1</f>
        <v>-426846.82793339575</v>
      </c>
      <c r="E161" s="13">
        <f>E151*$I118*MAIN!$C$15/MAIN!$Q$1</f>
        <v>-426846.82793339575</v>
      </c>
      <c r="F161" s="13">
        <f>F151*$I118*MAIN!$C$15/MAIN!$Q$1</f>
        <v>-426846.82793339575</v>
      </c>
      <c r="G161" s="13">
        <f>G151*$I118*MAIN!$C$15/MAIN!$Q$1</f>
        <v>-426846.82793339575</v>
      </c>
      <c r="H161" s="13">
        <f>H151*$I118*MAIN!$C$15/MAIN!$Q$1</f>
        <v>-426846.82793339575</v>
      </c>
      <c r="I161" s="13">
        <f>I151*$I118*MAIN!$C$15/MAIN!$Q$1</f>
        <v>-426846.82793339575</v>
      </c>
      <c r="J161" s="13">
        <f>J151*$I118*MAIN!$C$15/MAIN!$Q$1</f>
        <v>-426846.82793339575</v>
      </c>
      <c r="K161" s="13">
        <f>K151*$I118*MAIN!$C$15/MAIN!$Q$1</f>
        <v>-426846.82793339575</v>
      </c>
      <c r="L161" s="13">
        <f>L151*$I118*MAIN!$C$15/MAIN!$Q$1</f>
        <v>-426846.82793339575</v>
      </c>
      <c r="M161" s="13">
        <f>M151*$I118*MAIN!$C$15/MAIN!$Q$1</f>
        <v>-426846.82793339575</v>
      </c>
      <c r="N161" s="13">
        <f>N151*$I118*MAIN!$C$15/MAIN!$Q$1</f>
        <v>-426846.82793339575</v>
      </c>
      <c r="O161" s="13">
        <f>O151*$I118*MAIN!$C$15/MAIN!$Q$1</f>
        <v>-426846.82793339575</v>
      </c>
      <c r="P161" s="13">
        <f>P151*$I118*MAIN!$C$15/MAIN!$Q$1</f>
        <v>-426846.82793339575</v>
      </c>
      <c r="Q161" s="13">
        <f>Q151*$I118*MAIN!$C$15/MAIN!$Q$1</f>
        <v>-426846.82793339575</v>
      </c>
      <c r="R161" s="13">
        <f>R151*$I118*MAIN!$C$15/MAIN!$Q$1</f>
        <v>-426846.82793339575</v>
      </c>
      <c r="S161" s="13">
        <f>S151*$I118*MAIN!$C$15/MAIN!$Q$1</f>
        <v>-426846.82793339575</v>
      </c>
      <c r="T161" s="13">
        <f>T151*$I118*MAIN!$C$15/MAIN!$Q$1</f>
        <v>-426846.82793339575</v>
      </c>
      <c r="U161" s="13">
        <f>U151*$I118*MAIN!$C$15/MAIN!$Q$1</f>
        <v>-426846.82793339575</v>
      </c>
      <c r="V161" s="13">
        <f>V151*$I118*MAIN!$C$15/MAIN!$Q$1</f>
        <v>-426846.82793339575</v>
      </c>
      <c r="W161" s="13">
        <f>W151*$I118*MAIN!$C$15/MAIN!$Q$1</f>
        <v>-426846.82793339575</v>
      </c>
      <c r="X161" s="13">
        <f>X151*$I118*MAIN!$C$15/MAIN!$Q$1</f>
        <v>-426846.82793339575</v>
      </c>
      <c r="Y161" s="13">
        <f>Y151*$I118*MAIN!$C$15/MAIN!$Q$1</f>
        <v>-426846.82793339575</v>
      </c>
      <c r="Z161" s="13">
        <f>Z151*$I118*MAIN!$C$15/MAIN!$Q$1</f>
        <v>-426846.82793339575</v>
      </c>
      <c r="AA161" s="13">
        <f>AA151*$I118*MAIN!$C$15/MAIN!$Q$1</f>
        <v>-426846.82793339575</v>
      </c>
      <c r="AB161" s="13">
        <f>AB151*$I118*MAIN!$C$15/MAIN!$Q$1</f>
        <v>-426846.82793339575</v>
      </c>
      <c r="AC161" s="13">
        <f>AC151*$I118*MAIN!$C$15/MAIN!$Q$1</f>
        <v>-426846.82793339575</v>
      </c>
      <c r="AD161" s="13">
        <f>AD151*$I118*MAIN!$C$15/MAIN!$Q$1</f>
        <v>-426846.82793339575</v>
      </c>
      <c r="AE161" s="13">
        <f>AE151*$I118*MAIN!$C$15/MAIN!$Q$1</f>
        <v>-426846.82793339575</v>
      </c>
      <c r="AF161" s="13">
        <f>AF151*$I118*MAIN!$C$15/MAIN!$Q$1</f>
        <v>-426846.82793339575</v>
      </c>
      <c r="AG161" s="13">
        <f>AG151*$I118*MAIN!$C$15/MAIN!$Q$1</f>
        <v>-426846.82793339575</v>
      </c>
      <c r="AH161" s="13">
        <f>AH151*$I118*MAIN!$C$15/MAIN!$Q$1</f>
        <v>-426846.82793339575</v>
      </c>
      <c r="AI161" s="13">
        <f>AI151*$I118*MAIN!$C$15/MAIN!$Q$1</f>
        <v>-426846.82793339575</v>
      </c>
      <c r="AJ161" s="13">
        <f>AJ151*$I118*MAIN!$C$15/MAIN!$Q$1</f>
        <v>-426846.82793339575</v>
      </c>
      <c r="AK161" s="13">
        <f>AK151*$I118*MAIN!$C$15/MAIN!$Q$1</f>
        <v>-426846.82793339575</v>
      </c>
      <c r="AL161" s="13">
        <f>AL151*$I118*MAIN!$C$15/MAIN!$Q$1</f>
        <v>-426846.82793339575</v>
      </c>
      <c r="AM161" s="13">
        <f>AM151*$I118*MAIN!$C$15/MAIN!$Q$1</f>
        <v>-426846.82793339575</v>
      </c>
      <c r="AN161" s="13">
        <f>AN151*$I118*MAIN!$C$15/MAIN!$Q$1</f>
        <v>-426846.82793339575</v>
      </c>
      <c r="AO161" s="13">
        <f>AO151*$I118*MAIN!$C$15/MAIN!$Q$1</f>
        <v>-426846.82793339575</v>
      </c>
      <c r="AP161" s="13">
        <f>AP151*$I118*MAIN!$C$15/MAIN!$Q$1</f>
        <v>-426846.82793339575</v>
      </c>
      <c r="AQ161" s="13">
        <f>AQ151*$I118*MAIN!$C$15/MAIN!$Q$1</f>
        <v>-426846.82793339575</v>
      </c>
      <c r="AR161" s="59">
        <f>AR151*$I118*MAIN!$C$15/MAIN!$Q$1</f>
        <v>-426846.82793339575</v>
      </c>
      <c r="AS161" s="13">
        <f>AS151*$I118*MAIN!$C$15/MAIN!$Q$1</f>
        <v>-365070.44999762473</v>
      </c>
      <c r="AT161" s="13">
        <f>AT151*$I118*MAIN!$C$15/MAIN!$Q$1</f>
        <v>-309785.26041009888</v>
      </c>
      <c r="AU161" s="13">
        <f>AU151*$I118*MAIN!$C$15/MAIN!$Q$1</f>
        <v>-260019.22945212905</v>
      </c>
      <c r="AV161" s="13">
        <f>AV151*$I118*MAIN!$C$15/MAIN!$Q$1</f>
        <v>-214985.17735142246</v>
      </c>
      <c r="AW161" s="13">
        <f>AW151*$I118*MAIN!$C$15/MAIN!$Q$1</f>
        <v>-174038.82760364833</v>
      </c>
      <c r="AX161" s="13">
        <f>AX151*$I118*MAIN!$C$15/MAIN!$Q$1</f>
        <v>-136647.78679184223</v>
      </c>
      <c r="AY161" s="13">
        <f>AY151*$I118*MAIN!$C$15/MAIN!$Q$1</f>
        <v>-102368.26850615573</v>
      </c>
      <c r="AZ161" s="13">
        <f>AZ151*$I118*MAIN!$C$15/MAIN!$Q$1</f>
        <v>-70827.39595383167</v>
      </c>
      <c r="BA161" s="13">
        <f>BA151*$I118*MAIN!$C$15/MAIN!$Q$1</f>
        <v>-41709.58326123072</v>
      </c>
      <c r="BB161" s="13">
        <f>BB151*$I118*MAIN!$C$15/MAIN!$Q$1</f>
        <v>-14745.939355995979</v>
      </c>
      <c r="BC161" s="13">
        <f>BC151*$I118*MAIN!$C$15/MAIN!$Q$1</f>
        <v>10294.060301393376</v>
      </c>
      <c r="BD161" s="13">
        <f>BD151*$I118*MAIN!$C$15/MAIN!$Q$1</f>
        <v>33371.504106095941</v>
      </c>
      <c r="BE161" s="13">
        <f>BE151*$I118*MAIN!$C$15/MAIN!$Q$1</f>
        <v>53232.785046205434</v>
      </c>
      <c r="BF161" s="13">
        <f>BF151*$I118*MAIN!$C$15/MAIN!$Q$1</f>
        <v>70704.070712352128</v>
      </c>
      <c r="BG161" s="13">
        <f>BG151*$I118*MAIN!$C$15/MAIN!$Q$1</f>
        <v>86192.276129096339</v>
      </c>
      <c r="BH161" s="13">
        <f>BH151*$I118*MAIN!$C$15/MAIN!$Q$1</f>
        <v>100016.90335859152</v>
      </c>
      <c r="BI161" s="13">
        <f>BI151*$I118*MAIN!$C$15/MAIN!$Q$1</f>
        <v>112432.31759532343</v>
      </c>
      <c r="BJ161" s="13">
        <f>BJ151*$I118*MAIN!$C$15/MAIN!$Q$1</f>
        <v>101390.59351862204</v>
      </c>
      <c r="BK161" s="13">
        <f>BK151*$I118*MAIN!$C$15/MAIN!$Q$1</f>
        <v>111564.71827982501</v>
      </c>
      <c r="BL161" s="13">
        <f>BL151*$I118*MAIN!$C$15/MAIN!$Q$1</f>
        <v>203349.6065114135</v>
      </c>
      <c r="BM161" s="13">
        <f>BM151*$I118*MAIN!$C$15/MAIN!$Q$1</f>
        <v>239265.43234116552</v>
      </c>
      <c r="BN161" s="13">
        <f>BN151*$I118*MAIN!$C$15/MAIN!$Q$1</f>
        <v>258420.53945036657</v>
      </c>
      <c r="BO161" s="3">
        <f>BO151*$I118*MAIN!$C$15/MAIN!$Q$1</f>
        <v>321358.74852345581</v>
      </c>
      <c r="BP161" s="41"/>
      <c r="BQ161" s="41"/>
      <c r="BR161" s="41"/>
    </row>
    <row r="162" spans="1:70" ht="16.5">
      <c r="A162" s="41"/>
      <c r="B162" s="290" t="s">
        <v>69</v>
      </c>
      <c r="C162" s="298" t="s">
        <v>70</v>
      </c>
      <c r="D162" s="3">
        <f>MAX($F118-$C$8/2*D121,$F118-MAIN!$C$13/2)</f>
        <v>1130.0023643788102</v>
      </c>
      <c r="E162" s="304">
        <f>MAX($F118-$C$8/2*E121,$F118-MAIN!$C$13/2)</f>
        <v>1123.399019828727</v>
      </c>
      <c r="F162" s="304">
        <f>MAX($F118-$C$8/2*F121,$F118-MAIN!$C$13/2)</f>
        <v>1116.7956752786436</v>
      </c>
      <c r="G162" s="304">
        <f>MAX($F118-$C$8/2*G121,$F118-MAIN!$C$13/2)</f>
        <v>1110.1923307285604</v>
      </c>
      <c r="H162" s="304">
        <f>MAX($F118-$C$8/2*H121,$F118-MAIN!$C$13/2)</f>
        <v>1103.5889861784772</v>
      </c>
      <c r="I162" s="304">
        <f>MAX($F118-$C$8/2*I121,$F118-MAIN!$C$13/2)</f>
        <v>1096.9856416283938</v>
      </c>
      <c r="J162" s="304">
        <f>MAX($F118-$C$8/2*J121,$F118-MAIN!$C$13/2)</f>
        <v>1090.3822970783106</v>
      </c>
      <c r="K162" s="304">
        <f>MAX($F118-$C$8/2*K121,$F118-MAIN!$C$13/2)</f>
        <v>1083.7789525282274</v>
      </c>
      <c r="L162" s="304">
        <f>MAX($F118-$C$8/2*L121,$F118-MAIN!$C$13/2)</f>
        <v>1077.1756079781439</v>
      </c>
      <c r="M162" s="304">
        <f>MAX($F118-$C$8/2*M121,$F118-MAIN!$C$13/2)</f>
        <v>1070.5722634280608</v>
      </c>
      <c r="N162" s="304">
        <f>MAX($F118-$C$8/2*N121,$F118-MAIN!$C$13/2)</f>
        <v>1063.9689188779773</v>
      </c>
      <c r="O162" s="304">
        <f>MAX($F118-$C$8/2*O121,$F118-MAIN!$C$13/2)</f>
        <v>1057.3655743278941</v>
      </c>
      <c r="P162" s="304">
        <f>MAX($F118-$C$8/2*P121,$F118-MAIN!$C$13/2)</f>
        <v>1050.7622297778107</v>
      </c>
      <c r="Q162" s="304">
        <f>MAX($F118-$C$8/2*Q121,$F118-MAIN!$C$13/2)</f>
        <v>1044.1588852277275</v>
      </c>
      <c r="R162" s="304">
        <f>MAX($F118-$C$8/2*R121,$F118-MAIN!$C$13/2)</f>
        <v>1037.5555406776443</v>
      </c>
      <c r="S162" s="304">
        <f>MAX($F118-$C$8/2*S121,$F118-MAIN!$C$13/2)</f>
        <v>1030.9521961275609</v>
      </c>
      <c r="T162" s="304">
        <f>MAX($F118-$C$8/2*T121,$F118-MAIN!$C$13/2)</f>
        <v>1024.3488515774777</v>
      </c>
      <c r="U162" s="304">
        <f>MAX($F118-$C$8/2*U121,$F118-MAIN!$C$13/2)</f>
        <v>1017.7455070273944</v>
      </c>
      <c r="V162" s="304">
        <f>MAX($F118-$C$8/2*V121,$F118-MAIN!$C$13/2)</f>
        <v>1011.1421624773111</v>
      </c>
      <c r="W162" s="304">
        <f>MAX($F118-$C$8/2*W121,$F118-MAIN!$C$13/2)</f>
        <v>1004.5388179272278</v>
      </c>
      <c r="X162" s="304">
        <f>MAX($F118-$C$8/2*X121,$F118-MAIN!$C$13/2)</f>
        <v>997.93547337714449</v>
      </c>
      <c r="Y162" s="304">
        <f>MAX($F118-$C$8/2*Y121,$F118-MAIN!$C$13/2)</f>
        <v>991.3321288270613</v>
      </c>
      <c r="Z162" s="304">
        <f>MAX($F118-$C$8/2*Z121,$F118-MAIN!$C$13/2)</f>
        <v>984.72878427697799</v>
      </c>
      <c r="AA162" s="304">
        <f>MAX($F118-$C$8/2*AA121,$F118-MAIN!$C$13/2)</f>
        <v>978.12543972689468</v>
      </c>
      <c r="AB162" s="304">
        <f>MAX($F118-$C$8/2*AB121,$F118-MAIN!$C$13/2)</f>
        <v>971.52209517681138</v>
      </c>
      <c r="AC162" s="304">
        <f>MAX($F118-$C$8/2*AC121,$F118-MAIN!$C$13/2)</f>
        <v>964.91875062672807</v>
      </c>
      <c r="AD162" s="304">
        <f>MAX($F118-$C$8/2*AD121,$F118-MAIN!$C$13/2)</f>
        <v>958.31540607664488</v>
      </c>
      <c r="AE162" s="304">
        <f>MAX($F118-$C$8/2*AE121,$F118-MAIN!$C$13/2)</f>
        <v>951.71206152656157</v>
      </c>
      <c r="AF162" s="304">
        <f>MAX($F118-$C$8/2*AF121,$F118-MAIN!$C$13/2)</f>
        <v>945.10871697647826</v>
      </c>
      <c r="AG162" s="304">
        <f>MAX($F118-$C$8/2*AG121,$F118-MAIN!$C$13/2)</f>
        <v>938.50537242639507</v>
      </c>
      <c r="AH162" s="304">
        <f>MAX($F118-$C$8/2*AH121,$F118-MAIN!$C$13/2)</f>
        <v>931.90202787631176</v>
      </c>
      <c r="AI162" s="304">
        <f>MAX($F118-$C$8/2*AI121,$F118-MAIN!$C$13/2)</f>
        <v>925.29868332622846</v>
      </c>
      <c r="AJ162" s="304">
        <f>MAX($F118-$C$8/2*AJ121,$F118-MAIN!$C$13/2)</f>
        <v>918.69533877614515</v>
      </c>
      <c r="AK162" s="304">
        <f>MAX($F118-$C$8/2*AK121,$F118-MAIN!$C$13/2)</f>
        <v>912.09199422606184</v>
      </c>
      <c r="AL162" s="304">
        <f>MAX($F118-$C$8/2*AL121,$F118-MAIN!$C$13/2)</f>
        <v>905.48864967597865</v>
      </c>
      <c r="AM162" s="304">
        <f>MAX($F118-$C$8/2*AM121,$F118-MAIN!$C$13/2)</f>
        <v>898.88530512589534</v>
      </c>
      <c r="AN162" s="304">
        <f>MAX($F118-$C$8/2*AN121,$F118-MAIN!$C$13/2)</f>
        <v>892.28196057581204</v>
      </c>
      <c r="AO162" s="304">
        <f>MAX($F118-$C$8/2*AO121,$F118-MAIN!$C$13/2)</f>
        <v>885.67861602572873</v>
      </c>
      <c r="AP162" s="304">
        <f>MAX($F118-$C$8/2*AP121,$F118-MAIN!$C$13/2)</f>
        <v>879.07527147564542</v>
      </c>
      <c r="AQ162" s="304">
        <f>MAX($F118-$C$8/2*AQ121,$F118-MAIN!$C$13/2)</f>
        <v>872.47192692556223</v>
      </c>
      <c r="AR162" s="56">
        <f>MAX($F118-$C$8/2*AR121,$F118-MAIN!$C$13/2)</f>
        <v>865.86858237547892</v>
      </c>
      <c r="AS162" s="304">
        <f>MAX($F118-$C$8/2*AS121,$F118-MAIN!$C$13/2)</f>
        <v>849.21760435571696</v>
      </c>
      <c r="AT162" s="304">
        <f>MAX($F118-$C$8/2*AT121,$F118-MAIN!$C$13/2)</f>
        <v>832.56662633595488</v>
      </c>
      <c r="AU162" s="304">
        <f>MAX($F118-$C$8/2*AU121,$F118-MAIN!$C$13/2)</f>
        <v>815.9156483161928</v>
      </c>
      <c r="AV162" s="304">
        <f>MAX($F118-$C$8/2*AV121,$F118-MAIN!$C$13/2)</f>
        <v>799.26467029643072</v>
      </c>
      <c r="AW162" s="304">
        <f>MAX($F118-$C$8/2*AW121,$F118-MAIN!$C$13/2)</f>
        <v>782.61369227666876</v>
      </c>
      <c r="AX162" s="304">
        <f>MAX($F118-$C$8/2*AX121,$F118-MAIN!$C$13/2)</f>
        <v>765.96271425690679</v>
      </c>
      <c r="AY162" s="304">
        <f>MAX($F118-$C$8/2*AY121,$F118-MAIN!$C$13/2)</f>
        <v>749.31173623714471</v>
      </c>
      <c r="AZ162" s="304">
        <f>MAX($F118-$C$8/2*AZ121,$F118-MAIN!$C$13/2)</f>
        <v>732.66075821738264</v>
      </c>
      <c r="BA162" s="304">
        <f>MAX($F118-$C$8/2*BA121,$F118-MAIN!$C$13/2)</f>
        <v>716.00978019762056</v>
      </c>
      <c r="BB162" s="304">
        <f>MAX($F118-$C$8/2*BB121,$F118-MAIN!$C$13/2)</f>
        <v>699.35880217785848</v>
      </c>
      <c r="BC162" s="304">
        <f>MAX($F118-$C$8/2*BC121,$F118-MAIN!$C$13/2)</f>
        <v>682.7078241580964</v>
      </c>
      <c r="BD162" s="304">
        <f>MAX($F118-$C$8/2*BD121,$F118-MAIN!$C$13/2)</f>
        <v>666.05684613833432</v>
      </c>
      <c r="BE162" s="304">
        <f>MAX($F118-$C$8/2*BE121,$F118-MAIN!$C$13/2)</f>
        <v>649.40586811857224</v>
      </c>
      <c r="BF162" s="304">
        <f>MAX($F118-$C$8/2*BF121,$F118-MAIN!$C$13/2)</f>
        <v>632.75489009881017</v>
      </c>
      <c r="BG162" s="304">
        <f>MAX($F118-$C$8/2*BG121,$F118-MAIN!$C$13/2)</f>
        <v>616.10391207904809</v>
      </c>
      <c r="BH162" s="304">
        <f>MAX($F118-$C$8/2*BH121,$F118-MAIN!$C$13/2)</f>
        <v>599.45293405928601</v>
      </c>
      <c r="BI162" s="304">
        <f>MAX($F118-$C$8/2*BI121,$F118-MAIN!$C$13/2)</f>
        <v>582.80195603952393</v>
      </c>
      <c r="BJ162" s="304">
        <f>MAX($F118-$C$8/2*BJ121,$F118-MAIN!$C$13/2)</f>
        <v>566.15097801976185</v>
      </c>
      <c r="BK162" s="304">
        <f>MAX($F118-$C$8/2*BK121,$F118-MAIN!$C$13/2)</f>
        <v>549.5</v>
      </c>
      <c r="BL162" s="304">
        <f>MAX($F118-$C$8/2*BL121,$F118-MAIN!$C$13/2)</f>
        <v>549.5</v>
      </c>
      <c r="BM162" s="304">
        <f>MAX($F118-$C$8/2*BM121,$F118-MAIN!$C$13/2)</f>
        <v>549.5</v>
      </c>
      <c r="BN162" s="304">
        <f>MAX($F118-$C$8/2*BN121,$F118-MAIN!$C$13/2)</f>
        <v>549.5</v>
      </c>
      <c r="BO162" s="3">
        <f>$F118-MAIN!$C$13/2</f>
        <v>549.5</v>
      </c>
      <c r="BP162" s="41"/>
      <c r="BQ162" s="41"/>
      <c r="BR162" s="41"/>
    </row>
    <row r="163" spans="1:70" ht="16.5">
      <c r="A163" s="227">
        <f>IF(I118=0,0,1)</f>
        <v>1</v>
      </c>
      <c r="B163" s="295" t="s">
        <v>31</v>
      </c>
      <c r="C163" s="298" t="s">
        <v>71</v>
      </c>
      <c r="D163" s="3">
        <f>$A163*(D122+SUM(D152:D161))/1000</f>
        <v>-1040.1285246750765</v>
      </c>
      <c r="E163" s="304">
        <f t="shared" ref="E163:BO163" si="116">$A163*(E122+SUM(E152:E161))/1000</f>
        <v>-792.45077857478611</v>
      </c>
      <c r="F163" s="304">
        <f t="shared" si="116"/>
        <v>-595.25840410176431</v>
      </c>
      <c r="G163" s="304">
        <f t="shared" si="116"/>
        <v>-434.14614522332874</v>
      </c>
      <c r="H163" s="304">
        <f t="shared" si="116"/>
        <v>-293.54587907440356</v>
      </c>
      <c r="I163" s="304">
        <f t="shared" si="116"/>
        <v>-165.71985013810954</v>
      </c>
      <c r="J163" s="304">
        <f t="shared" si="116"/>
        <v>-71.945844094742327</v>
      </c>
      <c r="K163" s="304">
        <f t="shared" si="116"/>
        <v>17.859641786390217</v>
      </c>
      <c r="L163" s="304">
        <f t="shared" si="116"/>
        <v>107.66512766752287</v>
      </c>
      <c r="M163" s="304">
        <f t="shared" si="116"/>
        <v>197.47061354865565</v>
      </c>
      <c r="N163" s="304">
        <f t="shared" si="116"/>
        <v>287.27609942978842</v>
      </c>
      <c r="O163" s="304">
        <f t="shared" si="116"/>
        <v>377.08158531092096</v>
      </c>
      <c r="P163" s="304">
        <f t="shared" si="116"/>
        <v>466.8870711920535</v>
      </c>
      <c r="Q163" s="304">
        <f t="shared" si="116"/>
        <v>583.02939578855364</v>
      </c>
      <c r="R163" s="304">
        <f t="shared" si="116"/>
        <v>736.99775623009623</v>
      </c>
      <c r="S163" s="304">
        <f t="shared" si="116"/>
        <v>883.81812144598223</v>
      </c>
      <c r="T163" s="304">
        <f t="shared" si="116"/>
        <v>1024.6219395110941</v>
      </c>
      <c r="U163" s="304">
        <f t="shared" si="116"/>
        <v>1160.3138323387047</v>
      </c>
      <c r="V163" s="304">
        <f t="shared" si="116"/>
        <v>1291.6257238500439</v>
      </c>
      <c r="W163" s="304">
        <f t="shared" si="116"/>
        <v>1419.1561741025205</v>
      </c>
      <c r="X163" s="304">
        <f t="shared" si="116"/>
        <v>1543.3994311913423</v>
      </c>
      <c r="Y163" s="304">
        <f t="shared" si="116"/>
        <v>1664.7672058306</v>
      </c>
      <c r="Z163" s="304">
        <f t="shared" si="116"/>
        <v>1783.6052101268451</v>
      </c>
      <c r="AA163" s="304">
        <f t="shared" si="116"/>
        <v>1900.2058727552717</v>
      </c>
      <c r="AB163" s="304">
        <f t="shared" si="116"/>
        <v>2014.8182235815268</v>
      </c>
      <c r="AC163" s="304">
        <f t="shared" si="116"/>
        <v>2127.6556565654096</v>
      </c>
      <c r="AD163" s="304">
        <f t="shared" si="116"/>
        <v>2238.9020839221366</v>
      </c>
      <c r="AE163" s="304">
        <f t="shared" si="116"/>
        <v>2374.3274724661346</v>
      </c>
      <c r="AF163" s="304">
        <f t="shared" si="116"/>
        <v>2518.0146170383755</v>
      </c>
      <c r="AG163" s="304">
        <f t="shared" si="116"/>
        <v>2636.0762239153428</v>
      </c>
      <c r="AH163" s="304">
        <f t="shared" si="116"/>
        <v>2773.3252282633521</v>
      </c>
      <c r="AI163" s="304">
        <f t="shared" si="116"/>
        <v>2907.7795487642466</v>
      </c>
      <c r="AJ163" s="304">
        <f t="shared" si="116"/>
        <v>3039.6790539750978</v>
      </c>
      <c r="AK163" s="304">
        <f t="shared" si="116"/>
        <v>3169.2369253204361</v>
      </c>
      <c r="AL163" s="304">
        <f t="shared" si="116"/>
        <v>3296.643268078607</v>
      </c>
      <c r="AM163" s="304">
        <f t="shared" si="116"/>
        <v>3422.068151501664</v>
      </c>
      <c r="AN163" s="304">
        <f t="shared" si="116"/>
        <v>3545.6641806564721</v>
      </c>
      <c r="AO163" s="304">
        <f t="shared" si="116"/>
        <v>3667.5686820328319</v>
      </c>
      <c r="AP163" s="304">
        <f t="shared" si="116"/>
        <v>3787.9055689370243</v>
      </c>
      <c r="AQ163" s="304">
        <f t="shared" si="116"/>
        <v>3906.7869401000526</v>
      </c>
      <c r="AR163" s="61">
        <f t="shared" si="116"/>
        <v>4024.3144549785898</v>
      </c>
      <c r="AS163" s="304">
        <f t="shared" si="116"/>
        <v>4377.0344806755338</v>
      </c>
      <c r="AT163" s="304">
        <f t="shared" si="116"/>
        <v>4716.4869578520756</v>
      </c>
      <c r="AU163" s="304">
        <f t="shared" si="116"/>
        <v>5044.6586492955685</v>
      </c>
      <c r="AV163" s="304">
        <f t="shared" si="116"/>
        <v>5363.1584970460281</v>
      </c>
      <c r="AW163" s="304">
        <f t="shared" si="116"/>
        <v>5673.3033585605472</v>
      </c>
      <c r="AX163" s="304">
        <f t="shared" si="116"/>
        <v>5976.1814098575314</v>
      </c>
      <c r="AY163" s="304">
        <f t="shared" si="116"/>
        <v>6250.4467722823929</v>
      </c>
      <c r="AZ163" s="304">
        <f t="shared" si="116"/>
        <v>6541.3674766236109</v>
      </c>
      <c r="BA163" s="304">
        <f t="shared" si="116"/>
        <v>6827.3356110297091</v>
      </c>
      <c r="BB163" s="304">
        <f t="shared" si="116"/>
        <v>7103.0733283968329</v>
      </c>
      <c r="BC163" s="304">
        <f t="shared" si="116"/>
        <v>7371.6266491882416</v>
      </c>
      <c r="BD163" s="304">
        <f t="shared" si="116"/>
        <v>7635.3315076290446</v>
      </c>
      <c r="BE163" s="304">
        <f t="shared" si="116"/>
        <v>7888.2665166179568</v>
      </c>
      <c r="BF163" s="304">
        <f t="shared" si="116"/>
        <v>8138.0148652415837</v>
      </c>
      <c r="BG163" s="304">
        <f t="shared" si="116"/>
        <v>8385.1191068660064</v>
      </c>
      <c r="BH163" s="304">
        <f t="shared" si="116"/>
        <v>8627.9683771696837</v>
      </c>
      <c r="BI163" s="304">
        <f t="shared" si="116"/>
        <v>8866.837092475178</v>
      </c>
      <c r="BJ163" s="304">
        <f t="shared" si="116"/>
        <v>9082.2486694672407</v>
      </c>
      <c r="BK163" s="304">
        <f t="shared" si="116"/>
        <v>9318.8760952972043</v>
      </c>
      <c r="BL163" s="304">
        <f>$A163*(BL122+SUM(BL152:BL161))/1000</f>
        <v>9410.6609835287927</v>
      </c>
      <c r="BM163" s="304">
        <f>$A163*(BM122+SUM(BM152:BM161))/1000</f>
        <v>9445.4349940938246</v>
      </c>
      <c r="BN163" s="304">
        <f>$A163*(BN122+SUM(BN152:BN161))/1000</f>
        <v>9445.4349940938246</v>
      </c>
      <c r="BO163" s="3">
        <f t="shared" si="116"/>
        <v>9445.4349940938246</v>
      </c>
      <c r="BP163" s="41"/>
      <c r="BQ163" s="41"/>
      <c r="BR163" s="41"/>
    </row>
    <row r="164" spans="1:70" ht="16.5">
      <c r="A164" s="41"/>
      <c r="B164" s="295" t="s">
        <v>72</v>
      </c>
      <c r="C164" s="298" t="s">
        <v>73</v>
      </c>
      <c r="D164" s="3">
        <f>$A163*IF(D163+E163=0,0,IF(D163=0,2*E164-F164,(D122*D162+D152*($F118-$C118)+D153*($F118-$D123)+D154*($F118-$D124)+D155*($F118-$D125)+D156*($F118-$D126)+D157*($F118-$D127)+D158*($F118-$D128)+D159*($F118-$D129)+D160*($F118-$D130))/1000000-D163*($F118-MAIN!$C$13/2)/1000))</f>
        <v>374.87953362377527</v>
      </c>
      <c r="E164" s="304">
        <f>$A163*IF(E163+F163=0,0,IF(E163=0,2*F164-G164,(E122*E162+E152*($F118-$C118)+E153*($F118-$D123)+E154*($F118-$D124)+E155*($F118-$D125)+E156*($F118-$D126)+E157*($F118-$D127)+E158*($F118-$D128)+E159*($F118-$D129)+E160*($F118-$D130))/1000000-E163*($F118-MAIN!$C$13/2)/1000))</f>
        <v>511.4186262961332</v>
      </c>
      <c r="F164" s="304">
        <f>$A163*IF(F163+G163=0,0,IF(F163=0,2*G164-H164,(F122*F162+F152*($F118-$C118)+F153*($F118-$D123)+F154*($F118-$D124)+F155*($F118-$D125)+F156*($F118-$D126)+F157*($F118-$D127)+F158*($F118-$D128)+F159*($F118-$D129)+F160*($F118-$D130))/1000000-F163*($F118-MAIN!$C$13/2)/1000))</f>
        <v>619.02997412778473</v>
      </c>
      <c r="G164" s="304">
        <f>$A163*IF(G163+H163=0,0,IF(G163=0,2*H164-I164,(G122*G162+G152*($F118-$C118)+G153*($F118-$D123)+G154*($F118-$D124)+G155*($F118-$D125)+G156*($F118-$D126)+G157*($F118-$D127)+G158*($F118-$D128)+G159*($F118-$D129)+G160*($F118-$D130))/1000000-G163*($F118-MAIN!$C$13/2)/1000))</f>
        <v>705.62926530869026</v>
      </c>
      <c r="H164" s="304">
        <f>$A163*IF(H163+I163=0,0,IF(H163=0,2*I164-J164,(H122*H162+H152*($F118-$C118)+H153*($F118-$D123)+H154*($F118-$D124)+H155*($F118-$D125)+H156*($F118-$D126)+H157*($F118-$D127)+H158*($F118-$D128)+H159*($F118-$D129)+H160*($F118-$D130))/1000000-H163*($F118-MAIN!$C$13/2)/1000))</f>
        <v>779.77118335320813</v>
      </c>
      <c r="I164" s="304">
        <f>$A163*IF(I163+J163=0,0,IF(I163=0,2*J164-K164,(I122*I162+I152*($F118-$C118)+I153*($F118-$D123)+I154*($F118-$D124)+I155*($F118-$D125)+I156*($F118-$D126)+I157*($F118-$D127)+I158*($F118-$D128)+I159*($F118-$D129)+I160*($F118-$D130))/1000000-I163*($F118-MAIN!$C$13/2)/1000))</f>
        <v>845.70762491786354</v>
      </c>
      <c r="J164" s="304">
        <f>$A163*IF(J163+K163=0,0,IF(J163=0,2*K164-L164,(J122*J162+J152*($F118-$C118)+J153*($F118-$D123)+J154*($F118-$D124)+J155*($F118-$D125)+J156*($F118-$D126)+J157*($F118-$D127)+J158*($F118-$D128)+J159*($F118-$D129)+J160*($F118-$D130))/1000000-J163*($F118-MAIN!$C$13/2)/1000))</f>
        <v>891.74644677133438</v>
      </c>
      <c r="K164" s="304">
        <f>$A163*IF(K163+L163=0,0,IF(K163=0,2*L164-M164,(K122*K162+K152*($F118-$C118)+K153*($F118-$D123)+K154*($F118-$D124)+K155*($F118-$D125)+K156*($F118-$D126)+K157*($F118-$D127)+K158*($F118-$D128)+K159*($F118-$D129)+K160*($F118-$D130))/1000000-K163*($F118-MAIN!$C$13/2)/1000))</f>
        <v>934.41853366413557</v>
      </c>
      <c r="L164" s="304">
        <f>$A163*IF(L163+M163=0,0,IF(L163=0,2*M164-N164,(L122*L162+L152*($F118-$C118)+L153*($F118-$D123)+L154*($F118-$D124)+L155*($F118-$D125)+L156*($F118-$D126)+L157*($F118-$D127)+L158*($F118-$D128)+L159*($F118-$D129)+L160*($F118-$D130))/1000000-L163*($F118-MAIN!$C$13/2)/1000))</f>
        <v>975.90458742541523</v>
      </c>
      <c r="M164" s="304">
        <f>$A163*IF(M163+N163=0,0,IF(M163=0,2*N164-O164,(M122*M162+M152*($F118-$C118)+M153*($F118-$D123)+M154*($F118-$D124)+M155*($F118-$D125)+M156*($F118-$D126)+M157*($F118-$D127)+M158*($F118-$D128)+M159*($F118-$D129)+M160*($F118-$D130))/1000000-M163*($F118-MAIN!$C$13/2)/1000))</f>
        <v>1016.2046080551737</v>
      </c>
      <c r="N164" s="304">
        <f>$A163*IF(N163+O163=0,0,IF(N163=0,2*O164-P164,(N122*N162+N152*($F118-$C118)+N153*($F118-$D123)+N154*($F118-$D124)+N155*($F118-$D125)+N156*($F118-$D126)+N157*($F118-$D127)+N158*($F118-$D128)+N159*($F118-$D129)+N160*($F118-$D130))/1000000-N163*($F118-MAIN!$C$13/2)/1000))</f>
        <v>1055.3185955534107</v>
      </c>
      <c r="O164" s="304">
        <f>$A163*IF(O163+P163=0,0,IF(O163=0,2*P164-Q164,(O122*O162+O152*($F118-$C118)+O153*($F118-$D123)+O154*($F118-$D124)+O155*($F118-$D125)+O156*($F118-$D126)+O157*($F118-$D127)+O158*($F118-$D128)+O159*($F118-$D129)+O160*($F118-$D130))/1000000-O163*($F118-MAIN!$C$13/2)/1000))</f>
        <v>1093.2465499201255</v>
      </c>
      <c r="P164" s="304">
        <f>$A163*IF(P163+Q163=0,0,IF(P163=0,2*Q164-R164,(P122*P162+P152*($F118-$C118)+P153*($F118-$D123)+P154*($F118-$D124)+P155*($F118-$D125)+P156*($F118-$D126)+P157*($F118-$D127)+P158*($F118-$D128)+P159*($F118-$D129)+P160*($F118-$D130))/1000000-P163*($F118-MAIN!$C$13/2)/1000))</f>
        <v>1129.9884711553191</v>
      </c>
      <c r="Q164" s="304">
        <f>$A163*IF(Q163+R163=0,0,IF(Q163=0,2*R164-S164,(Q122*Q162+Q152*($F118-$C118)+Q153*($F118-$D123)+Q154*($F118-$D124)+Q155*($F118-$D125)+Q156*($F118-$D126)+Q157*($F118-$D127)+Q158*($F118-$D128)+Q159*($F118-$D129)+Q160*($F118-$D130))/1000000-Q163*($F118-MAIN!$C$13/2)/1000))</f>
        <v>1170.3683902170228</v>
      </c>
      <c r="R164" s="304">
        <f>$A163*IF(R163+S163=0,0,IF(R163=0,2*S164-T164,(R122*R162+R152*($F118-$C118)+R153*($F118-$D123)+R154*($F118-$D124)+R155*($F118-$D125)+R156*($F118-$D126)+R157*($F118-$D127)+R158*($F118-$D128)+R159*($F118-$D129)+R160*($F118-$D130))/1000000-R163*($F118-MAIN!$C$13/2)/1000))</f>
        <v>1216.4907450461551</v>
      </c>
      <c r="S164" s="304">
        <f>$A163*IF(S163+T163=0,0,IF(S163=0,2*T164-U164,(S122*S162+S152*($F118-$C118)+S153*($F118-$D123)+S154*($F118-$D124)+S155*($F118-$D125)+S156*($F118-$D126)+S157*($F118-$D127)+S158*($F118-$D128)+S159*($F118-$D129)+S160*($F118-$D130))/1000000-S163*($F118-MAIN!$C$13/2)/1000))</f>
        <v>1260.1177922849333</v>
      </c>
      <c r="T164" s="304">
        <f>$A163*IF(T163+U163=0,0,IF(T163=0,2*U164-V164,(T122*T162+T152*($F118-$C118)+T153*($F118-$D123)+T154*($F118-$D124)+T155*($F118-$D125)+T156*($F118-$D126)+T157*($F118-$D127)+T158*($F118-$D128)+T159*($F118-$D129)+T160*($F118-$D130))/1000000-T163*($F118-MAIN!$C$13/2)/1000))</f>
        <v>1301.4567755057399</v>
      </c>
      <c r="U164" s="304">
        <f>$A163*IF(U163+V163=0,0,IF(U163=0,2*V164-W164,(U122*U162+U152*($F118-$C118)+U153*($F118-$D123)+U154*($F118-$D124)+U155*($F118-$D125)+U156*($F118-$D126)+U157*($F118-$D127)+U158*($F118-$D128)+U159*($F118-$D129)+U160*($F118-$D130))/1000000-U163*($F118-MAIN!$C$13/2)/1000))</f>
        <v>1340.6733912890229</v>
      </c>
      <c r="V164" s="304">
        <f>$A163*IF(V163+W163=0,0,IF(V163=0,2*W164-X164,(V122*V162+V152*($F118-$C118)+V153*($F118-$D123)+V154*($F118-$D124)+V155*($F118-$D125)+V156*($F118-$D126)+V157*($F118-$D127)+V158*($F118-$D128)+V159*($F118-$D129)+V160*($F118-$D130))/1000000-V163*($F118-MAIN!$C$13/2)/1000))</f>
        <v>1377.9017036996865</v>
      </c>
      <c r="W164" s="304">
        <f>$A163*IF(W163+X163=0,0,IF(W163=0,2*X164-Y164,(W122*W162+W152*($F118-$C118)+W153*($F118-$D123)+W154*($F118-$D124)+W155*($F118-$D125)+W156*($F118-$D126)+W157*($F118-$D127)+W158*($F118-$D128)+W159*($F118-$D129)+W160*($F118-$D130))/1000000-W163*($F118-MAIN!$C$13/2)/1000))</f>
        <v>1413.2513489882476</v>
      </c>
      <c r="X164" s="304">
        <f>$A163*IF(X163+Y163=0,0,IF(X163=0,2*Y164-Z164,(X122*X162+X152*($F118-$C118)+X153*($F118-$D123)+X154*($F118-$D124)+X155*($F118-$D125)+X156*($F118-$D126)+X157*($F118-$D127)+X158*($F118-$D128)+X159*($F118-$D129)+X160*($F118-$D130))/1000000-X163*($F118-MAIN!$C$13/2)/1000))</f>
        <v>1446.812856930811</v>
      </c>
      <c r="Y164" s="304">
        <f>$A163*IF(Y163+Z163=0,0,IF(Y163=0,2*Z164-AA164,(Y122*Y162+Y152*($F118-$C118)+Y153*($F118-$D123)+Y154*($F118-$D124)+Y155*($F118-$D125)+Y156*($F118-$D126)+Y157*($F118-$D127)+Y158*($F118-$D128)+Y159*($F118-$D129)+Y160*($F118-$D130))/1000000-Y163*($F118-MAIN!$C$13/2)/1000))</f>
        <v>1478.6616392065071</v>
      </c>
      <c r="Z164" s="304">
        <f>$A163*IF(Z163+AA163=0,0,IF(Z163=0,2*AA164-AB164,(Z122*Z162+Z152*($F118-$C118)+Z153*($F118-$D123)+Z154*($F118-$D124)+Z155*($F118-$D125)+Z156*($F118-$D126)+Z157*($F118-$D127)+Z158*($F118-$D128)+Z159*($F118-$D129)+Z160*($F118-$D130))/1000000-Z163*($F118-MAIN!$C$13/2)/1000))</f>
        <v>1508.861018749521</v>
      </c>
      <c r="AA164" s="304">
        <f>$A163*IF(AA163+AB163=0,0,IF(AA163=0,2*AB164-AC164,(AA122*AA162+AA152*($F118-$C118)+AA153*($F118-$D123)+AA154*($F118-$D124)+AA155*($F118-$D125)+AA156*($F118-$D126)+AA157*($F118-$D127)+AA158*($F118-$D128)+AA159*($F118-$D129)+AA160*($F118-$D130))/1000000-AA163*($F118-MAIN!$C$13/2)/1000))</f>
        <v>1537.4645587455238</v>
      </c>
      <c r="AB164" s="304">
        <f>$A163*IF(AB163+AC163=0,0,IF(AB163=0,2*AC164-AD164,(AB122*AB162+AB152*($F118-$C118)+AB153*($F118-$D123)+AB154*($F118-$D124)+AB155*($F118-$D125)+AB156*($F118-$D126)+AB157*($F118-$D127)+AB158*($F118-$D128)+AB159*($F118-$D129)+AB160*($F118-$D130))/1000000-AB163*($F118-MAIN!$C$13/2)/1000))</f>
        <v>1564.5178731649071</v>
      </c>
      <c r="AC164" s="304">
        <f>$A163*IF(AC163+AD163=0,0,IF(AC163=0,2*AD164-AE164,(AC122*AC162+AC152*($F118-$C118)+AC153*($F118-$D123)+AC154*($F118-$D124)+AC155*($F118-$D125)+AC156*($F118-$D126)+AC157*($F118-$D127)+AC158*($F118-$D128)+AC159*($F118-$D129)+AC160*($F118-$D130))/1000000-AC163*($F118-MAIN!$C$13/2)/1000))</f>
        <v>1590.060048667975</v>
      </c>
      <c r="AD164" s="304">
        <f>$A163*IF(AD163+AE163=0,0,IF(AD163=0,2*AE164-AF164,(AD122*AD162+AD152*($F118-$C118)+AD153*($F118-$D123)+AD154*($F118-$D124)+AD155*($F118-$D125)+AD156*($F118-$D126)+AD157*($F118-$D127)+AD158*($F118-$D128)+AD159*($F118-$D129)+AD160*($F118-$D130))/1000000-AD163*($F118-MAIN!$C$13/2)/1000))</f>
        <v>1614.1247718421478</v>
      </c>
      <c r="AE164" s="304">
        <f>$A163*IF(AE163+AF163=0,0,IF(AE163=0,2*AF164-AG164,(AE122*AE162+AE152*($F118-$C118)+AE153*($F118-$D123)+AE154*($F118-$D124)+AE155*($F118-$D125)+AE156*($F118-$D126)+AE157*($F118-$D127)+AE158*($F118-$D128)+AE159*($F118-$D129)+AE160*($F118-$D130))/1000000-AE163*($F118-MAIN!$C$13/2)/1000))</f>
        <v>1632.0502196623506</v>
      </c>
      <c r="AF164" s="304">
        <f>$A163*IF(AF163+AG163=0,0,IF(AF163=0,2*AG164-AH164,(AF122*AF162+AF152*($F118-$C118)+AF153*($F118-$D123)+AF154*($F118-$D124)+AF155*($F118-$D125)+AF156*($F118-$D126)+AF157*($F118-$D127)+AF158*($F118-$D128)+AF159*($F118-$D129)+AF160*($F118-$D130))/1000000-AF163*($F118-MAIN!$C$13/2)/1000))</f>
        <v>1646.8027255502018</v>
      </c>
      <c r="AG164" s="304">
        <f>$A163*IF(AG163+AH163=0,0,IF(AG163=0,2*AH164-AI164,(AG122*AG162+AG152*($F118-$C118)+AG153*($F118-$D123)+AG154*($F118-$D124)+AG155*($F118-$D125)+AG156*($F118-$D126)+AG157*($F118-$D127)+AG158*($F118-$D128)+AG159*($F118-$D129)+AG160*($F118-$D130))/1000000-AG163*($F118-MAIN!$C$13/2)/1000))</f>
        <v>1656.4817841366596</v>
      </c>
      <c r="AH164" s="304">
        <f>$A163*IF(AH163+AI163=0,0,IF(AH163=0,2*AI164-AJ164,(AH122*AH162+AH152*($F118-$C118)+AH153*($F118-$D123)+AH154*($F118-$D124)+AH155*($F118-$D125)+AH156*($F118-$D126)+AH157*($F118-$D127)+AH158*($F118-$D128)+AH159*($F118-$D129)+AH160*($F118-$D130))/1000000-AH163*($F118-MAIN!$C$13/2)/1000))</f>
        <v>1669.2222234004005</v>
      </c>
      <c r="AI164" s="304">
        <f>$A163*IF(AI163+AJ163=0,0,IF(AI163=0,2*AJ164-AK164,(AI122*AI162+AI152*($F118-$C118)+AI153*($F118-$D123)+AI154*($F118-$D124)+AI155*($F118-$D125)+AI156*($F118-$D126)+AI157*($F118-$D127)+AI158*($F118-$D128)+AI159*($F118-$D129)+AI160*($F118-$D130))/1000000-AI163*($F118-MAIN!$C$13/2)/1000))</f>
        <v>1680.9328990671215</v>
      </c>
      <c r="AJ164" s="304">
        <f>$A163*IF(AJ163+AK163=0,0,IF(AJ163=0,2*AK164-AL164,(AJ122*AJ162+AJ152*($F118-$C118)+AJ153*($F118-$D123)+AJ154*($F118-$D124)+AJ155*($F118-$D125)+AJ156*($F118-$D126)+AJ157*($F118-$D127)+AJ158*($F118-$D128)+AJ159*($F118-$D129)+AJ160*($F118-$D130))/1000000-AJ163*($F118-MAIN!$C$13/2)/1000))</f>
        <v>1691.6003984755673</v>
      </c>
      <c r="AK164" s="304">
        <f>$A163*IF(AK163+AL163=0,0,IF(AK163=0,2*AL164-AM164,(AK122*AK162+AK152*($F118-$C118)+AK153*($F118-$D123)+AK154*($F118-$D124)+AK155*($F118-$D125)+AK156*($F118-$D126)+AK157*($F118-$D127)+AK158*($F118-$D128)+AK159*($F118-$D129)+AK160*($F118-$D130))/1000000-AK163*($F118-MAIN!$C$13/2)/1000))</f>
        <v>1701.2128012212138</v>
      </c>
      <c r="AL164" s="304">
        <f>$A163*IF(AL163+AM163=0,0,IF(AL163=0,2*AM164-AN164,(AL122*AL162+AL152*($F118-$C118)+AL153*($F118-$D123)+AL154*($F118-$D124)+AL155*($F118-$D125)+AL156*($F118-$D126)+AL157*($F118-$D127)+AL158*($F118-$D128)+AL159*($F118-$D129)+AL160*($F118-$D130))/1000000-AL163*($F118-MAIN!$C$13/2)/1000))</f>
        <v>1709.7594772417792</v>
      </c>
      <c r="AM164" s="304">
        <f>$A163*IF(AM163+AN163=0,0,IF(AM163=0,2*AN164-AO164,(AM122*AM162+AM152*($F118-$C118)+AM153*($F118-$D123)+AM154*($F118-$D124)+AM155*($F118-$D125)+AM156*($F118-$D126)+AM157*($F118-$D127)+AM158*($F118-$D128)+AM159*($F118-$D129)+AM160*($F118-$D130))/1000000-AM163*($F118-MAIN!$C$13/2)/1000))</f>
        <v>1717.2309168237127</v>
      </c>
      <c r="AN164" s="304">
        <f>$A163*IF(AN163+AO163=0,0,IF(AN163=0,2*AO164-AP164,(AN122*AN162+AN152*($F118-$C118)+AN153*($F118-$D123)+AN154*($F118-$D124)+AN155*($F118-$D125)+AN156*($F118-$D126)+AN157*($F118-$D127)+AN158*($F118-$D128)+AN159*($F118-$D129)+AN160*($F118-$D130))/1000000-AN163*($F118-MAIN!$C$13/2)/1000))</f>
        <v>1723.6185867932936</v>
      </c>
      <c r="AO164" s="304">
        <f>$A163*IF(AO163+AP163=0,0,IF(AO163=0,2*AP164-AQ164,(AO122*AO162+AO152*($F118-$C118)+AO153*($F118-$D123)+AO154*($F118-$D124)+AO155*($F118-$D125)+AO156*($F118-$D126)+AO157*($F118-$D127)+AO158*($F118-$D128)+AO159*($F118-$D129)+AO160*($F118-$D130))/1000000-AO163*($F118-MAIN!$C$13/2)/1000))</f>
        <v>1728.9148083046086</v>
      </c>
      <c r="AP164" s="304">
        <f>$A163*IF(AP163+AQ163=0,0,IF(AP163=0,2*AQ164-AR164,(AP122*AP162+AP152*($F118-$C118)+AP153*($F118-$D123)+AP154*($F118-$D124)+AP155*($F118-$D125)+AP156*($F118-$D126)+AP157*($F118-$D127)+AP158*($F118-$D128)+AP159*($F118-$D129)+AP160*($F118-$D130))/1000000-AP163*($F118-MAIN!$C$13/2)/1000))</f>
        <v>1733.1126525328787</v>
      </c>
      <c r="AQ164" s="304">
        <f>$A163*IF(AQ163+AR163=0,0,IF(AQ163=0,2*AR164-AS164,(AQ122*AQ162+AQ152*($F118-$C118)+AQ153*($F118-$D123)+AQ154*($F118-$D124)+AQ155*($F118-$D125)+AQ156*($F118-$D126)+AQ157*($F118-$D127)+AQ158*($F118-$D128)+AQ159*($F118-$D129)+AQ160*($F118-$D130))/1000000-AQ163*($F118-MAIN!$C$13/2)/1000))</f>
        <v>1736.2058512855406</v>
      </c>
      <c r="AR164" s="56">
        <f>$A163*IF(AR163+AS163=0,0,IF(AR163=0,2*AS164-AT164,(AR122*AR162+AR152*($F118-$C118)+AR153*($F118-$D123)+AR154*($F118-$D124)+AR155*($F118-$D125)+AR156*($F118-$D126)+AR157*($F118-$D127)+AR158*($F118-$D128)+AR159*($F118-$D129)+AR160*($F118-$D130))/1000000-AR163*($F118-MAIN!$C$13/2)/1000))</f>
        <v>1738.1887200999331</v>
      </c>
      <c r="AS164" s="304">
        <f>$A163*IF(AS163+AT163=0,0,IF(AS163=0,2*AT164-AU164,(AS122*AS162+AS152*($F118-$C118)+AS153*($F118-$D123)+AS154*($F118-$D124)+AS155*($F118-$D125)+AS156*($F118-$D126)+AS157*($F118-$D127)+AS158*($F118-$D128)+AS159*($F118-$D129)+AS160*($F118-$D130))/1000000-AS163*($F118-MAIN!$C$13/2)/1000))</f>
        <v>1704.2792823062332</v>
      </c>
      <c r="AT164" s="304">
        <f>$A163*IF(AT163+AU163=0,0,IF(AT163=0,2*AU164-AV164,(AT122*AT162+AT152*($F118-$C118)+AT153*($F118-$D123)+AT154*($F118-$D124)+AT155*($F118-$D125)+AT156*($F118-$D126)+AT157*($F118-$D127)+AT158*($F118-$D128)+AT159*($F118-$D129)+AT160*($F118-$D130))/1000000-AT163*($F118-MAIN!$C$13/2)/1000))</f>
        <v>1666.7743264193778</v>
      </c>
      <c r="AU164" s="304">
        <f>$A163*IF(AU163+AV163=0,0,IF(AU163=0,2*AV164-AW164,(AU122*AU162+AU152*($F118-$C118)+AU153*($F118-$D123)+AU154*($F118-$D124)+AU155*($F118-$D125)+AU156*($F118-$D126)+AU157*($F118-$D127)+AU158*($F118-$D128)+AU159*($F118-$D129)+AU160*($F118-$D130))/1000000-AU163*($F118-MAIN!$C$13/2)/1000))</f>
        <v>1625.0829815712104</v>
      </c>
      <c r="AV164" s="304">
        <f>$A163*IF(AV163+AW163=0,0,IF(AV163=0,2*AW164-AX164,(AV122*AV162+AV152*($F118-$C118)+AV153*($F118-$D123)+AV154*($F118-$D124)+AV155*($F118-$D125)+AV156*($F118-$D126)+AV157*($F118-$D127)+AV158*($F118-$D128)+AV159*($F118-$D129)+AV160*($F118-$D130))/1000000-AV163*($F118-MAIN!$C$13/2)/1000))</f>
        <v>1578.7267422320106</v>
      </c>
      <c r="AW164" s="304">
        <f>$A163*IF(AW163+AX163=0,0,IF(AW163=0,2*AX164-AY164,(AW122*AW162+AW152*($F118-$C118)+AW153*($F118-$D123)+AW154*($F118-$D124)+AW155*($F118-$D125)+AW156*($F118-$D126)+AW157*($F118-$D127)+AW158*($F118-$D128)+AW159*($F118-$D129)+AW160*($F118-$D130))/1000000-AW163*($F118-MAIN!$C$13/2)/1000))</f>
        <v>1527.3139699465678</v>
      </c>
      <c r="AX164" s="304">
        <f>$A163*IF(AX163+AY163=0,0,IF(AX163=0,2*AY164-AZ164,(AX122*AX162+AX152*($F118-$C118)+AX153*($F118-$D123)+AX154*($F118-$D124)+AX155*($F118-$D125)+AX156*($F118-$D126)+AX157*($F118-$D127)+AX158*($F118-$D128)+AX159*($F118-$D129)+AX160*($F118-$D130))/1000000-AX163*($F118-MAIN!$C$13/2)/1000))</f>
        <v>1470.5210369960664</v>
      </c>
      <c r="AY164" s="304">
        <f>$A163*IF(AY163+AZ163=0,0,IF(AY163=0,2*AZ164-BA164,(AY122*AY162+AY152*($F118-$C118)+AY153*($F118-$D123)+AY154*($F118-$D124)+AY155*($F118-$D125)+AY156*($F118-$D126)+AY157*($F118-$D127)+AY158*($F118-$D128)+AY159*($F118-$D129)+AY160*($F118-$D130))/1000000-AY163*($F118-MAIN!$C$13/2)/1000))</f>
        <v>1412.1541757933128</v>
      </c>
      <c r="AZ164" s="304">
        <f>$A163*IF(AZ163+BA163=0,0,IF(AZ163=0,2*BA164-BB164,(AZ122*AZ162+AZ152*($F118-$C118)+AZ153*($F118-$D123)+AZ154*($F118-$D124)+AZ155*($F118-$D125)+AZ156*($F118-$D126)+AZ157*($F118-$D127)+AZ158*($F118-$D128)+AZ159*($F118-$D129)+AZ160*($F118-$D130))/1000000-AZ163*($F118-MAIN!$C$13/2)/1000))</f>
        <v>1343.8347279051745</v>
      </c>
      <c r="BA164" s="304">
        <f>$A163*IF(BA163+BB163=0,0,IF(BA163=0,2*BB164-BC164,(BA122*BA162+BA152*($F118-$C118)+BA153*($F118-$D123)+BA154*($F118-$D124)+BA155*($F118-$D125)+BA156*($F118-$D126)+BA157*($F118-$D127)+BA158*($F118-$D128)+BA159*($F118-$D129)+BA160*($F118-$D130))/1000000-BA163*($F118-MAIN!$C$13/2)/1000))</f>
        <v>1269.4468554215819</v>
      </c>
      <c r="BB164" s="304">
        <f>$A163*IF(BB163+BC163=0,0,IF(BB163=0,2*BC164-BD164,(BB122*BB162+BB152*($F118-$C118)+BB153*($F118-$D123)+BB154*($F118-$D124)+BB155*($F118-$D125)+BB156*($F118-$D126)+BB157*($F118-$D127)+BB158*($F118-$D128)+BB159*($F118-$D129)+BB160*($F118-$D130))/1000000-BB163*($F118-MAIN!$C$13/2)/1000))</f>
        <v>1187.7597134865896</v>
      </c>
      <c r="BC164" s="304">
        <f>$A163*IF(BC163+BD163=0,0,IF(BC163=0,2*BD164-BE164,(BC122*BC162+BC152*($F118-$C118)+BC153*($F118-$D123)+BC154*($F118-$D124)+BC155*($F118-$D125)+BC156*($F118-$D126)+BC157*($F118-$D127)+BC158*($F118-$D128)+BC159*($F118-$D129)+BC160*($F118-$D130))/1000000-BC163*($F118-MAIN!$C$13/2)/1000))</f>
        <v>1099.104797981151</v>
      </c>
      <c r="BD164" s="304">
        <f>$A163*IF(BD163+BE163=0,0,IF(BD163=0,2*BE164-BF164,(BD122*BD162+BD152*($F118-$C118)+BD153*($F118-$D123)+BD154*($F118-$D124)+BD155*($F118-$D125)+BD156*($F118-$D126)+BD157*($F118-$D127)+BD158*($F118-$D128)+BD159*($F118-$D129)+BD160*($F118-$D130))/1000000-BD163*($F118-MAIN!$C$13/2)/1000))</f>
        <v>1004.5155709131031</v>
      </c>
      <c r="BE164" s="304">
        <f>$A163*IF(BE163+BF163=0,0,IF(BE163=0,2*BF164-BG164,(BE122*BE162+BE152*($F118-$C118)+BE153*($F118-$D123)+BE154*($F118-$D124)+BE155*($F118-$D125)+BE156*($F118-$D126)+BE157*($F118-$D127)+BE158*($F118-$D128)+BE159*($F118-$D129)+BE160*($F118-$D130))/1000000-BE163*($F118-MAIN!$C$13/2)/1000))</f>
        <v>905.53587105519273</v>
      </c>
      <c r="BF164" s="304">
        <f>$A163*IF(BF163+BG163=0,0,IF(BF163=0,2*BG164-BH164,(BF122*BF162+BF152*($F118-$C118)+BF153*($F118-$D123)+BF154*($F118-$D124)+BF155*($F118-$D125)+BF156*($F118-$D126)+BF157*($F118-$D127)+BF158*($F118-$D128)+BF159*($F118-$D129)+BF160*($F118-$D130))/1000000-BF163*($F118-MAIN!$C$13/2)/1000))</f>
        <v>800.47405821235407</v>
      </c>
      <c r="BG164" s="304">
        <f>$A163*IF(BG163+BH163=0,0,IF(BG163=0,2*BH164-BI164,(BG122*BG162+BG152*($F118-$C118)+BG153*($F118-$D123)+BG154*($F118-$D124)+BG155*($F118-$D125)+BG156*($F118-$D126)+BG157*($F118-$D127)+BG158*($F118-$D128)+BG159*($F118-$D129)+BG160*($F118-$D130))/1000000-BG163*($F118-MAIN!$C$13/2)/1000))</f>
        <v>689.08168815570389</v>
      </c>
      <c r="BH164" s="304">
        <f>$A163*IF(BH163+BI163=0,0,IF(BH163=0,2*BI164-BJ164,(BH122*BH162+BH152*($F118-$C118)+BH153*($F118-$D123)+BH154*($F118-$D124)+BH155*($F118-$D125)+BH156*($F118-$D126)+BH157*($F118-$D127)+BH158*($F118-$D128)+BH159*($F118-$D129)+BH160*($F118-$D130))/1000000-BH163*($F118-MAIN!$C$13/2)/1000))</f>
        <v>570.7906009743283</v>
      </c>
      <c r="BI164" s="304">
        <f>$A163*IF(BI163+BJ163=0,0,IF(BI163=0,2*BJ164-BK164,(BI122*BI162+BI152*($F118-$C118)+BI153*($F118-$D123)+BI154*($F118-$D124)+BI155*($F118-$D125)+BI156*($F118-$D126)+BI157*($F118-$D127)+BI158*($F118-$D128)+BI159*($F118-$D129)+BI160*($F118-$D130))/1000000-BI163*($F118-MAIN!$C$13/2)/1000))</f>
        <v>445.43363487562692</v>
      </c>
      <c r="BJ164" s="304">
        <f>$A163*IF(BJ163+BK163=0,0,IF(BJ163=0,2*BK164-BO164,(BJ122*BJ162+BJ152*($F118-$C118)+BJ153*($F118-$D123)+BJ154*($F118-$D124)+BJ155*($F118-$D125)+BJ156*($F118-$D126)+BJ157*($F118-$D127)+BJ158*($F118-$D128)+BJ159*($F118-$D129)+BJ160*($F118-$D130))/1000000-BJ163*($F118-MAIN!$C$13/2)/1000))</f>
        <v>325.57207342464881</v>
      </c>
      <c r="BK164" s="304">
        <f>$A163*IF(BK163+BO163=0,0,IF(BK163=0,2*BO164-BP164,(BK122*BK162+BK152*($F118-$C118)+BK153*($F118-$D123)+BK154*($F118-$D124)+BK155*($F118-$D125)+BK156*($F118-$D126)+BK157*($F118-$D127)+BK158*($F118-$D128)+BK159*($F118-$D129)+BK160*($F118-$D130))/1000000-BK163*($F118-MAIN!$C$13/2)/1000))</f>
        <v>186.63770648653735</v>
      </c>
      <c r="BL164" s="304">
        <f>$A163*IF(BL163+BP163=0,0,IF(BL163=0,2*BP164-BQ164,(BL122*BL162+BL152*($F118-$C118)+BL153*($F118-$D123)+BL154*($F118-$D124)+BL155*($F118-$D125)+BL156*($F118-$D126)+BL157*($F118-$D127)+BL158*($F118-$D128)+BL159*($F118-$D129)+BL160*($F118-$D130))/1000000-BL163*($F118-MAIN!$C$13/2)/1000))</f>
        <v>124.99395571811056</v>
      </c>
      <c r="BM164" s="304">
        <f>$A163*IF(BM163+BQ163=0,0,IF(BM163=0,2*BQ164-BR164,(BM122*BM162+BM152*($F118-$C118)+BM153*($F118-$D123)+BM154*($F118-$D124)+BM155*($F118-$D125)+BM156*($F118-$D126)+BM157*($F118-$D127)+BM158*($F118-$D128)+BM159*($F118-$D129)+BM160*($F118-$D130))/1000000-BM163*($F118-MAIN!$C$13/2)/1000))</f>
        <v>100.24506053815276</v>
      </c>
      <c r="BN164" s="304">
        <f>$A163*IF(BN163+BR163=0,0,IF(BN163=0,2*BR164-BS164,(BN122*BN162+BN152*($F118-$C118)+BN153*($F118-$D123)+BN154*($F118-$D124)+BN155*($F118-$D125)+BN156*($F118-$D126)+BN157*($F118-$D127)+BN158*($F118-$D128)+BN159*($F118-$D129)+BN160*($F118-$D130))/1000000-BN163*($F118-MAIN!$C$13/2)/1000))</f>
        <v>76.854546412583659</v>
      </c>
      <c r="BO164" s="3">
        <v>0</v>
      </c>
      <c r="BP164" s="41"/>
      <c r="BQ164" s="41"/>
      <c r="BR164" s="41"/>
    </row>
    <row r="165" spans="1:70" ht="16.5">
      <c r="A165" s="41"/>
      <c r="B165" s="296" t="s">
        <v>74</v>
      </c>
      <c r="C165" s="303" t="s">
        <v>75</v>
      </c>
      <c r="D165" s="15"/>
      <c r="E165" s="308"/>
      <c r="F165" s="308"/>
      <c r="G165" s="308"/>
      <c r="H165" s="308"/>
      <c r="I165" s="308"/>
      <c r="J165" s="308"/>
      <c r="K165" s="308"/>
      <c r="L165" s="308"/>
      <c r="M165" s="308"/>
      <c r="N165" s="308"/>
      <c r="O165" s="308"/>
      <c r="P165" s="308"/>
      <c r="Q165" s="308"/>
      <c r="R165" s="308"/>
      <c r="S165" s="308"/>
      <c r="T165" s="308"/>
      <c r="U165" s="308"/>
      <c r="V165" s="308"/>
      <c r="W165" s="308"/>
      <c r="X165" s="308"/>
      <c r="Y165" s="308"/>
      <c r="Z165" s="308"/>
      <c r="AA165" s="308"/>
      <c r="AB165" s="308"/>
      <c r="AC165" s="308"/>
      <c r="AD165" s="308"/>
      <c r="AE165" s="309" t="str">
        <f>FIXED(MAIN!$Q$1,0)&amp;MAIN!R$1&amp;FIXED(B117,0)</f>
        <v>8H25</v>
      </c>
      <c r="AF165" s="308"/>
      <c r="AG165" s="308"/>
      <c r="AH165" s="308"/>
      <c r="AI165" s="308"/>
      <c r="AJ165" s="308"/>
      <c r="AK165" s="308"/>
      <c r="AL165" s="308"/>
      <c r="AM165" s="308"/>
      <c r="AN165" s="308"/>
      <c r="AO165" s="308"/>
      <c r="AP165" s="308"/>
      <c r="AQ165" s="308"/>
      <c r="AR165" s="60"/>
      <c r="AS165" s="308"/>
      <c r="AT165" s="308"/>
      <c r="AU165" s="308"/>
      <c r="AV165" s="308"/>
      <c r="AW165" s="308"/>
      <c r="AX165" s="308"/>
      <c r="AY165" s="308"/>
      <c r="AZ165" s="308"/>
      <c r="BA165" s="308"/>
      <c r="BB165" s="308"/>
      <c r="BC165" s="308"/>
      <c r="BD165" s="308"/>
      <c r="BE165" s="308"/>
      <c r="BF165" s="308"/>
      <c r="BG165" s="308"/>
      <c r="BH165" s="308"/>
      <c r="BI165" s="308"/>
      <c r="BJ165" s="308"/>
      <c r="BK165" s="308"/>
      <c r="BL165" s="621"/>
      <c r="BM165" s="621"/>
      <c r="BN165" s="621"/>
      <c r="BO165" s="15"/>
      <c r="BP165" s="41"/>
      <c r="BQ165" s="41"/>
      <c r="BR165" s="41"/>
    </row>
    <row r="166" spans="1:70">
      <c r="A166" s="41"/>
      <c r="C166" s="65" t="s">
        <v>135</v>
      </c>
      <c r="D166" s="66">
        <f t="shared" ref="D166:AI166" si="117">E163-D163</f>
        <v>247.67774610029039</v>
      </c>
      <c r="E166" s="66">
        <f t="shared" si="117"/>
        <v>197.1923744730218</v>
      </c>
      <c r="F166" s="66">
        <f t="shared" si="117"/>
        <v>161.11225887843557</v>
      </c>
      <c r="G166" s="66">
        <f t="shared" si="117"/>
        <v>140.60026614892519</v>
      </c>
      <c r="H166" s="66">
        <f t="shared" si="117"/>
        <v>127.82602893629402</v>
      </c>
      <c r="I166" s="66">
        <f t="shared" si="117"/>
        <v>93.774006043367208</v>
      </c>
      <c r="J166" s="66">
        <f t="shared" si="117"/>
        <v>89.80548588113254</v>
      </c>
      <c r="K166" s="66">
        <f t="shared" si="117"/>
        <v>89.805485881132654</v>
      </c>
      <c r="L166" s="66">
        <f t="shared" si="117"/>
        <v>89.805485881132782</v>
      </c>
      <c r="M166" s="66">
        <f t="shared" si="117"/>
        <v>89.805485881132768</v>
      </c>
      <c r="N166" s="66">
        <f t="shared" si="117"/>
        <v>89.80548588113254</v>
      </c>
      <c r="O166" s="66">
        <f t="shared" si="117"/>
        <v>89.80548588113254</v>
      </c>
      <c r="P166" s="66">
        <f t="shared" si="117"/>
        <v>116.14232459650015</v>
      </c>
      <c r="Q166" s="66">
        <f t="shared" si="117"/>
        <v>153.96836044154259</v>
      </c>
      <c r="R166" s="66">
        <f t="shared" si="117"/>
        <v>146.820365215886</v>
      </c>
      <c r="S166" s="66">
        <f t="shared" si="117"/>
        <v>140.80381806511184</v>
      </c>
      <c r="T166" s="66">
        <f t="shared" si="117"/>
        <v>135.69189282761067</v>
      </c>
      <c r="U166" s="66">
        <f t="shared" si="117"/>
        <v>131.31189151133913</v>
      </c>
      <c r="V166" s="66">
        <f t="shared" si="117"/>
        <v>127.53045025247661</v>
      </c>
      <c r="W166" s="66">
        <f t="shared" si="117"/>
        <v>124.24325708882179</v>
      </c>
      <c r="X166" s="66">
        <f t="shared" si="117"/>
        <v>121.36777463925773</v>
      </c>
      <c r="Y166" s="66">
        <f t="shared" si="117"/>
        <v>118.83800429624512</v>
      </c>
      <c r="Z166" s="66">
        <f t="shared" si="117"/>
        <v>116.60066262842656</v>
      </c>
      <c r="AA166" s="66">
        <f t="shared" si="117"/>
        <v>114.61235082625512</v>
      </c>
      <c r="AB166" s="66">
        <f t="shared" si="117"/>
        <v>112.83743298388276</v>
      </c>
      <c r="AC166" s="66">
        <f t="shared" si="117"/>
        <v>111.24642735672705</v>
      </c>
      <c r="AD166" s="66">
        <f t="shared" si="117"/>
        <v>135.425388543998</v>
      </c>
      <c r="AE166" s="66">
        <f t="shared" si="117"/>
        <v>143.68714457224087</v>
      </c>
      <c r="AF166" s="66">
        <f t="shared" si="117"/>
        <v>118.06160687696729</v>
      </c>
      <c r="AG166" s="66">
        <f t="shared" si="117"/>
        <v>137.24900434800929</v>
      </c>
      <c r="AH166" s="66">
        <f t="shared" si="117"/>
        <v>134.45432050089448</v>
      </c>
      <c r="AI166" s="66">
        <f t="shared" si="117"/>
        <v>131.8995052108512</v>
      </c>
      <c r="AJ166" s="66">
        <f t="shared" ref="AJ166:BJ166" si="118">AK163-AJ163</f>
        <v>129.5578713453383</v>
      </c>
      <c r="AK166" s="66">
        <f t="shared" si="118"/>
        <v>127.40634275817092</v>
      </c>
      <c r="AL166" s="66">
        <f t="shared" si="118"/>
        <v>125.42488342305705</v>
      </c>
      <c r="AM166" s="66">
        <f t="shared" si="118"/>
        <v>123.59602915480809</v>
      </c>
      <c r="AN166" s="66">
        <f t="shared" si="118"/>
        <v>121.9045013763598</v>
      </c>
      <c r="AO166" s="66">
        <f t="shared" si="118"/>
        <v>120.3368869041924</v>
      </c>
      <c r="AP166" s="66">
        <f t="shared" si="118"/>
        <v>118.88137116302823</v>
      </c>
      <c r="AQ166" s="66">
        <f t="shared" si="118"/>
        <v>117.5275148785372</v>
      </c>
      <c r="AR166" s="66">
        <f t="shared" si="118"/>
        <v>352.72002569694405</v>
      </c>
      <c r="AS166" s="66">
        <f t="shared" si="118"/>
        <v>339.45247717654183</v>
      </c>
      <c r="AT166" s="66">
        <f t="shared" si="118"/>
        <v>328.17169144349282</v>
      </c>
      <c r="AU166" s="66">
        <f t="shared" si="118"/>
        <v>318.49984775045959</v>
      </c>
      <c r="AV166" s="66">
        <f t="shared" si="118"/>
        <v>310.14486151451911</v>
      </c>
      <c r="AW166" s="66">
        <f t="shared" si="118"/>
        <v>302.87805129698427</v>
      </c>
      <c r="AX166" s="66">
        <f t="shared" si="118"/>
        <v>274.26536242486145</v>
      </c>
      <c r="AY166" s="66">
        <f t="shared" si="118"/>
        <v>290.92070434121797</v>
      </c>
      <c r="AZ166" s="66">
        <f t="shared" si="118"/>
        <v>285.96813440609822</v>
      </c>
      <c r="BA166" s="66">
        <f t="shared" si="118"/>
        <v>275.73771736712388</v>
      </c>
      <c r="BB166" s="66">
        <f t="shared" si="118"/>
        <v>268.55332079140862</v>
      </c>
      <c r="BC166" s="66">
        <f t="shared" si="118"/>
        <v>263.70485844080304</v>
      </c>
      <c r="BD166" s="66">
        <f t="shared" si="118"/>
        <v>252.93500898891216</v>
      </c>
      <c r="BE166" s="66">
        <f t="shared" si="118"/>
        <v>249.74834862362695</v>
      </c>
      <c r="BF166" s="66">
        <f t="shared" si="118"/>
        <v>247.10424162442268</v>
      </c>
      <c r="BG166" s="66">
        <f t="shared" si="118"/>
        <v>242.84927030367726</v>
      </c>
      <c r="BH166" s="66">
        <f t="shared" si="118"/>
        <v>238.86871530549433</v>
      </c>
      <c r="BI166" s="66">
        <f t="shared" si="118"/>
        <v>215.41157699206269</v>
      </c>
      <c r="BJ166" s="66">
        <f t="shared" si="118"/>
        <v>236.62742582996361</v>
      </c>
      <c r="BK166" s="66">
        <f t="shared" ref="BK166:BN167" si="119">BL163-BK163</f>
        <v>91.784888231588411</v>
      </c>
      <c r="BL166" s="66">
        <f t="shared" si="119"/>
        <v>34.774010565031858</v>
      </c>
      <c r="BM166" s="66">
        <f t="shared" si="119"/>
        <v>0</v>
      </c>
      <c r="BN166" s="66">
        <f t="shared" si="119"/>
        <v>0</v>
      </c>
      <c r="BO166" s="65">
        <v>0</v>
      </c>
      <c r="BP166" s="41"/>
      <c r="BQ166" s="43"/>
      <c r="BR166" s="42"/>
    </row>
    <row r="167" spans="1:70">
      <c r="A167" s="41"/>
      <c r="C167" s="65" t="s">
        <v>136</v>
      </c>
      <c r="D167" s="66">
        <f t="shared" ref="D167:AI167" si="120">E164-D164</f>
        <v>136.53909267235792</v>
      </c>
      <c r="E167" s="66">
        <f t="shared" si="120"/>
        <v>107.61134783165153</v>
      </c>
      <c r="F167" s="66">
        <f t="shared" si="120"/>
        <v>86.599291180905539</v>
      </c>
      <c r="G167" s="66">
        <f t="shared" si="120"/>
        <v>74.141918044517865</v>
      </c>
      <c r="H167" s="66">
        <f t="shared" si="120"/>
        <v>65.936441564655411</v>
      </c>
      <c r="I167" s="66">
        <f t="shared" si="120"/>
        <v>46.038821853470836</v>
      </c>
      <c r="J167" s="66">
        <f t="shared" si="120"/>
        <v>42.67208689280119</v>
      </c>
      <c r="K167" s="66">
        <f t="shared" si="120"/>
        <v>41.486053761279663</v>
      </c>
      <c r="L167" s="66">
        <f t="shared" si="120"/>
        <v>40.300020629758478</v>
      </c>
      <c r="M167" s="66">
        <f t="shared" si="120"/>
        <v>39.113987498236952</v>
      </c>
      <c r="N167" s="66">
        <f t="shared" si="120"/>
        <v>37.927954366714857</v>
      </c>
      <c r="O167" s="66">
        <f t="shared" si="120"/>
        <v>36.741921235193558</v>
      </c>
      <c r="P167" s="66">
        <f t="shared" si="120"/>
        <v>40.379919061703731</v>
      </c>
      <c r="Q167" s="66">
        <f t="shared" si="120"/>
        <v>46.122354829132291</v>
      </c>
      <c r="R167" s="66">
        <f t="shared" si="120"/>
        <v>43.627047238778232</v>
      </c>
      <c r="S167" s="66">
        <f t="shared" si="120"/>
        <v>41.33898322080654</v>
      </c>
      <c r="T167" s="66">
        <f t="shared" si="120"/>
        <v>39.216615783283032</v>
      </c>
      <c r="U167" s="66">
        <f t="shared" si="120"/>
        <v>37.228312410663648</v>
      </c>
      <c r="V167" s="66">
        <f t="shared" si="120"/>
        <v>35.349645288561078</v>
      </c>
      <c r="W167" s="66">
        <f t="shared" si="120"/>
        <v>33.561507942563367</v>
      </c>
      <c r="X167" s="66">
        <f t="shared" si="120"/>
        <v>31.848782275696067</v>
      </c>
      <c r="Y167" s="66">
        <f t="shared" si="120"/>
        <v>30.199379543013947</v>
      </c>
      <c r="Z167" s="66">
        <f t="shared" si="120"/>
        <v>28.603539996002837</v>
      </c>
      <c r="AA167" s="66">
        <f t="shared" si="120"/>
        <v>27.053314419383241</v>
      </c>
      <c r="AB167" s="66">
        <f t="shared" si="120"/>
        <v>25.542175503067938</v>
      </c>
      <c r="AC167" s="66">
        <f t="shared" si="120"/>
        <v>24.064723174172741</v>
      </c>
      <c r="AD167" s="66">
        <f t="shared" si="120"/>
        <v>17.925447820202862</v>
      </c>
      <c r="AE167" s="66">
        <f t="shared" si="120"/>
        <v>14.752505887851157</v>
      </c>
      <c r="AF167" s="66">
        <f t="shared" si="120"/>
        <v>9.6790585864578134</v>
      </c>
      <c r="AG167" s="66">
        <f t="shared" si="120"/>
        <v>12.740439263740882</v>
      </c>
      <c r="AH167" s="66">
        <f t="shared" si="120"/>
        <v>11.710675666721045</v>
      </c>
      <c r="AI167" s="66">
        <f t="shared" si="120"/>
        <v>10.667499408445792</v>
      </c>
      <c r="AJ167" s="66">
        <f t="shared" ref="AJ167:BJ167" si="121">AK164-AJ164</f>
        <v>9.6124027456464773</v>
      </c>
      <c r="AK167" s="66">
        <f t="shared" si="121"/>
        <v>8.5466760205654282</v>
      </c>
      <c r="AL167" s="66">
        <f t="shared" si="121"/>
        <v>7.4714395819335095</v>
      </c>
      <c r="AM167" s="66">
        <f t="shared" si="121"/>
        <v>6.3876699695808838</v>
      </c>
      <c r="AN167" s="66">
        <f t="shared" si="121"/>
        <v>5.2962215113150251</v>
      </c>
      <c r="AO167" s="66">
        <f t="shared" si="121"/>
        <v>4.1978442282700144</v>
      </c>
      <c r="AP167" s="66">
        <f t="shared" si="121"/>
        <v>3.0931987526619196</v>
      </c>
      <c r="AQ167" s="66">
        <f t="shared" si="121"/>
        <v>1.9828688143925319</v>
      </c>
      <c r="AR167" s="66">
        <f t="shared" si="121"/>
        <v>-33.909437793699908</v>
      </c>
      <c r="AS167" s="66">
        <f t="shared" si="121"/>
        <v>-37.504955886855441</v>
      </c>
      <c r="AT167" s="66">
        <f t="shared" si="121"/>
        <v>-41.691344848167319</v>
      </c>
      <c r="AU167" s="66">
        <f t="shared" si="121"/>
        <v>-46.356239339199874</v>
      </c>
      <c r="AV167" s="66">
        <f t="shared" si="121"/>
        <v>-51.41277228544277</v>
      </c>
      <c r="AW167" s="66">
        <f t="shared" si="121"/>
        <v>-56.792932950501381</v>
      </c>
      <c r="AX167" s="66">
        <f t="shared" si="121"/>
        <v>-58.366861202753626</v>
      </c>
      <c r="AY167" s="66">
        <f t="shared" si="121"/>
        <v>-68.319447888138257</v>
      </c>
      <c r="AZ167" s="66">
        <f t="shared" si="121"/>
        <v>-74.387872483592673</v>
      </c>
      <c r="BA167" s="66">
        <f t="shared" si="121"/>
        <v>-81.687141934992269</v>
      </c>
      <c r="BB167" s="66">
        <f t="shared" si="121"/>
        <v>-88.654915505438566</v>
      </c>
      <c r="BC167" s="66">
        <f t="shared" si="121"/>
        <v>-94.589227068047876</v>
      </c>
      <c r="BD167" s="66">
        <f t="shared" si="121"/>
        <v>-98.979699857910418</v>
      </c>
      <c r="BE167" s="66">
        <f t="shared" si="121"/>
        <v>-105.06181284283866</v>
      </c>
      <c r="BF167" s="66">
        <f t="shared" si="121"/>
        <v>-111.39237005665018</v>
      </c>
      <c r="BG167" s="66">
        <f t="shared" si="121"/>
        <v>-118.29108718137559</v>
      </c>
      <c r="BH167" s="66">
        <f t="shared" si="121"/>
        <v>-125.35696609870138</v>
      </c>
      <c r="BI167" s="66">
        <f t="shared" si="121"/>
        <v>-119.86156145097812</v>
      </c>
      <c r="BJ167" s="66">
        <f t="shared" si="121"/>
        <v>-138.93436693811145</v>
      </c>
      <c r="BK167" s="66">
        <f t="shared" si="119"/>
        <v>-61.643750768426798</v>
      </c>
      <c r="BL167" s="66">
        <f t="shared" si="119"/>
        <v>-24.748895179957799</v>
      </c>
      <c r="BM167" s="66">
        <f t="shared" si="119"/>
        <v>-23.390514125569098</v>
      </c>
      <c r="BN167" s="66">
        <f t="shared" si="119"/>
        <v>-76.854546412583659</v>
      </c>
      <c r="BO167" s="65">
        <v>0</v>
      </c>
      <c r="BP167" s="41"/>
      <c r="BQ167" s="43"/>
      <c r="BR167" s="42"/>
    </row>
    <row r="168" spans="1:70">
      <c r="A168" s="41"/>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c r="AX168" s="2"/>
      <c r="AY168" s="2"/>
      <c r="AZ168" s="2"/>
      <c r="BA168" s="2"/>
      <c r="BB168" s="2"/>
      <c r="BC168" s="2"/>
      <c r="BD168" s="2"/>
      <c r="BE168" s="2"/>
      <c r="BF168" s="2"/>
      <c r="BG168" s="2"/>
      <c r="BH168" s="2"/>
      <c r="BI168" s="2"/>
      <c r="BJ168" s="2"/>
      <c r="BK168" s="2"/>
      <c r="BL168" s="2"/>
      <c r="BM168" s="2"/>
      <c r="BN168" s="2"/>
      <c r="BO168" s="16"/>
      <c r="BP168" s="41"/>
      <c r="BQ168" s="43"/>
      <c r="BR168" s="42"/>
    </row>
    <row r="169" spans="1:70" ht="18.75">
      <c r="A169" s="41"/>
      <c r="B169" s="275">
        <f>MAIN!C$36</f>
        <v>20</v>
      </c>
      <c r="C169" s="276" t="s">
        <v>43</v>
      </c>
      <c r="D169" s="258"/>
      <c r="E169" s="259"/>
      <c r="F169" s="259"/>
      <c r="G169" s="259"/>
      <c r="H169" s="259"/>
      <c r="I169" s="259"/>
      <c r="J169" s="259"/>
      <c r="K169" s="277"/>
      <c r="L169" s="259"/>
      <c r="M169" s="259"/>
      <c r="N169" s="278" t="s">
        <v>93</v>
      </c>
      <c r="O169" s="279">
        <f>$C$8*$C$9*MAIN!C$14</f>
        <v>5440.0000000000009</v>
      </c>
      <c r="P169" s="73"/>
      <c r="Q169" s="73"/>
      <c r="R169" s="73"/>
      <c r="S169" s="73"/>
      <c r="T169" s="73"/>
      <c r="U169" s="73"/>
      <c r="V169" s="73"/>
      <c r="W169" s="73"/>
      <c r="X169" s="73"/>
      <c r="Y169" s="73"/>
      <c r="Z169" s="73"/>
      <c r="AA169" s="73"/>
      <c r="AB169" s="73"/>
      <c r="AC169" s="73"/>
      <c r="AD169" s="73"/>
      <c r="AE169" s="73"/>
      <c r="AF169" s="73"/>
      <c r="AG169" s="73"/>
      <c r="AH169" s="73"/>
      <c r="AI169" s="73"/>
      <c r="AJ169" s="73"/>
      <c r="AK169" s="73"/>
      <c r="AL169" s="73"/>
      <c r="AM169" s="73"/>
      <c r="AN169" s="73"/>
      <c r="AO169" s="73"/>
      <c r="AP169" s="73"/>
      <c r="AQ169" s="73"/>
      <c r="AR169" s="41"/>
      <c r="AS169" s="73"/>
      <c r="AT169" s="41"/>
      <c r="AU169" s="41"/>
      <c r="AV169" s="41"/>
      <c r="AW169" s="41"/>
      <c r="AX169" s="41"/>
      <c r="AY169" s="41"/>
      <c r="AZ169" s="41"/>
      <c r="BA169" s="41"/>
      <c r="BB169" s="41"/>
      <c r="BC169" s="41"/>
      <c r="BD169" s="41"/>
      <c r="BE169" s="41"/>
      <c r="BF169" s="41"/>
      <c r="BG169" s="41"/>
      <c r="BH169" s="41"/>
      <c r="BI169" s="41"/>
      <c r="BJ169" s="41"/>
      <c r="BK169" s="41"/>
      <c r="BL169" s="41"/>
      <c r="BM169" s="41"/>
      <c r="BN169" s="41"/>
      <c r="BO169" s="41"/>
      <c r="BP169" s="41"/>
      <c r="BQ169" s="41"/>
      <c r="BR169" s="41"/>
    </row>
    <row r="170" spans="1:70" ht="18.75">
      <c r="A170" s="41"/>
      <c r="B170" s="260" t="str">
        <f>B118</f>
        <v>d' =</v>
      </c>
      <c r="C170" s="261">
        <f>MAIN!I$8+MAIN!E36+MAIN!C36/2</f>
        <v>48</v>
      </c>
      <c r="D170" s="262"/>
      <c r="E170" s="263" t="str">
        <f>E118</f>
        <v>d =</v>
      </c>
      <c r="F170" s="261">
        <f>IF(I170=0,0,MAIN!C$13-C170)</f>
        <v>1152</v>
      </c>
      <c r="G170" s="262" t="str">
        <f>G118</f>
        <v>mm</v>
      </c>
      <c r="H170" s="263" t="s">
        <v>76</v>
      </c>
      <c r="I170" s="264">
        <f>IF(MAIN!I36="ok",MAIN!C$13*MAIN!C$14*MAIN!D36/100,0)</f>
        <v>2513.2741228718351</v>
      </c>
      <c r="J170" s="262" t="str">
        <f>J118</f>
        <v>mm²</v>
      </c>
      <c r="K170" s="263" t="s">
        <v>48</v>
      </c>
      <c r="L170" s="261">
        <f>(F170-C170)/(MAIN!C$16-1)</f>
        <v>368</v>
      </c>
      <c r="M170" s="262" t="s">
        <v>14</v>
      </c>
      <c r="N170" s="263" t="s">
        <v>17</v>
      </c>
      <c r="O170" s="280">
        <f>I170*MAIN!C$15/MAIN!Q$1*(200000*F$8-C$9-C$10)</f>
        <v>152399.11492892404</v>
      </c>
      <c r="P170" s="45"/>
      <c r="Q170" s="45"/>
      <c r="R170" s="45"/>
      <c r="S170" s="45"/>
      <c r="T170" s="45"/>
      <c r="U170" s="45"/>
      <c r="V170" s="45"/>
      <c r="W170" s="45"/>
      <c r="X170" s="45"/>
      <c r="Y170" s="45"/>
      <c r="Z170" s="45"/>
      <c r="AA170" s="45"/>
      <c r="AB170" s="45"/>
      <c r="AC170" s="45"/>
      <c r="AD170" s="45"/>
      <c r="AE170" s="45"/>
      <c r="AF170" s="45"/>
      <c r="AG170" s="45"/>
      <c r="AH170" s="45"/>
      <c r="AI170" s="289"/>
      <c r="AJ170" s="45"/>
      <c r="AK170" s="45"/>
      <c r="AL170" s="45"/>
      <c r="AM170" s="45"/>
      <c r="AN170" s="45"/>
      <c r="AO170" s="45"/>
      <c r="AP170" s="45"/>
      <c r="AQ170" s="45"/>
      <c r="AR170" s="41"/>
      <c r="AS170" s="45"/>
      <c r="AT170" s="41"/>
      <c r="AU170" s="41"/>
      <c r="AV170" s="41"/>
      <c r="AW170" s="41"/>
      <c r="AX170" s="41"/>
      <c r="AY170" s="41"/>
      <c r="AZ170" s="41"/>
      <c r="BA170" s="41"/>
      <c r="BB170" s="41"/>
      <c r="BC170" s="41"/>
      <c r="BD170" s="41"/>
      <c r="BE170" s="41"/>
      <c r="BF170" s="41"/>
      <c r="BG170" s="41"/>
      <c r="BH170" s="41"/>
      <c r="BI170" s="41"/>
      <c r="BJ170" s="41"/>
      <c r="BK170" s="41"/>
      <c r="BL170" s="41"/>
      <c r="BM170" s="41"/>
      <c r="BN170" s="41"/>
      <c r="BO170" s="41"/>
      <c r="BP170" s="41"/>
      <c r="BQ170" s="41"/>
      <c r="BR170" s="41"/>
    </row>
    <row r="171" spans="1:70" ht="18.75">
      <c r="A171" s="41"/>
      <c r="B171" s="265"/>
      <c r="C171" s="266"/>
      <c r="D171" s="267"/>
      <c r="E171" s="268" t="s">
        <v>49</v>
      </c>
      <c r="F171" s="269">
        <f>(AR173-D173)/40</f>
        <v>16.768635722461923</v>
      </c>
      <c r="G171" s="270" t="s">
        <v>50</v>
      </c>
      <c r="H171" s="281"/>
      <c r="I171" s="281"/>
      <c r="J171" s="281"/>
      <c r="K171" s="281"/>
      <c r="L171" s="281"/>
      <c r="M171" s="281"/>
      <c r="N171" s="282" t="s">
        <v>120</v>
      </c>
      <c r="O171" s="283">
        <f>-100000*F$8*C170*I170*MAIN!C$15/MAIN!Q$1*2</f>
        <v>-21111502.632123414</v>
      </c>
      <c r="P171" s="49"/>
      <c r="Q171" s="49"/>
      <c r="R171" s="49"/>
      <c r="S171" s="49"/>
      <c r="T171" s="49"/>
      <c r="U171" s="49"/>
      <c r="V171" s="49"/>
      <c r="W171" s="49"/>
      <c r="X171" s="49"/>
      <c r="Y171" s="49"/>
      <c r="Z171" s="49"/>
      <c r="AA171" s="49"/>
      <c r="AB171" s="49"/>
      <c r="AC171" s="49"/>
      <c r="AD171" s="49"/>
      <c r="AE171" s="49"/>
      <c r="AF171" s="49"/>
      <c r="AG171" s="289"/>
      <c r="AH171" s="49"/>
      <c r="AI171" s="310" t="str">
        <f>B169&amp;" Bar diameter continued"</f>
        <v>20 Bar diameter continued</v>
      </c>
      <c r="AJ171" s="49"/>
      <c r="AK171" s="49"/>
      <c r="AL171" s="49"/>
      <c r="AM171" s="49"/>
      <c r="AN171" s="49"/>
      <c r="AO171" s="49"/>
      <c r="AP171" s="49"/>
      <c r="AQ171" s="49"/>
      <c r="AR171" s="49" t="s">
        <v>49</v>
      </c>
      <c r="AS171" s="50">
        <f>IF(I170=0,0,(BK173-AR173)/19)</f>
        <v>41.546279491833033</v>
      </c>
      <c r="AT171" s="46" t="s">
        <v>121</v>
      </c>
      <c r="AU171" s="41"/>
      <c r="AV171" s="41"/>
      <c r="AW171" s="41"/>
      <c r="AX171" s="41"/>
      <c r="AY171" s="41"/>
      <c r="AZ171" s="41"/>
      <c r="BA171" s="41"/>
      <c r="BB171" s="41"/>
      <c r="BC171" s="41"/>
      <c r="BD171" s="41"/>
      <c r="BE171" s="41"/>
      <c r="BF171" s="41"/>
      <c r="BG171" s="41"/>
      <c r="BH171" s="41"/>
      <c r="BI171" s="41"/>
      <c r="BJ171" s="41"/>
      <c r="BK171" s="41"/>
      <c r="BL171" s="41"/>
      <c r="BM171" s="41"/>
      <c r="BN171" s="41"/>
      <c r="BO171" s="41"/>
      <c r="BP171" s="41"/>
      <c r="BQ171" s="41"/>
      <c r="BR171" s="41"/>
    </row>
    <row r="172" spans="1:70" ht="15.75">
      <c r="A172" s="41"/>
      <c r="B172" s="41"/>
      <c r="C172" s="51"/>
      <c r="D172" s="52"/>
      <c r="E172" s="52"/>
      <c r="F172" s="52"/>
      <c r="G172" s="52"/>
      <c r="H172" s="52"/>
      <c r="I172" s="52"/>
      <c r="J172" s="52"/>
      <c r="K172" s="52"/>
      <c r="L172" s="52"/>
      <c r="M172" s="52"/>
      <c r="N172" s="45"/>
      <c r="O172" s="52"/>
      <c r="P172" s="52"/>
      <c r="Q172" s="52"/>
      <c r="R172" s="52"/>
      <c r="S172" s="52"/>
      <c r="T172" s="52"/>
      <c r="U172" s="52"/>
      <c r="V172" s="52"/>
      <c r="W172" s="52"/>
      <c r="X172" s="52"/>
      <c r="Y172" s="52"/>
      <c r="Z172" s="52"/>
      <c r="AA172" s="52"/>
      <c r="AB172" s="52"/>
      <c r="AC172" s="52"/>
      <c r="AD172" s="52"/>
      <c r="AE172" s="52"/>
      <c r="AF172" s="52"/>
      <c r="AG172" s="52"/>
      <c r="AH172" s="52"/>
      <c r="AI172" s="52"/>
      <c r="AJ172" s="52"/>
      <c r="AK172" s="52"/>
      <c r="AL172" s="52"/>
      <c r="AM172" s="52"/>
      <c r="AN172" s="52"/>
      <c r="AO172" s="52"/>
      <c r="AP172" s="52"/>
      <c r="AQ172" s="52"/>
      <c r="AR172" s="52"/>
      <c r="AS172" s="52"/>
      <c r="AT172" s="41"/>
      <c r="AU172" s="41"/>
      <c r="AV172" s="41"/>
      <c r="AW172" s="41"/>
      <c r="AX172" s="41"/>
      <c r="AY172" s="41"/>
      <c r="AZ172" s="41"/>
      <c r="BA172" s="41"/>
      <c r="BB172" s="41"/>
      <c r="BC172" s="41"/>
      <c r="BD172" s="41"/>
      <c r="BE172" s="41"/>
      <c r="BF172" s="41"/>
      <c r="BG172" s="41"/>
      <c r="BH172" s="41"/>
      <c r="BI172" s="41"/>
      <c r="BJ172" s="41"/>
      <c r="BK172" s="53"/>
      <c r="BL172" s="53"/>
      <c r="BM172" s="53"/>
      <c r="BN172" s="53"/>
      <c r="BO172" s="288" t="s">
        <v>51</v>
      </c>
      <c r="BP172" s="41"/>
      <c r="BQ172" s="41"/>
      <c r="BR172" s="41"/>
    </row>
    <row r="173" spans="1:70" ht="16.5">
      <c r="A173" s="41"/>
      <c r="B173" s="284" t="s">
        <v>115</v>
      </c>
      <c r="C173" s="297" t="s">
        <v>52</v>
      </c>
      <c r="D173" s="285">
        <f>0.8*(-O170+SQRT(O170^2-4*O169*O171))/2/O169</f>
        <v>39.875260756695425</v>
      </c>
      <c r="E173" s="286">
        <f t="shared" ref="E173:AQ173" si="122">D173+$F171</f>
        <v>56.643896479157348</v>
      </c>
      <c r="F173" s="286">
        <f t="shared" si="122"/>
        <v>73.412532201619271</v>
      </c>
      <c r="G173" s="286">
        <f t="shared" si="122"/>
        <v>90.181167924081194</v>
      </c>
      <c r="H173" s="286">
        <f t="shared" si="122"/>
        <v>106.94980364654312</v>
      </c>
      <c r="I173" s="286">
        <f t="shared" si="122"/>
        <v>123.71843936900504</v>
      </c>
      <c r="J173" s="286">
        <f t="shared" si="122"/>
        <v>140.48707509146698</v>
      </c>
      <c r="K173" s="286">
        <f t="shared" si="122"/>
        <v>157.25571081392889</v>
      </c>
      <c r="L173" s="286">
        <f t="shared" si="122"/>
        <v>174.02434653639079</v>
      </c>
      <c r="M173" s="286">
        <f t="shared" si="122"/>
        <v>190.7929822588527</v>
      </c>
      <c r="N173" s="286">
        <f t="shared" si="122"/>
        <v>207.56161798131461</v>
      </c>
      <c r="O173" s="286">
        <f t="shared" si="122"/>
        <v>224.33025370377652</v>
      </c>
      <c r="P173" s="286">
        <f t="shared" si="122"/>
        <v>241.09888942623843</v>
      </c>
      <c r="Q173" s="286">
        <f t="shared" si="122"/>
        <v>257.86752514870034</v>
      </c>
      <c r="R173" s="286">
        <f t="shared" si="122"/>
        <v>274.63616087116225</v>
      </c>
      <c r="S173" s="286">
        <f t="shared" si="122"/>
        <v>291.40479659362416</v>
      </c>
      <c r="T173" s="286">
        <f t="shared" si="122"/>
        <v>308.17343231608606</v>
      </c>
      <c r="U173" s="286">
        <f t="shared" si="122"/>
        <v>324.94206803854797</v>
      </c>
      <c r="V173" s="286">
        <f t="shared" si="122"/>
        <v>341.71070376100988</v>
      </c>
      <c r="W173" s="286">
        <f t="shared" si="122"/>
        <v>358.47933948347179</v>
      </c>
      <c r="X173" s="286">
        <f t="shared" si="122"/>
        <v>375.2479752059337</v>
      </c>
      <c r="Y173" s="286">
        <f t="shared" si="122"/>
        <v>392.01661092839561</v>
      </c>
      <c r="Z173" s="286">
        <f t="shared" si="122"/>
        <v>408.78524665085752</v>
      </c>
      <c r="AA173" s="286">
        <f t="shared" si="122"/>
        <v>425.55388237331942</v>
      </c>
      <c r="AB173" s="286">
        <f t="shared" si="122"/>
        <v>442.32251809578133</v>
      </c>
      <c r="AC173" s="286">
        <f t="shared" si="122"/>
        <v>459.09115381824324</v>
      </c>
      <c r="AD173" s="286">
        <f t="shared" si="122"/>
        <v>475.85978954070515</v>
      </c>
      <c r="AE173" s="286">
        <f t="shared" si="122"/>
        <v>492.62842526316706</v>
      </c>
      <c r="AF173" s="286">
        <f t="shared" si="122"/>
        <v>509.39706098562897</v>
      </c>
      <c r="AG173" s="286">
        <f t="shared" si="122"/>
        <v>526.16569670809088</v>
      </c>
      <c r="AH173" s="286">
        <f t="shared" si="122"/>
        <v>542.93433243055279</v>
      </c>
      <c r="AI173" s="286">
        <f t="shared" si="122"/>
        <v>559.70296815301469</v>
      </c>
      <c r="AJ173" s="286">
        <f t="shared" si="122"/>
        <v>576.4716038754766</v>
      </c>
      <c r="AK173" s="286">
        <f t="shared" si="122"/>
        <v>593.24023959793851</v>
      </c>
      <c r="AL173" s="286">
        <f t="shared" si="122"/>
        <v>610.00887532040042</v>
      </c>
      <c r="AM173" s="286">
        <f t="shared" si="122"/>
        <v>626.77751104286233</v>
      </c>
      <c r="AN173" s="286">
        <f t="shared" si="122"/>
        <v>643.54614676532424</v>
      </c>
      <c r="AO173" s="286">
        <f t="shared" si="122"/>
        <v>660.31478248778615</v>
      </c>
      <c r="AP173" s="286">
        <f t="shared" si="122"/>
        <v>677.08341821024806</v>
      </c>
      <c r="AQ173" s="286">
        <f t="shared" si="122"/>
        <v>693.85205393270996</v>
      </c>
      <c r="AR173" s="62">
        <f>200000*F$8/C$10*F170/(1+200000*F$8/C$10)</f>
        <v>710.62068965517233</v>
      </c>
      <c r="AS173" s="286">
        <f t="shared" ref="AS173:BJ173" si="123">AR173+$AS171</f>
        <v>752.16696914700537</v>
      </c>
      <c r="AT173" s="286">
        <f t="shared" si="123"/>
        <v>793.71324863883842</v>
      </c>
      <c r="AU173" s="286">
        <f t="shared" si="123"/>
        <v>835.25952813067147</v>
      </c>
      <c r="AV173" s="286">
        <f t="shared" si="123"/>
        <v>876.80580762250452</v>
      </c>
      <c r="AW173" s="286">
        <f t="shared" si="123"/>
        <v>918.35208711433756</v>
      </c>
      <c r="AX173" s="286">
        <f t="shared" si="123"/>
        <v>959.89836660617061</v>
      </c>
      <c r="AY173" s="286">
        <f t="shared" si="123"/>
        <v>1001.4446460980037</v>
      </c>
      <c r="AZ173" s="286">
        <f t="shared" si="123"/>
        <v>1042.9909255898367</v>
      </c>
      <c r="BA173" s="286">
        <f t="shared" si="123"/>
        <v>1084.5372050816698</v>
      </c>
      <c r="BB173" s="286">
        <f t="shared" si="123"/>
        <v>1126.0834845735028</v>
      </c>
      <c r="BC173" s="286">
        <f t="shared" si="123"/>
        <v>1167.6297640653358</v>
      </c>
      <c r="BD173" s="286">
        <f t="shared" si="123"/>
        <v>1209.1760435571689</v>
      </c>
      <c r="BE173" s="286">
        <f t="shared" si="123"/>
        <v>1250.7223230490019</v>
      </c>
      <c r="BF173" s="286">
        <f t="shared" si="123"/>
        <v>1292.268602540835</v>
      </c>
      <c r="BG173" s="286">
        <f t="shared" si="123"/>
        <v>1333.814882032668</v>
      </c>
      <c r="BH173" s="286">
        <f t="shared" si="123"/>
        <v>1375.3611615245011</v>
      </c>
      <c r="BI173" s="286">
        <f t="shared" si="123"/>
        <v>1416.9074410163341</v>
      </c>
      <c r="BJ173" s="286">
        <f t="shared" si="123"/>
        <v>1458.4537205081672</v>
      </c>
      <c r="BK173" s="286">
        <f>BK17</f>
        <v>1500</v>
      </c>
      <c r="BL173" s="286">
        <f>BL17</f>
        <v>2200</v>
      </c>
      <c r="BM173" s="286">
        <f>BM17</f>
        <v>2900</v>
      </c>
      <c r="BN173" s="286">
        <f>BN17</f>
        <v>3600</v>
      </c>
      <c r="BO173" s="287"/>
      <c r="BP173" s="41"/>
      <c r="BQ173" s="41"/>
      <c r="BR173" s="41"/>
    </row>
    <row r="174" spans="1:70" ht="16.5">
      <c r="A174" s="41"/>
      <c r="B174" s="290" t="s">
        <v>53</v>
      </c>
      <c r="C174" s="298" t="s">
        <v>54</v>
      </c>
      <c r="D174" s="3">
        <f>MIN($C$8*D173,MAIN!$C$13)*MAIN!$C$14*$C$9</f>
        <v>216921.41851642312</v>
      </c>
      <c r="E174" s="304">
        <f>MIN($C$8*E173,MAIN!$C$13)*MAIN!$C$14*$C$9</f>
        <v>308142.79684661602</v>
      </c>
      <c r="F174" s="304">
        <f>MIN($C$8*F173,MAIN!$C$13)*MAIN!$C$14*$C$9</f>
        <v>399364.1751768089</v>
      </c>
      <c r="G174" s="304">
        <f>MIN($C$8*G173,MAIN!$C$13)*MAIN!$C$14*$C$9</f>
        <v>490585.55350700172</v>
      </c>
      <c r="H174" s="304">
        <f>MIN($C$8*H173,MAIN!$C$13)*MAIN!$C$14*$C$9</f>
        <v>581806.9318371946</v>
      </c>
      <c r="I174" s="304">
        <f>MIN($C$8*I173,MAIN!$C$13)*MAIN!$C$14*$C$9</f>
        <v>673028.31016738748</v>
      </c>
      <c r="J174" s="304">
        <f>MIN($C$8*J173,MAIN!$C$13)*MAIN!$C$14*$C$9</f>
        <v>764249.68849758036</v>
      </c>
      <c r="K174" s="304">
        <f>MIN($C$8*K173,MAIN!$C$13)*MAIN!$C$14*$C$9</f>
        <v>855471.06682777312</v>
      </c>
      <c r="L174" s="304">
        <f>MIN($C$8*L173,MAIN!$C$13)*MAIN!$C$14*$C$9</f>
        <v>946692.44515796611</v>
      </c>
      <c r="M174" s="304">
        <f>MIN($C$8*M173,MAIN!$C$13)*MAIN!$C$14*$C$9</f>
        <v>1037913.8234881588</v>
      </c>
      <c r="N174" s="304">
        <f>MIN($C$8*N173,MAIN!$C$13)*MAIN!$C$14*$C$9</f>
        <v>1129135.2018183516</v>
      </c>
      <c r="O174" s="304">
        <f>MIN($C$8*O173,MAIN!$C$13)*MAIN!$C$14*$C$9</f>
        <v>1220356.5801485444</v>
      </c>
      <c r="P174" s="304">
        <f>MIN($C$8*P173,MAIN!$C$13)*MAIN!$C$14*$C$9</f>
        <v>1311577.9584787372</v>
      </c>
      <c r="Q174" s="304">
        <f>MIN($C$8*Q173,MAIN!$C$13)*MAIN!$C$14*$C$9</f>
        <v>1402799.3368089299</v>
      </c>
      <c r="R174" s="304">
        <f>MIN($C$8*R173,MAIN!$C$13)*MAIN!$C$14*$C$9</f>
        <v>1494020.7151391227</v>
      </c>
      <c r="S174" s="304">
        <f>MIN($C$8*S173,MAIN!$C$13)*MAIN!$C$14*$C$9</f>
        <v>1585242.0934693154</v>
      </c>
      <c r="T174" s="304">
        <f>MIN($C$8*T173,MAIN!$C$13)*MAIN!$C$14*$C$9</f>
        <v>1676463.4717995082</v>
      </c>
      <c r="U174" s="304">
        <f>MIN($C$8*U173,MAIN!$C$13)*MAIN!$C$14*$C$9</f>
        <v>1767684.8501297012</v>
      </c>
      <c r="V174" s="304">
        <f>MIN($C$8*V173,MAIN!$C$13)*MAIN!$C$14*$C$9</f>
        <v>1858906.228459894</v>
      </c>
      <c r="W174" s="304">
        <f>MIN($C$8*W173,MAIN!$C$13)*MAIN!$C$14*$C$9</f>
        <v>1950127.6067900867</v>
      </c>
      <c r="X174" s="304">
        <f>MIN($C$8*X173,MAIN!$C$13)*MAIN!$C$14*$C$9</f>
        <v>2041348.9851202795</v>
      </c>
      <c r="Y174" s="304">
        <f>MIN($C$8*Y173,MAIN!$C$13)*MAIN!$C$14*$C$9</f>
        <v>2132570.3634504727</v>
      </c>
      <c r="Z174" s="304">
        <f>MIN($C$8*Z173,MAIN!$C$13)*MAIN!$C$14*$C$9</f>
        <v>2223791.7417806652</v>
      </c>
      <c r="AA174" s="304">
        <f>MIN($C$8*AA173,MAIN!$C$13)*MAIN!$C$14*$C$9</f>
        <v>2315013.1201108582</v>
      </c>
      <c r="AB174" s="304">
        <f>MIN($C$8*AB173,MAIN!$C$13)*MAIN!$C$14*$C$9</f>
        <v>2406234.4984410508</v>
      </c>
      <c r="AC174" s="304">
        <f>MIN($C$8*AC173,MAIN!$C$13)*MAIN!$C$14*$C$9</f>
        <v>2497455.8767712438</v>
      </c>
      <c r="AD174" s="304">
        <f>MIN($C$8*AD173,MAIN!$C$13)*MAIN!$C$14*$C$9</f>
        <v>2588677.2551014363</v>
      </c>
      <c r="AE174" s="304">
        <f>MIN($C$8*AE173,MAIN!$C$13)*MAIN!$C$14*$C$9</f>
        <v>2679898.6334316293</v>
      </c>
      <c r="AF174" s="304">
        <f>MIN($C$8*AF173,MAIN!$C$13)*MAIN!$C$14*$C$9</f>
        <v>2771120.0117618218</v>
      </c>
      <c r="AG174" s="304">
        <f>MIN($C$8*AG173,MAIN!$C$13)*MAIN!$C$14*$C$9</f>
        <v>2862341.3900920148</v>
      </c>
      <c r="AH174" s="304">
        <f>MIN($C$8*AH173,MAIN!$C$13)*MAIN!$C$14*$C$9</f>
        <v>2953562.7684222078</v>
      </c>
      <c r="AI174" s="304">
        <f>MIN($C$8*AI173,MAIN!$C$13)*MAIN!$C$14*$C$9</f>
        <v>3044784.1467523999</v>
      </c>
      <c r="AJ174" s="304">
        <f>MIN($C$8*AJ173,MAIN!$C$13)*MAIN!$C$14*$C$9</f>
        <v>3136005.5250825933</v>
      </c>
      <c r="AK174" s="304">
        <f>MIN($C$8*AK173,MAIN!$C$13)*MAIN!$C$14*$C$9</f>
        <v>3227226.9034127863</v>
      </c>
      <c r="AL174" s="304">
        <f>MIN($C$8*AL173,MAIN!$C$13)*MAIN!$C$14*$C$9</f>
        <v>3318448.2817429788</v>
      </c>
      <c r="AM174" s="304">
        <f>MIN($C$8*AM173,MAIN!$C$13)*MAIN!$C$14*$C$9</f>
        <v>3409669.6600731718</v>
      </c>
      <c r="AN174" s="304">
        <f>MIN($C$8*AN173,MAIN!$C$13)*MAIN!$C$14*$C$9</f>
        <v>3500891.0384033639</v>
      </c>
      <c r="AO174" s="304">
        <f>MIN($C$8*AO173,MAIN!$C$13)*MAIN!$C$14*$C$9</f>
        <v>3592112.4167335564</v>
      </c>
      <c r="AP174" s="304">
        <f>MIN($C$8*AP173,MAIN!$C$13)*MAIN!$C$14*$C$9</f>
        <v>3683333.7950637494</v>
      </c>
      <c r="AQ174" s="304">
        <f>MIN($C$8*AQ173,MAIN!$C$13)*MAIN!$C$14*$C$9</f>
        <v>3774555.173393942</v>
      </c>
      <c r="AR174" s="56">
        <f>MIN($C$8*AR173,MAIN!$C$13)*MAIN!$C$14*$C$9</f>
        <v>3865776.5517241382</v>
      </c>
      <c r="AS174" s="304">
        <f>MIN($C$8*AS173,MAIN!$C$13)*MAIN!$C$14*$C$9</f>
        <v>4091788.3121597096</v>
      </c>
      <c r="AT174" s="304">
        <f>MIN($C$8*AT173,MAIN!$C$13)*MAIN!$C$14*$C$9</f>
        <v>4317800.0725952815</v>
      </c>
      <c r="AU174" s="304">
        <f>MIN($C$8*AU173,MAIN!$C$13)*MAIN!$C$14*$C$9</f>
        <v>4543811.8330308534</v>
      </c>
      <c r="AV174" s="304">
        <f>MIN($C$8*AV173,MAIN!$C$13)*MAIN!$C$14*$C$9</f>
        <v>4769823.5934664253</v>
      </c>
      <c r="AW174" s="304">
        <f>MIN($C$8*AW173,MAIN!$C$13)*MAIN!$C$14*$C$9</f>
        <v>4995835.3539019972</v>
      </c>
      <c r="AX174" s="304">
        <f>MIN($C$8*AX173,MAIN!$C$13)*MAIN!$C$14*$C$9</f>
        <v>5221847.1143375691</v>
      </c>
      <c r="AY174" s="304">
        <f>MIN($C$8*AY173,MAIN!$C$13)*MAIN!$C$14*$C$9</f>
        <v>5447858.8747731401</v>
      </c>
      <c r="AZ174" s="304">
        <f>MIN($C$8*AZ173,MAIN!$C$13)*MAIN!$C$14*$C$9</f>
        <v>5673870.635208712</v>
      </c>
      <c r="BA174" s="304">
        <f>MIN($C$8*BA173,MAIN!$C$13)*MAIN!$C$14*$C$9</f>
        <v>5899882.3956442839</v>
      </c>
      <c r="BB174" s="304">
        <f>MIN($C$8*BB173,MAIN!$C$13)*MAIN!$C$14*$C$9</f>
        <v>6125894.1560798567</v>
      </c>
      <c r="BC174" s="304">
        <f>MIN($C$8*BC173,MAIN!$C$13)*MAIN!$C$14*$C$9</f>
        <v>6351905.9165154276</v>
      </c>
      <c r="BD174" s="304">
        <f>MIN($C$8*BD173,MAIN!$C$13)*MAIN!$C$14*$C$9</f>
        <v>6577917.6769509986</v>
      </c>
      <c r="BE174" s="304">
        <f>MIN($C$8*BE173,MAIN!$C$13)*MAIN!$C$14*$C$9</f>
        <v>6803929.4373865714</v>
      </c>
      <c r="BF174" s="304">
        <f>MIN($C$8*BF173,MAIN!$C$13)*MAIN!$C$14*$C$9</f>
        <v>7029941.1978221433</v>
      </c>
      <c r="BG174" s="304">
        <f>MIN($C$8*BG173,MAIN!$C$13)*MAIN!$C$14*$C$9</f>
        <v>7255952.9582577143</v>
      </c>
      <c r="BH174" s="304">
        <f>MIN($C$8*BH173,MAIN!$C$13)*MAIN!$C$14*$C$9</f>
        <v>7481964.7186932871</v>
      </c>
      <c r="BI174" s="304">
        <f>MIN($C$8*BI173,MAIN!$C$13)*MAIN!$C$14*$C$9</f>
        <v>7707976.4791288581</v>
      </c>
      <c r="BJ174" s="304">
        <f>MIN($C$8*BJ173,MAIN!$C$13)*MAIN!$C$14*$C$9</f>
        <v>7933988.2395644309</v>
      </c>
      <c r="BK174" s="304">
        <f>MIN($C$8*BK173,MAIN!$C$13)*MAIN!$C$14*$C$9</f>
        <v>8160000</v>
      </c>
      <c r="BL174" s="304">
        <f>MIN($C$8*BL173,MAIN!$C$13)*MAIN!$C$14*$C$9</f>
        <v>8160000</v>
      </c>
      <c r="BM174" s="304">
        <f>MIN($C$8*BM173,MAIN!$C$13)*MAIN!$C$14*$C$9</f>
        <v>8160000</v>
      </c>
      <c r="BN174" s="304">
        <f>MIN($C$8*BN173,MAIN!$C$13)*MAIN!$C$14*$C$9</f>
        <v>8160000</v>
      </c>
      <c r="BO174" s="3">
        <f>MAIN!$C$13*MAIN!$C$14*$C$9</f>
        <v>8160000</v>
      </c>
      <c r="BP174" s="41"/>
      <c r="BQ174" s="41"/>
      <c r="BR174" s="41"/>
    </row>
    <row r="175" spans="1:70" ht="16.5">
      <c r="A175" s="41"/>
      <c r="B175" s="4">
        <v>2</v>
      </c>
      <c r="C175" s="299" t="s">
        <v>55</v>
      </c>
      <c r="D175" s="5">
        <f>IF(C170+L170&gt;=F170,0,C170+L170)</f>
        <v>416</v>
      </c>
      <c r="E175" s="6"/>
      <c r="F175" s="6"/>
      <c r="G175" s="6"/>
      <c r="H175" s="6"/>
      <c r="I175" s="6"/>
      <c r="J175" s="6"/>
      <c r="K175" s="6"/>
      <c r="L175" s="6"/>
      <c r="M175" s="6"/>
      <c r="N175" s="6"/>
      <c r="O175" s="6"/>
      <c r="P175" s="6"/>
      <c r="Q175" s="6"/>
      <c r="R175" s="6"/>
      <c r="S175" s="6"/>
      <c r="T175" s="6"/>
      <c r="U175" s="6"/>
      <c r="V175" s="6"/>
      <c r="W175" s="6"/>
      <c r="X175" s="6"/>
      <c r="Y175" s="6"/>
      <c r="Z175" s="6"/>
      <c r="AA175" s="6"/>
      <c r="AB175" s="6"/>
      <c r="AC175" s="6"/>
      <c r="AD175" s="6"/>
      <c r="AE175" s="6"/>
      <c r="AF175" s="6"/>
      <c r="AG175" s="6"/>
      <c r="AH175" s="6"/>
      <c r="AI175" s="6"/>
      <c r="AJ175" s="6"/>
      <c r="AK175" s="6"/>
      <c r="AL175" s="6"/>
      <c r="AM175" s="6"/>
      <c r="AN175" s="6"/>
      <c r="AO175" s="6"/>
      <c r="AP175" s="6"/>
      <c r="AQ175" s="6"/>
      <c r="AR175" s="57"/>
      <c r="AS175" s="6"/>
      <c r="AT175" s="6"/>
      <c r="AU175" s="6"/>
      <c r="AV175" s="6"/>
      <c r="AW175" s="6"/>
      <c r="AX175" s="6"/>
      <c r="AY175" s="6"/>
      <c r="AZ175" s="6"/>
      <c r="BA175" s="6"/>
      <c r="BB175" s="6"/>
      <c r="BC175" s="6"/>
      <c r="BD175" s="6"/>
      <c r="BE175" s="6"/>
      <c r="BF175" s="6"/>
      <c r="BG175" s="6"/>
      <c r="BH175" s="6"/>
      <c r="BI175" s="6"/>
      <c r="BJ175" s="6"/>
      <c r="BK175" s="6"/>
      <c r="BL175" s="6"/>
      <c r="BM175" s="6"/>
      <c r="BN175" s="6"/>
      <c r="BO175" s="7"/>
      <c r="BP175" s="43"/>
      <c r="BQ175" s="43"/>
      <c r="BR175" s="42"/>
    </row>
    <row r="176" spans="1:70" ht="16.5">
      <c r="A176" s="41"/>
      <c r="B176" s="4">
        <f t="shared" ref="B176:B182" si="124">1+B175</f>
        <v>3</v>
      </c>
      <c r="C176" s="299" t="s">
        <v>55</v>
      </c>
      <c r="D176" s="5">
        <f>IF(C170+B175*L170&gt;=F170,0,C170+B175*L170)</f>
        <v>784</v>
      </c>
      <c r="E176" s="6"/>
      <c r="F176" s="6"/>
      <c r="G176" s="6"/>
      <c r="H176" s="6"/>
      <c r="I176" s="6"/>
      <c r="J176" s="6"/>
      <c r="K176" s="6"/>
      <c r="L176" s="6"/>
      <c r="M176" s="6"/>
      <c r="N176" s="6"/>
      <c r="O176" s="6"/>
      <c r="P176" s="6"/>
      <c r="Q176" s="6"/>
      <c r="R176" s="6"/>
      <c r="S176" s="6"/>
      <c r="T176" s="6"/>
      <c r="U176" s="6"/>
      <c r="V176" s="6"/>
      <c r="W176" s="6"/>
      <c r="X176" s="6"/>
      <c r="Y176" s="6"/>
      <c r="Z176" s="6"/>
      <c r="AA176" s="6"/>
      <c r="AB176" s="6"/>
      <c r="AC176" s="6"/>
      <c r="AD176" s="6"/>
      <c r="AE176" s="6"/>
      <c r="AF176" s="6"/>
      <c r="AG176" s="6"/>
      <c r="AH176" s="6"/>
      <c r="AI176" s="6"/>
      <c r="AJ176" s="6"/>
      <c r="AK176" s="6"/>
      <c r="AL176" s="6"/>
      <c r="AM176" s="6"/>
      <c r="AN176" s="6"/>
      <c r="AO176" s="6"/>
      <c r="AP176" s="6"/>
      <c r="AQ176" s="6"/>
      <c r="AR176" s="57"/>
      <c r="AS176" s="6"/>
      <c r="AT176" s="6"/>
      <c r="AU176" s="6"/>
      <c r="AV176" s="6"/>
      <c r="AW176" s="6"/>
      <c r="AX176" s="6"/>
      <c r="AY176" s="6"/>
      <c r="AZ176" s="6"/>
      <c r="BA176" s="6"/>
      <c r="BB176" s="6"/>
      <c r="BC176" s="6"/>
      <c r="BD176" s="6"/>
      <c r="BE176" s="6"/>
      <c r="BF176" s="6"/>
      <c r="BG176" s="6"/>
      <c r="BH176" s="6"/>
      <c r="BI176" s="6"/>
      <c r="BJ176" s="6"/>
      <c r="BK176" s="6"/>
      <c r="BL176" s="6"/>
      <c r="BM176" s="6"/>
      <c r="BN176" s="6"/>
      <c r="BO176" s="7"/>
      <c r="BP176" s="43"/>
      <c r="BQ176" s="43"/>
      <c r="BR176" s="42"/>
    </row>
    <row r="177" spans="1:70" ht="16.5">
      <c r="A177" s="41"/>
      <c r="B177" s="4">
        <f t="shared" si="124"/>
        <v>4</v>
      </c>
      <c r="C177" s="299" t="s">
        <v>55</v>
      </c>
      <c r="D177" s="5">
        <f>IF(C170+B176*L170&gt;=F170,0,C170+B176*L170)</f>
        <v>0</v>
      </c>
      <c r="E177" s="6"/>
      <c r="F177" s="6"/>
      <c r="G177" s="6"/>
      <c r="H177" s="6"/>
      <c r="I177" s="6"/>
      <c r="J177" s="6"/>
      <c r="K177" s="6"/>
      <c r="L177" s="6"/>
      <c r="M177" s="6"/>
      <c r="N177" s="6"/>
      <c r="O177" s="6"/>
      <c r="P177" s="6"/>
      <c r="Q177" s="6"/>
      <c r="R177" s="6"/>
      <c r="S177" s="6"/>
      <c r="T177" s="6"/>
      <c r="U177" s="6"/>
      <c r="V177" s="6"/>
      <c r="W177" s="6"/>
      <c r="X177" s="6"/>
      <c r="Y177" s="6"/>
      <c r="Z177" s="6"/>
      <c r="AA177" s="6"/>
      <c r="AB177" s="6"/>
      <c r="AC177" s="6"/>
      <c r="AD177" s="6"/>
      <c r="AE177" s="6"/>
      <c r="AF177" s="6"/>
      <c r="AG177" s="6"/>
      <c r="AH177" s="6"/>
      <c r="AI177" s="6"/>
      <c r="AJ177" s="6"/>
      <c r="AK177" s="6"/>
      <c r="AL177" s="6"/>
      <c r="AM177" s="6"/>
      <c r="AN177" s="6"/>
      <c r="AO177" s="6"/>
      <c r="AP177" s="6"/>
      <c r="AQ177" s="6"/>
      <c r="AR177" s="57"/>
      <c r="AS177" s="6"/>
      <c r="AT177" s="6"/>
      <c r="AU177" s="6"/>
      <c r="AV177" s="6"/>
      <c r="AW177" s="6"/>
      <c r="AX177" s="6"/>
      <c r="AY177" s="6"/>
      <c r="AZ177" s="6"/>
      <c r="BA177" s="6"/>
      <c r="BB177" s="6"/>
      <c r="BC177" s="6"/>
      <c r="BD177" s="6"/>
      <c r="BE177" s="6"/>
      <c r="BF177" s="6"/>
      <c r="BG177" s="6"/>
      <c r="BH177" s="6"/>
      <c r="BI177" s="6"/>
      <c r="BJ177" s="6"/>
      <c r="BK177" s="6"/>
      <c r="BL177" s="6"/>
      <c r="BM177" s="6"/>
      <c r="BN177" s="6"/>
      <c r="BO177" s="7"/>
      <c r="BP177" s="43"/>
      <c r="BQ177" s="43"/>
      <c r="BR177" s="42"/>
    </row>
    <row r="178" spans="1:70" ht="16.5">
      <c r="A178" s="41"/>
      <c r="B178" s="4">
        <f t="shared" si="124"/>
        <v>5</v>
      </c>
      <c r="C178" s="299" t="s">
        <v>55</v>
      </c>
      <c r="D178" s="5">
        <f>IF(C170+B177*L170&gt;=F170,0,C170+B177*L170)</f>
        <v>0</v>
      </c>
      <c r="E178" s="6"/>
      <c r="F178" s="6"/>
      <c r="G178" s="6"/>
      <c r="H178" s="6"/>
      <c r="I178" s="6"/>
      <c r="J178" s="6"/>
      <c r="K178" s="6"/>
      <c r="L178" s="6"/>
      <c r="M178" s="6"/>
      <c r="N178" s="6"/>
      <c r="O178" s="6"/>
      <c r="P178" s="6"/>
      <c r="Q178" s="6"/>
      <c r="R178" s="6"/>
      <c r="S178" s="6"/>
      <c r="T178" s="6"/>
      <c r="U178" s="6"/>
      <c r="V178" s="6"/>
      <c r="W178" s="6"/>
      <c r="X178" s="6"/>
      <c r="Y178" s="6"/>
      <c r="Z178" s="6"/>
      <c r="AA178" s="6"/>
      <c r="AB178" s="6"/>
      <c r="AC178" s="6"/>
      <c r="AD178" s="6"/>
      <c r="AE178" s="6"/>
      <c r="AF178" s="6"/>
      <c r="AG178" s="6"/>
      <c r="AH178" s="6"/>
      <c r="AI178" s="6"/>
      <c r="AJ178" s="6"/>
      <c r="AK178" s="6"/>
      <c r="AL178" s="6"/>
      <c r="AM178" s="6"/>
      <c r="AN178" s="6"/>
      <c r="AO178" s="6"/>
      <c r="AP178" s="6"/>
      <c r="AQ178" s="6"/>
      <c r="AR178" s="57"/>
      <c r="AS178" s="6"/>
      <c r="AT178" s="6"/>
      <c r="AU178" s="6"/>
      <c r="AV178" s="6"/>
      <c r="AW178" s="6"/>
      <c r="AX178" s="6"/>
      <c r="AY178" s="6"/>
      <c r="AZ178" s="6"/>
      <c r="BA178" s="6"/>
      <c r="BB178" s="6"/>
      <c r="BC178" s="6"/>
      <c r="BD178" s="6"/>
      <c r="BE178" s="6"/>
      <c r="BF178" s="6"/>
      <c r="BG178" s="6"/>
      <c r="BH178" s="6"/>
      <c r="BI178" s="6"/>
      <c r="BJ178" s="6"/>
      <c r="BK178" s="6"/>
      <c r="BL178" s="6"/>
      <c r="BM178" s="6"/>
      <c r="BN178" s="6"/>
      <c r="BO178" s="7"/>
      <c r="BP178" s="43"/>
      <c r="BQ178" s="43"/>
      <c r="BR178" s="42"/>
    </row>
    <row r="179" spans="1:70" ht="16.5">
      <c r="A179" s="41"/>
      <c r="B179" s="4">
        <f t="shared" si="124"/>
        <v>6</v>
      </c>
      <c r="C179" s="299" t="s">
        <v>55</v>
      </c>
      <c r="D179" s="5">
        <f>IF(C170+B178*L170&gt;=F170,0,C170+B178*L170)</f>
        <v>0</v>
      </c>
      <c r="E179" s="6"/>
      <c r="F179" s="6"/>
      <c r="G179" s="6"/>
      <c r="H179" s="6"/>
      <c r="I179" s="6"/>
      <c r="J179" s="6"/>
      <c r="K179" s="6"/>
      <c r="L179" s="6"/>
      <c r="M179" s="6"/>
      <c r="N179" s="6"/>
      <c r="O179" s="6"/>
      <c r="P179" s="6"/>
      <c r="Q179" s="6"/>
      <c r="R179" s="6"/>
      <c r="S179" s="6"/>
      <c r="T179" s="6"/>
      <c r="U179" s="6"/>
      <c r="V179" s="6"/>
      <c r="W179" s="6"/>
      <c r="X179" s="6"/>
      <c r="Y179" s="6"/>
      <c r="Z179" s="6"/>
      <c r="AA179" s="6"/>
      <c r="AB179" s="6"/>
      <c r="AC179" s="6"/>
      <c r="AD179" s="6"/>
      <c r="AE179" s="6"/>
      <c r="AF179" s="6"/>
      <c r="AG179" s="6"/>
      <c r="AH179" s="6"/>
      <c r="AI179" s="6"/>
      <c r="AJ179" s="6"/>
      <c r="AK179" s="6"/>
      <c r="AL179" s="6"/>
      <c r="AM179" s="6"/>
      <c r="AN179" s="6"/>
      <c r="AO179" s="6"/>
      <c r="AP179" s="6"/>
      <c r="AQ179" s="6"/>
      <c r="AR179" s="57"/>
      <c r="AS179" s="6"/>
      <c r="AT179" s="6"/>
      <c r="AU179" s="6"/>
      <c r="AV179" s="6"/>
      <c r="AW179" s="6"/>
      <c r="AX179" s="6"/>
      <c r="AY179" s="6"/>
      <c r="AZ179" s="6"/>
      <c r="BA179" s="6"/>
      <c r="BB179" s="6"/>
      <c r="BC179" s="6"/>
      <c r="BD179" s="6"/>
      <c r="BE179" s="6"/>
      <c r="BF179" s="6"/>
      <c r="BG179" s="6"/>
      <c r="BH179" s="6"/>
      <c r="BI179" s="6"/>
      <c r="BJ179" s="6"/>
      <c r="BK179" s="6"/>
      <c r="BL179" s="6"/>
      <c r="BM179" s="6"/>
      <c r="BN179" s="6"/>
      <c r="BO179" s="7"/>
      <c r="BP179" s="43"/>
      <c r="BQ179" s="43"/>
      <c r="BR179" s="42"/>
    </row>
    <row r="180" spans="1:70" ht="16.5">
      <c r="A180" s="41"/>
      <c r="B180" s="4">
        <f t="shared" si="124"/>
        <v>7</v>
      </c>
      <c r="C180" s="299" t="s">
        <v>55</v>
      </c>
      <c r="D180" s="5">
        <f>IF(C170+B179*L170&gt;=F170,0,C170+B179*L170)</f>
        <v>0</v>
      </c>
      <c r="E180" s="6"/>
      <c r="F180" s="6"/>
      <c r="G180" s="6"/>
      <c r="H180" s="6"/>
      <c r="I180" s="6"/>
      <c r="J180" s="6"/>
      <c r="K180" s="6"/>
      <c r="L180" s="6"/>
      <c r="M180" s="6"/>
      <c r="N180" s="6"/>
      <c r="O180" s="6"/>
      <c r="P180" s="6"/>
      <c r="Q180" s="6"/>
      <c r="R180" s="6"/>
      <c r="S180" s="6"/>
      <c r="T180" s="6"/>
      <c r="U180" s="6"/>
      <c r="V180" s="6"/>
      <c r="W180" s="6"/>
      <c r="X180" s="6"/>
      <c r="Y180" s="6"/>
      <c r="Z180" s="6"/>
      <c r="AA180" s="6"/>
      <c r="AB180" s="6"/>
      <c r="AC180" s="6"/>
      <c r="AD180" s="6"/>
      <c r="AE180" s="6"/>
      <c r="AF180" s="6"/>
      <c r="AG180" s="6"/>
      <c r="AH180" s="6"/>
      <c r="AI180" s="6"/>
      <c r="AJ180" s="6"/>
      <c r="AK180" s="6"/>
      <c r="AL180" s="6"/>
      <c r="AM180" s="6"/>
      <c r="AN180" s="6"/>
      <c r="AO180" s="6"/>
      <c r="AP180" s="6"/>
      <c r="AQ180" s="6"/>
      <c r="AR180" s="57"/>
      <c r="AS180" s="6"/>
      <c r="AT180" s="6"/>
      <c r="AU180" s="6"/>
      <c r="AV180" s="6"/>
      <c r="AW180" s="6"/>
      <c r="AX180" s="6"/>
      <c r="AY180" s="6"/>
      <c r="AZ180" s="6"/>
      <c r="BA180" s="6"/>
      <c r="BB180" s="6"/>
      <c r="BC180" s="6"/>
      <c r="BD180" s="6"/>
      <c r="BE180" s="6"/>
      <c r="BF180" s="6"/>
      <c r="BG180" s="6"/>
      <c r="BH180" s="6"/>
      <c r="BI180" s="6"/>
      <c r="BJ180" s="6"/>
      <c r="BK180" s="6"/>
      <c r="BL180" s="6"/>
      <c r="BM180" s="6"/>
      <c r="BN180" s="6"/>
      <c r="BO180" s="7"/>
      <c r="BP180" s="43"/>
      <c r="BQ180" s="43"/>
      <c r="BR180" s="42"/>
    </row>
    <row r="181" spans="1:70" ht="16.5">
      <c r="A181" s="41"/>
      <c r="B181" s="4">
        <f t="shared" si="124"/>
        <v>8</v>
      </c>
      <c r="C181" s="299" t="s">
        <v>55</v>
      </c>
      <c r="D181" s="5">
        <f>IF(C170+B180*L170&gt;=F170,0,C170+B180*L170)</f>
        <v>0</v>
      </c>
      <c r="E181" s="6"/>
      <c r="F181" s="6"/>
      <c r="G181" s="6"/>
      <c r="H181" s="6"/>
      <c r="I181" s="6"/>
      <c r="J181" s="6"/>
      <c r="K181" s="6"/>
      <c r="L181" s="6"/>
      <c r="M181" s="6"/>
      <c r="N181" s="6"/>
      <c r="O181" s="6"/>
      <c r="P181" s="6"/>
      <c r="Q181" s="6"/>
      <c r="R181" s="6"/>
      <c r="S181" s="6"/>
      <c r="T181" s="6"/>
      <c r="U181" s="6"/>
      <c r="V181" s="6"/>
      <c r="W181" s="6"/>
      <c r="X181" s="6"/>
      <c r="Y181" s="6"/>
      <c r="Z181" s="6"/>
      <c r="AA181" s="6"/>
      <c r="AB181" s="6"/>
      <c r="AC181" s="6"/>
      <c r="AD181" s="6"/>
      <c r="AE181" s="6"/>
      <c r="AF181" s="6"/>
      <c r="AG181" s="6"/>
      <c r="AH181" s="6"/>
      <c r="AI181" s="6"/>
      <c r="AJ181" s="6"/>
      <c r="AK181" s="6"/>
      <c r="AL181" s="6"/>
      <c r="AM181" s="6"/>
      <c r="AN181" s="6"/>
      <c r="AO181" s="6"/>
      <c r="AP181" s="6"/>
      <c r="AQ181" s="6"/>
      <c r="AR181" s="57"/>
      <c r="AS181" s="6"/>
      <c r="AT181" s="6"/>
      <c r="AU181" s="6"/>
      <c r="AV181" s="6"/>
      <c r="AW181" s="6"/>
      <c r="AX181" s="6"/>
      <c r="AY181" s="6"/>
      <c r="AZ181" s="6"/>
      <c r="BA181" s="6"/>
      <c r="BB181" s="6"/>
      <c r="BC181" s="6"/>
      <c r="BD181" s="6"/>
      <c r="BE181" s="6"/>
      <c r="BF181" s="6"/>
      <c r="BG181" s="6"/>
      <c r="BH181" s="6"/>
      <c r="BI181" s="6"/>
      <c r="BJ181" s="6"/>
      <c r="BK181" s="6"/>
      <c r="BL181" s="6"/>
      <c r="BM181" s="6"/>
      <c r="BN181" s="6"/>
      <c r="BO181" s="7"/>
      <c r="BP181" s="43"/>
      <c r="BQ181" s="43"/>
      <c r="BR181" s="42"/>
    </row>
    <row r="182" spans="1:70" ht="16.5">
      <c r="A182" s="41"/>
      <c r="B182" s="4">
        <f t="shared" si="124"/>
        <v>9</v>
      </c>
      <c r="C182" s="299" t="s">
        <v>55</v>
      </c>
      <c r="D182" s="5">
        <f>IF(C170+B181*L170&gt;=F170,0,C170+B181*L170)</f>
        <v>0</v>
      </c>
      <c r="E182" s="6"/>
      <c r="F182" s="6"/>
      <c r="G182" s="6"/>
      <c r="H182" s="6"/>
      <c r="I182" s="6"/>
      <c r="J182" s="6"/>
      <c r="K182" s="6"/>
      <c r="L182" s="6"/>
      <c r="M182" s="6"/>
      <c r="N182" s="6"/>
      <c r="O182" s="6"/>
      <c r="P182" s="6"/>
      <c r="Q182" s="6"/>
      <c r="R182" s="6"/>
      <c r="S182" s="6"/>
      <c r="T182" s="6"/>
      <c r="U182" s="6"/>
      <c r="V182" s="6"/>
      <c r="W182" s="6"/>
      <c r="X182" s="6"/>
      <c r="Y182" s="6"/>
      <c r="Z182" s="6"/>
      <c r="AA182" s="6"/>
      <c r="AB182" s="6"/>
      <c r="AC182" s="6"/>
      <c r="AD182" s="6"/>
      <c r="AE182" s="6"/>
      <c r="AF182" s="6"/>
      <c r="AG182" s="6"/>
      <c r="AH182" s="6"/>
      <c r="AI182" s="6"/>
      <c r="AJ182" s="6"/>
      <c r="AK182" s="6"/>
      <c r="AL182" s="6"/>
      <c r="AM182" s="6"/>
      <c r="AN182" s="6"/>
      <c r="AO182" s="6"/>
      <c r="AP182" s="6"/>
      <c r="AQ182" s="6"/>
      <c r="AR182" s="57"/>
      <c r="AS182" s="6"/>
      <c r="AT182" s="6"/>
      <c r="AU182" s="6"/>
      <c r="AV182" s="6"/>
      <c r="AW182" s="6"/>
      <c r="AX182" s="6"/>
      <c r="AY182" s="6"/>
      <c r="AZ182" s="6"/>
      <c r="BA182" s="6"/>
      <c r="BB182" s="6"/>
      <c r="BC182" s="6"/>
      <c r="BD182" s="6"/>
      <c r="BE182" s="6"/>
      <c r="BF182" s="6"/>
      <c r="BG182" s="6"/>
      <c r="BH182" s="6"/>
      <c r="BI182" s="6"/>
      <c r="BJ182" s="6"/>
      <c r="BK182" s="6"/>
      <c r="BL182" s="6"/>
      <c r="BM182" s="6"/>
      <c r="BN182" s="6"/>
      <c r="BO182" s="7"/>
      <c r="BP182" s="43"/>
      <c r="BQ182" s="43"/>
      <c r="BR182" s="42"/>
    </row>
    <row r="183" spans="1:70" ht="16.5">
      <c r="A183" s="41"/>
      <c r="B183" s="291" t="s">
        <v>116</v>
      </c>
      <c r="C183" s="298" t="s">
        <v>117</v>
      </c>
      <c r="D183" s="3">
        <f>IF(D173&gt;MAIN!$C$13,MAX($F$9,$F$9*D173/(D173-$F$10)),$F$8)</f>
        <v>3.5000000000000001E-3</v>
      </c>
      <c r="E183" s="304">
        <f>IF(E173&gt;MAIN!$C$13,MAX($F$9,$F$9*E173/(E173-$F$10)),$F$8)</f>
        <v>3.5000000000000001E-3</v>
      </c>
      <c r="F183" s="304">
        <f>IF(F173&gt;MAIN!$C$13,MAX($F$9,$F$9*F173/(F173-$F$10)),$F$8)</f>
        <v>3.5000000000000001E-3</v>
      </c>
      <c r="G183" s="304">
        <f>IF(G173&gt;MAIN!$C$13,MAX($F$9,$F$9*G173/(G173-$F$10)),$F$8)</f>
        <v>3.5000000000000001E-3</v>
      </c>
      <c r="H183" s="304">
        <f>IF(H173&gt;MAIN!$C$13,MAX($F$9,$F$9*H173/(H173-$F$10)),$F$8)</f>
        <v>3.5000000000000001E-3</v>
      </c>
      <c r="I183" s="304">
        <f>IF(I173&gt;MAIN!$C$13,MAX($F$9,$F$9*I173/(I173-$F$10)),$F$8)</f>
        <v>3.5000000000000001E-3</v>
      </c>
      <c r="J183" s="304">
        <f>IF(J173&gt;MAIN!$C$13,MAX($F$9,$F$9*J173/(J173-$F$10)),$F$8)</f>
        <v>3.5000000000000001E-3</v>
      </c>
      <c r="K183" s="304">
        <f>IF(K173&gt;MAIN!$C$13,MAX($F$9,$F$9*K173/(K173-$F$10)),$F$8)</f>
        <v>3.5000000000000001E-3</v>
      </c>
      <c r="L183" s="304">
        <f>IF(L173&gt;MAIN!$C$13,MAX($F$9,$F$9*L173/(L173-$F$10)),$F$8)</f>
        <v>3.5000000000000001E-3</v>
      </c>
      <c r="M183" s="304">
        <f>IF(M173&gt;MAIN!$C$13,MAX($F$9,$F$9*M173/(M173-$F$10)),$F$8)</f>
        <v>3.5000000000000001E-3</v>
      </c>
      <c r="N183" s="304">
        <f>IF(N173&gt;MAIN!$C$13,MAX($F$9,$F$9*N173/(N173-$F$10)),$F$8)</f>
        <v>3.5000000000000001E-3</v>
      </c>
      <c r="O183" s="304">
        <f>IF(O173&gt;MAIN!$C$13,MAX($F$9,$F$9*O173/(O173-$F$10)),$F$8)</f>
        <v>3.5000000000000001E-3</v>
      </c>
      <c r="P183" s="304">
        <f>IF(P173&gt;MAIN!$C$13,MAX($F$9,$F$9*P173/(P173-$F$10)),$F$8)</f>
        <v>3.5000000000000001E-3</v>
      </c>
      <c r="Q183" s="304">
        <f>IF(Q173&gt;MAIN!$C$13,MAX($F$9,$F$9*Q173/(Q173-$F$10)),$F$8)</f>
        <v>3.5000000000000001E-3</v>
      </c>
      <c r="R183" s="304">
        <f>IF(R173&gt;MAIN!$C$13,MAX($F$9,$F$9*R173/(R173-$F$10)),$F$8)</f>
        <v>3.5000000000000001E-3</v>
      </c>
      <c r="S183" s="304">
        <f>IF(S173&gt;MAIN!$C$13,MAX($F$9,$F$9*S173/(S173-$F$10)),$F$8)</f>
        <v>3.5000000000000001E-3</v>
      </c>
      <c r="T183" s="304">
        <f>IF(T173&gt;MAIN!$C$13,MAX($F$9,$F$9*T173/(T173-$F$10)),$F$8)</f>
        <v>3.5000000000000001E-3</v>
      </c>
      <c r="U183" s="304">
        <f>IF(U173&gt;MAIN!$C$13,MAX($F$9,$F$9*U173/(U173-$F$10)),$F$8)</f>
        <v>3.5000000000000001E-3</v>
      </c>
      <c r="V183" s="304">
        <f>IF(V173&gt;MAIN!$C$13,MAX($F$9,$F$9*V173/(V173-$F$10)),$F$8)</f>
        <v>3.5000000000000001E-3</v>
      </c>
      <c r="W183" s="304">
        <f>IF(W173&gt;MAIN!$C$13,MAX($F$9,$F$9*W173/(W173-$F$10)),$F$8)</f>
        <v>3.5000000000000001E-3</v>
      </c>
      <c r="X183" s="304">
        <f>IF(X173&gt;MAIN!$C$13,MAX($F$9,$F$9*X173/(X173-$F$10)),$F$8)</f>
        <v>3.5000000000000001E-3</v>
      </c>
      <c r="Y183" s="304">
        <f>IF(Y173&gt;MAIN!$C$13,MAX($F$9,$F$9*Y173/(Y173-$F$10)),$F$8)</f>
        <v>3.5000000000000001E-3</v>
      </c>
      <c r="Z183" s="304">
        <f>IF(Z173&gt;MAIN!$C$13,MAX($F$9,$F$9*Z173/(Z173-$F$10)),$F$8)</f>
        <v>3.5000000000000001E-3</v>
      </c>
      <c r="AA183" s="304">
        <f>IF(AA173&gt;MAIN!$C$13,MAX($F$9,$F$9*AA173/(AA173-$F$10)),$F$8)</f>
        <v>3.5000000000000001E-3</v>
      </c>
      <c r="AB183" s="304">
        <f>IF(AB173&gt;MAIN!$C$13,MAX($F$9,$F$9*AB173/(AB173-$F$10)),$F$8)</f>
        <v>3.5000000000000001E-3</v>
      </c>
      <c r="AC183" s="304">
        <f>IF(AC173&gt;MAIN!$C$13,MAX($F$9,$F$9*AC173/(AC173-$F$10)),$F$8)</f>
        <v>3.5000000000000001E-3</v>
      </c>
      <c r="AD183" s="304">
        <f>IF(AD173&gt;MAIN!$C$13,MAX($F$9,$F$9*AD173/(AD173-$F$10)),$F$8)</f>
        <v>3.5000000000000001E-3</v>
      </c>
      <c r="AE183" s="304">
        <f>IF(AE173&gt;MAIN!$C$13,MAX($F$9,$F$9*AE173/(AE173-$F$10)),$F$8)</f>
        <v>3.5000000000000001E-3</v>
      </c>
      <c r="AF183" s="304">
        <f>IF(AF173&gt;MAIN!$C$13,MAX($F$9,$F$9*AF173/(AF173-$F$10)),$F$8)</f>
        <v>3.5000000000000001E-3</v>
      </c>
      <c r="AG183" s="304">
        <f>IF(AG173&gt;MAIN!$C$13,MAX($F$9,$F$9*AG173/(AG173-$F$10)),$F$8)</f>
        <v>3.5000000000000001E-3</v>
      </c>
      <c r="AH183" s="304">
        <f>IF(AH173&gt;MAIN!$C$13,MAX($F$9,$F$9*AH173/(AH173-$F$10)),$F$8)</f>
        <v>3.5000000000000001E-3</v>
      </c>
      <c r="AI183" s="304">
        <f>IF(AI173&gt;MAIN!$C$13,MAX($F$9,$F$9*AI173/(AI173-$F$10)),$F$8)</f>
        <v>3.5000000000000001E-3</v>
      </c>
      <c r="AJ183" s="304">
        <f>IF(AJ173&gt;MAIN!$C$13,MAX($F$9,$F$9*AJ173/(AJ173-$F$10)),$F$8)</f>
        <v>3.5000000000000001E-3</v>
      </c>
      <c r="AK183" s="304">
        <f>IF(AK173&gt;MAIN!$C$13,MAX($F$9,$F$9*AK173/(AK173-$F$10)),$F$8)</f>
        <v>3.5000000000000001E-3</v>
      </c>
      <c r="AL183" s="304">
        <f>IF(AL173&gt;MAIN!$C$13,MAX($F$9,$F$9*AL173/(AL173-$F$10)),$F$8)</f>
        <v>3.5000000000000001E-3</v>
      </c>
      <c r="AM183" s="304">
        <f>IF(AM173&gt;MAIN!$C$13,MAX($F$9,$F$9*AM173/(AM173-$F$10)),$F$8)</f>
        <v>3.5000000000000001E-3</v>
      </c>
      <c r="AN183" s="304">
        <f>IF(AN173&gt;MAIN!$C$13,MAX($F$9,$F$9*AN173/(AN173-$F$10)),$F$8)</f>
        <v>3.5000000000000001E-3</v>
      </c>
      <c r="AO183" s="304">
        <f>IF(AO173&gt;MAIN!$C$13,MAX($F$9,$F$9*AO173/(AO173-$F$10)),$F$8)</f>
        <v>3.5000000000000001E-3</v>
      </c>
      <c r="AP183" s="304">
        <f>IF(AP173&gt;MAIN!$C$13,MAX($F$9,$F$9*AP173/(AP173-$F$10)),$F$8)</f>
        <v>3.5000000000000001E-3</v>
      </c>
      <c r="AQ183" s="304">
        <f>IF(AQ173&gt;MAIN!$C$13,MAX($F$9,$F$9*AQ173/(AQ173-$F$10)),$F$8)</f>
        <v>3.5000000000000001E-3</v>
      </c>
      <c r="AR183" s="56">
        <f>IF(AR173&gt;MAIN!$C$13,MAX($F$9,$F$9*AR173/(AR173-$F$10)),$F$8)</f>
        <v>3.5000000000000001E-3</v>
      </c>
      <c r="AS183" s="304">
        <f>IF(AS173&gt;MAIN!$C$13,MAX($F$9,$F$9*AS173/(AS173-$F$10)),$F$8)</f>
        <v>3.5000000000000001E-3</v>
      </c>
      <c r="AT183" s="304">
        <f>IF(AT173&gt;MAIN!$C$13,MAX($F$9,$F$9*AT173/(AT173-$F$10)),$F$8)</f>
        <v>3.5000000000000001E-3</v>
      </c>
      <c r="AU183" s="304">
        <f>IF(AU173&gt;MAIN!$C$13,MAX($F$9,$F$9*AU173/(AU173-$F$10)),$F$8)</f>
        <v>3.5000000000000001E-3</v>
      </c>
      <c r="AV183" s="304">
        <f>IF(AV173&gt;MAIN!$C$13,MAX($F$9,$F$9*AV173/(AV173-$F$10)),$F$8)</f>
        <v>3.5000000000000001E-3</v>
      </c>
      <c r="AW183" s="304">
        <f>IF(AW173&gt;MAIN!$C$13,MAX($F$9,$F$9*AW173/(AW173-$F$10)),$F$8)</f>
        <v>3.5000000000000001E-3</v>
      </c>
      <c r="AX183" s="304">
        <f>IF(AX173&gt;MAIN!$C$13,MAX($F$9,$F$9*AX173/(AX173-$F$10)),$F$8)</f>
        <v>3.5000000000000001E-3</v>
      </c>
      <c r="AY183" s="304">
        <f>IF(AY173&gt;MAIN!$C$13,MAX($F$9,$F$9*AY173/(AY173-$F$10)),$F$8)</f>
        <v>3.5000000000000001E-3</v>
      </c>
      <c r="AZ183" s="304">
        <f>IF(AZ173&gt;MAIN!$C$13,MAX($F$9,$F$9*AZ173/(AZ173-$F$10)),$F$8)</f>
        <v>3.5000000000000001E-3</v>
      </c>
      <c r="BA183" s="304">
        <f>IF(BA173&gt;MAIN!$C$13,MAX($F$9,$F$9*BA173/(BA173-$F$10)),$F$8)</f>
        <v>3.5000000000000001E-3</v>
      </c>
      <c r="BB183" s="304">
        <f>IF(BB173&gt;MAIN!$C$13,MAX($F$9,$F$9*BB173/(BB173-$F$10)),$F$8)</f>
        <v>3.5000000000000001E-3</v>
      </c>
      <c r="BC183" s="304">
        <f>IF(BC173&gt;MAIN!$C$13,MAX($F$9,$F$9*BC173/(BC173-$F$10)),$F$8)</f>
        <v>3.5000000000000001E-3</v>
      </c>
      <c r="BD183" s="304">
        <f>IF(BD173&gt;MAIN!$C$13,MAX($F$9,$F$9*BD173/(BD173-$F$10)),$F$8)</f>
        <v>3.4736396787186877E-3</v>
      </c>
      <c r="BE183" s="304">
        <f>IF(BE173&gt;MAIN!$C$13,MAX($F$9,$F$9*BE173/(BE173-$F$10)),$F$8)</f>
        <v>3.3635914856588239E-3</v>
      </c>
      <c r="BF183" s="304">
        <f>IF(BF173&gt;MAIN!$C$13,MAX($F$9,$F$9*BF173/(BF173-$F$10)),$F$8)</f>
        <v>3.2667523070469794E-3</v>
      </c>
      <c r="BG183" s="304">
        <f>IF(BG173&gt;MAIN!$C$13,MAX($F$9,$F$9*BG173/(BG173-$F$10)),$F$8)</f>
        <v>3.1808785849252595E-3</v>
      </c>
      <c r="BH183" s="304">
        <f>IF(BH173&gt;MAIN!$C$13,MAX($F$9,$F$9*BH173/(BH173-$F$10)),$F$8)</f>
        <v>3.1042076287848995E-3</v>
      </c>
      <c r="BI183" s="304">
        <f>IF(BI173&gt;MAIN!$C$13,MAX($F$9,$F$9*BI173/(BI173-$F$10)),$F$8)</f>
        <v>3.03533533578011E-3</v>
      </c>
      <c r="BJ183" s="304">
        <f>IF(BJ173&gt;MAIN!$C$13,MAX($F$9,$F$9*BJ173/(BJ173-$F$10)),$F$8)</f>
        <v>2.9731294185299188E-3</v>
      </c>
      <c r="BK183" s="304">
        <f>IF(BK173&gt;MAIN!$C$13,MAX($F$9,$F$9*BK173/(BK173-$F$10)),$F$8)</f>
        <v>2.9166666666666668E-3</v>
      </c>
      <c r="BL183" s="304">
        <f>IF(BL173&gt;MAIN!$C$13,MAX($F$9,$F$9*BL173/(BL173-$F$10)),$F$8)</f>
        <v>2.40625E-3</v>
      </c>
      <c r="BM183" s="304">
        <f>IF(BM173&gt;MAIN!$C$13,MAX($F$9,$F$9*BM173/(BM173-$F$10)),$F$8)</f>
        <v>2.2065217391304347E-3</v>
      </c>
      <c r="BN183" s="304">
        <f>IF(BN173&gt;MAIN!$C$13,MAX($F$9,$F$9*BN173/(BN173-$F$10)),$F$8)</f>
        <v>2.0999999999999999E-3</v>
      </c>
      <c r="BO183" s="3">
        <f>$F$9</f>
        <v>1.75E-3</v>
      </c>
      <c r="BP183" s="43"/>
      <c r="BQ183" s="43"/>
      <c r="BR183" s="42"/>
    </row>
    <row r="184" spans="1:70" ht="16.5">
      <c r="A184" s="41"/>
      <c r="B184" s="292" t="s">
        <v>118</v>
      </c>
      <c r="C184" s="300" t="s">
        <v>56</v>
      </c>
      <c r="D184" s="8">
        <f t="shared" ref="D184:AI184" si="125">D183*(D173-$C170)/D173</f>
        <v>-7.1313859300070517E-4</v>
      </c>
      <c r="E184" s="305">
        <f t="shared" si="125"/>
        <v>5.3410234036747157E-4</v>
      </c>
      <c r="F184" s="305">
        <f t="shared" si="125"/>
        <v>1.2115623863973679E-3</v>
      </c>
      <c r="G184" s="305">
        <f t="shared" si="125"/>
        <v>1.6370833415971014E-3</v>
      </c>
      <c r="H184" s="305">
        <f t="shared" si="125"/>
        <v>1.9291696265734083E-3</v>
      </c>
      <c r="I184" s="305">
        <f t="shared" si="125"/>
        <v>2.1420779242217894E-3</v>
      </c>
      <c r="J184" s="305">
        <f t="shared" si="125"/>
        <v>2.3041604546851007E-3</v>
      </c>
      <c r="K184" s="305">
        <f t="shared" si="125"/>
        <v>2.4316763179508044E-3</v>
      </c>
      <c r="L184" s="305">
        <f t="shared" si="125"/>
        <v>2.5346178374250124E-3</v>
      </c>
      <c r="M184" s="305">
        <f t="shared" si="125"/>
        <v>2.6194644687084403E-3</v>
      </c>
      <c r="N184" s="305">
        <f t="shared" si="125"/>
        <v>2.6906017999188854E-3</v>
      </c>
      <c r="O184" s="305">
        <f t="shared" si="125"/>
        <v>2.7511041322948776E-3</v>
      </c>
      <c r="P184" s="305">
        <f t="shared" si="125"/>
        <v>2.8031904858632798E-3</v>
      </c>
      <c r="Q184" s="305">
        <f t="shared" si="125"/>
        <v>2.8485026860085535E-3</v>
      </c>
      <c r="R184" s="305">
        <f t="shared" si="125"/>
        <v>2.8882815741849365E-3</v>
      </c>
      <c r="S184" s="305">
        <f t="shared" si="125"/>
        <v>2.92348237927503E-3</v>
      </c>
      <c r="T184" s="305">
        <f t="shared" si="125"/>
        <v>2.9548524227497766E-3</v>
      </c>
      <c r="U184" s="305">
        <f t="shared" si="125"/>
        <v>2.9829847639793131E-3</v>
      </c>
      <c r="V184" s="305">
        <f t="shared" si="125"/>
        <v>3.0083560504516769E-3</v>
      </c>
      <c r="W184" s="305">
        <f t="shared" si="125"/>
        <v>3.0313537448432345E-3</v>
      </c>
      <c r="X184" s="305">
        <f t="shared" si="125"/>
        <v>3.0522960519432443E-3</v>
      </c>
      <c r="Y184" s="305">
        <f t="shared" si="125"/>
        <v>3.0714467312950517E-3</v>
      </c>
      <c r="Z184" s="305">
        <f t="shared" si="125"/>
        <v>3.0890262640924314E-3</v>
      </c>
      <c r="AA184" s="305">
        <f t="shared" si="125"/>
        <v>3.1052203799362332E-3</v>
      </c>
      <c r="AB184" s="305">
        <f t="shared" si="125"/>
        <v>3.1201866440730905E-3</v>
      </c>
      <c r="AC184" s="305">
        <f t="shared" si="125"/>
        <v>3.1340596010122376E-3</v>
      </c>
      <c r="AD184" s="305">
        <f t="shared" si="125"/>
        <v>3.1469548306190111E-3</v>
      </c>
      <c r="AE184" s="305">
        <f t="shared" si="125"/>
        <v>3.1589721758133373E-3</v>
      </c>
      <c r="AF184" s="305">
        <f t="shared" si="125"/>
        <v>3.1701983327604246E-3</v>
      </c>
      <c r="AG184" s="305">
        <f t="shared" si="125"/>
        <v>3.1807089457730198E-3</v>
      </c>
      <c r="AH184" s="305">
        <f t="shared" si="125"/>
        <v>3.1905703140047994E-3</v>
      </c>
      <c r="AI184" s="305">
        <f t="shared" si="125"/>
        <v>3.199840791349759E-3</v>
      </c>
      <c r="AJ184" s="305">
        <f t="shared" ref="AJ184:BK184" si="126">AJ183*(AJ173-$C170)/AJ173</f>
        <v>3.2085719420166105E-3</v>
      </c>
      <c r="AK184" s="305">
        <f t="shared" si="126"/>
        <v>3.2168095001211317E-3</v>
      </c>
      <c r="AL184" s="305">
        <f t="shared" si="126"/>
        <v>3.2245941710081515E-3</v>
      </c>
      <c r="AM184" s="305">
        <f t="shared" si="126"/>
        <v>3.23196230394343E-3</v>
      </c>
      <c r="AN184" s="305">
        <f t="shared" si="126"/>
        <v>3.2389464596370853E-3</v>
      </c>
      <c r="AO184" s="305">
        <f t="shared" si="126"/>
        <v>3.2455758912937746E-3</v>
      </c>
      <c r="AP184" s="305">
        <f t="shared" si="126"/>
        <v>3.2518769541808028E-3</v>
      </c>
      <c r="AQ184" s="305">
        <f t="shared" si="126"/>
        <v>3.2578734558069166E-3</v>
      </c>
      <c r="AR184" s="58">
        <f t="shared" si="126"/>
        <v>3.2635869565217396E-3</v>
      </c>
      <c r="AS184" s="305">
        <f t="shared" si="126"/>
        <v>3.2766453368850801E-3</v>
      </c>
      <c r="AT184" s="305">
        <f t="shared" si="126"/>
        <v>3.288336656483802E-3</v>
      </c>
      <c r="AU184" s="305">
        <f t="shared" si="126"/>
        <v>3.2988649104356972E-3</v>
      </c>
      <c r="AV184" s="305">
        <f t="shared" si="126"/>
        <v>3.308395429706905E-3</v>
      </c>
      <c r="AW184" s="305">
        <f t="shared" si="126"/>
        <v>3.3170636269495585E-3</v>
      </c>
      <c r="AX184" s="305">
        <f t="shared" si="126"/>
        <v>3.3249814711176322E-3</v>
      </c>
      <c r="AY184" s="305">
        <f t="shared" si="126"/>
        <v>3.3322423504338564E-3</v>
      </c>
      <c r="AZ184" s="305">
        <f t="shared" si="126"/>
        <v>3.3389247730942705E-3</v>
      </c>
      <c r="BA184" s="305">
        <f t="shared" si="126"/>
        <v>3.3450952173767531E-3</v>
      </c>
      <c r="BB184" s="305">
        <f t="shared" si="126"/>
        <v>3.3508103508296909E-3</v>
      </c>
      <c r="BC184" s="305">
        <f t="shared" si="126"/>
        <v>3.3561187756853041E-3</v>
      </c>
      <c r="BD184" s="305">
        <f t="shared" si="126"/>
        <v>3.3357485044211922E-3</v>
      </c>
      <c r="BE184" s="305">
        <f t="shared" si="126"/>
        <v>3.234504166806118E-3</v>
      </c>
      <c r="BF184" s="305">
        <f t="shared" si="126"/>
        <v>3.1454121224832208E-3</v>
      </c>
      <c r="BG184" s="305">
        <f t="shared" si="126"/>
        <v>3.0664082981312389E-3</v>
      </c>
      <c r="BH184" s="305">
        <f t="shared" si="126"/>
        <v>2.9958710184821075E-3</v>
      </c>
      <c r="BI184" s="305">
        <f t="shared" si="126"/>
        <v>2.9325085089177013E-3</v>
      </c>
      <c r="BJ184" s="305">
        <f t="shared" si="126"/>
        <v>2.8752790650475256E-3</v>
      </c>
      <c r="BK184" s="305">
        <f t="shared" si="126"/>
        <v>2.8233333333333335E-3</v>
      </c>
      <c r="BL184" s="305">
        <f>BL183*(BL173-$C170)/BL173</f>
        <v>2.3537499999999999E-3</v>
      </c>
      <c r="BM184" s="305">
        <f>BM183*(BM173-$C170)/BM173</f>
        <v>2.1700000000000001E-3</v>
      </c>
      <c r="BN184" s="305">
        <f>BN183*(BN173-$C170)/BN173</f>
        <v>2.0719999999999996E-3</v>
      </c>
      <c r="BO184" s="8">
        <f>BO183</f>
        <v>1.75E-3</v>
      </c>
      <c r="BP184" s="41"/>
      <c r="BQ184" s="41"/>
      <c r="BR184" s="41"/>
    </row>
    <row r="185" spans="1:70" ht="16.5">
      <c r="A185" s="41"/>
      <c r="B185" s="9">
        <v>2</v>
      </c>
      <c r="C185" s="300" t="s">
        <v>57</v>
      </c>
      <c r="D185" s="8">
        <f>IF($D175=0,0,D183*(D173-$D175)/D173)</f>
        <v>-3.3013867806006111E-2</v>
      </c>
      <c r="E185" s="305">
        <f t="shared" ref="E185:BK185" si="127">IF($D175=0,0,E183*(E173-$D175)/E173)</f>
        <v>-2.2204446383481916E-2</v>
      </c>
      <c r="F185" s="305">
        <f t="shared" si="127"/>
        <v>-1.6333125984556145E-2</v>
      </c>
      <c r="G185" s="305">
        <f t="shared" si="127"/>
        <v>-1.2645277706158456E-2</v>
      </c>
      <c r="H185" s="305">
        <f t="shared" si="127"/>
        <v>-1.0113863236363797E-2</v>
      </c>
      <c r="I185" s="305">
        <f t="shared" si="127"/>
        <v>-8.2686579900778222E-3</v>
      </c>
      <c r="J185" s="305">
        <f t="shared" si="127"/>
        <v>-6.8639427260624624E-3</v>
      </c>
      <c r="K185" s="305">
        <f t="shared" si="127"/>
        <v>-5.7588052444263607E-3</v>
      </c>
      <c r="L185" s="305">
        <f t="shared" si="127"/>
        <v>-4.8666454089832259E-3</v>
      </c>
      <c r="M185" s="305">
        <f t="shared" si="127"/>
        <v>-4.1313079378601852E-3</v>
      </c>
      <c r="N185" s="305">
        <f t="shared" si="127"/>
        <v>-3.5147844007029946E-3</v>
      </c>
      <c r="O185" s="305">
        <f t="shared" si="127"/>
        <v>-2.9904308534443955E-3</v>
      </c>
      <c r="P185" s="305">
        <f t="shared" si="127"/>
        <v>-2.5390157891849075E-3</v>
      </c>
      <c r="Q185" s="305">
        <f t="shared" si="127"/>
        <v>-2.1463100545925347E-3</v>
      </c>
      <c r="R185" s="305">
        <f t="shared" si="127"/>
        <v>-1.8015596903972197E-3</v>
      </c>
      <c r="S185" s="305">
        <f t="shared" si="127"/>
        <v>-1.4964860462830722E-3</v>
      </c>
      <c r="T185" s="305">
        <f t="shared" si="127"/>
        <v>-1.2246123361686022E-3</v>
      </c>
      <c r="U185" s="305">
        <f t="shared" si="127"/>
        <v>-9.8079871217928707E-4</v>
      </c>
      <c r="V185" s="305">
        <f t="shared" si="127"/>
        <v>-7.6091422941880211E-4</v>
      </c>
      <c r="W185" s="305">
        <f t="shared" si="127"/>
        <v>-5.6160087802530382E-4</v>
      </c>
      <c r="X185" s="305">
        <f t="shared" si="127"/>
        <v>-3.8010088315854729E-4</v>
      </c>
      <c r="Y185" s="305">
        <f t="shared" si="127"/>
        <v>-2.1412832877622094E-4</v>
      </c>
      <c r="Z185" s="305">
        <f t="shared" si="127"/>
        <v>-6.1772377865598597E-5</v>
      </c>
      <c r="AA185" s="305">
        <f t="shared" si="127"/>
        <v>7.8576626114020047E-5</v>
      </c>
      <c r="AB185" s="305">
        <f t="shared" si="127"/>
        <v>2.0828424863344832E-4</v>
      </c>
      <c r="AC185" s="305">
        <f t="shared" si="127"/>
        <v>3.285165421060617E-4</v>
      </c>
      <c r="AD185" s="305">
        <f t="shared" si="127"/>
        <v>4.4027519869809585E-4</v>
      </c>
      <c r="AE185" s="305">
        <f t="shared" si="127"/>
        <v>5.4442552371558714E-4</v>
      </c>
      <c r="AF185" s="305">
        <f t="shared" si="127"/>
        <v>6.4171888392368164E-4</v>
      </c>
      <c r="AG185" s="305">
        <f t="shared" si="127"/>
        <v>7.3281086336616933E-4</v>
      </c>
      <c r="AH185" s="305">
        <f t="shared" si="127"/>
        <v>8.1827605470825837E-4</v>
      </c>
      <c r="AI185" s="305">
        <f t="shared" si="127"/>
        <v>8.986201916979103E-4</v>
      </c>
      <c r="AJ185" s="305">
        <f t="shared" si="127"/>
        <v>9.7429016414395673E-4</v>
      </c>
      <c r="AK185" s="305">
        <f t="shared" si="127"/>
        <v>1.0456823343831386E-3</v>
      </c>
      <c r="AL185" s="305">
        <f t="shared" si="127"/>
        <v>1.1131494820706468E-3</v>
      </c>
      <c r="AM185" s="305">
        <f t="shared" si="127"/>
        <v>1.1770066341763958E-3</v>
      </c>
      <c r="AN185" s="305">
        <f t="shared" si="127"/>
        <v>1.2375359835214033E-3</v>
      </c>
      <c r="AO185" s="305">
        <f t="shared" si="127"/>
        <v>1.2949910578793809E-3</v>
      </c>
      <c r="AP185" s="305">
        <f t="shared" si="127"/>
        <v>1.3496002695669582E-3</v>
      </c>
      <c r="AQ185" s="305">
        <f t="shared" si="127"/>
        <v>1.4015699503266105E-3</v>
      </c>
      <c r="AR185" s="58">
        <f t="shared" si="127"/>
        <v>1.4510869565217389E-3</v>
      </c>
      <c r="AS185" s="305">
        <f t="shared" si="127"/>
        <v>1.5642595863373579E-3</v>
      </c>
      <c r="AT185" s="305">
        <f t="shared" si="127"/>
        <v>1.66558435619295E-3</v>
      </c>
      <c r="AU185" s="305">
        <f t="shared" si="127"/>
        <v>1.7568292237760414E-3</v>
      </c>
      <c r="AV185" s="305">
        <f t="shared" si="127"/>
        <v>1.8394270574598442E-3</v>
      </c>
      <c r="AW185" s="305">
        <f t="shared" si="127"/>
        <v>1.9145514335628406E-3</v>
      </c>
      <c r="AX185" s="305">
        <f t="shared" si="127"/>
        <v>1.9831727496861435E-3</v>
      </c>
      <c r="AY185" s="305">
        <f t="shared" si="127"/>
        <v>2.0461003704267521E-3</v>
      </c>
      <c r="AZ185" s="305">
        <f t="shared" si="127"/>
        <v>2.1040147001503426E-3</v>
      </c>
      <c r="BA185" s="305">
        <f t="shared" si="127"/>
        <v>2.1574918839318584E-3</v>
      </c>
      <c r="BB185" s="305">
        <f t="shared" si="127"/>
        <v>2.2070230405239885E-3</v>
      </c>
      <c r="BC185" s="305">
        <f t="shared" si="127"/>
        <v>2.253029389272636E-3</v>
      </c>
      <c r="BD185" s="305">
        <f t="shared" si="127"/>
        <v>2.2785828348070641E-3</v>
      </c>
      <c r="BE185" s="305">
        <f t="shared" si="127"/>
        <v>2.244834722268706E-3</v>
      </c>
      <c r="BF185" s="305">
        <f t="shared" si="127"/>
        <v>2.2151373741610735E-3</v>
      </c>
      <c r="BG185" s="305">
        <f t="shared" si="127"/>
        <v>2.1888027660437463E-3</v>
      </c>
      <c r="BH185" s="305">
        <f t="shared" si="127"/>
        <v>2.165290339494036E-3</v>
      </c>
      <c r="BI185" s="305">
        <f t="shared" si="127"/>
        <v>2.1441695029725673E-3</v>
      </c>
      <c r="BJ185" s="305">
        <f t="shared" si="127"/>
        <v>2.1250930216825084E-3</v>
      </c>
      <c r="BK185" s="305">
        <f t="shared" si="127"/>
        <v>2.1077777777777779E-3</v>
      </c>
      <c r="BL185" s="305">
        <f>IF($D175=0,0,BL183*(BL173-$D175)/BL173)</f>
        <v>1.9512499999999999E-3</v>
      </c>
      <c r="BM185" s="305">
        <f>IF($D175=0,0,BM183*(BM173-$D175)/BM173)</f>
        <v>1.89E-3</v>
      </c>
      <c r="BN185" s="305">
        <f>IF($D175=0,0,BN183*(BN173-$D175)/BN173)</f>
        <v>1.8573333333333332E-3</v>
      </c>
      <c r="BO185" s="8">
        <f>IF(D185=0,0,BO184)</f>
        <v>1.75E-3</v>
      </c>
      <c r="BP185" s="43"/>
      <c r="BQ185" s="43"/>
      <c r="BR185" s="42"/>
    </row>
    <row r="186" spans="1:70" ht="16.5">
      <c r="A186" s="41"/>
      <c r="B186" s="9">
        <f t="shared" ref="B186:B192" si="128">1+B185</f>
        <v>3</v>
      </c>
      <c r="C186" s="300" t="s">
        <v>57</v>
      </c>
      <c r="D186" s="8">
        <f>IF($D176=0,0,D183*(D173-$D176)/D173)</f>
        <v>-6.531459701901153E-2</v>
      </c>
      <c r="E186" s="305">
        <f t="shared" ref="E186:BK186" si="129">IF($D176=0,0,E183*(E173-$D176)/E173)</f>
        <v>-4.4942995107331296E-2</v>
      </c>
      <c r="F186" s="305">
        <f t="shared" si="129"/>
        <v>-3.3877814355509663E-2</v>
      </c>
      <c r="G186" s="305">
        <f t="shared" si="129"/>
        <v>-2.6927638753914015E-2</v>
      </c>
      <c r="H186" s="305">
        <f t="shared" si="129"/>
        <v>-2.2156896099301E-2</v>
      </c>
      <c r="I186" s="305">
        <f t="shared" si="129"/>
        <v>-1.8679393904377437E-2</v>
      </c>
      <c r="J186" s="305">
        <f t="shared" si="129"/>
        <v>-1.6032045906810025E-2</v>
      </c>
      <c r="K186" s="305">
        <f t="shared" si="129"/>
        <v>-1.3949286806803528E-2</v>
      </c>
      <c r="L186" s="305">
        <f t="shared" si="129"/>
        <v>-1.2267908655391464E-2</v>
      </c>
      <c r="M186" s="305">
        <f t="shared" si="129"/>
        <v>-1.0882080344428809E-2</v>
      </c>
      <c r="N186" s="305">
        <f t="shared" si="129"/>
        <v>-9.7201706013248755E-3</v>
      </c>
      <c r="O186" s="305">
        <f t="shared" si="129"/>
        <v>-8.7319658391836683E-3</v>
      </c>
      <c r="P186" s="305">
        <f t="shared" si="129"/>
        <v>-7.8812220642330948E-3</v>
      </c>
      <c r="Q186" s="305">
        <f t="shared" si="129"/>
        <v>-7.1411227951936225E-3</v>
      </c>
      <c r="R186" s="305">
        <f t="shared" si="129"/>
        <v>-6.4914009549793764E-3</v>
      </c>
      <c r="S186" s="305">
        <f t="shared" si="129"/>
        <v>-5.9164544718411744E-3</v>
      </c>
      <c r="T186" s="305">
        <f t="shared" si="129"/>
        <v>-5.404077095086981E-3</v>
      </c>
      <c r="U186" s="305">
        <f t="shared" si="129"/>
        <v>-4.9445821883378873E-3</v>
      </c>
      <c r="V186" s="305">
        <f t="shared" si="129"/>
        <v>-4.5301845092892814E-3</v>
      </c>
      <c r="W186" s="305">
        <f t="shared" si="129"/>
        <v>-4.1545555008938419E-3</v>
      </c>
      <c r="X186" s="305">
        <f t="shared" si="129"/>
        <v>-3.8124978182603395E-3</v>
      </c>
      <c r="Y186" s="305">
        <f t="shared" si="129"/>
        <v>-3.4997033888474931E-3</v>
      </c>
      <c r="Z186" s="305">
        <f t="shared" si="129"/>
        <v>-3.212571019823628E-3</v>
      </c>
      <c r="AA186" s="305">
        <f t="shared" si="129"/>
        <v>-2.9480671277081934E-3</v>
      </c>
      <c r="AB186" s="305">
        <f t="shared" si="129"/>
        <v>-2.7036181468061936E-3</v>
      </c>
      <c r="AC186" s="305">
        <f t="shared" si="129"/>
        <v>-2.4770265168001142E-3</v>
      </c>
      <c r="AD186" s="305">
        <f t="shared" si="129"/>
        <v>-2.2664044332228197E-3</v>
      </c>
      <c r="AE186" s="305">
        <f t="shared" si="129"/>
        <v>-2.0701211283821628E-3</v>
      </c>
      <c r="AF186" s="305">
        <f t="shared" si="129"/>
        <v>-1.8867605649130616E-3</v>
      </c>
      <c r="AG186" s="305">
        <f t="shared" si="129"/>
        <v>-1.7150872190406809E-3</v>
      </c>
      <c r="AH186" s="305">
        <f t="shared" si="129"/>
        <v>-1.5540182045882824E-3</v>
      </c>
      <c r="AI186" s="305">
        <f t="shared" si="129"/>
        <v>-1.4026004079539384E-3</v>
      </c>
      <c r="AJ186" s="305">
        <f t="shared" si="129"/>
        <v>-1.259991613728697E-3</v>
      </c>
      <c r="AK186" s="305">
        <f t="shared" si="129"/>
        <v>-1.1254448313548543E-3</v>
      </c>
      <c r="AL186" s="305">
        <f t="shared" si="129"/>
        <v>-9.9829520686685802E-4</v>
      </c>
      <c r="AM186" s="305">
        <f t="shared" si="129"/>
        <v>-8.7794903559063866E-4</v>
      </c>
      <c r="AN186" s="305">
        <f t="shared" si="129"/>
        <v>-7.6387449259427862E-4</v>
      </c>
      <c r="AO186" s="305">
        <f t="shared" si="129"/>
        <v>-6.5559377553501283E-4</v>
      </c>
      <c r="AP186" s="305">
        <f t="shared" si="129"/>
        <v>-5.5267641504688672E-4</v>
      </c>
      <c r="AQ186" s="305">
        <f t="shared" si="129"/>
        <v>-4.5473355515369588E-4</v>
      </c>
      <c r="AR186" s="58">
        <f t="shared" si="129"/>
        <v>-3.614130434782614E-4</v>
      </c>
      <c r="AS186" s="305">
        <f t="shared" si="129"/>
        <v>-1.4812616421036411E-4</v>
      </c>
      <c r="AT186" s="305">
        <f t="shared" si="129"/>
        <v>4.2832055902097925E-5</v>
      </c>
      <c r="AU186" s="305">
        <f t="shared" si="129"/>
        <v>2.1479353711638567E-4</v>
      </c>
      <c r="AV186" s="305">
        <f t="shared" si="129"/>
        <v>3.7045868521278348E-4</v>
      </c>
      <c r="AW186" s="305">
        <f t="shared" si="129"/>
        <v>5.1203924017612231E-4</v>
      </c>
      <c r="AX186" s="305">
        <f t="shared" si="129"/>
        <v>6.4136402825465497E-4</v>
      </c>
      <c r="AY186" s="305">
        <f t="shared" si="129"/>
        <v>7.5995839041964792E-4</v>
      </c>
      <c r="AZ186" s="305">
        <f t="shared" si="129"/>
        <v>8.6910462720641473E-4</v>
      </c>
      <c r="BA186" s="305">
        <f t="shared" si="129"/>
        <v>9.698885504869643E-4</v>
      </c>
      <c r="BB186" s="305">
        <f t="shared" si="129"/>
        <v>1.0632357302182856E-3</v>
      </c>
      <c r="BC186" s="305">
        <f t="shared" si="129"/>
        <v>1.1499400028599676E-3</v>
      </c>
      <c r="BD186" s="305">
        <f t="shared" si="129"/>
        <v>1.2214171651929358E-3</v>
      </c>
      <c r="BE186" s="305">
        <f t="shared" si="129"/>
        <v>1.2551652777312943E-3</v>
      </c>
      <c r="BF186" s="305">
        <f t="shared" si="129"/>
        <v>1.2848626258389262E-3</v>
      </c>
      <c r="BG186" s="305">
        <f t="shared" si="129"/>
        <v>1.3111972339562542E-3</v>
      </c>
      <c r="BH186" s="305">
        <f t="shared" si="129"/>
        <v>1.3347096605059643E-3</v>
      </c>
      <c r="BI186" s="305">
        <f t="shared" si="129"/>
        <v>1.3558304970274332E-3</v>
      </c>
      <c r="BJ186" s="305">
        <f t="shared" si="129"/>
        <v>1.3749069783174916E-3</v>
      </c>
      <c r="BK186" s="305">
        <f t="shared" si="129"/>
        <v>1.3922222222222222E-3</v>
      </c>
      <c r="BL186" s="305">
        <f>IF($D176=0,0,BL183*(BL173-$D176)/BL173)</f>
        <v>1.54875E-3</v>
      </c>
      <c r="BM186" s="305">
        <f>IF($D176=0,0,BM183*(BM173-$D176)/BM173)</f>
        <v>1.6099999999999999E-3</v>
      </c>
      <c r="BN186" s="305">
        <f>IF($D176=0,0,BN183*(BN173-$D176)/BN173)</f>
        <v>1.6426666666666666E-3</v>
      </c>
      <c r="BO186" s="8">
        <f>IF(D186=0,0,BO184)</f>
        <v>1.75E-3</v>
      </c>
      <c r="BP186" s="43"/>
      <c r="BQ186" s="43"/>
      <c r="BR186" s="42"/>
    </row>
    <row r="187" spans="1:70" ht="16.5">
      <c r="A187" s="41"/>
      <c r="B187" s="9">
        <f t="shared" si="128"/>
        <v>4</v>
      </c>
      <c r="C187" s="300" t="s">
        <v>57</v>
      </c>
      <c r="D187" s="8">
        <f>IF($D177=0,0,D183*(D173-$D177)/D173)</f>
        <v>0</v>
      </c>
      <c r="E187" s="305">
        <f t="shared" ref="E187:BK187" si="130">IF($D177=0,0,E183*(E173-$D177)/E173)</f>
        <v>0</v>
      </c>
      <c r="F187" s="305">
        <f t="shared" si="130"/>
        <v>0</v>
      </c>
      <c r="G187" s="305">
        <f t="shared" si="130"/>
        <v>0</v>
      </c>
      <c r="H187" s="305">
        <f t="shared" si="130"/>
        <v>0</v>
      </c>
      <c r="I187" s="305">
        <f t="shared" si="130"/>
        <v>0</v>
      </c>
      <c r="J187" s="305">
        <f t="shared" si="130"/>
        <v>0</v>
      </c>
      <c r="K187" s="305">
        <f t="shared" si="130"/>
        <v>0</v>
      </c>
      <c r="L187" s="305">
        <f t="shared" si="130"/>
        <v>0</v>
      </c>
      <c r="M187" s="305">
        <f t="shared" si="130"/>
        <v>0</v>
      </c>
      <c r="N187" s="305">
        <f t="shared" si="130"/>
        <v>0</v>
      </c>
      <c r="O187" s="305">
        <f t="shared" si="130"/>
        <v>0</v>
      </c>
      <c r="P187" s="305">
        <f t="shared" si="130"/>
        <v>0</v>
      </c>
      <c r="Q187" s="305">
        <f t="shared" si="130"/>
        <v>0</v>
      </c>
      <c r="R187" s="305">
        <f t="shared" si="130"/>
        <v>0</v>
      </c>
      <c r="S187" s="305">
        <f t="shared" si="130"/>
        <v>0</v>
      </c>
      <c r="T187" s="305">
        <f t="shared" si="130"/>
        <v>0</v>
      </c>
      <c r="U187" s="305">
        <f t="shared" si="130"/>
        <v>0</v>
      </c>
      <c r="V187" s="305">
        <f t="shared" si="130"/>
        <v>0</v>
      </c>
      <c r="W187" s="305">
        <f t="shared" si="130"/>
        <v>0</v>
      </c>
      <c r="X187" s="305">
        <f t="shared" si="130"/>
        <v>0</v>
      </c>
      <c r="Y187" s="305">
        <f t="shared" si="130"/>
        <v>0</v>
      </c>
      <c r="Z187" s="305">
        <f t="shared" si="130"/>
        <v>0</v>
      </c>
      <c r="AA187" s="305">
        <f t="shared" si="130"/>
        <v>0</v>
      </c>
      <c r="AB187" s="305">
        <f t="shared" si="130"/>
        <v>0</v>
      </c>
      <c r="AC187" s="305">
        <f t="shared" si="130"/>
        <v>0</v>
      </c>
      <c r="AD187" s="305">
        <f t="shared" si="130"/>
        <v>0</v>
      </c>
      <c r="AE187" s="305">
        <f t="shared" si="130"/>
        <v>0</v>
      </c>
      <c r="AF187" s="305">
        <f t="shared" si="130"/>
        <v>0</v>
      </c>
      <c r="AG187" s="305">
        <f t="shared" si="130"/>
        <v>0</v>
      </c>
      <c r="AH187" s="305">
        <f t="shared" si="130"/>
        <v>0</v>
      </c>
      <c r="AI187" s="305">
        <f t="shared" si="130"/>
        <v>0</v>
      </c>
      <c r="AJ187" s="305">
        <f t="shared" si="130"/>
        <v>0</v>
      </c>
      <c r="AK187" s="305">
        <f t="shared" si="130"/>
        <v>0</v>
      </c>
      <c r="AL187" s="305">
        <f t="shared" si="130"/>
        <v>0</v>
      </c>
      <c r="AM187" s="305">
        <f t="shared" si="130"/>
        <v>0</v>
      </c>
      <c r="AN187" s="305">
        <f t="shared" si="130"/>
        <v>0</v>
      </c>
      <c r="AO187" s="305">
        <f t="shared" si="130"/>
        <v>0</v>
      </c>
      <c r="AP187" s="305">
        <f t="shared" si="130"/>
        <v>0</v>
      </c>
      <c r="AQ187" s="305">
        <f t="shared" si="130"/>
        <v>0</v>
      </c>
      <c r="AR187" s="58">
        <f t="shared" si="130"/>
        <v>0</v>
      </c>
      <c r="AS187" s="305">
        <f t="shared" si="130"/>
        <v>0</v>
      </c>
      <c r="AT187" s="305">
        <f t="shared" si="130"/>
        <v>0</v>
      </c>
      <c r="AU187" s="305">
        <f t="shared" si="130"/>
        <v>0</v>
      </c>
      <c r="AV187" s="305">
        <f t="shared" si="130"/>
        <v>0</v>
      </c>
      <c r="AW187" s="305">
        <f t="shared" si="130"/>
        <v>0</v>
      </c>
      <c r="AX187" s="305">
        <f t="shared" si="130"/>
        <v>0</v>
      </c>
      <c r="AY187" s="305">
        <f t="shared" si="130"/>
        <v>0</v>
      </c>
      <c r="AZ187" s="305">
        <f t="shared" si="130"/>
        <v>0</v>
      </c>
      <c r="BA187" s="305">
        <f t="shared" si="130"/>
        <v>0</v>
      </c>
      <c r="BB187" s="305">
        <f t="shared" si="130"/>
        <v>0</v>
      </c>
      <c r="BC187" s="305">
        <f t="shared" si="130"/>
        <v>0</v>
      </c>
      <c r="BD187" s="305">
        <f t="shared" si="130"/>
        <v>0</v>
      </c>
      <c r="BE187" s="305">
        <f t="shared" si="130"/>
        <v>0</v>
      </c>
      <c r="BF187" s="305">
        <f t="shared" si="130"/>
        <v>0</v>
      </c>
      <c r="BG187" s="305">
        <f t="shared" si="130"/>
        <v>0</v>
      </c>
      <c r="BH187" s="305">
        <f t="shared" si="130"/>
        <v>0</v>
      </c>
      <c r="BI187" s="305">
        <f t="shared" si="130"/>
        <v>0</v>
      </c>
      <c r="BJ187" s="305">
        <f t="shared" si="130"/>
        <v>0</v>
      </c>
      <c r="BK187" s="305">
        <f t="shared" si="130"/>
        <v>0</v>
      </c>
      <c r="BL187" s="305">
        <f>IF($D177=0,0,BL183*(BL173-$D177)/BL173)</f>
        <v>0</v>
      </c>
      <c r="BM187" s="305">
        <f>IF($D177=0,0,BM183*(BM173-$D177)/BM173)</f>
        <v>0</v>
      </c>
      <c r="BN187" s="305">
        <f>IF($D177=0,0,BN183*(BN173-$D177)/BN173)</f>
        <v>0</v>
      </c>
      <c r="BO187" s="8">
        <f>IF(D187=0,0,BO184)</f>
        <v>0</v>
      </c>
      <c r="BP187" s="43"/>
      <c r="BQ187" s="43"/>
      <c r="BR187" s="42"/>
    </row>
    <row r="188" spans="1:70" ht="16.5">
      <c r="A188" s="41"/>
      <c r="B188" s="9">
        <f t="shared" si="128"/>
        <v>5</v>
      </c>
      <c r="C188" s="300" t="s">
        <v>57</v>
      </c>
      <c r="D188" s="8">
        <f>IF($D178=0,0,D183*(D173-$D178)/D173)</f>
        <v>0</v>
      </c>
      <c r="E188" s="305">
        <f t="shared" ref="E188:BK188" si="131">IF($D178=0,0,E183*(E173-$D178)/E173)</f>
        <v>0</v>
      </c>
      <c r="F188" s="305">
        <f t="shared" si="131"/>
        <v>0</v>
      </c>
      <c r="G188" s="305">
        <f t="shared" si="131"/>
        <v>0</v>
      </c>
      <c r="H188" s="305">
        <f t="shared" si="131"/>
        <v>0</v>
      </c>
      <c r="I188" s="305">
        <f t="shared" si="131"/>
        <v>0</v>
      </c>
      <c r="J188" s="305">
        <f t="shared" si="131"/>
        <v>0</v>
      </c>
      <c r="K188" s="305">
        <f t="shared" si="131"/>
        <v>0</v>
      </c>
      <c r="L188" s="305">
        <f t="shared" si="131"/>
        <v>0</v>
      </c>
      <c r="M188" s="305">
        <f t="shared" si="131"/>
        <v>0</v>
      </c>
      <c r="N188" s="305">
        <f t="shared" si="131"/>
        <v>0</v>
      </c>
      <c r="O188" s="305">
        <f t="shared" si="131"/>
        <v>0</v>
      </c>
      <c r="P188" s="305">
        <f t="shared" si="131"/>
        <v>0</v>
      </c>
      <c r="Q188" s="305">
        <f t="shared" si="131"/>
        <v>0</v>
      </c>
      <c r="R188" s="305">
        <f t="shared" si="131"/>
        <v>0</v>
      </c>
      <c r="S188" s="305">
        <f t="shared" si="131"/>
        <v>0</v>
      </c>
      <c r="T188" s="305">
        <f t="shared" si="131"/>
        <v>0</v>
      </c>
      <c r="U188" s="305">
        <f t="shared" si="131"/>
        <v>0</v>
      </c>
      <c r="V188" s="305">
        <f t="shared" si="131"/>
        <v>0</v>
      </c>
      <c r="W188" s="305">
        <f t="shared" si="131"/>
        <v>0</v>
      </c>
      <c r="X188" s="305">
        <f t="shared" si="131"/>
        <v>0</v>
      </c>
      <c r="Y188" s="305">
        <f t="shared" si="131"/>
        <v>0</v>
      </c>
      <c r="Z188" s="305">
        <f t="shared" si="131"/>
        <v>0</v>
      </c>
      <c r="AA188" s="305">
        <f t="shared" si="131"/>
        <v>0</v>
      </c>
      <c r="AB188" s="305">
        <f t="shared" si="131"/>
        <v>0</v>
      </c>
      <c r="AC188" s="305">
        <f t="shared" si="131"/>
        <v>0</v>
      </c>
      <c r="AD188" s="305">
        <f t="shared" si="131"/>
        <v>0</v>
      </c>
      <c r="AE188" s="305">
        <f t="shared" si="131"/>
        <v>0</v>
      </c>
      <c r="AF188" s="305">
        <f t="shared" si="131"/>
        <v>0</v>
      </c>
      <c r="AG188" s="305">
        <f t="shared" si="131"/>
        <v>0</v>
      </c>
      <c r="AH188" s="305">
        <f t="shared" si="131"/>
        <v>0</v>
      </c>
      <c r="AI188" s="305">
        <f t="shared" si="131"/>
        <v>0</v>
      </c>
      <c r="AJ188" s="305">
        <f t="shared" si="131"/>
        <v>0</v>
      </c>
      <c r="AK188" s="305">
        <f t="shared" si="131"/>
        <v>0</v>
      </c>
      <c r="AL188" s="305">
        <f t="shared" si="131"/>
        <v>0</v>
      </c>
      <c r="AM188" s="305">
        <f t="shared" si="131"/>
        <v>0</v>
      </c>
      <c r="AN188" s="305">
        <f t="shared" si="131"/>
        <v>0</v>
      </c>
      <c r="AO188" s="305">
        <f t="shared" si="131"/>
        <v>0</v>
      </c>
      <c r="AP188" s="305">
        <f t="shared" si="131"/>
        <v>0</v>
      </c>
      <c r="AQ188" s="305">
        <f t="shared" si="131"/>
        <v>0</v>
      </c>
      <c r="AR188" s="58">
        <f t="shared" si="131"/>
        <v>0</v>
      </c>
      <c r="AS188" s="305">
        <f t="shared" si="131"/>
        <v>0</v>
      </c>
      <c r="AT188" s="305">
        <f t="shared" si="131"/>
        <v>0</v>
      </c>
      <c r="AU188" s="305">
        <f t="shared" si="131"/>
        <v>0</v>
      </c>
      <c r="AV188" s="305">
        <f t="shared" si="131"/>
        <v>0</v>
      </c>
      <c r="AW188" s="305">
        <f t="shared" si="131"/>
        <v>0</v>
      </c>
      <c r="AX188" s="305">
        <f t="shared" si="131"/>
        <v>0</v>
      </c>
      <c r="AY188" s="305">
        <f t="shared" si="131"/>
        <v>0</v>
      </c>
      <c r="AZ188" s="305">
        <f t="shared" si="131"/>
        <v>0</v>
      </c>
      <c r="BA188" s="305">
        <f t="shared" si="131"/>
        <v>0</v>
      </c>
      <c r="BB188" s="305">
        <f t="shared" si="131"/>
        <v>0</v>
      </c>
      <c r="BC188" s="305">
        <f t="shared" si="131"/>
        <v>0</v>
      </c>
      <c r="BD188" s="305">
        <f t="shared" si="131"/>
        <v>0</v>
      </c>
      <c r="BE188" s="305">
        <f t="shared" si="131"/>
        <v>0</v>
      </c>
      <c r="BF188" s="305">
        <f t="shared" si="131"/>
        <v>0</v>
      </c>
      <c r="BG188" s="305">
        <f t="shared" si="131"/>
        <v>0</v>
      </c>
      <c r="BH188" s="305">
        <f t="shared" si="131"/>
        <v>0</v>
      </c>
      <c r="BI188" s="305">
        <f t="shared" si="131"/>
        <v>0</v>
      </c>
      <c r="BJ188" s="305">
        <f t="shared" si="131"/>
        <v>0</v>
      </c>
      <c r="BK188" s="305">
        <f t="shared" si="131"/>
        <v>0</v>
      </c>
      <c r="BL188" s="305">
        <f>IF($D178=0,0,BL183*(BL173-$D178)/BL173)</f>
        <v>0</v>
      </c>
      <c r="BM188" s="305">
        <f>IF($D178=0,0,BM183*(BM173-$D178)/BM173)</f>
        <v>0</v>
      </c>
      <c r="BN188" s="305">
        <f>IF($D178=0,0,BN183*(BN173-$D178)/BN173)</f>
        <v>0</v>
      </c>
      <c r="BO188" s="8">
        <f>IF(D188=0,0,BO184)</f>
        <v>0</v>
      </c>
      <c r="BP188" s="43"/>
      <c r="BQ188" s="43"/>
      <c r="BR188" s="42"/>
    </row>
    <row r="189" spans="1:70" ht="16.5">
      <c r="A189" s="41"/>
      <c r="B189" s="9">
        <f t="shared" si="128"/>
        <v>6</v>
      </c>
      <c r="C189" s="300" t="s">
        <v>57</v>
      </c>
      <c r="D189" s="8">
        <f>IF($D179=0,0,D183*(D173-$D179)/D173)</f>
        <v>0</v>
      </c>
      <c r="E189" s="305">
        <f t="shared" ref="E189:BK189" si="132">IF($D179=0,0,E183*(E173-$D179)/E173)</f>
        <v>0</v>
      </c>
      <c r="F189" s="306">
        <f t="shared" si="132"/>
        <v>0</v>
      </c>
      <c r="G189" s="306">
        <f t="shared" si="132"/>
        <v>0</v>
      </c>
      <c r="H189" s="306">
        <f t="shared" si="132"/>
        <v>0</v>
      </c>
      <c r="I189" s="305">
        <f t="shared" si="132"/>
        <v>0</v>
      </c>
      <c r="J189" s="305">
        <f t="shared" si="132"/>
        <v>0</v>
      </c>
      <c r="K189" s="305">
        <f t="shared" si="132"/>
        <v>0</v>
      </c>
      <c r="L189" s="305">
        <f t="shared" si="132"/>
        <v>0</v>
      </c>
      <c r="M189" s="305">
        <f t="shared" si="132"/>
        <v>0</v>
      </c>
      <c r="N189" s="305">
        <f t="shared" si="132"/>
        <v>0</v>
      </c>
      <c r="O189" s="305">
        <f t="shared" si="132"/>
        <v>0</v>
      </c>
      <c r="P189" s="305">
        <f t="shared" si="132"/>
        <v>0</v>
      </c>
      <c r="Q189" s="305">
        <f t="shared" si="132"/>
        <v>0</v>
      </c>
      <c r="R189" s="305">
        <f t="shared" si="132"/>
        <v>0</v>
      </c>
      <c r="S189" s="305">
        <f t="shared" si="132"/>
        <v>0</v>
      </c>
      <c r="T189" s="305">
        <f t="shared" si="132"/>
        <v>0</v>
      </c>
      <c r="U189" s="305">
        <f t="shared" si="132"/>
        <v>0</v>
      </c>
      <c r="V189" s="305">
        <f t="shared" si="132"/>
        <v>0</v>
      </c>
      <c r="W189" s="305">
        <f t="shared" si="132"/>
        <v>0</v>
      </c>
      <c r="X189" s="305">
        <f t="shared" si="132"/>
        <v>0</v>
      </c>
      <c r="Y189" s="305">
        <f t="shared" si="132"/>
        <v>0</v>
      </c>
      <c r="Z189" s="305">
        <f t="shared" si="132"/>
        <v>0</v>
      </c>
      <c r="AA189" s="305">
        <f t="shared" si="132"/>
        <v>0</v>
      </c>
      <c r="AB189" s="305">
        <f t="shared" si="132"/>
        <v>0</v>
      </c>
      <c r="AC189" s="305">
        <f t="shared" si="132"/>
        <v>0</v>
      </c>
      <c r="AD189" s="305">
        <f t="shared" si="132"/>
        <v>0</v>
      </c>
      <c r="AE189" s="305">
        <f t="shared" si="132"/>
        <v>0</v>
      </c>
      <c r="AF189" s="305">
        <f t="shared" si="132"/>
        <v>0</v>
      </c>
      <c r="AG189" s="305">
        <f t="shared" si="132"/>
        <v>0</v>
      </c>
      <c r="AH189" s="305">
        <f t="shared" si="132"/>
        <v>0</v>
      </c>
      <c r="AI189" s="305">
        <f t="shared" si="132"/>
        <v>0</v>
      </c>
      <c r="AJ189" s="305">
        <f t="shared" si="132"/>
        <v>0</v>
      </c>
      <c r="AK189" s="305">
        <f t="shared" si="132"/>
        <v>0</v>
      </c>
      <c r="AL189" s="305">
        <f t="shared" si="132"/>
        <v>0</v>
      </c>
      <c r="AM189" s="305">
        <f t="shared" si="132"/>
        <v>0</v>
      </c>
      <c r="AN189" s="305">
        <f t="shared" si="132"/>
        <v>0</v>
      </c>
      <c r="AO189" s="305">
        <f t="shared" si="132"/>
        <v>0</v>
      </c>
      <c r="AP189" s="305">
        <f t="shared" si="132"/>
        <v>0</v>
      </c>
      <c r="AQ189" s="305">
        <f t="shared" si="132"/>
        <v>0</v>
      </c>
      <c r="AR189" s="58">
        <f t="shared" si="132"/>
        <v>0</v>
      </c>
      <c r="AS189" s="305">
        <f t="shared" si="132"/>
        <v>0</v>
      </c>
      <c r="AT189" s="305">
        <f t="shared" si="132"/>
        <v>0</v>
      </c>
      <c r="AU189" s="305">
        <f t="shared" si="132"/>
        <v>0</v>
      </c>
      <c r="AV189" s="305">
        <f t="shared" si="132"/>
        <v>0</v>
      </c>
      <c r="AW189" s="305">
        <f t="shared" si="132"/>
        <v>0</v>
      </c>
      <c r="AX189" s="305">
        <f t="shared" si="132"/>
        <v>0</v>
      </c>
      <c r="AY189" s="305">
        <f t="shared" si="132"/>
        <v>0</v>
      </c>
      <c r="AZ189" s="305">
        <f t="shared" si="132"/>
        <v>0</v>
      </c>
      <c r="BA189" s="305">
        <f t="shared" si="132"/>
        <v>0</v>
      </c>
      <c r="BB189" s="305">
        <f t="shared" si="132"/>
        <v>0</v>
      </c>
      <c r="BC189" s="305">
        <f t="shared" si="132"/>
        <v>0</v>
      </c>
      <c r="BD189" s="305">
        <f t="shared" si="132"/>
        <v>0</v>
      </c>
      <c r="BE189" s="305">
        <f t="shared" si="132"/>
        <v>0</v>
      </c>
      <c r="BF189" s="305">
        <f t="shared" si="132"/>
        <v>0</v>
      </c>
      <c r="BG189" s="305">
        <f t="shared" si="132"/>
        <v>0</v>
      </c>
      <c r="BH189" s="305">
        <f t="shared" si="132"/>
        <v>0</v>
      </c>
      <c r="BI189" s="305">
        <f t="shared" si="132"/>
        <v>0</v>
      </c>
      <c r="BJ189" s="305">
        <f t="shared" si="132"/>
        <v>0</v>
      </c>
      <c r="BK189" s="305">
        <f t="shared" si="132"/>
        <v>0</v>
      </c>
      <c r="BL189" s="305">
        <f>IF($D179=0,0,BL183*(BL173-$D179)/BL173)</f>
        <v>0</v>
      </c>
      <c r="BM189" s="305">
        <f>IF($D179=0,0,BM183*(BM173-$D179)/BM173)</f>
        <v>0</v>
      </c>
      <c r="BN189" s="305">
        <f>IF($D179=0,0,BN183*(BN173-$D179)/BN173)</f>
        <v>0</v>
      </c>
      <c r="BO189" s="8">
        <f>IF(D189=0,0,BO184)</f>
        <v>0</v>
      </c>
      <c r="BP189" s="43"/>
      <c r="BQ189" s="43"/>
      <c r="BR189" s="42"/>
    </row>
    <row r="190" spans="1:70" ht="16.5">
      <c r="A190" s="41"/>
      <c r="B190" s="9">
        <f t="shared" si="128"/>
        <v>7</v>
      </c>
      <c r="C190" s="300" t="s">
        <v>57</v>
      </c>
      <c r="D190" s="8">
        <f>IF($D180=0,0,D183*(D173-$D180)/D173)</f>
        <v>0</v>
      </c>
      <c r="E190" s="305">
        <f t="shared" ref="E190:BK190" si="133">IF($D180=0,0,E183*(E173-$D180)/E173)</f>
        <v>0</v>
      </c>
      <c r="F190" s="306">
        <f t="shared" si="133"/>
        <v>0</v>
      </c>
      <c r="G190" s="306">
        <f t="shared" si="133"/>
        <v>0</v>
      </c>
      <c r="H190" s="306">
        <f t="shared" si="133"/>
        <v>0</v>
      </c>
      <c r="I190" s="305">
        <f t="shared" si="133"/>
        <v>0</v>
      </c>
      <c r="J190" s="305">
        <f t="shared" si="133"/>
        <v>0</v>
      </c>
      <c r="K190" s="305">
        <f t="shared" si="133"/>
        <v>0</v>
      </c>
      <c r="L190" s="305">
        <f t="shared" si="133"/>
        <v>0</v>
      </c>
      <c r="M190" s="305">
        <f t="shared" si="133"/>
        <v>0</v>
      </c>
      <c r="N190" s="305">
        <f t="shared" si="133"/>
        <v>0</v>
      </c>
      <c r="O190" s="305">
        <f t="shared" si="133"/>
        <v>0</v>
      </c>
      <c r="P190" s="305">
        <f t="shared" si="133"/>
        <v>0</v>
      </c>
      <c r="Q190" s="305">
        <f t="shared" si="133"/>
        <v>0</v>
      </c>
      <c r="R190" s="305">
        <f t="shared" si="133"/>
        <v>0</v>
      </c>
      <c r="S190" s="305">
        <f t="shared" si="133"/>
        <v>0</v>
      </c>
      <c r="T190" s="305">
        <f t="shared" si="133"/>
        <v>0</v>
      </c>
      <c r="U190" s="305">
        <f t="shared" si="133"/>
        <v>0</v>
      </c>
      <c r="V190" s="305">
        <f t="shared" si="133"/>
        <v>0</v>
      </c>
      <c r="W190" s="305">
        <f t="shared" si="133"/>
        <v>0</v>
      </c>
      <c r="X190" s="305">
        <f t="shared" si="133"/>
        <v>0</v>
      </c>
      <c r="Y190" s="305">
        <f t="shared" si="133"/>
        <v>0</v>
      </c>
      <c r="Z190" s="305">
        <f t="shared" si="133"/>
        <v>0</v>
      </c>
      <c r="AA190" s="305">
        <f t="shared" si="133"/>
        <v>0</v>
      </c>
      <c r="AB190" s="305">
        <f t="shared" si="133"/>
        <v>0</v>
      </c>
      <c r="AC190" s="305">
        <f t="shared" si="133"/>
        <v>0</v>
      </c>
      <c r="AD190" s="305">
        <f t="shared" si="133"/>
        <v>0</v>
      </c>
      <c r="AE190" s="305">
        <f t="shared" si="133"/>
        <v>0</v>
      </c>
      <c r="AF190" s="305">
        <f t="shared" si="133"/>
        <v>0</v>
      </c>
      <c r="AG190" s="305">
        <f t="shared" si="133"/>
        <v>0</v>
      </c>
      <c r="AH190" s="305">
        <f t="shared" si="133"/>
        <v>0</v>
      </c>
      <c r="AI190" s="305">
        <f t="shared" si="133"/>
        <v>0</v>
      </c>
      <c r="AJ190" s="305">
        <f t="shared" si="133"/>
        <v>0</v>
      </c>
      <c r="AK190" s="305">
        <f t="shared" si="133"/>
        <v>0</v>
      </c>
      <c r="AL190" s="305">
        <f t="shared" si="133"/>
        <v>0</v>
      </c>
      <c r="AM190" s="305">
        <f t="shared" si="133"/>
        <v>0</v>
      </c>
      <c r="AN190" s="305">
        <f t="shared" si="133"/>
        <v>0</v>
      </c>
      <c r="AO190" s="305">
        <f t="shared" si="133"/>
        <v>0</v>
      </c>
      <c r="AP190" s="305">
        <f t="shared" si="133"/>
        <v>0</v>
      </c>
      <c r="AQ190" s="305">
        <f t="shared" si="133"/>
        <v>0</v>
      </c>
      <c r="AR190" s="58">
        <f t="shared" si="133"/>
        <v>0</v>
      </c>
      <c r="AS190" s="305">
        <f t="shared" si="133"/>
        <v>0</v>
      </c>
      <c r="AT190" s="305">
        <f t="shared" si="133"/>
        <v>0</v>
      </c>
      <c r="AU190" s="305">
        <f t="shared" si="133"/>
        <v>0</v>
      </c>
      <c r="AV190" s="305">
        <f t="shared" si="133"/>
        <v>0</v>
      </c>
      <c r="AW190" s="305">
        <f t="shared" si="133"/>
        <v>0</v>
      </c>
      <c r="AX190" s="305">
        <f t="shared" si="133"/>
        <v>0</v>
      </c>
      <c r="AY190" s="305">
        <f t="shared" si="133"/>
        <v>0</v>
      </c>
      <c r="AZ190" s="305">
        <f t="shared" si="133"/>
        <v>0</v>
      </c>
      <c r="BA190" s="305">
        <f t="shared" si="133"/>
        <v>0</v>
      </c>
      <c r="BB190" s="305">
        <f t="shared" si="133"/>
        <v>0</v>
      </c>
      <c r="BC190" s="305">
        <f t="shared" si="133"/>
        <v>0</v>
      </c>
      <c r="BD190" s="305">
        <f t="shared" si="133"/>
        <v>0</v>
      </c>
      <c r="BE190" s="305">
        <f t="shared" si="133"/>
        <v>0</v>
      </c>
      <c r="BF190" s="305">
        <f t="shared" si="133"/>
        <v>0</v>
      </c>
      <c r="BG190" s="305">
        <f t="shared" si="133"/>
        <v>0</v>
      </c>
      <c r="BH190" s="305">
        <f t="shared" si="133"/>
        <v>0</v>
      </c>
      <c r="BI190" s="305">
        <f t="shared" si="133"/>
        <v>0</v>
      </c>
      <c r="BJ190" s="305">
        <f t="shared" si="133"/>
        <v>0</v>
      </c>
      <c r="BK190" s="305">
        <f t="shared" si="133"/>
        <v>0</v>
      </c>
      <c r="BL190" s="305">
        <f>IF($D180=0,0,BL183*(BL173-$D180)/BL173)</f>
        <v>0</v>
      </c>
      <c r="BM190" s="305">
        <f>IF($D180=0,0,BM183*(BM173-$D180)/BM173)</f>
        <v>0</v>
      </c>
      <c r="BN190" s="305">
        <f>IF($D180=0,0,BN183*(BN173-$D180)/BN173)</f>
        <v>0</v>
      </c>
      <c r="BO190" s="8">
        <f>IF(D190=0,0,BO184)</f>
        <v>0</v>
      </c>
      <c r="BP190" s="43"/>
      <c r="BQ190" s="43"/>
      <c r="BR190" s="42"/>
    </row>
    <row r="191" spans="1:70" ht="16.5">
      <c r="A191" s="41"/>
      <c r="B191" s="9">
        <f t="shared" si="128"/>
        <v>8</v>
      </c>
      <c r="C191" s="300" t="s">
        <v>57</v>
      </c>
      <c r="D191" s="8">
        <f>IF($D181=0,0,D183*(D173-$D181)/D173)</f>
        <v>0</v>
      </c>
      <c r="E191" s="305">
        <f t="shared" ref="E191:BK191" si="134">IF($D181=0,0,E183*(E173-$D181)/E173)</f>
        <v>0</v>
      </c>
      <c r="F191" s="306">
        <f t="shared" si="134"/>
        <v>0</v>
      </c>
      <c r="G191" s="306">
        <f t="shared" si="134"/>
        <v>0</v>
      </c>
      <c r="H191" s="306">
        <f t="shared" si="134"/>
        <v>0</v>
      </c>
      <c r="I191" s="305">
        <f t="shared" si="134"/>
        <v>0</v>
      </c>
      <c r="J191" s="305">
        <f t="shared" si="134"/>
        <v>0</v>
      </c>
      <c r="K191" s="305">
        <f t="shared" si="134"/>
        <v>0</v>
      </c>
      <c r="L191" s="305">
        <f t="shared" si="134"/>
        <v>0</v>
      </c>
      <c r="M191" s="305">
        <f t="shared" si="134"/>
        <v>0</v>
      </c>
      <c r="N191" s="305">
        <f t="shared" si="134"/>
        <v>0</v>
      </c>
      <c r="O191" s="305">
        <f t="shared" si="134"/>
        <v>0</v>
      </c>
      <c r="P191" s="305">
        <f t="shared" si="134"/>
        <v>0</v>
      </c>
      <c r="Q191" s="305">
        <f t="shared" si="134"/>
        <v>0</v>
      </c>
      <c r="R191" s="305">
        <f t="shared" si="134"/>
        <v>0</v>
      </c>
      <c r="S191" s="305">
        <f t="shared" si="134"/>
        <v>0</v>
      </c>
      <c r="T191" s="305">
        <f t="shared" si="134"/>
        <v>0</v>
      </c>
      <c r="U191" s="305">
        <f t="shared" si="134"/>
        <v>0</v>
      </c>
      <c r="V191" s="305">
        <f t="shared" si="134"/>
        <v>0</v>
      </c>
      <c r="W191" s="305">
        <f t="shared" si="134"/>
        <v>0</v>
      </c>
      <c r="X191" s="305">
        <f t="shared" si="134"/>
        <v>0</v>
      </c>
      <c r="Y191" s="305">
        <f t="shared" si="134"/>
        <v>0</v>
      </c>
      <c r="Z191" s="305">
        <f t="shared" si="134"/>
        <v>0</v>
      </c>
      <c r="AA191" s="305">
        <f t="shared" si="134"/>
        <v>0</v>
      </c>
      <c r="AB191" s="305">
        <f t="shared" si="134"/>
        <v>0</v>
      </c>
      <c r="AC191" s="305">
        <f t="shared" si="134"/>
        <v>0</v>
      </c>
      <c r="AD191" s="305">
        <f t="shared" si="134"/>
        <v>0</v>
      </c>
      <c r="AE191" s="305">
        <f t="shared" si="134"/>
        <v>0</v>
      </c>
      <c r="AF191" s="305">
        <f t="shared" si="134"/>
        <v>0</v>
      </c>
      <c r="AG191" s="305">
        <f t="shared" si="134"/>
        <v>0</v>
      </c>
      <c r="AH191" s="305">
        <f t="shared" si="134"/>
        <v>0</v>
      </c>
      <c r="AI191" s="305">
        <f t="shared" si="134"/>
        <v>0</v>
      </c>
      <c r="AJ191" s="305">
        <f t="shared" si="134"/>
        <v>0</v>
      </c>
      <c r="AK191" s="305">
        <f t="shared" si="134"/>
        <v>0</v>
      </c>
      <c r="AL191" s="305">
        <f t="shared" si="134"/>
        <v>0</v>
      </c>
      <c r="AM191" s="305">
        <f t="shared" si="134"/>
        <v>0</v>
      </c>
      <c r="AN191" s="305">
        <f t="shared" si="134"/>
        <v>0</v>
      </c>
      <c r="AO191" s="305">
        <f t="shared" si="134"/>
        <v>0</v>
      </c>
      <c r="AP191" s="305">
        <f t="shared" si="134"/>
        <v>0</v>
      </c>
      <c r="AQ191" s="305">
        <f t="shared" si="134"/>
        <v>0</v>
      </c>
      <c r="AR191" s="58">
        <f t="shared" si="134"/>
        <v>0</v>
      </c>
      <c r="AS191" s="305">
        <f t="shared" si="134"/>
        <v>0</v>
      </c>
      <c r="AT191" s="305">
        <f t="shared" si="134"/>
        <v>0</v>
      </c>
      <c r="AU191" s="305">
        <f t="shared" si="134"/>
        <v>0</v>
      </c>
      <c r="AV191" s="305">
        <f t="shared" si="134"/>
        <v>0</v>
      </c>
      <c r="AW191" s="305">
        <f t="shared" si="134"/>
        <v>0</v>
      </c>
      <c r="AX191" s="305">
        <f t="shared" si="134"/>
        <v>0</v>
      </c>
      <c r="AY191" s="305">
        <f t="shared" si="134"/>
        <v>0</v>
      </c>
      <c r="AZ191" s="305">
        <f t="shared" si="134"/>
        <v>0</v>
      </c>
      <c r="BA191" s="305">
        <f t="shared" si="134"/>
        <v>0</v>
      </c>
      <c r="BB191" s="305">
        <f t="shared" si="134"/>
        <v>0</v>
      </c>
      <c r="BC191" s="305">
        <f t="shared" si="134"/>
        <v>0</v>
      </c>
      <c r="BD191" s="305">
        <f t="shared" si="134"/>
        <v>0</v>
      </c>
      <c r="BE191" s="305">
        <f t="shared" si="134"/>
        <v>0</v>
      </c>
      <c r="BF191" s="305">
        <f t="shared" si="134"/>
        <v>0</v>
      </c>
      <c r="BG191" s="305">
        <f t="shared" si="134"/>
        <v>0</v>
      </c>
      <c r="BH191" s="305">
        <f t="shared" si="134"/>
        <v>0</v>
      </c>
      <c r="BI191" s="305">
        <f t="shared" si="134"/>
        <v>0</v>
      </c>
      <c r="BJ191" s="305">
        <f t="shared" si="134"/>
        <v>0</v>
      </c>
      <c r="BK191" s="305">
        <f t="shared" si="134"/>
        <v>0</v>
      </c>
      <c r="BL191" s="305">
        <f>IF($D181=0,0,BL183*(BL173-$D181)/BL173)</f>
        <v>0</v>
      </c>
      <c r="BM191" s="305">
        <f>IF($D181=0,0,BM183*(BM173-$D181)/BM173)</f>
        <v>0</v>
      </c>
      <c r="BN191" s="305">
        <f>IF($D181=0,0,BN183*(BN173-$D181)/BN173)</f>
        <v>0</v>
      </c>
      <c r="BO191" s="8">
        <f>IF(D191=0,0,BO184)</f>
        <v>0</v>
      </c>
      <c r="BP191" s="43"/>
      <c r="BQ191" s="43"/>
      <c r="BR191" s="42"/>
    </row>
    <row r="192" spans="1:70" ht="16.5">
      <c r="A192" s="41"/>
      <c r="B192" s="9">
        <f t="shared" si="128"/>
        <v>9</v>
      </c>
      <c r="C192" s="300" t="s">
        <v>57</v>
      </c>
      <c r="D192" s="8">
        <f>IF($D182=0,0,D183*(D173-$D182)/D173)</f>
        <v>0</v>
      </c>
      <c r="E192" s="305">
        <f t="shared" ref="E192:BK192" si="135">IF($D182=0,0,E183*(E173-$D182)/E173)</f>
        <v>0</v>
      </c>
      <c r="F192" s="306">
        <f t="shared" si="135"/>
        <v>0</v>
      </c>
      <c r="G192" s="306">
        <f t="shared" si="135"/>
        <v>0</v>
      </c>
      <c r="H192" s="306">
        <f t="shared" si="135"/>
        <v>0</v>
      </c>
      <c r="I192" s="305">
        <f t="shared" si="135"/>
        <v>0</v>
      </c>
      <c r="J192" s="305">
        <f t="shared" si="135"/>
        <v>0</v>
      </c>
      <c r="K192" s="305">
        <f t="shared" si="135"/>
        <v>0</v>
      </c>
      <c r="L192" s="305">
        <f t="shared" si="135"/>
        <v>0</v>
      </c>
      <c r="M192" s="305">
        <f t="shared" si="135"/>
        <v>0</v>
      </c>
      <c r="N192" s="305">
        <f t="shared" si="135"/>
        <v>0</v>
      </c>
      <c r="O192" s="305">
        <f t="shared" si="135"/>
        <v>0</v>
      </c>
      <c r="P192" s="305">
        <f t="shared" si="135"/>
        <v>0</v>
      </c>
      <c r="Q192" s="305">
        <f t="shared" si="135"/>
        <v>0</v>
      </c>
      <c r="R192" s="305">
        <f t="shared" si="135"/>
        <v>0</v>
      </c>
      <c r="S192" s="305">
        <f t="shared" si="135"/>
        <v>0</v>
      </c>
      <c r="T192" s="305">
        <f t="shared" si="135"/>
        <v>0</v>
      </c>
      <c r="U192" s="305">
        <f t="shared" si="135"/>
        <v>0</v>
      </c>
      <c r="V192" s="305">
        <f t="shared" si="135"/>
        <v>0</v>
      </c>
      <c r="W192" s="305">
        <f t="shared" si="135"/>
        <v>0</v>
      </c>
      <c r="X192" s="305">
        <f t="shared" si="135"/>
        <v>0</v>
      </c>
      <c r="Y192" s="305">
        <f t="shared" si="135"/>
        <v>0</v>
      </c>
      <c r="Z192" s="305">
        <f t="shared" si="135"/>
        <v>0</v>
      </c>
      <c r="AA192" s="305">
        <f t="shared" si="135"/>
        <v>0</v>
      </c>
      <c r="AB192" s="305">
        <f t="shared" si="135"/>
        <v>0</v>
      </c>
      <c r="AC192" s="305">
        <f t="shared" si="135"/>
        <v>0</v>
      </c>
      <c r="AD192" s="305">
        <f t="shared" si="135"/>
        <v>0</v>
      </c>
      <c r="AE192" s="305">
        <f t="shared" si="135"/>
        <v>0</v>
      </c>
      <c r="AF192" s="305">
        <f t="shared" si="135"/>
        <v>0</v>
      </c>
      <c r="AG192" s="305">
        <f t="shared" si="135"/>
        <v>0</v>
      </c>
      <c r="AH192" s="305">
        <f t="shared" si="135"/>
        <v>0</v>
      </c>
      <c r="AI192" s="305">
        <f t="shared" si="135"/>
        <v>0</v>
      </c>
      <c r="AJ192" s="305">
        <f t="shared" si="135"/>
        <v>0</v>
      </c>
      <c r="AK192" s="305">
        <f t="shared" si="135"/>
        <v>0</v>
      </c>
      <c r="AL192" s="305">
        <f t="shared" si="135"/>
        <v>0</v>
      </c>
      <c r="AM192" s="305">
        <f t="shared" si="135"/>
        <v>0</v>
      </c>
      <c r="AN192" s="305">
        <f t="shared" si="135"/>
        <v>0</v>
      </c>
      <c r="AO192" s="305">
        <f t="shared" si="135"/>
        <v>0</v>
      </c>
      <c r="AP192" s="305">
        <f t="shared" si="135"/>
        <v>0</v>
      </c>
      <c r="AQ192" s="305">
        <f t="shared" si="135"/>
        <v>0</v>
      </c>
      <c r="AR192" s="58">
        <f t="shared" si="135"/>
        <v>0</v>
      </c>
      <c r="AS192" s="305">
        <f t="shared" si="135"/>
        <v>0</v>
      </c>
      <c r="AT192" s="305">
        <f t="shared" si="135"/>
        <v>0</v>
      </c>
      <c r="AU192" s="305">
        <f t="shared" si="135"/>
        <v>0</v>
      </c>
      <c r="AV192" s="305">
        <f t="shared" si="135"/>
        <v>0</v>
      </c>
      <c r="AW192" s="305">
        <f t="shared" si="135"/>
        <v>0</v>
      </c>
      <c r="AX192" s="305">
        <f t="shared" si="135"/>
        <v>0</v>
      </c>
      <c r="AY192" s="305">
        <f t="shared" si="135"/>
        <v>0</v>
      </c>
      <c r="AZ192" s="305">
        <f t="shared" si="135"/>
        <v>0</v>
      </c>
      <c r="BA192" s="305">
        <f t="shared" si="135"/>
        <v>0</v>
      </c>
      <c r="BB192" s="305">
        <f t="shared" si="135"/>
        <v>0</v>
      </c>
      <c r="BC192" s="305">
        <f t="shared" si="135"/>
        <v>0</v>
      </c>
      <c r="BD192" s="305">
        <f t="shared" si="135"/>
        <v>0</v>
      </c>
      <c r="BE192" s="305">
        <f t="shared" si="135"/>
        <v>0</v>
      </c>
      <c r="BF192" s="305">
        <f t="shared" si="135"/>
        <v>0</v>
      </c>
      <c r="BG192" s="305">
        <f t="shared" si="135"/>
        <v>0</v>
      </c>
      <c r="BH192" s="305">
        <f t="shared" si="135"/>
        <v>0</v>
      </c>
      <c r="BI192" s="305">
        <f t="shared" si="135"/>
        <v>0</v>
      </c>
      <c r="BJ192" s="305">
        <f t="shared" si="135"/>
        <v>0</v>
      </c>
      <c r="BK192" s="305">
        <f t="shared" si="135"/>
        <v>0</v>
      </c>
      <c r="BL192" s="305">
        <f>IF($D182=0,0,BL183*(BL173-$D182)/BL173)</f>
        <v>0</v>
      </c>
      <c r="BM192" s="305">
        <f>IF($D182=0,0,BM183*(BM173-$D182)/BM173)</f>
        <v>0</v>
      </c>
      <c r="BN192" s="305">
        <f>IF($D182=0,0,BN183*(BN173-$D182)/BN173)</f>
        <v>0</v>
      </c>
      <c r="BO192" s="8">
        <f>IF(D192=0,0,BO184)</f>
        <v>0</v>
      </c>
      <c r="BP192" s="43"/>
      <c r="BQ192" s="43"/>
      <c r="BR192" s="42"/>
    </row>
    <row r="193" spans="1:70" ht="16.5">
      <c r="A193" s="41"/>
      <c r="B193" s="292" t="s">
        <v>119</v>
      </c>
      <c r="C193" s="300" t="s">
        <v>58</v>
      </c>
      <c r="D193" s="8">
        <f>D183*(D173-$F170)/D173</f>
        <v>-9.7615326232016922E-2</v>
      </c>
      <c r="E193" s="10">
        <f t="shared" ref="E193:BK193" si="136">E183*(E173-$F170)/E173</f>
        <v>-6.7681543831180691E-2</v>
      </c>
      <c r="F193" s="32">
        <f t="shared" si="136"/>
        <v>-5.1422502726463176E-2</v>
      </c>
      <c r="G193" s="32">
        <f t="shared" si="136"/>
        <v>-4.1209999801669568E-2</v>
      </c>
      <c r="H193" s="32">
        <f t="shared" si="136"/>
        <v>-3.4199928962238203E-2</v>
      </c>
      <c r="I193" s="10">
        <f t="shared" si="136"/>
        <v>-2.9090129818677056E-2</v>
      </c>
      <c r="J193" s="10">
        <f t="shared" si="136"/>
        <v>-2.5200149087557584E-2</v>
      </c>
      <c r="K193" s="10">
        <f t="shared" si="136"/>
        <v>-2.2139768369180694E-2</v>
      </c>
      <c r="L193" s="10">
        <f t="shared" si="136"/>
        <v>-1.9669171901799704E-2</v>
      </c>
      <c r="M193" s="10">
        <f t="shared" si="136"/>
        <v>-1.7632852750997435E-2</v>
      </c>
      <c r="N193" s="10">
        <f t="shared" si="136"/>
        <v>-1.5925556801946756E-2</v>
      </c>
      <c r="O193" s="10">
        <f t="shared" si="136"/>
        <v>-1.4473500824922943E-2</v>
      </c>
      <c r="P193" s="10">
        <f t="shared" si="136"/>
        <v>-1.3223428339281281E-2</v>
      </c>
      <c r="Q193" s="10">
        <f t="shared" si="136"/>
        <v>-1.2135935535794711E-2</v>
      </c>
      <c r="R193" s="10">
        <f t="shared" si="136"/>
        <v>-1.1181242219561533E-2</v>
      </c>
      <c r="S193" s="10">
        <f t="shared" si="136"/>
        <v>-1.0336422897399276E-2</v>
      </c>
      <c r="T193" s="10">
        <f t="shared" si="136"/>
        <v>-9.5835418540053605E-3</v>
      </c>
      <c r="U193" s="10">
        <f t="shared" si="136"/>
        <v>-8.908365664496487E-3</v>
      </c>
      <c r="V193" s="10">
        <f t="shared" si="136"/>
        <v>-8.2994547891597596E-3</v>
      </c>
      <c r="W193" s="10">
        <f t="shared" si="136"/>
        <v>-7.7475101237623797E-3</v>
      </c>
      <c r="X193" s="10">
        <f t="shared" si="136"/>
        <v>-7.2448947533621313E-3</v>
      </c>
      <c r="Y193" s="10">
        <f t="shared" si="136"/>
        <v>-6.7852784489187664E-3</v>
      </c>
      <c r="Z193" s="10">
        <f t="shared" si="136"/>
        <v>-6.3633696617816579E-3</v>
      </c>
      <c r="AA193" s="10">
        <f t="shared" si="136"/>
        <v>-5.9747108815304062E-3</v>
      </c>
      <c r="AB193" s="10">
        <f t="shared" si="136"/>
        <v>-5.6155205422458356E-3</v>
      </c>
      <c r="AC193" s="10">
        <f t="shared" si="136"/>
        <v>-5.2825695757062908E-3</v>
      </c>
      <c r="AD193" s="10">
        <f t="shared" si="136"/>
        <v>-4.973084065143735E-3</v>
      </c>
      <c r="AE193" s="10">
        <f t="shared" si="136"/>
        <v>-4.6846677804799133E-3</v>
      </c>
      <c r="AF193" s="10">
        <f t="shared" si="136"/>
        <v>-4.4152400137498051E-3</v>
      </c>
      <c r="AG193" s="10">
        <f t="shared" si="136"/>
        <v>-4.1629853014475311E-3</v>
      </c>
      <c r="AH193" s="10">
        <f t="shared" si="136"/>
        <v>-3.9263124638848233E-3</v>
      </c>
      <c r="AI193" s="10">
        <f t="shared" si="136"/>
        <v>-3.7038210076057866E-3</v>
      </c>
      <c r="AJ193" s="10">
        <f t="shared" si="136"/>
        <v>-3.4942733916013507E-3</v>
      </c>
      <c r="AK193" s="10">
        <f t="shared" si="136"/>
        <v>-3.296571997092847E-3</v>
      </c>
      <c r="AL193" s="10">
        <f t="shared" si="136"/>
        <v>-3.1097398958043628E-3</v>
      </c>
      <c r="AM193" s="10">
        <f t="shared" si="136"/>
        <v>-2.9329047053576734E-3</v>
      </c>
      <c r="AN193" s="10">
        <f t="shared" si="136"/>
        <v>-2.7652849687099601E-3</v>
      </c>
      <c r="AO193" s="10">
        <f t="shared" si="136"/>
        <v>-2.6061786089494068E-3</v>
      </c>
      <c r="AP193" s="10">
        <f t="shared" si="136"/>
        <v>-2.4549530996607317E-3</v>
      </c>
      <c r="AQ193" s="10">
        <f t="shared" si="136"/>
        <v>-2.3110370606340019E-3</v>
      </c>
      <c r="AR193" s="58">
        <f t="shared" si="136"/>
        <v>-2.1739130434782618E-3</v>
      </c>
      <c r="AS193" s="10">
        <f t="shared" si="136"/>
        <v>-1.8605119147580859E-3</v>
      </c>
      <c r="AT193" s="10">
        <f t="shared" si="136"/>
        <v>-1.5799202443887541E-3</v>
      </c>
      <c r="AU193" s="10">
        <f t="shared" si="136"/>
        <v>-1.3272421495432701E-3</v>
      </c>
      <c r="AV193" s="10">
        <f t="shared" si="136"/>
        <v>-1.0985096870342772E-3</v>
      </c>
      <c r="AW193" s="10">
        <f t="shared" si="136"/>
        <v>-8.9047295321059575E-4</v>
      </c>
      <c r="AX193" s="10">
        <f t="shared" si="136"/>
        <v>-7.0044469317683358E-4</v>
      </c>
      <c r="AY193" s="10">
        <f t="shared" si="136"/>
        <v>-5.2618358958745606E-4</v>
      </c>
      <c r="AZ193" s="10">
        <f t="shared" si="136"/>
        <v>-3.6580544573751306E-4</v>
      </c>
      <c r="BA193" s="10">
        <f t="shared" si="136"/>
        <v>-2.1771478295793011E-4</v>
      </c>
      <c r="BB193" s="10">
        <f t="shared" si="136"/>
        <v>-8.0551580087417075E-5</v>
      </c>
      <c r="BC193" s="10">
        <f t="shared" si="136"/>
        <v>4.6850616447299165E-5</v>
      </c>
      <c r="BD193" s="10">
        <f t="shared" si="136"/>
        <v>1.6425149557880718E-4</v>
      </c>
      <c r="BE193" s="10">
        <f t="shared" si="136"/>
        <v>2.654958331938823E-4</v>
      </c>
      <c r="BF193" s="10">
        <f t="shared" si="136"/>
        <v>3.5458787751677882E-4</v>
      </c>
      <c r="BG193" s="10">
        <f t="shared" si="136"/>
        <v>4.3359170186876167E-4</v>
      </c>
      <c r="BH193" s="10">
        <f t="shared" si="136"/>
        <v>5.0412898151789252E-4</v>
      </c>
      <c r="BI193" s="10">
        <f t="shared" si="136"/>
        <v>5.6749149108229911E-4</v>
      </c>
      <c r="BJ193" s="10">
        <f t="shared" si="136"/>
        <v>6.2472093495247465E-4</v>
      </c>
      <c r="BK193" s="10">
        <f t="shared" si="136"/>
        <v>6.7666666666666678E-4</v>
      </c>
      <c r="BL193" s="10">
        <f>BL183*(BL173-$F170)/BL173</f>
        <v>1.1462499999999999E-3</v>
      </c>
      <c r="BM193" s="10">
        <f>BM183*(BM173-$F170)/BM173</f>
        <v>1.33E-3</v>
      </c>
      <c r="BN193" s="10">
        <f>BN183*(BN173-$F170)/BN173</f>
        <v>1.4279999999999998E-3</v>
      </c>
      <c r="BO193" s="8">
        <f>BO184</f>
        <v>1.75E-3</v>
      </c>
      <c r="BP193" s="41"/>
      <c r="BQ193" s="41"/>
      <c r="BR193" s="41"/>
    </row>
    <row r="194" spans="1:70" ht="16.5">
      <c r="A194" s="41"/>
      <c r="B194" s="293" t="s">
        <v>59</v>
      </c>
      <c r="C194" s="301" t="s">
        <v>60</v>
      </c>
      <c r="D194" s="12">
        <f t="shared" ref="D194:BJ194" si="137">IF(D184&lt;0,MAX(-$C$10,200000*D184),MIN(200000*D184,$C$10)-IF(AND($C170&lt;$C$8*D173,$C170&gt;0),$C$9,0))</f>
        <v>-142.62771860014104</v>
      </c>
      <c r="E194" s="307">
        <f t="shared" si="137"/>
        <v>106.82046807349431</v>
      </c>
      <c r="F194" s="307">
        <f t="shared" si="137"/>
        <v>219.64581061280691</v>
      </c>
      <c r="G194" s="307">
        <f t="shared" si="137"/>
        <v>304.75000165275361</v>
      </c>
      <c r="H194" s="307">
        <f t="shared" si="137"/>
        <v>363.16725864801498</v>
      </c>
      <c r="I194" s="307">
        <f t="shared" si="137"/>
        <v>405.74891817769122</v>
      </c>
      <c r="J194" s="307">
        <f t="shared" si="137"/>
        <v>412.1159420289855</v>
      </c>
      <c r="K194" s="307">
        <f t="shared" si="137"/>
        <v>412.1159420289855</v>
      </c>
      <c r="L194" s="307">
        <f t="shared" si="137"/>
        <v>412.1159420289855</v>
      </c>
      <c r="M194" s="307">
        <f t="shared" si="137"/>
        <v>412.1159420289855</v>
      </c>
      <c r="N194" s="307">
        <f t="shared" si="137"/>
        <v>412.1159420289855</v>
      </c>
      <c r="O194" s="307">
        <f t="shared" si="137"/>
        <v>412.1159420289855</v>
      </c>
      <c r="P194" s="307">
        <f t="shared" si="137"/>
        <v>412.1159420289855</v>
      </c>
      <c r="Q194" s="307">
        <f t="shared" si="137"/>
        <v>412.1159420289855</v>
      </c>
      <c r="R194" s="307">
        <f t="shared" si="137"/>
        <v>412.1159420289855</v>
      </c>
      <c r="S194" s="307">
        <f t="shared" si="137"/>
        <v>412.1159420289855</v>
      </c>
      <c r="T194" s="307">
        <f t="shared" si="137"/>
        <v>412.1159420289855</v>
      </c>
      <c r="U194" s="307">
        <f t="shared" si="137"/>
        <v>412.1159420289855</v>
      </c>
      <c r="V194" s="307">
        <f t="shared" si="137"/>
        <v>412.1159420289855</v>
      </c>
      <c r="W194" s="307">
        <f t="shared" si="137"/>
        <v>412.1159420289855</v>
      </c>
      <c r="X194" s="307">
        <f t="shared" si="137"/>
        <v>412.1159420289855</v>
      </c>
      <c r="Y194" s="307">
        <f t="shared" si="137"/>
        <v>412.1159420289855</v>
      </c>
      <c r="Z194" s="307">
        <f t="shared" si="137"/>
        <v>412.1159420289855</v>
      </c>
      <c r="AA194" s="307">
        <f t="shared" si="137"/>
        <v>412.1159420289855</v>
      </c>
      <c r="AB194" s="307">
        <f t="shared" si="137"/>
        <v>412.1159420289855</v>
      </c>
      <c r="AC194" s="307">
        <f t="shared" si="137"/>
        <v>412.1159420289855</v>
      </c>
      <c r="AD194" s="307">
        <f t="shared" si="137"/>
        <v>412.1159420289855</v>
      </c>
      <c r="AE194" s="307">
        <f t="shared" si="137"/>
        <v>412.1159420289855</v>
      </c>
      <c r="AF194" s="307">
        <f t="shared" si="137"/>
        <v>412.1159420289855</v>
      </c>
      <c r="AG194" s="307">
        <f t="shared" si="137"/>
        <v>412.1159420289855</v>
      </c>
      <c r="AH194" s="307">
        <f t="shared" si="137"/>
        <v>412.1159420289855</v>
      </c>
      <c r="AI194" s="307">
        <f t="shared" si="137"/>
        <v>412.1159420289855</v>
      </c>
      <c r="AJ194" s="307">
        <f t="shared" si="137"/>
        <v>412.1159420289855</v>
      </c>
      <c r="AK194" s="307">
        <f t="shared" si="137"/>
        <v>412.1159420289855</v>
      </c>
      <c r="AL194" s="307">
        <f t="shared" si="137"/>
        <v>412.1159420289855</v>
      </c>
      <c r="AM194" s="307">
        <f t="shared" si="137"/>
        <v>412.1159420289855</v>
      </c>
      <c r="AN194" s="307">
        <f t="shared" si="137"/>
        <v>412.1159420289855</v>
      </c>
      <c r="AO194" s="307">
        <f t="shared" si="137"/>
        <v>412.1159420289855</v>
      </c>
      <c r="AP194" s="307">
        <f t="shared" si="137"/>
        <v>412.1159420289855</v>
      </c>
      <c r="AQ194" s="307">
        <f t="shared" si="137"/>
        <v>412.1159420289855</v>
      </c>
      <c r="AR194" s="61">
        <f t="shared" si="137"/>
        <v>412.1159420289855</v>
      </c>
      <c r="AS194" s="307">
        <f t="shared" si="137"/>
        <v>412.1159420289855</v>
      </c>
      <c r="AT194" s="307">
        <f t="shared" si="137"/>
        <v>412.1159420289855</v>
      </c>
      <c r="AU194" s="307">
        <f t="shared" si="137"/>
        <v>412.1159420289855</v>
      </c>
      <c r="AV194" s="307">
        <f t="shared" si="137"/>
        <v>412.1159420289855</v>
      </c>
      <c r="AW194" s="307">
        <f t="shared" si="137"/>
        <v>412.1159420289855</v>
      </c>
      <c r="AX194" s="307">
        <f t="shared" si="137"/>
        <v>412.1159420289855</v>
      </c>
      <c r="AY194" s="307">
        <f t="shared" si="137"/>
        <v>412.1159420289855</v>
      </c>
      <c r="AZ194" s="307">
        <f t="shared" si="137"/>
        <v>412.1159420289855</v>
      </c>
      <c r="BA194" s="307">
        <f t="shared" si="137"/>
        <v>412.1159420289855</v>
      </c>
      <c r="BB194" s="307">
        <f t="shared" si="137"/>
        <v>412.1159420289855</v>
      </c>
      <c r="BC194" s="307">
        <f t="shared" si="137"/>
        <v>412.1159420289855</v>
      </c>
      <c r="BD194" s="307">
        <f t="shared" si="137"/>
        <v>412.1159420289855</v>
      </c>
      <c r="BE194" s="307">
        <f t="shared" si="137"/>
        <v>412.1159420289855</v>
      </c>
      <c r="BF194" s="307">
        <f t="shared" si="137"/>
        <v>412.1159420289855</v>
      </c>
      <c r="BG194" s="307">
        <f t="shared" si="137"/>
        <v>412.1159420289855</v>
      </c>
      <c r="BH194" s="307">
        <f t="shared" si="137"/>
        <v>412.1159420289855</v>
      </c>
      <c r="BI194" s="307">
        <f t="shared" si="137"/>
        <v>412.1159420289855</v>
      </c>
      <c r="BJ194" s="307">
        <f t="shared" si="137"/>
        <v>412.1159420289855</v>
      </c>
      <c r="BK194" s="307">
        <f>IF(BK184&lt;0,MAX(-$C$10,200000*BK184),MIN(200000*BK184,$C$10)-IF(AND($C170&lt;$C$8*BK173,$C170&gt;0),$C$9,0))</f>
        <v>412.1159420289855</v>
      </c>
      <c r="BL194" s="307">
        <f>IF(BL184&lt;0,MAX(-$C$10,200000*BL184),MIN(200000*BL184,$C$10)-IF(AND($C170&lt;$C$8*BL173,$C170&gt;0),$C$9,0))</f>
        <v>412.1159420289855</v>
      </c>
      <c r="BM194" s="307">
        <f>IF(BM184&lt;0,MAX(-$C$10,200000*BM184),MIN(200000*BM184,$C$10)-IF(AND($C170&lt;$C$8*BM173,$C170&gt;0),$C$9,0))</f>
        <v>411.33333333333331</v>
      </c>
      <c r="BN194" s="307">
        <f>IF(BN184&lt;0,MAX(-$C$10,200000*BN184),MIN(200000*BN184,$C$10)-IF(AND($C170&lt;$C$8*BN173,$C170&gt;0),$C$9,0))</f>
        <v>391.73333333333323</v>
      </c>
      <c r="BO194" s="12">
        <f>200000*BO184-C$9</f>
        <v>327.33333333333331</v>
      </c>
      <c r="BP194" s="41"/>
      <c r="BQ194" s="41"/>
      <c r="BR194" s="41"/>
    </row>
    <row r="195" spans="1:70" ht="16.5">
      <c r="A195" s="41"/>
      <c r="B195" s="11">
        <v>2</v>
      </c>
      <c r="C195" s="302" t="s">
        <v>61</v>
      </c>
      <c r="D195" s="12">
        <f t="shared" ref="D195:AI195" si="138">IF(D185&lt;0,MAX(-$C$10,200000*D185),MIN(200000*D185,$C$10)-IF(AND($D175&lt;$C$8*D173,$D175&gt;0),$C$9,0))</f>
        <v>-434.78260869565219</v>
      </c>
      <c r="E195" s="307">
        <f t="shared" si="138"/>
        <v>-434.78260869565219</v>
      </c>
      <c r="F195" s="307">
        <f t="shared" si="138"/>
        <v>-434.78260869565219</v>
      </c>
      <c r="G195" s="307">
        <f t="shared" si="138"/>
        <v>-434.78260869565219</v>
      </c>
      <c r="H195" s="307">
        <f t="shared" si="138"/>
        <v>-434.78260869565219</v>
      </c>
      <c r="I195" s="307">
        <f t="shared" si="138"/>
        <v>-434.78260869565219</v>
      </c>
      <c r="J195" s="307">
        <f t="shared" si="138"/>
        <v>-434.78260869565219</v>
      </c>
      <c r="K195" s="307">
        <f t="shared" si="138"/>
        <v>-434.78260869565219</v>
      </c>
      <c r="L195" s="307">
        <f t="shared" si="138"/>
        <v>-434.78260869565219</v>
      </c>
      <c r="M195" s="307">
        <f t="shared" si="138"/>
        <v>-434.78260869565219</v>
      </c>
      <c r="N195" s="307">
        <f t="shared" si="138"/>
        <v>-434.78260869565219</v>
      </c>
      <c r="O195" s="307">
        <f t="shared" si="138"/>
        <v>-434.78260869565219</v>
      </c>
      <c r="P195" s="307">
        <f t="shared" si="138"/>
        <v>-434.78260869565219</v>
      </c>
      <c r="Q195" s="307">
        <f t="shared" si="138"/>
        <v>-429.26201091850692</v>
      </c>
      <c r="R195" s="307">
        <f t="shared" si="138"/>
        <v>-360.31193807944396</v>
      </c>
      <c r="S195" s="307">
        <f t="shared" si="138"/>
        <v>-299.29720925661445</v>
      </c>
      <c r="T195" s="307">
        <f t="shared" si="138"/>
        <v>-244.92246723372045</v>
      </c>
      <c r="U195" s="307">
        <f t="shared" si="138"/>
        <v>-196.15974243585742</v>
      </c>
      <c r="V195" s="307">
        <f t="shared" si="138"/>
        <v>-152.18284588376042</v>
      </c>
      <c r="W195" s="307">
        <f t="shared" si="138"/>
        <v>-112.32017560506077</v>
      </c>
      <c r="X195" s="307">
        <f t="shared" si="138"/>
        <v>-76.020176631709461</v>
      </c>
      <c r="Y195" s="307">
        <f t="shared" si="138"/>
        <v>-42.825665755244188</v>
      </c>
      <c r="Z195" s="307">
        <f t="shared" si="138"/>
        <v>-12.35447557311972</v>
      </c>
      <c r="AA195" s="307">
        <f t="shared" si="138"/>
        <v>15.71532522280401</v>
      </c>
      <c r="AB195" s="307">
        <f t="shared" si="138"/>
        <v>41.656849726689664</v>
      </c>
      <c r="AC195" s="307">
        <f t="shared" si="138"/>
        <v>65.703308421212341</v>
      </c>
      <c r="AD195" s="307">
        <f t="shared" si="138"/>
        <v>88.055039739619176</v>
      </c>
      <c r="AE195" s="307">
        <f t="shared" si="138"/>
        <v>108.88510474311742</v>
      </c>
      <c r="AF195" s="307">
        <f t="shared" si="138"/>
        <v>128.34377678473632</v>
      </c>
      <c r="AG195" s="307">
        <f t="shared" si="138"/>
        <v>123.8955060065672</v>
      </c>
      <c r="AH195" s="307">
        <f t="shared" si="138"/>
        <v>140.98854427498503</v>
      </c>
      <c r="AI195" s="307">
        <f t="shared" si="138"/>
        <v>157.05737167291539</v>
      </c>
      <c r="AJ195" s="307">
        <f t="shared" ref="AJ195:BK195" si="139">IF(AJ185&lt;0,MAX(-$C$10,200000*AJ185),MIN(200000*AJ185,$C$10)-IF(AND($D175&lt;$C$8*AJ173,$D175&gt;0),$C$9,0))</f>
        <v>172.19136616212469</v>
      </c>
      <c r="AK195" s="307">
        <f t="shared" si="139"/>
        <v>186.46980020996108</v>
      </c>
      <c r="AL195" s="307">
        <f t="shared" si="139"/>
        <v>199.96322974746269</v>
      </c>
      <c r="AM195" s="307">
        <f t="shared" si="139"/>
        <v>212.73466016861252</v>
      </c>
      <c r="AN195" s="307">
        <f t="shared" si="139"/>
        <v>224.840530037614</v>
      </c>
      <c r="AO195" s="307">
        <f t="shared" si="139"/>
        <v>236.3315449092095</v>
      </c>
      <c r="AP195" s="307">
        <f t="shared" si="139"/>
        <v>247.253387246725</v>
      </c>
      <c r="AQ195" s="307">
        <f t="shared" si="139"/>
        <v>257.64732339865543</v>
      </c>
      <c r="AR195" s="61">
        <f t="shared" si="139"/>
        <v>267.55072463768107</v>
      </c>
      <c r="AS195" s="307">
        <f t="shared" si="139"/>
        <v>290.18525060080492</v>
      </c>
      <c r="AT195" s="307">
        <f t="shared" si="139"/>
        <v>310.45020457192334</v>
      </c>
      <c r="AU195" s="307">
        <f t="shared" si="139"/>
        <v>328.6991780885416</v>
      </c>
      <c r="AV195" s="307">
        <f t="shared" si="139"/>
        <v>345.21874482530217</v>
      </c>
      <c r="AW195" s="307">
        <f t="shared" si="139"/>
        <v>360.24362004590142</v>
      </c>
      <c r="AX195" s="307">
        <f t="shared" si="139"/>
        <v>373.96788327056203</v>
      </c>
      <c r="AY195" s="307">
        <f t="shared" si="139"/>
        <v>386.55340741868372</v>
      </c>
      <c r="AZ195" s="307">
        <f t="shared" si="139"/>
        <v>398.13627336340181</v>
      </c>
      <c r="BA195" s="307">
        <f t="shared" si="139"/>
        <v>408.83171011970501</v>
      </c>
      <c r="BB195" s="307">
        <f t="shared" si="139"/>
        <v>412.1159420289855</v>
      </c>
      <c r="BC195" s="307">
        <f t="shared" si="139"/>
        <v>412.1159420289855</v>
      </c>
      <c r="BD195" s="307">
        <f t="shared" si="139"/>
        <v>412.1159420289855</v>
      </c>
      <c r="BE195" s="307">
        <f t="shared" si="139"/>
        <v>412.1159420289855</v>
      </c>
      <c r="BF195" s="307">
        <f t="shared" si="139"/>
        <v>412.1159420289855</v>
      </c>
      <c r="BG195" s="307">
        <f t="shared" si="139"/>
        <v>412.1159420289855</v>
      </c>
      <c r="BH195" s="307">
        <f t="shared" si="139"/>
        <v>410.39140123214054</v>
      </c>
      <c r="BI195" s="307">
        <f t="shared" si="139"/>
        <v>406.16723392784678</v>
      </c>
      <c r="BJ195" s="307">
        <f t="shared" si="139"/>
        <v>402.35193766983502</v>
      </c>
      <c r="BK195" s="307">
        <f t="shared" si="139"/>
        <v>398.88888888888891</v>
      </c>
      <c r="BL195" s="307">
        <f>IF(BL185&lt;0,MAX(-$C$10,200000*BL185),MIN(200000*BL185,$C$10)-IF(AND($D175&lt;$C$8*BL173,$D175&gt;0),$C$9,0))</f>
        <v>367.58333333333331</v>
      </c>
      <c r="BM195" s="307">
        <f>IF(BM185&lt;0,MAX(-$C$10,200000*BM185),MIN(200000*BM185,$C$10)-IF(AND($D175&lt;$C$8*BM173,$D175&gt;0),$C$9,0))</f>
        <v>355.33333333333331</v>
      </c>
      <c r="BN195" s="307">
        <f>IF(BN185&lt;0,MAX(-$C$10,200000*BN185),MIN(200000*BN185,$C$10)-IF(AND($D175&lt;$C$8*BN173,$D175&gt;0),$C$9,0))</f>
        <v>348.79999999999995</v>
      </c>
      <c r="BO195" s="12">
        <f>IF(D195=0,0,BO194)</f>
        <v>327.33333333333331</v>
      </c>
      <c r="BP195" s="43"/>
      <c r="BQ195" s="43"/>
      <c r="BR195" s="42"/>
    </row>
    <row r="196" spans="1:70" ht="16.5">
      <c r="A196" s="41"/>
      <c r="B196" s="11">
        <f t="shared" ref="B196:B202" si="140">1+B195</f>
        <v>3</v>
      </c>
      <c r="C196" s="302" t="s">
        <v>61</v>
      </c>
      <c r="D196" s="12">
        <f t="shared" ref="D196:AI196" si="141">IF(D186&lt;0,MAX(-$C$10,200000*D186),MIN(200000*D186,$C$10)-IF(AND($D176&lt;$C$8*D173,$D176&gt;0),$C$9,0))</f>
        <v>-434.78260869565219</v>
      </c>
      <c r="E196" s="307">
        <f t="shared" si="141"/>
        <v>-434.78260869565219</v>
      </c>
      <c r="F196" s="307">
        <f t="shared" si="141"/>
        <v>-434.78260869565219</v>
      </c>
      <c r="G196" s="307">
        <f t="shared" si="141"/>
        <v>-434.78260869565219</v>
      </c>
      <c r="H196" s="307">
        <f t="shared" si="141"/>
        <v>-434.78260869565219</v>
      </c>
      <c r="I196" s="307">
        <f t="shared" si="141"/>
        <v>-434.78260869565219</v>
      </c>
      <c r="J196" s="307">
        <f t="shared" si="141"/>
        <v>-434.78260869565219</v>
      </c>
      <c r="K196" s="307">
        <f t="shared" si="141"/>
        <v>-434.78260869565219</v>
      </c>
      <c r="L196" s="307">
        <f t="shared" si="141"/>
        <v>-434.78260869565219</v>
      </c>
      <c r="M196" s="307">
        <f t="shared" si="141"/>
        <v>-434.78260869565219</v>
      </c>
      <c r="N196" s="307">
        <f t="shared" si="141"/>
        <v>-434.78260869565219</v>
      </c>
      <c r="O196" s="307">
        <f t="shared" si="141"/>
        <v>-434.78260869565219</v>
      </c>
      <c r="P196" s="307">
        <f t="shared" si="141"/>
        <v>-434.78260869565219</v>
      </c>
      <c r="Q196" s="307">
        <f t="shared" si="141"/>
        <v>-434.78260869565219</v>
      </c>
      <c r="R196" s="307">
        <f t="shared" si="141"/>
        <v>-434.78260869565219</v>
      </c>
      <c r="S196" s="307">
        <f t="shared" si="141"/>
        <v>-434.78260869565219</v>
      </c>
      <c r="T196" s="307">
        <f t="shared" si="141"/>
        <v>-434.78260869565219</v>
      </c>
      <c r="U196" s="307">
        <f t="shared" si="141"/>
        <v>-434.78260869565219</v>
      </c>
      <c r="V196" s="307">
        <f t="shared" si="141"/>
        <v>-434.78260869565219</v>
      </c>
      <c r="W196" s="307">
        <f t="shared" si="141"/>
        <v>-434.78260869565219</v>
      </c>
      <c r="X196" s="307">
        <f t="shared" si="141"/>
        <v>-434.78260869565219</v>
      </c>
      <c r="Y196" s="307">
        <f t="shared" si="141"/>
        <v>-434.78260869565219</v>
      </c>
      <c r="Z196" s="307">
        <f t="shared" si="141"/>
        <v>-434.78260869565219</v>
      </c>
      <c r="AA196" s="307">
        <f t="shared" si="141"/>
        <v>-434.78260869565219</v>
      </c>
      <c r="AB196" s="307">
        <f t="shared" si="141"/>
        <v>-434.78260869565219</v>
      </c>
      <c r="AC196" s="307">
        <f t="shared" si="141"/>
        <v>-434.78260869565219</v>
      </c>
      <c r="AD196" s="307">
        <f t="shared" si="141"/>
        <v>-434.78260869565219</v>
      </c>
      <c r="AE196" s="307">
        <f t="shared" si="141"/>
        <v>-414.02422567643259</v>
      </c>
      <c r="AF196" s="307">
        <f t="shared" si="141"/>
        <v>-377.35211298261231</v>
      </c>
      <c r="AG196" s="307">
        <f t="shared" si="141"/>
        <v>-343.01744380813619</v>
      </c>
      <c r="AH196" s="307">
        <f t="shared" si="141"/>
        <v>-310.80364091765648</v>
      </c>
      <c r="AI196" s="307">
        <f t="shared" si="141"/>
        <v>-280.5200815907877</v>
      </c>
      <c r="AJ196" s="307">
        <f t="shared" ref="AJ196:BK196" si="142">IF(AJ186&lt;0,MAX(-$C$10,200000*AJ186),MIN(200000*AJ186,$C$10)-IF(AND($D176&lt;$C$8*AJ173,$D176&gt;0),$C$9,0))</f>
        <v>-251.99832274573942</v>
      </c>
      <c r="AK196" s="307">
        <f t="shared" si="142"/>
        <v>-225.08896627097084</v>
      </c>
      <c r="AL196" s="307">
        <f t="shared" si="142"/>
        <v>-199.65904137337159</v>
      </c>
      <c r="AM196" s="307">
        <f t="shared" si="142"/>
        <v>-175.58980711812774</v>
      </c>
      <c r="AN196" s="307">
        <f t="shared" si="142"/>
        <v>-152.77489851885574</v>
      </c>
      <c r="AO196" s="307">
        <f t="shared" si="142"/>
        <v>-131.11875510700256</v>
      </c>
      <c r="AP196" s="307">
        <f t="shared" si="142"/>
        <v>-110.53528300937734</v>
      </c>
      <c r="AQ196" s="307">
        <f t="shared" si="142"/>
        <v>-90.946711030739181</v>
      </c>
      <c r="AR196" s="61">
        <f t="shared" si="142"/>
        <v>-72.282608695652286</v>
      </c>
      <c r="AS196" s="307">
        <f t="shared" si="142"/>
        <v>-29.625232842072823</v>
      </c>
      <c r="AT196" s="307">
        <f t="shared" si="142"/>
        <v>8.5664111804195855</v>
      </c>
      <c r="AU196" s="307">
        <f t="shared" si="142"/>
        <v>42.958707423277133</v>
      </c>
      <c r="AV196" s="307">
        <f t="shared" si="142"/>
        <v>74.091737042556701</v>
      </c>
      <c r="AW196" s="307">
        <f t="shared" si="142"/>
        <v>102.40784803522446</v>
      </c>
      <c r="AX196" s="307">
        <f t="shared" si="142"/>
        <v>128.27280565093099</v>
      </c>
      <c r="AY196" s="307">
        <f t="shared" si="142"/>
        <v>129.32501141726291</v>
      </c>
      <c r="AZ196" s="307">
        <f t="shared" si="142"/>
        <v>151.1542587746163</v>
      </c>
      <c r="BA196" s="307">
        <f t="shared" si="142"/>
        <v>171.31104343072622</v>
      </c>
      <c r="BB196" s="307">
        <f t="shared" si="142"/>
        <v>189.98047937699047</v>
      </c>
      <c r="BC196" s="307">
        <f t="shared" si="142"/>
        <v>207.32133390532687</v>
      </c>
      <c r="BD196" s="307">
        <f t="shared" si="142"/>
        <v>221.61676637192051</v>
      </c>
      <c r="BE196" s="307">
        <f t="shared" si="142"/>
        <v>228.36638887959219</v>
      </c>
      <c r="BF196" s="307">
        <f t="shared" si="142"/>
        <v>234.30585850111859</v>
      </c>
      <c r="BG196" s="307">
        <f t="shared" si="142"/>
        <v>239.57278012458417</v>
      </c>
      <c r="BH196" s="307">
        <f t="shared" si="142"/>
        <v>244.27526543452618</v>
      </c>
      <c r="BI196" s="307">
        <f t="shared" si="142"/>
        <v>248.49943273881999</v>
      </c>
      <c r="BJ196" s="307">
        <f t="shared" si="142"/>
        <v>252.31472899683169</v>
      </c>
      <c r="BK196" s="307">
        <f t="shared" si="142"/>
        <v>255.7777777777778</v>
      </c>
      <c r="BL196" s="307">
        <f>IF(BL186&lt;0,MAX(-$C$10,200000*BL186),MIN(200000*BL186,$C$10)-IF(AND($D176&lt;$C$8*BL173,$D176&gt;0),$C$9,0))</f>
        <v>287.08333333333331</v>
      </c>
      <c r="BM196" s="307">
        <f>IF(BM186&lt;0,MAX(-$C$10,200000*BM186),MIN(200000*BM186,$C$10)-IF(AND($D176&lt;$C$8*BM173,$D176&gt;0),$C$9,0))</f>
        <v>299.33333333333331</v>
      </c>
      <c r="BN196" s="307">
        <f>IF(BN186&lt;0,MAX(-$C$10,200000*BN186),MIN(200000*BN186,$C$10)-IF(AND($D176&lt;$C$8*BN173,$D176&gt;0),$C$9,0))</f>
        <v>305.86666666666662</v>
      </c>
      <c r="BO196" s="12">
        <f>IF(D196=0,0,BO194)</f>
        <v>327.33333333333331</v>
      </c>
      <c r="BP196" s="43"/>
      <c r="BQ196" s="43"/>
      <c r="BR196" s="42"/>
    </row>
    <row r="197" spans="1:70" ht="16.5">
      <c r="A197" s="41"/>
      <c r="B197" s="11">
        <f t="shared" si="140"/>
        <v>4</v>
      </c>
      <c r="C197" s="302" t="s">
        <v>61</v>
      </c>
      <c r="D197" s="12">
        <f t="shared" ref="D197:AI197" si="143">IF(D187&lt;0,MAX(-$C$10,200000*D187),MIN(200000*D187,$C$10)-IF(AND($D177&lt;$C$8*D173,$D177&gt;0),$C$9,0))</f>
        <v>0</v>
      </c>
      <c r="E197" s="307">
        <f t="shared" si="143"/>
        <v>0</v>
      </c>
      <c r="F197" s="307">
        <f t="shared" si="143"/>
        <v>0</v>
      </c>
      <c r="G197" s="307">
        <f t="shared" si="143"/>
        <v>0</v>
      </c>
      <c r="H197" s="307">
        <f t="shared" si="143"/>
        <v>0</v>
      </c>
      <c r="I197" s="307">
        <f t="shared" si="143"/>
        <v>0</v>
      </c>
      <c r="J197" s="307">
        <f t="shared" si="143"/>
        <v>0</v>
      </c>
      <c r="K197" s="307">
        <f t="shared" si="143"/>
        <v>0</v>
      </c>
      <c r="L197" s="307">
        <f t="shared" si="143"/>
        <v>0</v>
      </c>
      <c r="M197" s="307">
        <f t="shared" si="143"/>
        <v>0</v>
      </c>
      <c r="N197" s="307">
        <f t="shared" si="143"/>
        <v>0</v>
      </c>
      <c r="O197" s="307">
        <f t="shared" si="143"/>
        <v>0</v>
      </c>
      <c r="P197" s="307">
        <f t="shared" si="143"/>
        <v>0</v>
      </c>
      <c r="Q197" s="307">
        <f t="shared" si="143"/>
        <v>0</v>
      </c>
      <c r="R197" s="307">
        <f t="shared" si="143"/>
        <v>0</v>
      </c>
      <c r="S197" s="307">
        <f t="shared" si="143"/>
        <v>0</v>
      </c>
      <c r="T197" s="307">
        <f t="shared" si="143"/>
        <v>0</v>
      </c>
      <c r="U197" s="307">
        <f t="shared" si="143"/>
        <v>0</v>
      </c>
      <c r="V197" s="307">
        <f t="shared" si="143"/>
        <v>0</v>
      </c>
      <c r="W197" s="307">
        <f t="shared" si="143"/>
        <v>0</v>
      </c>
      <c r="X197" s="307">
        <f t="shared" si="143"/>
        <v>0</v>
      </c>
      <c r="Y197" s="307">
        <f t="shared" si="143"/>
        <v>0</v>
      </c>
      <c r="Z197" s="307">
        <f t="shared" si="143"/>
        <v>0</v>
      </c>
      <c r="AA197" s="307">
        <f t="shared" si="143"/>
        <v>0</v>
      </c>
      <c r="AB197" s="307">
        <f t="shared" si="143"/>
        <v>0</v>
      </c>
      <c r="AC197" s="307">
        <f t="shared" si="143"/>
        <v>0</v>
      </c>
      <c r="AD197" s="307">
        <f t="shared" si="143"/>
        <v>0</v>
      </c>
      <c r="AE197" s="307">
        <f t="shared" si="143"/>
        <v>0</v>
      </c>
      <c r="AF197" s="307">
        <f t="shared" si="143"/>
        <v>0</v>
      </c>
      <c r="AG197" s="307">
        <f t="shared" si="143"/>
        <v>0</v>
      </c>
      <c r="AH197" s="307">
        <f t="shared" si="143"/>
        <v>0</v>
      </c>
      <c r="AI197" s="307">
        <f t="shared" si="143"/>
        <v>0</v>
      </c>
      <c r="AJ197" s="307">
        <f t="shared" ref="AJ197:BK197" si="144">IF(AJ187&lt;0,MAX(-$C$10,200000*AJ187),MIN(200000*AJ187,$C$10)-IF(AND($D177&lt;$C$8*AJ173,$D177&gt;0),$C$9,0))</f>
        <v>0</v>
      </c>
      <c r="AK197" s="307">
        <f t="shared" si="144"/>
        <v>0</v>
      </c>
      <c r="AL197" s="307">
        <f t="shared" si="144"/>
        <v>0</v>
      </c>
      <c r="AM197" s="307">
        <f t="shared" si="144"/>
        <v>0</v>
      </c>
      <c r="AN197" s="307">
        <f t="shared" si="144"/>
        <v>0</v>
      </c>
      <c r="AO197" s="307">
        <f t="shared" si="144"/>
        <v>0</v>
      </c>
      <c r="AP197" s="307">
        <f t="shared" si="144"/>
        <v>0</v>
      </c>
      <c r="AQ197" s="307">
        <f t="shared" si="144"/>
        <v>0</v>
      </c>
      <c r="AR197" s="61">
        <f t="shared" si="144"/>
        <v>0</v>
      </c>
      <c r="AS197" s="307">
        <f t="shared" si="144"/>
        <v>0</v>
      </c>
      <c r="AT197" s="307">
        <f t="shared" si="144"/>
        <v>0</v>
      </c>
      <c r="AU197" s="307">
        <f t="shared" si="144"/>
        <v>0</v>
      </c>
      <c r="AV197" s="307">
        <f t="shared" si="144"/>
        <v>0</v>
      </c>
      <c r="AW197" s="307">
        <f t="shared" si="144"/>
        <v>0</v>
      </c>
      <c r="AX197" s="307">
        <f t="shared" si="144"/>
        <v>0</v>
      </c>
      <c r="AY197" s="307">
        <f t="shared" si="144"/>
        <v>0</v>
      </c>
      <c r="AZ197" s="307">
        <f t="shared" si="144"/>
        <v>0</v>
      </c>
      <c r="BA197" s="307">
        <f t="shared" si="144"/>
        <v>0</v>
      </c>
      <c r="BB197" s="307">
        <f t="shared" si="144"/>
        <v>0</v>
      </c>
      <c r="BC197" s="307">
        <f t="shared" si="144"/>
        <v>0</v>
      </c>
      <c r="BD197" s="307">
        <f t="shared" si="144"/>
        <v>0</v>
      </c>
      <c r="BE197" s="307">
        <f t="shared" si="144"/>
        <v>0</v>
      </c>
      <c r="BF197" s="307">
        <f t="shared" si="144"/>
        <v>0</v>
      </c>
      <c r="BG197" s="307">
        <f t="shared" si="144"/>
        <v>0</v>
      </c>
      <c r="BH197" s="307">
        <f t="shared" si="144"/>
        <v>0</v>
      </c>
      <c r="BI197" s="307">
        <f t="shared" si="144"/>
        <v>0</v>
      </c>
      <c r="BJ197" s="307">
        <f t="shared" si="144"/>
        <v>0</v>
      </c>
      <c r="BK197" s="307">
        <f t="shared" si="144"/>
        <v>0</v>
      </c>
      <c r="BL197" s="307">
        <f>IF(BL187&lt;0,MAX(-$C$10,200000*BL187),MIN(200000*BL187,$C$10)-IF(AND($D177&lt;$C$8*BL173,$D177&gt;0),$C$9,0))</f>
        <v>0</v>
      </c>
      <c r="BM197" s="307">
        <f>IF(BM187&lt;0,MAX(-$C$10,200000*BM187),MIN(200000*BM187,$C$10)-IF(AND($D177&lt;$C$8*BM173,$D177&gt;0),$C$9,0))</f>
        <v>0</v>
      </c>
      <c r="BN197" s="307">
        <f>IF(BN187&lt;0,MAX(-$C$10,200000*BN187),MIN(200000*BN187,$C$10)-IF(AND($D177&lt;$C$8*BN173,$D177&gt;0),$C$9,0))</f>
        <v>0</v>
      </c>
      <c r="BO197" s="12">
        <f>IF(D197=0,0,BO194)</f>
        <v>0</v>
      </c>
      <c r="BP197" s="43"/>
      <c r="BQ197" s="43"/>
      <c r="BR197" s="42"/>
    </row>
    <row r="198" spans="1:70" ht="16.5">
      <c r="A198" s="41"/>
      <c r="B198" s="11">
        <f t="shared" si="140"/>
        <v>5</v>
      </c>
      <c r="C198" s="302" t="s">
        <v>61</v>
      </c>
      <c r="D198" s="12">
        <f t="shared" ref="D198:AI198" si="145">IF(D188&lt;0,MAX(-$C$10,200000*D188),MIN(200000*D188,$C$10)-IF(AND($D178&lt;$C$8*D173,$D178&gt;0),$C$9,0))</f>
        <v>0</v>
      </c>
      <c r="E198" s="307">
        <f t="shared" si="145"/>
        <v>0</v>
      </c>
      <c r="F198" s="307">
        <f t="shared" si="145"/>
        <v>0</v>
      </c>
      <c r="G198" s="307">
        <f t="shared" si="145"/>
        <v>0</v>
      </c>
      <c r="H198" s="307">
        <f t="shared" si="145"/>
        <v>0</v>
      </c>
      <c r="I198" s="307">
        <f t="shared" si="145"/>
        <v>0</v>
      </c>
      <c r="J198" s="307">
        <f t="shared" si="145"/>
        <v>0</v>
      </c>
      <c r="K198" s="307">
        <f t="shared" si="145"/>
        <v>0</v>
      </c>
      <c r="L198" s="307">
        <f t="shared" si="145"/>
        <v>0</v>
      </c>
      <c r="M198" s="307">
        <f t="shared" si="145"/>
        <v>0</v>
      </c>
      <c r="N198" s="307">
        <f t="shared" si="145"/>
        <v>0</v>
      </c>
      <c r="O198" s="307">
        <f t="shared" si="145"/>
        <v>0</v>
      </c>
      <c r="P198" s="307">
        <f t="shared" si="145"/>
        <v>0</v>
      </c>
      <c r="Q198" s="307">
        <f t="shared" si="145"/>
        <v>0</v>
      </c>
      <c r="R198" s="307">
        <f t="shared" si="145"/>
        <v>0</v>
      </c>
      <c r="S198" s="307">
        <f t="shared" si="145"/>
        <v>0</v>
      </c>
      <c r="T198" s="307">
        <f t="shared" si="145"/>
        <v>0</v>
      </c>
      <c r="U198" s="307">
        <f t="shared" si="145"/>
        <v>0</v>
      </c>
      <c r="V198" s="307">
        <f t="shared" si="145"/>
        <v>0</v>
      </c>
      <c r="W198" s="307">
        <f t="shared" si="145"/>
        <v>0</v>
      </c>
      <c r="X198" s="307">
        <f t="shared" si="145"/>
        <v>0</v>
      </c>
      <c r="Y198" s="307">
        <f t="shared" si="145"/>
        <v>0</v>
      </c>
      <c r="Z198" s="307">
        <f t="shared" si="145"/>
        <v>0</v>
      </c>
      <c r="AA198" s="307">
        <f t="shared" si="145"/>
        <v>0</v>
      </c>
      <c r="AB198" s="307">
        <f t="shared" si="145"/>
        <v>0</v>
      </c>
      <c r="AC198" s="307">
        <f t="shared" si="145"/>
        <v>0</v>
      </c>
      <c r="AD198" s="307">
        <f t="shared" si="145"/>
        <v>0</v>
      </c>
      <c r="AE198" s="307">
        <f t="shared" si="145"/>
        <v>0</v>
      </c>
      <c r="AF198" s="307">
        <f t="shared" si="145"/>
        <v>0</v>
      </c>
      <c r="AG198" s="307">
        <f t="shared" si="145"/>
        <v>0</v>
      </c>
      <c r="AH198" s="307">
        <f t="shared" si="145"/>
        <v>0</v>
      </c>
      <c r="AI198" s="307">
        <f t="shared" si="145"/>
        <v>0</v>
      </c>
      <c r="AJ198" s="307">
        <f t="shared" ref="AJ198:BK198" si="146">IF(AJ188&lt;0,MAX(-$C$10,200000*AJ188),MIN(200000*AJ188,$C$10)-IF(AND($D178&lt;$C$8*AJ173,$D178&gt;0),$C$9,0))</f>
        <v>0</v>
      </c>
      <c r="AK198" s="307">
        <f t="shared" si="146"/>
        <v>0</v>
      </c>
      <c r="AL198" s="307">
        <f t="shared" si="146"/>
        <v>0</v>
      </c>
      <c r="AM198" s="307">
        <f t="shared" si="146"/>
        <v>0</v>
      </c>
      <c r="AN198" s="307">
        <f t="shared" si="146"/>
        <v>0</v>
      </c>
      <c r="AO198" s="307">
        <f t="shared" si="146"/>
        <v>0</v>
      </c>
      <c r="AP198" s="307">
        <f t="shared" si="146"/>
        <v>0</v>
      </c>
      <c r="AQ198" s="307">
        <f t="shared" si="146"/>
        <v>0</v>
      </c>
      <c r="AR198" s="61">
        <f t="shared" si="146"/>
        <v>0</v>
      </c>
      <c r="AS198" s="307">
        <f t="shared" si="146"/>
        <v>0</v>
      </c>
      <c r="AT198" s="307">
        <f t="shared" si="146"/>
        <v>0</v>
      </c>
      <c r="AU198" s="307">
        <f t="shared" si="146"/>
        <v>0</v>
      </c>
      <c r="AV198" s="307">
        <f t="shared" si="146"/>
        <v>0</v>
      </c>
      <c r="AW198" s="307">
        <f t="shared" si="146"/>
        <v>0</v>
      </c>
      <c r="AX198" s="307">
        <f t="shared" si="146"/>
        <v>0</v>
      </c>
      <c r="AY198" s="307">
        <f t="shared" si="146"/>
        <v>0</v>
      </c>
      <c r="AZ198" s="307">
        <f t="shared" si="146"/>
        <v>0</v>
      </c>
      <c r="BA198" s="307">
        <f t="shared" si="146"/>
        <v>0</v>
      </c>
      <c r="BB198" s="307">
        <f t="shared" si="146"/>
        <v>0</v>
      </c>
      <c r="BC198" s="307">
        <f t="shared" si="146"/>
        <v>0</v>
      </c>
      <c r="BD198" s="307">
        <f t="shared" si="146"/>
        <v>0</v>
      </c>
      <c r="BE198" s="307">
        <f t="shared" si="146"/>
        <v>0</v>
      </c>
      <c r="BF198" s="307">
        <f t="shared" si="146"/>
        <v>0</v>
      </c>
      <c r="BG198" s="307">
        <f t="shared" si="146"/>
        <v>0</v>
      </c>
      <c r="BH198" s="307">
        <f t="shared" si="146"/>
        <v>0</v>
      </c>
      <c r="BI198" s="307">
        <f t="shared" si="146"/>
        <v>0</v>
      </c>
      <c r="BJ198" s="307">
        <f t="shared" si="146"/>
        <v>0</v>
      </c>
      <c r="BK198" s="307">
        <f t="shared" si="146"/>
        <v>0</v>
      </c>
      <c r="BL198" s="307">
        <f>IF(BL188&lt;0,MAX(-$C$10,200000*BL188),MIN(200000*BL188,$C$10)-IF(AND($D178&lt;$C$8*BL173,$D178&gt;0),$C$9,0))</f>
        <v>0</v>
      </c>
      <c r="BM198" s="307">
        <f>IF(BM188&lt;0,MAX(-$C$10,200000*BM188),MIN(200000*BM188,$C$10)-IF(AND($D178&lt;$C$8*BM173,$D178&gt;0),$C$9,0))</f>
        <v>0</v>
      </c>
      <c r="BN198" s="307">
        <f>IF(BN188&lt;0,MAX(-$C$10,200000*BN188),MIN(200000*BN188,$C$10)-IF(AND($D178&lt;$C$8*BN173,$D178&gt;0),$C$9,0))</f>
        <v>0</v>
      </c>
      <c r="BO198" s="12">
        <f>IF(D198=0,0,BO194)</f>
        <v>0</v>
      </c>
      <c r="BP198" s="43"/>
      <c r="BQ198" s="43"/>
      <c r="BR198" s="42"/>
    </row>
    <row r="199" spans="1:70" ht="16.5">
      <c r="A199" s="41"/>
      <c r="B199" s="11">
        <f t="shared" si="140"/>
        <v>6</v>
      </c>
      <c r="C199" s="302" t="s">
        <v>61</v>
      </c>
      <c r="D199" s="12">
        <f t="shared" ref="D199:AI199" si="147">IF(D189&lt;0,MAX(-$C$10,200000*D189),MIN(200000*D189,$C$10)-IF(AND($D179&lt;$C$8*D173,$D179&gt;0),$C$9,0))</f>
        <v>0</v>
      </c>
      <c r="E199" s="307">
        <f t="shared" si="147"/>
        <v>0</v>
      </c>
      <c r="F199" s="307">
        <f t="shared" si="147"/>
        <v>0</v>
      </c>
      <c r="G199" s="307">
        <f t="shared" si="147"/>
        <v>0</v>
      </c>
      <c r="H199" s="307">
        <f t="shared" si="147"/>
        <v>0</v>
      </c>
      <c r="I199" s="307">
        <f t="shared" si="147"/>
        <v>0</v>
      </c>
      <c r="J199" s="307">
        <f t="shared" si="147"/>
        <v>0</v>
      </c>
      <c r="K199" s="307">
        <f t="shared" si="147"/>
        <v>0</v>
      </c>
      <c r="L199" s="307">
        <f t="shared" si="147"/>
        <v>0</v>
      </c>
      <c r="M199" s="307">
        <f t="shared" si="147"/>
        <v>0</v>
      </c>
      <c r="N199" s="307">
        <f t="shared" si="147"/>
        <v>0</v>
      </c>
      <c r="O199" s="307">
        <f t="shared" si="147"/>
        <v>0</v>
      </c>
      <c r="P199" s="307">
        <f t="shared" si="147"/>
        <v>0</v>
      </c>
      <c r="Q199" s="307">
        <f t="shared" si="147"/>
        <v>0</v>
      </c>
      <c r="R199" s="307">
        <f t="shared" si="147"/>
        <v>0</v>
      </c>
      <c r="S199" s="307">
        <f t="shared" si="147"/>
        <v>0</v>
      </c>
      <c r="T199" s="307">
        <f t="shared" si="147"/>
        <v>0</v>
      </c>
      <c r="U199" s="307">
        <f t="shared" si="147"/>
        <v>0</v>
      </c>
      <c r="V199" s="307">
        <f t="shared" si="147"/>
        <v>0</v>
      </c>
      <c r="W199" s="307">
        <f t="shared" si="147"/>
        <v>0</v>
      </c>
      <c r="X199" s="307">
        <f t="shared" si="147"/>
        <v>0</v>
      </c>
      <c r="Y199" s="307">
        <f t="shared" si="147"/>
        <v>0</v>
      </c>
      <c r="Z199" s="307">
        <f t="shared" si="147"/>
        <v>0</v>
      </c>
      <c r="AA199" s="307">
        <f t="shared" si="147"/>
        <v>0</v>
      </c>
      <c r="AB199" s="307">
        <f t="shared" si="147"/>
        <v>0</v>
      </c>
      <c r="AC199" s="307">
        <f t="shared" si="147"/>
        <v>0</v>
      </c>
      <c r="AD199" s="307">
        <f t="shared" si="147"/>
        <v>0</v>
      </c>
      <c r="AE199" s="307">
        <f t="shared" si="147"/>
        <v>0</v>
      </c>
      <c r="AF199" s="307">
        <f t="shared" si="147"/>
        <v>0</v>
      </c>
      <c r="AG199" s="307">
        <f t="shared" si="147"/>
        <v>0</v>
      </c>
      <c r="AH199" s="307">
        <f t="shared" si="147"/>
        <v>0</v>
      </c>
      <c r="AI199" s="307">
        <f t="shared" si="147"/>
        <v>0</v>
      </c>
      <c r="AJ199" s="307">
        <f t="shared" ref="AJ199:BK199" si="148">IF(AJ189&lt;0,MAX(-$C$10,200000*AJ189),MIN(200000*AJ189,$C$10)-IF(AND($D179&lt;$C$8*AJ173,$D179&gt;0),$C$9,0))</f>
        <v>0</v>
      </c>
      <c r="AK199" s="307">
        <f t="shared" si="148"/>
        <v>0</v>
      </c>
      <c r="AL199" s="307">
        <f t="shared" si="148"/>
        <v>0</v>
      </c>
      <c r="AM199" s="307">
        <f t="shared" si="148"/>
        <v>0</v>
      </c>
      <c r="AN199" s="307">
        <f t="shared" si="148"/>
        <v>0</v>
      </c>
      <c r="AO199" s="307">
        <f t="shared" si="148"/>
        <v>0</v>
      </c>
      <c r="AP199" s="307">
        <f t="shared" si="148"/>
        <v>0</v>
      </c>
      <c r="AQ199" s="307">
        <f t="shared" si="148"/>
        <v>0</v>
      </c>
      <c r="AR199" s="61">
        <f t="shared" si="148"/>
        <v>0</v>
      </c>
      <c r="AS199" s="307">
        <f t="shared" si="148"/>
        <v>0</v>
      </c>
      <c r="AT199" s="307">
        <f t="shared" si="148"/>
        <v>0</v>
      </c>
      <c r="AU199" s="307">
        <f t="shared" si="148"/>
        <v>0</v>
      </c>
      <c r="AV199" s="307">
        <f t="shared" si="148"/>
        <v>0</v>
      </c>
      <c r="AW199" s="307">
        <f t="shared" si="148"/>
        <v>0</v>
      </c>
      <c r="AX199" s="307">
        <f t="shared" si="148"/>
        <v>0</v>
      </c>
      <c r="AY199" s="307">
        <f t="shared" si="148"/>
        <v>0</v>
      </c>
      <c r="AZ199" s="307">
        <f t="shared" si="148"/>
        <v>0</v>
      </c>
      <c r="BA199" s="307">
        <f t="shared" si="148"/>
        <v>0</v>
      </c>
      <c r="BB199" s="307">
        <f t="shared" si="148"/>
        <v>0</v>
      </c>
      <c r="BC199" s="307">
        <f t="shared" si="148"/>
        <v>0</v>
      </c>
      <c r="BD199" s="307">
        <f t="shared" si="148"/>
        <v>0</v>
      </c>
      <c r="BE199" s="307">
        <f t="shared" si="148"/>
        <v>0</v>
      </c>
      <c r="BF199" s="307">
        <f t="shared" si="148"/>
        <v>0</v>
      </c>
      <c r="BG199" s="307">
        <f t="shared" si="148"/>
        <v>0</v>
      </c>
      <c r="BH199" s="307">
        <f t="shared" si="148"/>
        <v>0</v>
      </c>
      <c r="BI199" s="307">
        <f t="shared" si="148"/>
        <v>0</v>
      </c>
      <c r="BJ199" s="307">
        <f t="shared" si="148"/>
        <v>0</v>
      </c>
      <c r="BK199" s="307">
        <f t="shared" si="148"/>
        <v>0</v>
      </c>
      <c r="BL199" s="307">
        <f>IF(BL189&lt;0,MAX(-$C$10,200000*BL189),MIN(200000*BL189,$C$10)-IF(AND($D179&lt;$C$8*BL173,$D179&gt;0),$C$9,0))</f>
        <v>0</v>
      </c>
      <c r="BM199" s="307">
        <f>IF(BM189&lt;0,MAX(-$C$10,200000*BM189),MIN(200000*BM189,$C$10)-IF(AND($D179&lt;$C$8*BM173,$D179&gt;0),$C$9,0))</f>
        <v>0</v>
      </c>
      <c r="BN199" s="307">
        <f>IF(BN189&lt;0,MAX(-$C$10,200000*BN189),MIN(200000*BN189,$C$10)-IF(AND($D179&lt;$C$8*BN173,$D179&gt;0),$C$9,0))</f>
        <v>0</v>
      </c>
      <c r="BO199" s="12">
        <f>IF(D199=0,0,BO194)</f>
        <v>0</v>
      </c>
      <c r="BP199" s="43"/>
      <c r="BQ199" s="43"/>
      <c r="BR199" s="42"/>
    </row>
    <row r="200" spans="1:70" ht="16.5">
      <c r="A200" s="41"/>
      <c r="B200" s="11">
        <f t="shared" si="140"/>
        <v>7</v>
      </c>
      <c r="C200" s="302" t="s">
        <v>61</v>
      </c>
      <c r="D200" s="12">
        <f t="shared" ref="D200:AI200" si="149">IF(D190&lt;0,MAX(-$C$10,200000*D190),MIN(200000*D190,$C$10)-IF(AND($D180&lt;$C$8*D173,$D180&gt;0),$C$9,0))</f>
        <v>0</v>
      </c>
      <c r="E200" s="307">
        <f t="shared" si="149"/>
        <v>0</v>
      </c>
      <c r="F200" s="307">
        <f t="shared" si="149"/>
        <v>0</v>
      </c>
      <c r="G200" s="307">
        <f t="shared" si="149"/>
        <v>0</v>
      </c>
      <c r="H200" s="307">
        <f t="shared" si="149"/>
        <v>0</v>
      </c>
      <c r="I200" s="307">
        <f t="shared" si="149"/>
        <v>0</v>
      </c>
      <c r="J200" s="307">
        <f t="shared" si="149"/>
        <v>0</v>
      </c>
      <c r="K200" s="307">
        <f t="shared" si="149"/>
        <v>0</v>
      </c>
      <c r="L200" s="307">
        <f t="shared" si="149"/>
        <v>0</v>
      </c>
      <c r="M200" s="307">
        <f t="shared" si="149"/>
        <v>0</v>
      </c>
      <c r="N200" s="307">
        <f t="shared" si="149"/>
        <v>0</v>
      </c>
      <c r="O200" s="307">
        <f t="shared" si="149"/>
        <v>0</v>
      </c>
      <c r="P200" s="307">
        <f t="shared" si="149"/>
        <v>0</v>
      </c>
      <c r="Q200" s="307">
        <f t="shared" si="149"/>
        <v>0</v>
      </c>
      <c r="R200" s="307">
        <f t="shared" si="149"/>
        <v>0</v>
      </c>
      <c r="S200" s="307">
        <f t="shared" si="149"/>
        <v>0</v>
      </c>
      <c r="T200" s="307">
        <f t="shared" si="149"/>
        <v>0</v>
      </c>
      <c r="U200" s="307">
        <f t="shared" si="149"/>
        <v>0</v>
      </c>
      <c r="V200" s="307">
        <f t="shared" si="149"/>
        <v>0</v>
      </c>
      <c r="W200" s="307">
        <f t="shared" si="149"/>
        <v>0</v>
      </c>
      <c r="X200" s="307">
        <f t="shared" si="149"/>
        <v>0</v>
      </c>
      <c r="Y200" s="307">
        <f t="shared" si="149"/>
        <v>0</v>
      </c>
      <c r="Z200" s="307">
        <f t="shared" si="149"/>
        <v>0</v>
      </c>
      <c r="AA200" s="307">
        <f t="shared" si="149"/>
        <v>0</v>
      </c>
      <c r="AB200" s="307">
        <f t="shared" si="149"/>
        <v>0</v>
      </c>
      <c r="AC200" s="307">
        <f t="shared" si="149"/>
        <v>0</v>
      </c>
      <c r="AD200" s="307">
        <f t="shared" si="149"/>
        <v>0</v>
      </c>
      <c r="AE200" s="307">
        <f t="shared" si="149"/>
        <v>0</v>
      </c>
      <c r="AF200" s="307">
        <f t="shared" si="149"/>
        <v>0</v>
      </c>
      <c r="AG200" s="307">
        <f t="shared" si="149"/>
        <v>0</v>
      </c>
      <c r="AH200" s="307">
        <f t="shared" si="149"/>
        <v>0</v>
      </c>
      <c r="AI200" s="307">
        <f t="shared" si="149"/>
        <v>0</v>
      </c>
      <c r="AJ200" s="307">
        <f t="shared" ref="AJ200:BK200" si="150">IF(AJ190&lt;0,MAX(-$C$10,200000*AJ190),MIN(200000*AJ190,$C$10)-IF(AND($D180&lt;$C$8*AJ173,$D180&gt;0),$C$9,0))</f>
        <v>0</v>
      </c>
      <c r="AK200" s="307">
        <f t="shared" si="150"/>
        <v>0</v>
      </c>
      <c r="AL200" s="307">
        <f t="shared" si="150"/>
        <v>0</v>
      </c>
      <c r="AM200" s="307">
        <f t="shared" si="150"/>
        <v>0</v>
      </c>
      <c r="AN200" s="307">
        <f t="shared" si="150"/>
        <v>0</v>
      </c>
      <c r="AO200" s="307">
        <f t="shared" si="150"/>
        <v>0</v>
      </c>
      <c r="AP200" s="307">
        <f t="shared" si="150"/>
        <v>0</v>
      </c>
      <c r="AQ200" s="307">
        <f t="shared" si="150"/>
        <v>0</v>
      </c>
      <c r="AR200" s="61">
        <f t="shared" si="150"/>
        <v>0</v>
      </c>
      <c r="AS200" s="307">
        <f t="shared" si="150"/>
        <v>0</v>
      </c>
      <c r="AT200" s="307">
        <f t="shared" si="150"/>
        <v>0</v>
      </c>
      <c r="AU200" s="307">
        <f t="shared" si="150"/>
        <v>0</v>
      </c>
      <c r="AV200" s="307">
        <f t="shared" si="150"/>
        <v>0</v>
      </c>
      <c r="AW200" s="307">
        <f t="shared" si="150"/>
        <v>0</v>
      </c>
      <c r="AX200" s="307">
        <f t="shared" si="150"/>
        <v>0</v>
      </c>
      <c r="AY200" s="307">
        <f t="shared" si="150"/>
        <v>0</v>
      </c>
      <c r="AZ200" s="307">
        <f t="shared" si="150"/>
        <v>0</v>
      </c>
      <c r="BA200" s="307">
        <f t="shared" si="150"/>
        <v>0</v>
      </c>
      <c r="BB200" s="307">
        <f t="shared" si="150"/>
        <v>0</v>
      </c>
      <c r="BC200" s="307">
        <f t="shared" si="150"/>
        <v>0</v>
      </c>
      <c r="BD200" s="307">
        <f t="shared" si="150"/>
        <v>0</v>
      </c>
      <c r="BE200" s="307">
        <f t="shared" si="150"/>
        <v>0</v>
      </c>
      <c r="BF200" s="307">
        <f t="shared" si="150"/>
        <v>0</v>
      </c>
      <c r="BG200" s="307">
        <f t="shared" si="150"/>
        <v>0</v>
      </c>
      <c r="BH200" s="307">
        <f t="shared" si="150"/>
        <v>0</v>
      </c>
      <c r="BI200" s="307">
        <f t="shared" si="150"/>
        <v>0</v>
      </c>
      <c r="BJ200" s="307">
        <f t="shared" si="150"/>
        <v>0</v>
      </c>
      <c r="BK200" s="307">
        <f t="shared" si="150"/>
        <v>0</v>
      </c>
      <c r="BL200" s="307">
        <f>IF(BL190&lt;0,MAX(-$C$10,200000*BL190),MIN(200000*BL190,$C$10)-IF(AND($D180&lt;$C$8*BL173,$D180&gt;0),$C$9,0))</f>
        <v>0</v>
      </c>
      <c r="BM200" s="307">
        <f>IF(BM190&lt;0,MAX(-$C$10,200000*BM190),MIN(200000*BM190,$C$10)-IF(AND($D180&lt;$C$8*BM173,$D180&gt;0),$C$9,0))</f>
        <v>0</v>
      </c>
      <c r="BN200" s="307">
        <f>IF(BN190&lt;0,MAX(-$C$10,200000*BN190),MIN(200000*BN190,$C$10)-IF(AND($D180&lt;$C$8*BN173,$D180&gt;0),$C$9,0))</f>
        <v>0</v>
      </c>
      <c r="BO200" s="12">
        <f>IF(D200=0,0,BO194)</f>
        <v>0</v>
      </c>
      <c r="BP200" s="43"/>
      <c r="BQ200" s="43"/>
      <c r="BR200" s="42"/>
    </row>
    <row r="201" spans="1:70" ht="16.5">
      <c r="A201" s="41"/>
      <c r="B201" s="11">
        <f t="shared" si="140"/>
        <v>8</v>
      </c>
      <c r="C201" s="302" t="s">
        <v>61</v>
      </c>
      <c r="D201" s="12">
        <f t="shared" ref="D201:AI201" si="151">IF(D191&lt;0,MAX(-$C$10,200000*D191),MIN(200000*D191,$C$10)-IF(AND($D181&lt;$C$8*D173,$D181&gt;0),$C$9,0))</f>
        <v>0</v>
      </c>
      <c r="E201" s="307">
        <f t="shared" si="151"/>
        <v>0</v>
      </c>
      <c r="F201" s="307">
        <f t="shared" si="151"/>
        <v>0</v>
      </c>
      <c r="G201" s="307">
        <f t="shared" si="151"/>
        <v>0</v>
      </c>
      <c r="H201" s="307">
        <f t="shared" si="151"/>
        <v>0</v>
      </c>
      <c r="I201" s="307">
        <f t="shared" si="151"/>
        <v>0</v>
      </c>
      <c r="J201" s="307">
        <f t="shared" si="151"/>
        <v>0</v>
      </c>
      <c r="K201" s="307">
        <f t="shared" si="151"/>
        <v>0</v>
      </c>
      <c r="L201" s="307">
        <f t="shared" si="151"/>
        <v>0</v>
      </c>
      <c r="M201" s="307">
        <f t="shared" si="151"/>
        <v>0</v>
      </c>
      <c r="N201" s="307">
        <f t="shared" si="151"/>
        <v>0</v>
      </c>
      <c r="O201" s="307">
        <f t="shared" si="151"/>
        <v>0</v>
      </c>
      <c r="P201" s="307">
        <f t="shared" si="151"/>
        <v>0</v>
      </c>
      <c r="Q201" s="307">
        <f t="shared" si="151"/>
        <v>0</v>
      </c>
      <c r="R201" s="307">
        <f t="shared" si="151"/>
        <v>0</v>
      </c>
      <c r="S201" s="307">
        <f t="shared" si="151"/>
        <v>0</v>
      </c>
      <c r="T201" s="307">
        <f t="shared" si="151"/>
        <v>0</v>
      </c>
      <c r="U201" s="307">
        <f t="shared" si="151"/>
        <v>0</v>
      </c>
      <c r="V201" s="307">
        <f t="shared" si="151"/>
        <v>0</v>
      </c>
      <c r="W201" s="307">
        <f t="shared" si="151"/>
        <v>0</v>
      </c>
      <c r="X201" s="307">
        <f t="shared" si="151"/>
        <v>0</v>
      </c>
      <c r="Y201" s="307">
        <f t="shared" si="151"/>
        <v>0</v>
      </c>
      <c r="Z201" s="307">
        <f t="shared" si="151"/>
        <v>0</v>
      </c>
      <c r="AA201" s="307">
        <f t="shared" si="151"/>
        <v>0</v>
      </c>
      <c r="AB201" s="307">
        <f t="shared" si="151"/>
        <v>0</v>
      </c>
      <c r="AC201" s="307">
        <f t="shared" si="151"/>
        <v>0</v>
      </c>
      <c r="AD201" s="307">
        <f t="shared" si="151"/>
        <v>0</v>
      </c>
      <c r="AE201" s="307">
        <f t="shared" si="151"/>
        <v>0</v>
      </c>
      <c r="AF201" s="307">
        <f t="shared" si="151"/>
        <v>0</v>
      </c>
      <c r="AG201" s="307">
        <f t="shared" si="151"/>
        <v>0</v>
      </c>
      <c r="AH201" s="307">
        <f t="shared" si="151"/>
        <v>0</v>
      </c>
      <c r="AI201" s="307">
        <f t="shared" si="151"/>
        <v>0</v>
      </c>
      <c r="AJ201" s="307">
        <f t="shared" ref="AJ201:BK201" si="152">IF(AJ191&lt;0,MAX(-$C$10,200000*AJ191),MIN(200000*AJ191,$C$10)-IF(AND($D181&lt;$C$8*AJ173,$D181&gt;0),$C$9,0))</f>
        <v>0</v>
      </c>
      <c r="AK201" s="307">
        <f t="shared" si="152"/>
        <v>0</v>
      </c>
      <c r="AL201" s="307">
        <f t="shared" si="152"/>
        <v>0</v>
      </c>
      <c r="AM201" s="307">
        <f t="shared" si="152"/>
        <v>0</v>
      </c>
      <c r="AN201" s="307">
        <f t="shared" si="152"/>
        <v>0</v>
      </c>
      <c r="AO201" s="307">
        <f t="shared" si="152"/>
        <v>0</v>
      </c>
      <c r="AP201" s="307">
        <f t="shared" si="152"/>
        <v>0</v>
      </c>
      <c r="AQ201" s="307">
        <f t="shared" si="152"/>
        <v>0</v>
      </c>
      <c r="AR201" s="61">
        <f t="shared" si="152"/>
        <v>0</v>
      </c>
      <c r="AS201" s="307">
        <f t="shared" si="152"/>
        <v>0</v>
      </c>
      <c r="AT201" s="307">
        <f t="shared" si="152"/>
        <v>0</v>
      </c>
      <c r="AU201" s="307">
        <f t="shared" si="152"/>
        <v>0</v>
      </c>
      <c r="AV201" s="307">
        <f t="shared" si="152"/>
        <v>0</v>
      </c>
      <c r="AW201" s="307">
        <f t="shared" si="152"/>
        <v>0</v>
      </c>
      <c r="AX201" s="307">
        <f t="shared" si="152"/>
        <v>0</v>
      </c>
      <c r="AY201" s="307">
        <f t="shared" si="152"/>
        <v>0</v>
      </c>
      <c r="AZ201" s="307">
        <f t="shared" si="152"/>
        <v>0</v>
      </c>
      <c r="BA201" s="307">
        <f t="shared" si="152"/>
        <v>0</v>
      </c>
      <c r="BB201" s="307">
        <f t="shared" si="152"/>
        <v>0</v>
      </c>
      <c r="BC201" s="307">
        <f t="shared" si="152"/>
        <v>0</v>
      </c>
      <c r="BD201" s="307">
        <f t="shared" si="152"/>
        <v>0</v>
      </c>
      <c r="BE201" s="307">
        <f t="shared" si="152"/>
        <v>0</v>
      </c>
      <c r="BF201" s="307">
        <f t="shared" si="152"/>
        <v>0</v>
      </c>
      <c r="BG201" s="307">
        <f t="shared" si="152"/>
        <v>0</v>
      </c>
      <c r="BH201" s="307">
        <f t="shared" si="152"/>
        <v>0</v>
      </c>
      <c r="BI201" s="307">
        <f t="shared" si="152"/>
        <v>0</v>
      </c>
      <c r="BJ201" s="307">
        <f t="shared" si="152"/>
        <v>0</v>
      </c>
      <c r="BK201" s="307">
        <f t="shared" si="152"/>
        <v>0</v>
      </c>
      <c r="BL201" s="307">
        <f>IF(BL191&lt;0,MAX(-$C$10,200000*BL191),MIN(200000*BL191,$C$10)-IF(AND($D181&lt;$C$8*BL173,$D181&gt;0),$C$9,0))</f>
        <v>0</v>
      </c>
      <c r="BM201" s="307">
        <f>IF(BM191&lt;0,MAX(-$C$10,200000*BM191),MIN(200000*BM191,$C$10)-IF(AND($D181&lt;$C$8*BM173,$D181&gt;0),$C$9,0))</f>
        <v>0</v>
      </c>
      <c r="BN201" s="307">
        <f>IF(BN191&lt;0,MAX(-$C$10,200000*BN191),MIN(200000*BN191,$C$10)-IF(AND($D181&lt;$C$8*BN173,$D181&gt;0),$C$9,0))</f>
        <v>0</v>
      </c>
      <c r="BO201" s="12">
        <f>IF(D201=0,0,BO194)</f>
        <v>0</v>
      </c>
      <c r="BP201" s="43"/>
      <c r="BQ201" s="43"/>
      <c r="BR201" s="42"/>
    </row>
    <row r="202" spans="1:70" ht="16.5">
      <c r="A202" s="41"/>
      <c r="B202" s="11">
        <f t="shared" si="140"/>
        <v>9</v>
      </c>
      <c r="C202" s="302" t="s">
        <v>61</v>
      </c>
      <c r="D202" s="12">
        <f t="shared" ref="D202:AI202" si="153">IF(D192&lt;0,MAX(-$C$10,200000*D192),MIN(200000*D192,$C$10)-IF(AND($D182&lt;$C$8*D173,$D182&gt;0),$C$9,0))</f>
        <v>0</v>
      </c>
      <c r="E202" s="307">
        <f t="shared" si="153"/>
        <v>0</v>
      </c>
      <c r="F202" s="307">
        <f t="shared" si="153"/>
        <v>0</v>
      </c>
      <c r="G202" s="307">
        <f t="shared" si="153"/>
        <v>0</v>
      </c>
      <c r="H202" s="307">
        <f t="shared" si="153"/>
        <v>0</v>
      </c>
      <c r="I202" s="307">
        <f t="shared" si="153"/>
        <v>0</v>
      </c>
      <c r="J202" s="307">
        <f t="shared" si="153"/>
        <v>0</v>
      </c>
      <c r="K202" s="307">
        <f t="shared" si="153"/>
        <v>0</v>
      </c>
      <c r="L202" s="307">
        <f t="shared" si="153"/>
        <v>0</v>
      </c>
      <c r="M202" s="307">
        <f t="shared" si="153"/>
        <v>0</v>
      </c>
      <c r="N202" s="307">
        <f t="shared" si="153"/>
        <v>0</v>
      </c>
      <c r="O202" s="307">
        <f t="shared" si="153"/>
        <v>0</v>
      </c>
      <c r="P202" s="307">
        <f t="shared" si="153"/>
        <v>0</v>
      </c>
      <c r="Q202" s="307">
        <f t="shared" si="153"/>
        <v>0</v>
      </c>
      <c r="R202" s="307">
        <f t="shared" si="153"/>
        <v>0</v>
      </c>
      <c r="S202" s="307">
        <f t="shared" si="153"/>
        <v>0</v>
      </c>
      <c r="T202" s="307">
        <f t="shared" si="153"/>
        <v>0</v>
      </c>
      <c r="U202" s="307">
        <f t="shared" si="153"/>
        <v>0</v>
      </c>
      <c r="V202" s="307">
        <f t="shared" si="153"/>
        <v>0</v>
      </c>
      <c r="W202" s="307">
        <f t="shared" si="153"/>
        <v>0</v>
      </c>
      <c r="X202" s="307">
        <f t="shared" si="153"/>
        <v>0</v>
      </c>
      <c r="Y202" s="307">
        <f t="shared" si="153"/>
        <v>0</v>
      </c>
      <c r="Z202" s="307">
        <f t="shared" si="153"/>
        <v>0</v>
      </c>
      <c r="AA202" s="307">
        <f t="shared" si="153"/>
        <v>0</v>
      </c>
      <c r="AB202" s="307">
        <f t="shared" si="153"/>
        <v>0</v>
      </c>
      <c r="AC202" s="307">
        <f t="shared" si="153"/>
        <v>0</v>
      </c>
      <c r="AD202" s="307">
        <f t="shared" si="153"/>
        <v>0</v>
      </c>
      <c r="AE202" s="307">
        <f t="shared" si="153"/>
        <v>0</v>
      </c>
      <c r="AF202" s="307">
        <f t="shared" si="153"/>
        <v>0</v>
      </c>
      <c r="AG202" s="307">
        <f t="shared" si="153"/>
        <v>0</v>
      </c>
      <c r="AH202" s="307">
        <f t="shared" si="153"/>
        <v>0</v>
      </c>
      <c r="AI202" s="307">
        <f t="shared" si="153"/>
        <v>0</v>
      </c>
      <c r="AJ202" s="307">
        <f t="shared" ref="AJ202:BK202" si="154">IF(AJ192&lt;0,MAX(-$C$10,200000*AJ192),MIN(200000*AJ192,$C$10)-IF(AND($D182&lt;$C$8*AJ173,$D182&gt;0),$C$9,0))</f>
        <v>0</v>
      </c>
      <c r="AK202" s="307">
        <f t="shared" si="154"/>
        <v>0</v>
      </c>
      <c r="AL202" s="307">
        <f t="shared" si="154"/>
        <v>0</v>
      </c>
      <c r="AM202" s="307">
        <f t="shared" si="154"/>
        <v>0</v>
      </c>
      <c r="AN202" s="307">
        <f t="shared" si="154"/>
        <v>0</v>
      </c>
      <c r="AO202" s="307">
        <f t="shared" si="154"/>
        <v>0</v>
      </c>
      <c r="AP202" s="307">
        <f t="shared" si="154"/>
        <v>0</v>
      </c>
      <c r="AQ202" s="307">
        <f t="shared" si="154"/>
        <v>0</v>
      </c>
      <c r="AR202" s="61">
        <f t="shared" si="154"/>
        <v>0</v>
      </c>
      <c r="AS202" s="307">
        <f t="shared" si="154"/>
        <v>0</v>
      </c>
      <c r="AT202" s="307">
        <f t="shared" si="154"/>
        <v>0</v>
      </c>
      <c r="AU202" s="307">
        <f t="shared" si="154"/>
        <v>0</v>
      </c>
      <c r="AV202" s="307">
        <f t="shared" si="154"/>
        <v>0</v>
      </c>
      <c r="AW202" s="307">
        <f t="shared" si="154"/>
        <v>0</v>
      </c>
      <c r="AX202" s="307">
        <f t="shared" si="154"/>
        <v>0</v>
      </c>
      <c r="AY202" s="307">
        <f t="shared" si="154"/>
        <v>0</v>
      </c>
      <c r="AZ202" s="307">
        <f t="shared" si="154"/>
        <v>0</v>
      </c>
      <c r="BA202" s="307">
        <f t="shared" si="154"/>
        <v>0</v>
      </c>
      <c r="BB202" s="307">
        <f t="shared" si="154"/>
        <v>0</v>
      </c>
      <c r="BC202" s="307">
        <f t="shared" si="154"/>
        <v>0</v>
      </c>
      <c r="BD202" s="307">
        <f t="shared" si="154"/>
        <v>0</v>
      </c>
      <c r="BE202" s="307">
        <f t="shared" si="154"/>
        <v>0</v>
      </c>
      <c r="BF202" s="307">
        <f t="shared" si="154"/>
        <v>0</v>
      </c>
      <c r="BG202" s="307">
        <f t="shared" si="154"/>
        <v>0</v>
      </c>
      <c r="BH202" s="307">
        <f t="shared" si="154"/>
        <v>0</v>
      </c>
      <c r="BI202" s="307">
        <f t="shared" si="154"/>
        <v>0</v>
      </c>
      <c r="BJ202" s="307">
        <f t="shared" si="154"/>
        <v>0</v>
      </c>
      <c r="BK202" s="307">
        <f t="shared" si="154"/>
        <v>0</v>
      </c>
      <c r="BL202" s="307">
        <f>IF(BL192&lt;0,MAX(-$C$10,200000*BL192),MIN(200000*BL192,$C$10)-IF(AND($D182&lt;$C$8*BL173,$D182&gt;0),$C$9,0))</f>
        <v>0</v>
      </c>
      <c r="BM202" s="307">
        <f>IF(BM192&lt;0,MAX(-$C$10,200000*BM192),MIN(200000*BM192,$C$10)-IF(AND($D182&lt;$C$8*BM173,$D182&gt;0),$C$9,0))</f>
        <v>0</v>
      </c>
      <c r="BN202" s="307">
        <f>IF(BN192&lt;0,MAX(-$C$10,200000*BN192),MIN(200000*BN192,$C$10)-IF(AND($D182&lt;$C$8*BN173,$D182&gt;0),$C$9,0))</f>
        <v>0</v>
      </c>
      <c r="BO202" s="12">
        <f>IF(D202=0,0,BO194)</f>
        <v>0</v>
      </c>
      <c r="BP202" s="43"/>
      <c r="BQ202" s="43"/>
      <c r="BR202" s="42"/>
    </row>
    <row r="203" spans="1:70" ht="16.5">
      <c r="A203" s="41"/>
      <c r="B203" s="294" t="s">
        <v>62</v>
      </c>
      <c r="C203" s="302" t="s">
        <v>63</v>
      </c>
      <c r="D203" s="12">
        <f t="shared" ref="D203:BJ203" si="155">IF(D193&lt;0,MAX(-$C$10,200000*D193),MIN(200000*D193,$C$10)-IF(AND($F170&lt;$C$8*D173,$D183&gt;0),$C$9,0))</f>
        <v>-434.78260869565219</v>
      </c>
      <c r="E203" s="307">
        <f t="shared" si="155"/>
        <v>-434.78260869565219</v>
      </c>
      <c r="F203" s="307">
        <f t="shared" si="155"/>
        <v>-434.78260869565219</v>
      </c>
      <c r="G203" s="307">
        <f t="shared" si="155"/>
        <v>-434.78260869565219</v>
      </c>
      <c r="H203" s="307">
        <f t="shared" si="155"/>
        <v>-434.78260869565219</v>
      </c>
      <c r="I203" s="307">
        <f t="shared" si="155"/>
        <v>-434.78260869565219</v>
      </c>
      <c r="J203" s="307">
        <f t="shared" si="155"/>
        <v>-434.78260869565219</v>
      </c>
      <c r="K203" s="307">
        <f t="shared" si="155"/>
        <v>-434.78260869565219</v>
      </c>
      <c r="L203" s="307">
        <f t="shared" si="155"/>
        <v>-434.78260869565219</v>
      </c>
      <c r="M203" s="307">
        <f t="shared" si="155"/>
        <v>-434.78260869565219</v>
      </c>
      <c r="N203" s="307">
        <f t="shared" si="155"/>
        <v>-434.78260869565219</v>
      </c>
      <c r="O203" s="307">
        <f t="shared" si="155"/>
        <v>-434.78260869565219</v>
      </c>
      <c r="P203" s="307">
        <f t="shared" si="155"/>
        <v>-434.78260869565219</v>
      </c>
      <c r="Q203" s="307">
        <f t="shared" si="155"/>
        <v>-434.78260869565219</v>
      </c>
      <c r="R203" s="307">
        <f t="shared" si="155"/>
        <v>-434.78260869565219</v>
      </c>
      <c r="S203" s="307">
        <f t="shared" si="155"/>
        <v>-434.78260869565219</v>
      </c>
      <c r="T203" s="307">
        <f t="shared" si="155"/>
        <v>-434.78260869565219</v>
      </c>
      <c r="U203" s="307">
        <f t="shared" si="155"/>
        <v>-434.78260869565219</v>
      </c>
      <c r="V203" s="307">
        <f t="shared" si="155"/>
        <v>-434.78260869565219</v>
      </c>
      <c r="W203" s="307">
        <f t="shared" si="155"/>
        <v>-434.78260869565219</v>
      </c>
      <c r="X203" s="307">
        <f t="shared" si="155"/>
        <v>-434.78260869565219</v>
      </c>
      <c r="Y203" s="307">
        <f t="shared" si="155"/>
        <v>-434.78260869565219</v>
      </c>
      <c r="Z203" s="307">
        <f t="shared" si="155"/>
        <v>-434.78260869565219</v>
      </c>
      <c r="AA203" s="307">
        <f t="shared" si="155"/>
        <v>-434.78260869565219</v>
      </c>
      <c r="AB203" s="307">
        <f t="shared" si="155"/>
        <v>-434.78260869565219</v>
      </c>
      <c r="AC203" s="307">
        <f t="shared" si="155"/>
        <v>-434.78260869565219</v>
      </c>
      <c r="AD203" s="307">
        <f t="shared" si="155"/>
        <v>-434.78260869565219</v>
      </c>
      <c r="AE203" s="307">
        <f t="shared" si="155"/>
        <v>-434.78260869565219</v>
      </c>
      <c r="AF203" s="307">
        <f t="shared" si="155"/>
        <v>-434.78260869565219</v>
      </c>
      <c r="AG203" s="307">
        <f t="shared" si="155"/>
        <v>-434.78260869565219</v>
      </c>
      <c r="AH203" s="307">
        <f t="shared" si="155"/>
        <v>-434.78260869565219</v>
      </c>
      <c r="AI203" s="307">
        <f t="shared" si="155"/>
        <v>-434.78260869565219</v>
      </c>
      <c r="AJ203" s="307">
        <f t="shared" si="155"/>
        <v>-434.78260869565219</v>
      </c>
      <c r="AK203" s="307">
        <f t="shared" si="155"/>
        <v>-434.78260869565219</v>
      </c>
      <c r="AL203" s="307">
        <f t="shared" si="155"/>
        <v>-434.78260869565219</v>
      </c>
      <c r="AM203" s="307">
        <f t="shared" si="155"/>
        <v>-434.78260869565219</v>
      </c>
      <c r="AN203" s="307">
        <f t="shared" si="155"/>
        <v>-434.78260869565219</v>
      </c>
      <c r="AO203" s="307">
        <f t="shared" si="155"/>
        <v>-434.78260869565219</v>
      </c>
      <c r="AP203" s="307">
        <f t="shared" si="155"/>
        <v>-434.78260869565219</v>
      </c>
      <c r="AQ203" s="307">
        <f t="shared" si="155"/>
        <v>-434.78260869565219</v>
      </c>
      <c r="AR203" s="61">
        <f t="shared" si="155"/>
        <v>-434.78260869565219</v>
      </c>
      <c r="AS203" s="307">
        <f t="shared" si="155"/>
        <v>-372.10238295161719</v>
      </c>
      <c r="AT203" s="307">
        <f t="shared" si="155"/>
        <v>-315.98404887775081</v>
      </c>
      <c r="AU203" s="307">
        <f t="shared" si="155"/>
        <v>-265.44842990865402</v>
      </c>
      <c r="AV203" s="307">
        <f t="shared" si="155"/>
        <v>-219.70193740685545</v>
      </c>
      <c r="AW203" s="307">
        <f t="shared" si="155"/>
        <v>-178.09459064211916</v>
      </c>
      <c r="AX203" s="307">
        <f t="shared" si="155"/>
        <v>-140.0889386353667</v>
      </c>
      <c r="AY203" s="307">
        <f t="shared" si="155"/>
        <v>-105.23671791749121</v>
      </c>
      <c r="AZ203" s="307">
        <f t="shared" si="155"/>
        <v>-73.161089147502608</v>
      </c>
      <c r="BA203" s="307">
        <f t="shared" si="155"/>
        <v>-43.542956591586019</v>
      </c>
      <c r="BB203" s="307">
        <f t="shared" si="155"/>
        <v>-16.110316017483417</v>
      </c>
      <c r="BC203" s="307">
        <f t="shared" si="155"/>
        <v>9.3701232894598334</v>
      </c>
      <c r="BD203" s="307">
        <f t="shared" si="155"/>
        <v>32.850299115761437</v>
      </c>
      <c r="BE203" s="307">
        <f t="shared" si="155"/>
        <v>53.09916663877646</v>
      </c>
      <c r="BF203" s="307">
        <f t="shared" si="155"/>
        <v>70.917575503355764</v>
      </c>
      <c r="BG203" s="307">
        <f t="shared" si="155"/>
        <v>86.718340373752326</v>
      </c>
      <c r="BH203" s="307">
        <f t="shared" si="155"/>
        <v>100.8257963035785</v>
      </c>
      <c r="BI203" s="307">
        <f t="shared" si="155"/>
        <v>113.49829821645982</v>
      </c>
      <c r="BJ203" s="307">
        <f t="shared" si="155"/>
        <v>102.27752032382826</v>
      </c>
      <c r="BK203" s="307">
        <f>IF(BK193&lt;0,MAX(-$C$10,200000*BK193),MIN(200000*BK193,$C$10)-IF(AND($F170&lt;$C$8*BK173,$D183&gt;0),$C$9,0))</f>
        <v>112.66666666666667</v>
      </c>
      <c r="BL203" s="307">
        <f>IF(BL193&lt;0,MAX(-$C$10,200000*BL193),MIN(200000*BL193,$C$10)-IF(AND($F170&lt;$C$8*BL173,$D183&gt;0),$C$9,0))</f>
        <v>206.58333333333331</v>
      </c>
      <c r="BM203" s="307">
        <f>IF(BM193&lt;0,MAX(-$C$10,200000*BM193),MIN(200000*BM193,$C$10)-IF(AND($F170&lt;$C$8*BM173,$D183&gt;0),$C$9,0))</f>
        <v>243.33333333333334</v>
      </c>
      <c r="BN203" s="307">
        <f>IF(BN193&lt;0,MAX(-$C$10,200000*BN193),MIN(200000*BN193,$C$10)-IF(AND($F170&lt;$C$8*BN173,$D183&gt;0),$C$9,0))</f>
        <v>262.93333333333328</v>
      </c>
      <c r="BO203" s="12">
        <f>BO194</f>
        <v>327.33333333333331</v>
      </c>
      <c r="BP203" s="41"/>
      <c r="BQ203" s="41"/>
      <c r="BR203" s="41"/>
    </row>
    <row r="204" spans="1:70" ht="16.5">
      <c r="A204" s="41"/>
      <c r="B204" s="290" t="s">
        <v>64</v>
      </c>
      <c r="C204" s="298" t="s">
        <v>65</v>
      </c>
      <c r="D204" s="3">
        <f>D194*$I170*MAIN!$C$15/MAIN!$Q$1</f>
        <v>-89615.638590495102</v>
      </c>
      <c r="E204" s="13">
        <f>E194*$I170*MAIN!$C$15/MAIN!$Q$1</f>
        <v>67117.279550542575</v>
      </c>
      <c r="F204" s="13">
        <f>F194*$I170*MAIN!$C$15/MAIN!$Q$1</f>
        <v>138007.53300259387</v>
      </c>
      <c r="G204" s="13">
        <f>G194*$I170*MAIN!$C$15/MAIN!$Q$1</f>
        <v>191480.07327475367</v>
      </c>
      <c r="H204" s="13">
        <f>H194*$I170*MAIN!$C$15/MAIN!$Q$1</f>
        <v>228184.71835858969</v>
      </c>
      <c r="I204" s="13">
        <f>I194*$I170*MAIN!$C$15/MAIN!$Q$1</f>
        <v>254939.56410980821</v>
      </c>
      <c r="J204" s="13">
        <f>J194*$I170*MAIN!$C$15/MAIN!$Q$1</f>
        <v>258940.08318109965</v>
      </c>
      <c r="K204" s="13">
        <f>K194*$I170*MAIN!$C$15/MAIN!$Q$1</f>
        <v>258940.08318109965</v>
      </c>
      <c r="L204" s="13">
        <f>L194*$I170*MAIN!$C$15/MAIN!$Q$1</f>
        <v>258940.08318109965</v>
      </c>
      <c r="M204" s="13">
        <f>M194*$I170*MAIN!$C$15/MAIN!$Q$1</f>
        <v>258940.08318109965</v>
      </c>
      <c r="N204" s="13">
        <f>N194*$I170*MAIN!$C$15/MAIN!$Q$1</f>
        <v>258940.08318109965</v>
      </c>
      <c r="O204" s="13">
        <f>O194*$I170*MAIN!$C$15/MAIN!$Q$1</f>
        <v>258940.08318109965</v>
      </c>
      <c r="P204" s="13">
        <f>P194*$I170*MAIN!$C$15/MAIN!$Q$1</f>
        <v>258940.08318109965</v>
      </c>
      <c r="Q204" s="13">
        <f>Q194*$I170*MAIN!$C$15/MAIN!$Q$1</f>
        <v>258940.08318109965</v>
      </c>
      <c r="R204" s="13">
        <f>R194*$I170*MAIN!$C$15/MAIN!$Q$1</f>
        <v>258940.08318109965</v>
      </c>
      <c r="S204" s="13">
        <f>S194*$I170*MAIN!$C$15/MAIN!$Q$1</f>
        <v>258940.08318109965</v>
      </c>
      <c r="T204" s="13">
        <f>T194*$I170*MAIN!$C$15/MAIN!$Q$1</f>
        <v>258940.08318109965</v>
      </c>
      <c r="U204" s="13">
        <f>U194*$I170*MAIN!$C$15/MAIN!$Q$1</f>
        <v>258940.08318109965</v>
      </c>
      <c r="V204" s="13">
        <f>V194*$I170*MAIN!$C$15/MAIN!$Q$1</f>
        <v>258940.08318109965</v>
      </c>
      <c r="W204" s="13">
        <f>W194*$I170*MAIN!$C$15/MAIN!$Q$1</f>
        <v>258940.08318109965</v>
      </c>
      <c r="X204" s="13">
        <f>X194*$I170*MAIN!$C$15/MAIN!$Q$1</f>
        <v>258940.08318109965</v>
      </c>
      <c r="Y204" s="13">
        <f>Y194*$I170*MAIN!$C$15/MAIN!$Q$1</f>
        <v>258940.08318109965</v>
      </c>
      <c r="Z204" s="13">
        <f>Z194*$I170*MAIN!$C$15/MAIN!$Q$1</f>
        <v>258940.08318109965</v>
      </c>
      <c r="AA204" s="13">
        <f>AA194*$I170*MAIN!$C$15/MAIN!$Q$1</f>
        <v>258940.08318109965</v>
      </c>
      <c r="AB204" s="13">
        <f>AB194*$I170*MAIN!$C$15/MAIN!$Q$1</f>
        <v>258940.08318109965</v>
      </c>
      <c r="AC204" s="13">
        <f>AC194*$I170*MAIN!$C$15/MAIN!$Q$1</f>
        <v>258940.08318109965</v>
      </c>
      <c r="AD204" s="13">
        <f>AD194*$I170*MAIN!$C$15/MAIN!$Q$1</f>
        <v>258940.08318109965</v>
      </c>
      <c r="AE204" s="13">
        <f>AE194*$I170*MAIN!$C$15/MAIN!$Q$1</f>
        <v>258940.08318109965</v>
      </c>
      <c r="AF204" s="13">
        <f>AF194*$I170*MAIN!$C$15/MAIN!$Q$1</f>
        <v>258940.08318109965</v>
      </c>
      <c r="AG204" s="13">
        <f>AG194*$I170*MAIN!$C$15/MAIN!$Q$1</f>
        <v>258940.08318109965</v>
      </c>
      <c r="AH204" s="13">
        <f>AH194*$I170*MAIN!$C$15/MAIN!$Q$1</f>
        <v>258940.08318109965</v>
      </c>
      <c r="AI204" s="13">
        <f>AI194*$I170*MAIN!$C$15/MAIN!$Q$1</f>
        <v>258940.08318109965</v>
      </c>
      <c r="AJ204" s="13">
        <f>AJ194*$I170*MAIN!$C$15/MAIN!$Q$1</f>
        <v>258940.08318109965</v>
      </c>
      <c r="AK204" s="13">
        <f>AK194*$I170*MAIN!$C$15/MAIN!$Q$1</f>
        <v>258940.08318109965</v>
      </c>
      <c r="AL204" s="13">
        <f>AL194*$I170*MAIN!$C$15/MAIN!$Q$1</f>
        <v>258940.08318109965</v>
      </c>
      <c r="AM204" s="13">
        <f>AM194*$I170*MAIN!$C$15/MAIN!$Q$1</f>
        <v>258940.08318109965</v>
      </c>
      <c r="AN204" s="13">
        <f>AN194*$I170*MAIN!$C$15/MAIN!$Q$1</f>
        <v>258940.08318109965</v>
      </c>
      <c r="AO204" s="13">
        <f>AO194*$I170*MAIN!$C$15/MAIN!$Q$1</f>
        <v>258940.08318109965</v>
      </c>
      <c r="AP204" s="13">
        <f>AP194*$I170*MAIN!$C$15/MAIN!$Q$1</f>
        <v>258940.08318109965</v>
      </c>
      <c r="AQ204" s="13">
        <f>AQ194*$I170*MAIN!$C$15/MAIN!$Q$1</f>
        <v>258940.08318109965</v>
      </c>
      <c r="AR204" s="56">
        <f>AR194*$I170*MAIN!$C$15/MAIN!$Q$1</f>
        <v>258940.08318109965</v>
      </c>
      <c r="AS204" s="13">
        <f>AS194*$I170*MAIN!$C$15/MAIN!$Q$1</f>
        <v>258940.08318109965</v>
      </c>
      <c r="AT204" s="13">
        <f>AT194*$I170*MAIN!$C$15/MAIN!$Q$1</f>
        <v>258940.08318109965</v>
      </c>
      <c r="AU204" s="13">
        <f>AU194*$I170*MAIN!$C$15/MAIN!$Q$1</f>
        <v>258940.08318109965</v>
      </c>
      <c r="AV204" s="13">
        <f>AV194*$I170*MAIN!$C$15/MAIN!$Q$1</f>
        <v>258940.08318109965</v>
      </c>
      <c r="AW204" s="13">
        <f>AW194*$I170*MAIN!$C$15/MAIN!$Q$1</f>
        <v>258940.08318109965</v>
      </c>
      <c r="AX204" s="13">
        <f>AX194*$I170*MAIN!$C$15/MAIN!$Q$1</f>
        <v>258940.08318109965</v>
      </c>
      <c r="AY204" s="13">
        <f>AY194*$I170*MAIN!$C$15/MAIN!$Q$1</f>
        <v>258940.08318109965</v>
      </c>
      <c r="AZ204" s="13">
        <f>AZ194*$I170*MAIN!$C$15/MAIN!$Q$1</f>
        <v>258940.08318109965</v>
      </c>
      <c r="BA204" s="13">
        <f>BA194*$I170*MAIN!$C$15/MAIN!$Q$1</f>
        <v>258940.08318109965</v>
      </c>
      <c r="BB204" s="13">
        <f>BB194*$I170*MAIN!$C$15/MAIN!$Q$1</f>
        <v>258940.08318109965</v>
      </c>
      <c r="BC204" s="13">
        <f>BC194*$I170*MAIN!$C$15/MAIN!$Q$1</f>
        <v>258940.08318109965</v>
      </c>
      <c r="BD204" s="13">
        <f>BD194*$I170*MAIN!$C$15/MAIN!$Q$1</f>
        <v>258940.08318109965</v>
      </c>
      <c r="BE204" s="13">
        <f>BE194*$I170*MAIN!$C$15/MAIN!$Q$1</f>
        <v>258940.08318109965</v>
      </c>
      <c r="BF204" s="13">
        <f>BF194*$I170*MAIN!$C$15/MAIN!$Q$1</f>
        <v>258940.08318109965</v>
      </c>
      <c r="BG204" s="13">
        <f>BG194*$I170*MAIN!$C$15/MAIN!$Q$1</f>
        <v>258940.08318109965</v>
      </c>
      <c r="BH204" s="13">
        <f>BH194*$I170*MAIN!$C$15/MAIN!$Q$1</f>
        <v>258940.08318109965</v>
      </c>
      <c r="BI204" s="13">
        <f>BI194*$I170*MAIN!$C$15/MAIN!$Q$1</f>
        <v>258940.08318109965</v>
      </c>
      <c r="BJ204" s="13">
        <f>BJ194*$I170*MAIN!$C$15/MAIN!$Q$1</f>
        <v>258940.08318109965</v>
      </c>
      <c r="BK204" s="13">
        <f>BK194*$I170*MAIN!$C$15/MAIN!$Q$1</f>
        <v>258940.08318109965</v>
      </c>
      <c r="BL204" s="13">
        <f>BL194*$I170*MAIN!$C$15/MAIN!$Q$1</f>
        <v>258940.08318109965</v>
      </c>
      <c r="BM204" s="13">
        <f>BM194*$I170*MAIN!$C$15/MAIN!$Q$1</f>
        <v>258448.35563532036</v>
      </c>
      <c r="BN204" s="13">
        <f>BN194*$I170*MAIN!$C$15/MAIN!$Q$1</f>
        <v>246133.31243324833</v>
      </c>
      <c r="BO204" s="3">
        <f>BO194*$I170*MAIN!$C$15/MAIN!$Q$1</f>
        <v>205669.59905501181</v>
      </c>
      <c r="BP204" s="41"/>
      <c r="BQ204" s="41"/>
      <c r="BR204" s="41"/>
    </row>
    <row r="205" spans="1:70" ht="16.5">
      <c r="A205" s="41"/>
      <c r="B205" s="14">
        <v>2</v>
      </c>
      <c r="C205" s="298" t="s">
        <v>66</v>
      </c>
      <c r="D205" s="3">
        <f>D195*$I170*2/MAIN!$Q$1</f>
        <v>-273181.96987737337</v>
      </c>
      <c r="E205" s="13">
        <f>E195*$I170*2/MAIN!$Q$1</f>
        <v>-273181.96987737337</v>
      </c>
      <c r="F205" s="13">
        <f>F195*$I170*2/MAIN!$Q$1</f>
        <v>-273181.96987737337</v>
      </c>
      <c r="G205" s="13">
        <f>G195*$I170*2/MAIN!$Q$1</f>
        <v>-273181.96987737337</v>
      </c>
      <c r="H205" s="13">
        <f>H195*$I170*2/MAIN!$Q$1</f>
        <v>-273181.96987737337</v>
      </c>
      <c r="I205" s="13">
        <f>I195*$I170*2/MAIN!$Q$1</f>
        <v>-273181.96987737337</v>
      </c>
      <c r="J205" s="13">
        <f>J195*$I170*2/MAIN!$Q$1</f>
        <v>-273181.96987737337</v>
      </c>
      <c r="K205" s="13">
        <f>K195*$I170*2/MAIN!$Q$1</f>
        <v>-273181.96987737337</v>
      </c>
      <c r="L205" s="13">
        <f>L195*$I170*2/MAIN!$Q$1</f>
        <v>-273181.96987737337</v>
      </c>
      <c r="M205" s="13">
        <f>M195*$I170*2/MAIN!$Q$1</f>
        <v>-273181.96987737337</v>
      </c>
      <c r="N205" s="13">
        <f>N195*$I170*2/MAIN!$Q$1</f>
        <v>-273181.96987737337</v>
      </c>
      <c r="O205" s="13">
        <f>O195*$I170*2/MAIN!$Q$1</f>
        <v>-273181.96987737337</v>
      </c>
      <c r="P205" s="13">
        <f>P195*$I170*2/MAIN!$Q$1</f>
        <v>-273181.96987737337</v>
      </c>
      <c r="Q205" s="13">
        <f>Q195*$I170*2/MAIN!$Q$1</f>
        <v>-269713.27599335264</v>
      </c>
      <c r="R205" s="13">
        <f>R195*$I170*2/MAIN!$Q$1</f>
        <v>-226390.66753421637</v>
      </c>
      <c r="S205" s="13">
        <f>S195*$I170*2/MAIN!$Q$1</f>
        <v>-188053.98276810144</v>
      </c>
      <c r="T205" s="13">
        <f>T195*$I170*2/MAIN!$Q$1</f>
        <v>-153889.32475210863</v>
      </c>
      <c r="U205" s="13">
        <f>U195*$I170*2/MAIN!$Q$1</f>
        <v>-123250.80115331116</v>
      </c>
      <c r="V205" s="13">
        <f>V195*$I170*2/MAIN!$Q$1</f>
        <v>-95619.302126161914</v>
      </c>
      <c r="W205" s="13">
        <f>W195*$I170*2/MAIN!$Q$1</f>
        <v>-70572.847706154891</v>
      </c>
      <c r="X205" s="13">
        <f>X195*$I170*2/MAIN!$Q$1</f>
        <v>-47764.885686155394</v>
      </c>
      <c r="Y205" s="13">
        <f>Y195*$I170*2/MAIN!$Q$1</f>
        <v>-26908.159384353428</v>
      </c>
      <c r="Z205" s="13">
        <f>Z195*$I170*2/MAIN!$Q$1</f>
        <v>-7762.5459398934936</v>
      </c>
      <c r="AA205" s="13">
        <f>AA195*$I170*2/MAIN!$Q$1</f>
        <v>9874.2300537470928</v>
      </c>
      <c r="AB205" s="13">
        <f>AB195*$I170*2/MAIN!$Q$1</f>
        <v>26173.770614612451</v>
      </c>
      <c r="AC205" s="13">
        <f>AC195*$I170*2/MAIN!$Q$1</f>
        <v>41282.606210525024</v>
      </c>
      <c r="AD205" s="13">
        <f>AD195*$I170*2/MAIN!$Q$1</f>
        <v>55326.613191508994</v>
      </c>
      <c r="AE205" s="13">
        <f>AE195*$I170*2/MAIN!$Q$1</f>
        <v>68414.529029266589</v>
      </c>
      <c r="AF205" s="13">
        <f>AF195*$I170*2/MAIN!$Q$1</f>
        <v>80640.773256179193</v>
      </c>
      <c r="AG205" s="13">
        <f>AG195*$I170*2/MAIN!$Q$1</f>
        <v>77845.842296604344</v>
      </c>
      <c r="AH205" s="13">
        <f>AH195*$I170*2/MAIN!$Q$1</f>
        <v>88585.714986922467</v>
      </c>
      <c r="AI205" s="13">
        <f>AI195*$I170*2/MAIN!$Q$1</f>
        <v>98682.057007950556</v>
      </c>
      <c r="AJ205" s="13">
        <f>AJ195*$I170*2/MAIN!$Q$1</f>
        <v>108191.02618930423</v>
      </c>
      <c r="AK205" s="13">
        <f>AK195*$I170*2/MAIN!$Q$1</f>
        <v>117162.43089119406</v>
      </c>
      <c r="AL205" s="13">
        <f>AL195*$I170*2/MAIN!$Q$1</f>
        <v>125640.60271254338</v>
      </c>
      <c r="AM205" s="13">
        <f>AM195*$I170*2/MAIN!$Q$1</f>
        <v>133665.12910992687</v>
      </c>
      <c r="AN205" s="13">
        <f>AN195*$I170*2/MAIN!$Q$1</f>
        <v>141271.4714790807</v>
      </c>
      <c r="AO205" s="13">
        <f>AO195*$I170*2/MAIN!$Q$1</f>
        <v>148491.4890596598</v>
      </c>
      <c r="AP205" s="13">
        <f>AP195*$I170*2/MAIN!$Q$1</f>
        <v>155353.88498990075</v>
      </c>
      <c r="AQ205" s="13">
        <f>AQ195*$I170*2/MAIN!$Q$1</f>
        <v>161884.58768125795</v>
      </c>
      <c r="AR205" s="56">
        <f>AR195*$I170*2/MAIN!$Q$1</f>
        <v>168107.07819687293</v>
      </c>
      <c r="AS205" s="13">
        <f>AS195*$I170*2/MAIN!$Q$1</f>
        <v>182328.77029352041</v>
      </c>
      <c r="AT205" s="13">
        <f>AT195*$I170*2/MAIN!$Q$1</f>
        <v>195061.61639772059</v>
      </c>
      <c r="AU205" s="13">
        <f>AU195*$I170*2/MAIN!$Q$1</f>
        <v>206527.78462479313</v>
      </c>
      <c r="AV205" s="13">
        <f>AV195*$I170*2/MAIN!$Q$1</f>
        <v>216907.33452493179</v>
      </c>
      <c r="AW205" s="13">
        <f>AW195*$I170*2/MAIN!$Q$1</f>
        <v>226347.74204775938</v>
      </c>
      <c r="AX205" s="13">
        <f>AX195*$I170*2/MAIN!$Q$1</f>
        <v>234970.95095226465</v>
      </c>
      <c r="AY205" s="13">
        <f>AY195*$I170*2/MAIN!$Q$1</f>
        <v>242878.66899332785</v>
      </c>
      <c r="AZ205" s="13">
        <f>AZ195*$I170*2/MAIN!$Q$1</f>
        <v>250156.39830521622</v>
      </c>
      <c r="BA205" s="13">
        <f>BA195*$I170*2/MAIN!$Q$1</f>
        <v>256876.53941332348</v>
      </c>
      <c r="BB205" s="13">
        <f>BB195*$I170*2/MAIN!$Q$1</f>
        <v>258940.08318109965</v>
      </c>
      <c r="BC205" s="13">
        <f>BC195*$I170*2/MAIN!$Q$1</f>
        <v>258940.08318109965</v>
      </c>
      <c r="BD205" s="13">
        <f>BD195*$I170*2/MAIN!$Q$1</f>
        <v>258940.08318109965</v>
      </c>
      <c r="BE205" s="13">
        <f>BE195*$I170*2/MAIN!$Q$1</f>
        <v>258940.08318109965</v>
      </c>
      <c r="BF205" s="13">
        <f>BF195*$I170*2/MAIN!$Q$1</f>
        <v>258940.08318109965</v>
      </c>
      <c r="BG205" s="13">
        <f>BG195*$I170*2/MAIN!$Q$1</f>
        <v>258940.08318109965</v>
      </c>
      <c r="BH205" s="13">
        <f>BH195*$I170*2/MAIN!$Q$1</f>
        <v>257856.52224146284</v>
      </c>
      <c r="BI205" s="13">
        <f>BI195*$I170*2/MAIN!$Q$1</f>
        <v>255202.39964732213</v>
      </c>
      <c r="BJ205" s="13">
        <f>BJ195*$I170*2/MAIN!$Q$1</f>
        <v>252805.17830823446</v>
      </c>
      <c r="BK205" s="13">
        <f>BK195*$I170*2/MAIN!$Q$1</f>
        <v>250629.28058638578</v>
      </c>
      <c r="BL205" s="13">
        <f>BL195*$I170*2/MAIN!$Q$1</f>
        <v>230959.41991640965</v>
      </c>
      <c r="BM205" s="13">
        <f>BM195*$I170*2/MAIN!$Q$1</f>
        <v>223262.51791511467</v>
      </c>
      <c r="BN205" s="13">
        <f>BN195*$I170*2/MAIN!$Q$1</f>
        <v>219157.503514424</v>
      </c>
      <c r="BO205" s="3">
        <f>BO195*$I170*2/MAIN!$Q$1</f>
        <v>205669.59905501181</v>
      </c>
      <c r="BP205" s="43"/>
      <c r="BQ205" s="43"/>
      <c r="BR205" s="42"/>
    </row>
    <row r="206" spans="1:70" ht="16.5">
      <c r="A206" s="41"/>
      <c r="B206" s="14">
        <f t="shared" ref="B206:B212" si="156">1+B205</f>
        <v>3</v>
      </c>
      <c r="C206" s="298" t="s">
        <v>66</v>
      </c>
      <c r="D206" s="3">
        <f>D196*$I170*2/MAIN!$Q$1</f>
        <v>-273181.96987737337</v>
      </c>
      <c r="E206" s="13">
        <f>E196*$I170*2/MAIN!$Q$1</f>
        <v>-273181.96987737337</v>
      </c>
      <c r="F206" s="13">
        <f>F196*$I170*2/MAIN!$Q$1</f>
        <v>-273181.96987737337</v>
      </c>
      <c r="G206" s="13">
        <f>G196*$I170*2/MAIN!$Q$1</f>
        <v>-273181.96987737337</v>
      </c>
      <c r="H206" s="13">
        <f>H196*$I170*2/MAIN!$Q$1</f>
        <v>-273181.96987737337</v>
      </c>
      <c r="I206" s="13">
        <f>I196*$I170*2/MAIN!$Q$1</f>
        <v>-273181.96987737337</v>
      </c>
      <c r="J206" s="13">
        <f>J196*$I170*2/MAIN!$Q$1</f>
        <v>-273181.96987737337</v>
      </c>
      <c r="K206" s="13">
        <f>K196*$I170*2/MAIN!$Q$1</f>
        <v>-273181.96987737337</v>
      </c>
      <c r="L206" s="13">
        <f>L196*$I170*2/MAIN!$Q$1</f>
        <v>-273181.96987737337</v>
      </c>
      <c r="M206" s="13">
        <f>M196*$I170*2/MAIN!$Q$1</f>
        <v>-273181.96987737337</v>
      </c>
      <c r="N206" s="13">
        <f>N196*$I170*2/MAIN!$Q$1</f>
        <v>-273181.96987737337</v>
      </c>
      <c r="O206" s="13">
        <f>O196*$I170*2/MAIN!$Q$1</f>
        <v>-273181.96987737337</v>
      </c>
      <c r="P206" s="13">
        <f>P196*$I170*2/MAIN!$Q$1</f>
        <v>-273181.96987737337</v>
      </c>
      <c r="Q206" s="13">
        <f>Q196*$I170*2/MAIN!$Q$1</f>
        <v>-273181.96987737337</v>
      </c>
      <c r="R206" s="13">
        <f>R196*$I170*2/MAIN!$Q$1</f>
        <v>-273181.96987737337</v>
      </c>
      <c r="S206" s="13">
        <f>S196*$I170*2/MAIN!$Q$1</f>
        <v>-273181.96987737337</v>
      </c>
      <c r="T206" s="13">
        <f>T196*$I170*2/MAIN!$Q$1</f>
        <v>-273181.96987737337</v>
      </c>
      <c r="U206" s="13">
        <f>U196*$I170*2/MAIN!$Q$1</f>
        <v>-273181.96987737337</v>
      </c>
      <c r="V206" s="13">
        <f>V196*$I170*2/MAIN!$Q$1</f>
        <v>-273181.96987737337</v>
      </c>
      <c r="W206" s="13">
        <f>W196*$I170*2/MAIN!$Q$1</f>
        <v>-273181.96987737337</v>
      </c>
      <c r="X206" s="13">
        <f>X196*$I170*2/MAIN!$Q$1</f>
        <v>-273181.96987737337</v>
      </c>
      <c r="Y206" s="13">
        <f>Y196*$I170*2/MAIN!$Q$1</f>
        <v>-273181.96987737337</v>
      </c>
      <c r="Z206" s="13">
        <f>Z196*$I170*2/MAIN!$Q$1</f>
        <v>-273181.96987737337</v>
      </c>
      <c r="AA206" s="13">
        <f>AA196*$I170*2/MAIN!$Q$1</f>
        <v>-273181.96987737337</v>
      </c>
      <c r="AB206" s="13">
        <f>AB196*$I170*2/MAIN!$Q$1</f>
        <v>-273181.96987737337</v>
      </c>
      <c r="AC206" s="13">
        <f>AC196*$I170*2/MAIN!$Q$1</f>
        <v>-273181.96987737337</v>
      </c>
      <c r="AD206" s="13">
        <f>AD196*$I170*2/MAIN!$Q$1</f>
        <v>-273181.96987737337</v>
      </c>
      <c r="AE206" s="13">
        <f>AE196*$I170*2/MAIN!$Q$1</f>
        <v>-260139.0931586567</v>
      </c>
      <c r="AF206" s="13">
        <f>AF196*$I170*2/MAIN!$Q$1</f>
        <v>-237097.32519255215</v>
      </c>
      <c r="AG206" s="13">
        <f>AG196*$I170*2/MAIN!$Q$1</f>
        <v>-215524.21630415812</v>
      </c>
      <c r="AH206" s="13">
        <f>AH196*$I170*2/MAIN!$Q$1</f>
        <v>-195283.68700317398</v>
      </c>
      <c r="AI206" s="13">
        <f>AI196*$I170*2/MAIN!$Q$1</f>
        <v>-176255.96550200565</v>
      </c>
      <c r="AJ206" s="13">
        <f>AJ196*$I170*2/MAIN!$Q$1</f>
        <v>-158335.21589099296</v>
      </c>
      <c r="AK206" s="13">
        <f>AK196*$I170*2/MAIN!$Q$1</f>
        <v>-141427.56856820057</v>
      </c>
      <c r="AL206" s="13">
        <f>AL196*$I170*2/MAIN!$Q$1</f>
        <v>-125449.47552027299</v>
      </c>
      <c r="AM206" s="13">
        <f>AM196*$I170*2/MAIN!$Q$1</f>
        <v>-110326.3296175118</v>
      </c>
      <c r="AN206" s="13">
        <f>AN196*$I170*2/MAIN!$Q$1</f>
        <v>-95991.299767952689</v>
      </c>
      <c r="AO206" s="13">
        <f>AO196*$I170*2/MAIN!$Q$1</f>
        <v>-82384.343558399705</v>
      </c>
      <c r="AP206" s="13">
        <f>AP196*$I170*2/MAIN!$Q$1</f>
        <v>-69451.366612945727</v>
      </c>
      <c r="AQ206" s="13">
        <f>AQ196*$I170*2/MAIN!$Q$1</f>
        <v>-57143.503848464818</v>
      </c>
      <c r="AR206" s="59">
        <f>AR196*$I170*2/MAIN!$Q$1</f>
        <v>-45416.502492113395</v>
      </c>
      <c r="AS206" s="13">
        <f>AS196*$I170*2/MAIN!$Q$1</f>
        <v>-18614.082771508612</v>
      </c>
      <c r="AT206" s="13">
        <f>AT196*$I170*2/MAIN!$Q$1</f>
        <v>5382.4348864071289</v>
      </c>
      <c r="AU206" s="13">
        <f>AU196*$I170*2/MAIN!$Q$1</f>
        <v>26991.751929736158</v>
      </c>
      <c r="AV206" s="13">
        <f>AV196*$I170*2/MAIN!$Q$1</f>
        <v>46553.211356920583</v>
      </c>
      <c r="AW206" s="13">
        <f>AW196*$I170*2/MAIN!$Q$1</f>
        <v>64344.74861148023</v>
      </c>
      <c r="AX206" s="13">
        <f>AX196*$I170*2/MAIN!$Q$1</f>
        <v>80596.180777663234</v>
      </c>
      <c r="AY206" s="13">
        <f>AY196*$I170*2/MAIN!$Q$1</f>
        <v>81257.301158777875</v>
      </c>
      <c r="AZ206" s="13">
        <f>AZ196*$I170*2/MAIN!$Q$1</f>
        <v>94973.021785029036</v>
      </c>
      <c r="BA206" s="13">
        <f>BA196*$I170*2/MAIN!$Q$1</f>
        <v>107637.90310415432</v>
      </c>
      <c r="BB206" s="13">
        <f>BB196*$I170*2/MAIN!$Q$1</f>
        <v>119368.25566724411</v>
      </c>
      <c r="BC206" s="13">
        <f>BC196*$I170*2/MAIN!$Q$1</f>
        <v>130263.83590588231</v>
      </c>
      <c r="BD206" s="13">
        <f>BD196*$I170*2/MAIN!$Q$1</f>
        <v>139245.92102927022</v>
      </c>
      <c r="BE206" s="13">
        <f>BE196*$I170*2/MAIN!$Q$1</f>
        <v>143486.83392619138</v>
      </c>
      <c r="BF206" s="13">
        <f>BF196*$I170*2/MAIN!$Q$1</f>
        <v>147218.71275203279</v>
      </c>
      <c r="BG206" s="13">
        <f>BG196*$I170*2/MAIN!$Q$1</f>
        <v>150528.01720789532</v>
      </c>
      <c r="BH206" s="13">
        <f>BH196*$I170*2/MAIN!$Q$1</f>
        <v>153482.67586856088</v>
      </c>
      <c r="BI206" s="13">
        <f>BI196*$I170*2/MAIN!$Q$1</f>
        <v>156136.79846270158</v>
      </c>
      <c r="BJ206" s="13">
        <f>BJ196*$I170*2/MAIN!$Q$1</f>
        <v>158534.01980178923</v>
      </c>
      <c r="BK206" s="13">
        <f>BK196*$I170*2/MAIN!$Q$1</f>
        <v>160709.91752363791</v>
      </c>
      <c r="BL206" s="13">
        <f>BL196*$I170*2/MAIN!$Q$1</f>
        <v>180379.77819361398</v>
      </c>
      <c r="BM206" s="13">
        <f>BM196*$I170*2/MAIN!$Q$1</f>
        <v>188076.68019490899</v>
      </c>
      <c r="BN206" s="13">
        <f>BN196*$I170*2/MAIN!$Q$1</f>
        <v>192181.69459559963</v>
      </c>
      <c r="BO206" s="3">
        <f>BO196*$I170*2/MAIN!$Q$1</f>
        <v>205669.59905501181</v>
      </c>
      <c r="BP206" s="43"/>
      <c r="BQ206" s="43"/>
      <c r="BR206" s="42"/>
    </row>
    <row r="207" spans="1:70" ht="16.5">
      <c r="A207" s="41"/>
      <c r="B207" s="14">
        <f t="shared" si="156"/>
        <v>4</v>
      </c>
      <c r="C207" s="298" t="s">
        <v>66</v>
      </c>
      <c r="D207" s="3">
        <f>D197*$I170*2/MAIN!$Q$1</f>
        <v>0</v>
      </c>
      <c r="E207" s="13">
        <f>E197*$I170*2/MAIN!$Q$1</f>
        <v>0</v>
      </c>
      <c r="F207" s="13">
        <f>F197*$I170*2/MAIN!$Q$1</f>
        <v>0</v>
      </c>
      <c r="G207" s="13">
        <f>G197*$I170*2/MAIN!$Q$1</f>
        <v>0</v>
      </c>
      <c r="H207" s="13">
        <f>H197*$I170*2/MAIN!$Q$1</f>
        <v>0</v>
      </c>
      <c r="I207" s="13">
        <f>I197*$I170*2/MAIN!$Q$1</f>
        <v>0</v>
      </c>
      <c r="J207" s="13">
        <f>J197*$I170*2/MAIN!$Q$1</f>
        <v>0</v>
      </c>
      <c r="K207" s="13">
        <f>K197*$I170*2/MAIN!$Q$1</f>
        <v>0</v>
      </c>
      <c r="L207" s="13">
        <f>L197*$I170*2/MAIN!$Q$1</f>
        <v>0</v>
      </c>
      <c r="M207" s="13">
        <f>M197*$I170*2/MAIN!$Q$1</f>
        <v>0</v>
      </c>
      <c r="N207" s="13">
        <f>N197*$I170*2/MAIN!$Q$1</f>
        <v>0</v>
      </c>
      <c r="O207" s="13">
        <f>O197*$I170*2/MAIN!$Q$1</f>
        <v>0</v>
      </c>
      <c r="P207" s="13">
        <f>P197*$I170*2/MAIN!$Q$1</f>
        <v>0</v>
      </c>
      <c r="Q207" s="13">
        <f>Q197*$I170*2/MAIN!$Q$1</f>
        <v>0</v>
      </c>
      <c r="R207" s="13">
        <f>R197*$I170*2/MAIN!$Q$1</f>
        <v>0</v>
      </c>
      <c r="S207" s="13">
        <f>S197*$I170*2/MAIN!$Q$1</f>
        <v>0</v>
      </c>
      <c r="T207" s="13">
        <f>T197*$I170*2/MAIN!$Q$1</f>
        <v>0</v>
      </c>
      <c r="U207" s="13">
        <f>U197*$I170*2/MAIN!$Q$1</f>
        <v>0</v>
      </c>
      <c r="V207" s="13">
        <f>V197*$I170*2/MAIN!$Q$1</f>
        <v>0</v>
      </c>
      <c r="W207" s="13">
        <f>W197*$I170*2/MAIN!$Q$1</f>
        <v>0</v>
      </c>
      <c r="X207" s="13">
        <f>X197*$I170*2/MAIN!$Q$1</f>
        <v>0</v>
      </c>
      <c r="Y207" s="13">
        <f>Y197*$I170*2/MAIN!$Q$1</f>
        <v>0</v>
      </c>
      <c r="Z207" s="13">
        <f>Z197*$I170*2/MAIN!$Q$1</f>
        <v>0</v>
      </c>
      <c r="AA207" s="13">
        <f>AA197*$I170*2/MAIN!$Q$1</f>
        <v>0</v>
      </c>
      <c r="AB207" s="13">
        <f>AB197*$I170*2/MAIN!$Q$1</f>
        <v>0</v>
      </c>
      <c r="AC207" s="13">
        <f>AC197*$I170*2/MAIN!$Q$1</f>
        <v>0</v>
      </c>
      <c r="AD207" s="13">
        <f>AD197*$I170*2/MAIN!$Q$1</f>
        <v>0</v>
      </c>
      <c r="AE207" s="13">
        <f>AE197*$I170*2/MAIN!$Q$1</f>
        <v>0</v>
      </c>
      <c r="AF207" s="13">
        <f>AF197*$I170*2/MAIN!$Q$1</f>
        <v>0</v>
      </c>
      <c r="AG207" s="13">
        <f>AG197*$I170*2/MAIN!$Q$1</f>
        <v>0</v>
      </c>
      <c r="AH207" s="13">
        <f>AH197*$I170*2/MAIN!$Q$1</f>
        <v>0</v>
      </c>
      <c r="AI207" s="13">
        <f>AI197*$I170*2/MAIN!$Q$1</f>
        <v>0</v>
      </c>
      <c r="AJ207" s="13">
        <f>AJ197*$I170*2/MAIN!$Q$1</f>
        <v>0</v>
      </c>
      <c r="AK207" s="13">
        <f>AK197*$I170*2/MAIN!$Q$1</f>
        <v>0</v>
      </c>
      <c r="AL207" s="13">
        <f>AL197*$I170*2/MAIN!$Q$1</f>
        <v>0</v>
      </c>
      <c r="AM207" s="13">
        <f>AM197*$I170*2/MAIN!$Q$1</f>
        <v>0</v>
      </c>
      <c r="AN207" s="13">
        <f>AN197*$I170*2/MAIN!$Q$1</f>
        <v>0</v>
      </c>
      <c r="AO207" s="13">
        <f>AO197*$I170*2/MAIN!$Q$1</f>
        <v>0</v>
      </c>
      <c r="AP207" s="13">
        <f>AP197*$I170*2/MAIN!$Q$1</f>
        <v>0</v>
      </c>
      <c r="AQ207" s="13">
        <f>AQ197*$I170*2/MAIN!$Q$1</f>
        <v>0</v>
      </c>
      <c r="AR207" s="59">
        <f>AR197*$I170*2/MAIN!$Q$1</f>
        <v>0</v>
      </c>
      <c r="AS207" s="13">
        <f>AS197*$I170*2/MAIN!$Q$1</f>
        <v>0</v>
      </c>
      <c r="AT207" s="13">
        <f>AT197*$I170*2/MAIN!$Q$1</f>
        <v>0</v>
      </c>
      <c r="AU207" s="13">
        <f>AU197*$I170*2/MAIN!$Q$1</f>
        <v>0</v>
      </c>
      <c r="AV207" s="13">
        <f>AV197*$I170*2/MAIN!$Q$1</f>
        <v>0</v>
      </c>
      <c r="AW207" s="13">
        <f>AW197*$I170*2/MAIN!$Q$1</f>
        <v>0</v>
      </c>
      <c r="AX207" s="13">
        <f>AX197*$I170*2/MAIN!$Q$1</f>
        <v>0</v>
      </c>
      <c r="AY207" s="13">
        <f>AY197*$I170*2/MAIN!$Q$1</f>
        <v>0</v>
      </c>
      <c r="AZ207" s="13">
        <f>AZ197*$I170*2/MAIN!$Q$1</f>
        <v>0</v>
      </c>
      <c r="BA207" s="13">
        <f>BA197*$I170*2/MAIN!$Q$1</f>
        <v>0</v>
      </c>
      <c r="BB207" s="13">
        <f>BB197*$I170*2/MAIN!$Q$1</f>
        <v>0</v>
      </c>
      <c r="BC207" s="13">
        <f>BC197*$I170*2/MAIN!$Q$1</f>
        <v>0</v>
      </c>
      <c r="BD207" s="13">
        <f>BD197*$I170*2/MAIN!$Q$1</f>
        <v>0</v>
      </c>
      <c r="BE207" s="13">
        <f>BE197*$I170*2/MAIN!$Q$1</f>
        <v>0</v>
      </c>
      <c r="BF207" s="13">
        <f>BF197*$I170*2/MAIN!$Q$1</f>
        <v>0</v>
      </c>
      <c r="BG207" s="13">
        <f>BG197*$I170*2/MAIN!$Q$1</f>
        <v>0</v>
      </c>
      <c r="BH207" s="13">
        <f>BH197*$I170*2/MAIN!$Q$1</f>
        <v>0</v>
      </c>
      <c r="BI207" s="13">
        <f>BI197*$I170*2/MAIN!$Q$1</f>
        <v>0</v>
      </c>
      <c r="BJ207" s="13">
        <f>BJ197*$I170*2/MAIN!$Q$1</f>
        <v>0</v>
      </c>
      <c r="BK207" s="13">
        <f>BK197*$I170*2/MAIN!$Q$1</f>
        <v>0</v>
      </c>
      <c r="BL207" s="13">
        <f>BL197*$I170*2/MAIN!$Q$1</f>
        <v>0</v>
      </c>
      <c r="BM207" s="13">
        <f>BM197*$I170*2/MAIN!$Q$1</f>
        <v>0</v>
      </c>
      <c r="BN207" s="13">
        <f>BN197*$I170*2/MAIN!$Q$1</f>
        <v>0</v>
      </c>
      <c r="BO207" s="3">
        <f>BO197*$I170*2/MAIN!$Q$1</f>
        <v>0</v>
      </c>
      <c r="BP207" s="43"/>
      <c r="BQ207" s="43"/>
      <c r="BR207" s="42"/>
    </row>
    <row r="208" spans="1:70" ht="16.5">
      <c r="A208" s="41"/>
      <c r="B208" s="14">
        <f t="shared" si="156"/>
        <v>5</v>
      </c>
      <c r="C208" s="298" t="s">
        <v>66</v>
      </c>
      <c r="D208" s="3">
        <f>D198*$I170*2/MAIN!$Q$1</f>
        <v>0</v>
      </c>
      <c r="E208" s="13">
        <f>E198*$I170*2/MAIN!$Q$1</f>
        <v>0</v>
      </c>
      <c r="F208" s="13">
        <f>F198*$I170*2/MAIN!$Q$1</f>
        <v>0</v>
      </c>
      <c r="G208" s="13">
        <f>G198*$I170*2/MAIN!$Q$1</f>
        <v>0</v>
      </c>
      <c r="H208" s="13">
        <f>H198*$I170*2/MAIN!$Q$1</f>
        <v>0</v>
      </c>
      <c r="I208" s="13">
        <f>I198*$I170*2/MAIN!$Q$1</f>
        <v>0</v>
      </c>
      <c r="J208" s="13">
        <f>J198*$I170*2/MAIN!$Q$1</f>
        <v>0</v>
      </c>
      <c r="K208" s="13">
        <f>K198*$I170*2/MAIN!$Q$1</f>
        <v>0</v>
      </c>
      <c r="L208" s="13">
        <f>L198*$I170*2/MAIN!$Q$1</f>
        <v>0</v>
      </c>
      <c r="M208" s="13">
        <f>M198*$I170*2/MAIN!$Q$1</f>
        <v>0</v>
      </c>
      <c r="N208" s="13">
        <f>N198*$I170*2/MAIN!$Q$1</f>
        <v>0</v>
      </c>
      <c r="O208" s="13">
        <f>O198*$I170*2/MAIN!$Q$1</f>
        <v>0</v>
      </c>
      <c r="P208" s="13">
        <f>P198*$I170*2/MAIN!$Q$1</f>
        <v>0</v>
      </c>
      <c r="Q208" s="13">
        <f>Q198*$I170*2/MAIN!$Q$1</f>
        <v>0</v>
      </c>
      <c r="R208" s="13">
        <f>R198*$I170*2/MAIN!$Q$1</f>
        <v>0</v>
      </c>
      <c r="S208" s="13">
        <f>S198*$I170*2/MAIN!$Q$1</f>
        <v>0</v>
      </c>
      <c r="T208" s="13">
        <f>T198*$I170*2/MAIN!$Q$1</f>
        <v>0</v>
      </c>
      <c r="U208" s="13">
        <f>U198*$I170*2/MAIN!$Q$1</f>
        <v>0</v>
      </c>
      <c r="V208" s="13">
        <f>V198*$I170*2/MAIN!$Q$1</f>
        <v>0</v>
      </c>
      <c r="W208" s="13">
        <f>W198*$I170*2/MAIN!$Q$1</f>
        <v>0</v>
      </c>
      <c r="X208" s="13">
        <f>X198*$I170*2/MAIN!$Q$1</f>
        <v>0</v>
      </c>
      <c r="Y208" s="13">
        <f>Y198*$I170*2/MAIN!$Q$1</f>
        <v>0</v>
      </c>
      <c r="Z208" s="13">
        <f>Z198*$I170*2/MAIN!$Q$1</f>
        <v>0</v>
      </c>
      <c r="AA208" s="13">
        <f>AA198*$I170*2/MAIN!$Q$1</f>
        <v>0</v>
      </c>
      <c r="AB208" s="13">
        <f>AB198*$I170*2/MAIN!$Q$1</f>
        <v>0</v>
      </c>
      <c r="AC208" s="13">
        <f>AC198*$I170*2/MAIN!$Q$1</f>
        <v>0</v>
      </c>
      <c r="AD208" s="13">
        <f>AD198*$I170*2/MAIN!$Q$1</f>
        <v>0</v>
      </c>
      <c r="AE208" s="13">
        <f>AE198*$I170*2/MAIN!$Q$1</f>
        <v>0</v>
      </c>
      <c r="AF208" s="13">
        <f>AF198*$I170*2/MAIN!$Q$1</f>
        <v>0</v>
      </c>
      <c r="AG208" s="13">
        <f>AG198*$I170*2/MAIN!$Q$1</f>
        <v>0</v>
      </c>
      <c r="AH208" s="13">
        <f>AH198*$I170*2/MAIN!$Q$1</f>
        <v>0</v>
      </c>
      <c r="AI208" s="13">
        <f>AI198*$I170*2/MAIN!$Q$1</f>
        <v>0</v>
      </c>
      <c r="AJ208" s="13">
        <f>AJ198*$I170*2/MAIN!$Q$1</f>
        <v>0</v>
      </c>
      <c r="AK208" s="13">
        <f>AK198*$I170*2/MAIN!$Q$1</f>
        <v>0</v>
      </c>
      <c r="AL208" s="13">
        <f>AL198*$I170*2/MAIN!$Q$1</f>
        <v>0</v>
      </c>
      <c r="AM208" s="13">
        <f>AM198*$I170*2/MAIN!$Q$1</f>
        <v>0</v>
      </c>
      <c r="AN208" s="13">
        <f>AN198*$I170*2/MAIN!$Q$1</f>
        <v>0</v>
      </c>
      <c r="AO208" s="13">
        <f>AO198*$I170*2/MAIN!$Q$1</f>
        <v>0</v>
      </c>
      <c r="AP208" s="13">
        <f>AP198*$I170*2/MAIN!$Q$1</f>
        <v>0</v>
      </c>
      <c r="AQ208" s="13">
        <f>AQ198*$I170*2/MAIN!$Q$1</f>
        <v>0</v>
      </c>
      <c r="AR208" s="59">
        <f>AR198*$I170*2/MAIN!$Q$1</f>
        <v>0</v>
      </c>
      <c r="AS208" s="13">
        <f>AS198*$I170*2/MAIN!$Q$1</f>
        <v>0</v>
      </c>
      <c r="AT208" s="13">
        <f>AT198*$I170*2/MAIN!$Q$1</f>
        <v>0</v>
      </c>
      <c r="AU208" s="13">
        <f>AU198*$I170*2/MAIN!$Q$1</f>
        <v>0</v>
      </c>
      <c r="AV208" s="13">
        <f>AV198*$I170*2/MAIN!$Q$1</f>
        <v>0</v>
      </c>
      <c r="AW208" s="13">
        <f>AW198*$I170*2/MAIN!$Q$1</f>
        <v>0</v>
      </c>
      <c r="AX208" s="13">
        <f>AX198*$I170*2/MAIN!$Q$1</f>
        <v>0</v>
      </c>
      <c r="AY208" s="13">
        <f>AY198*$I170*2/MAIN!$Q$1</f>
        <v>0</v>
      </c>
      <c r="AZ208" s="13">
        <f>AZ198*$I170*2/MAIN!$Q$1</f>
        <v>0</v>
      </c>
      <c r="BA208" s="13">
        <f>BA198*$I170*2/MAIN!$Q$1</f>
        <v>0</v>
      </c>
      <c r="BB208" s="13">
        <f>BB198*$I170*2/MAIN!$Q$1</f>
        <v>0</v>
      </c>
      <c r="BC208" s="13">
        <f>BC198*$I170*2/MAIN!$Q$1</f>
        <v>0</v>
      </c>
      <c r="BD208" s="13">
        <f>BD198*$I170*2/MAIN!$Q$1</f>
        <v>0</v>
      </c>
      <c r="BE208" s="13">
        <f>BE198*$I170*2/MAIN!$Q$1</f>
        <v>0</v>
      </c>
      <c r="BF208" s="13">
        <f>BF198*$I170*2/MAIN!$Q$1</f>
        <v>0</v>
      </c>
      <c r="BG208" s="13">
        <f>BG198*$I170*2/MAIN!$Q$1</f>
        <v>0</v>
      </c>
      <c r="BH208" s="13">
        <f>BH198*$I170*2/MAIN!$Q$1</f>
        <v>0</v>
      </c>
      <c r="BI208" s="13">
        <f>BI198*$I170*2/MAIN!$Q$1</f>
        <v>0</v>
      </c>
      <c r="BJ208" s="13">
        <f>BJ198*$I170*2/MAIN!$Q$1</f>
        <v>0</v>
      </c>
      <c r="BK208" s="13">
        <f>BK198*$I170*2/MAIN!$Q$1</f>
        <v>0</v>
      </c>
      <c r="BL208" s="13">
        <f>BL198*$I170*2/MAIN!$Q$1</f>
        <v>0</v>
      </c>
      <c r="BM208" s="13">
        <f>BM198*$I170*2/MAIN!$Q$1</f>
        <v>0</v>
      </c>
      <c r="BN208" s="13">
        <f>BN198*$I170*2/MAIN!$Q$1</f>
        <v>0</v>
      </c>
      <c r="BO208" s="3">
        <f>BO198*$I170*2/MAIN!$Q$1</f>
        <v>0</v>
      </c>
      <c r="BP208" s="43"/>
      <c r="BQ208" s="43"/>
      <c r="BR208" s="42"/>
    </row>
    <row r="209" spans="1:70" ht="16.5">
      <c r="A209" s="41"/>
      <c r="B209" s="14">
        <f t="shared" si="156"/>
        <v>6</v>
      </c>
      <c r="C209" s="298" t="s">
        <v>66</v>
      </c>
      <c r="D209" s="3">
        <f>D199*$I170*2/MAIN!$Q$1</f>
        <v>0</v>
      </c>
      <c r="E209" s="13">
        <f>E199*$I170*2/MAIN!$Q$1</f>
        <v>0</v>
      </c>
      <c r="F209" s="13">
        <f>F199*$I170*2/MAIN!$Q$1</f>
        <v>0</v>
      </c>
      <c r="G209" s="13">
        <f>G199*$I170*2/MAIN!$Q$1</f>
        <v>0</v>
      </c>
      <c r="H209" s="13">
        <f>H199*$I170*2/MAIN!$Q$1</f>
        <v>0</v>
      </c>
      <c r="I209" s="13">
        <f>I199*$I170*2/MAIN!$Q$1</f>
        <v>0</v>
      </c>
      <c r="J209" s="13">
        <f>J199*$I170*2/MAIN!$Q$1</f>
        <v>0</v>
      </c>
      <c r="K209" s="13">
        <f>K199*$I170*2/MAIN!$Q$1</f>
        <v>0</v>
      </c>
      <c r="L209" s="13">
        <f>L199*$I170*2/MAIN!$Q$1</f>
        <v>0</v>
      </c>
      <c r="M209" s="13">
        <f>M199*$I170*2/MAIN!$Q$1</f>
        <v>0</v>
      </c>
      <c r="N209" s="13">
        <f>N199*$I170*2/MAIN!$Q$1</f>
        <v>0</v>
      </c>
      <c r="O209" s="13">
        <f>O199*$I170*2/MAIN!$Q$1</f>
        <v>0</v>
      </c>
      <c r="P209" s="13">
        <f>P199*$I170*2/MAIN!$Q$1</f>
        <v>0</v>
      </c>
      <c r="Q209" s="13">
        <f>Q199*$I170*2/MAIN!$Q$1</f>
        <v>0</v>
      </c>
      <c r="R209" s="13">
        <f>R199*$I170*2/MAIN!$Q$1</f>
        <v>0</v>
      </c>
      <c r="S209" s="13">
        <f>S199*$I170*2/MAIN!$Q$1</f>
        <v>0</v>
      </c>
      <c r="T209" s="13">
        <f>T199*$I170*2/MAIN!$Q$1</f>
        <v>0</v>
      </c>
      <c r="U209" s="13">
        <f>U199*$I170*2/MAIN!$Q$1</f>
        <v>0</v>
      </c>
      <c r="V209" s="13">
        <f>V199*$I170*2/MAIN!$Q$1</f>
        <v>0</v>
      </c>
      <c r="W209" s="13">
        <f>W199*$I170*2/MAIN!$Q$1</f>
        <v>0</v>
      </c>
      <c r="X209" s="13">
        <f>X199*$I170*2/MAIN!$Q$1</f>
        <v>0</v>
      </c>
      <c r="Y209" s="13">
        <f>Y199*$I170*2/MAIN!$Q$1</f>
        <v>0</v>
      </c>
      <c r="Z209" s="13">
        <f>Z199*$I170*2/MAIN!$Q$1</f>
        <v>0</v>
      </c>
      <c r="AA209" s="13">
        <f>AA199*$I170*2/MAIN!$Q$1</f>
        <v>0</v>
      </c>
      <c r="AB209" s="13">
        <f>AB199*$I170*2/MAIN!$Q$1</f>
        <v>0</v>
      </c>
      <c r="AC209" s="13">
        <f>AC199*$I170*2/MAIN!$Q$1</f>
        <v>0</v>
      </c>
      <c r="AD209" s="13">
        <f>AD199*$I170*2/MAIN!$Q$1</f>
        <v>0</v>
      </c>
      <c r="AE209" s="13">
        <f>AE199*$I170*2/MAIN!$Q$1</f>
        <v>0</v>
      </c>
      <c r="AF209" s="13">
        <f>AF199*$I170*2/MAIN!$Q$1</f>
        <v>0</v>
      </c>
      <c r="AG209" s="13">
        <f>AG199*$I170*2/MAIN!$Q$1</f>
        <v>0</v>
      </c>
      <c r="AH209" s="13">
        <f>AH199*$I170*2/MAIN!$Q$1</f>
        <v>0</v>
      </c>
      <c r="AI209" s="13">
        <f>AI199*$I170*2/MAIN!$Q$1</f>
        <v>0</v>
      </c>
      <c r="AJ209" s="13">
        <f>AJ199*$I170*2/MAIN!$Q$1</f>
        <v>0</v>
      </c>
      <c r="AK209" s="13">
        <f>AK199*$I170*2/MAIN!$Q$1</f>
        <v>0</v>
      </c>
      <c r="AL209" s="13">
        <f>AL199*$I170*2/MAIN!$Q$1</f>
        <v>0</v>
      </c>
      <c r="AM209" s="13">
        <f>AM199*$I170*2/MAIN!$Q$1</f>
        <v>0</v>
      </c>
      <c r="AN209" s="13">
        <f>AN199*$I170*2/MAIN!$Q$1</f>
        <v>0</v>
      </c>
      <c r="AO209" s="13">
        <f>AO199*$I170*2/MAIN!$Q$1</f>
        <v>0</v>
      </c>
      <c r="AP209" s="13">
        <f>AP199*$I170*2/MAIN!$Q$1</f>
        <v>0</v>
      </c>
      <c r="AQ209" s="13">
        <f>AQ199*$I170*2/MAIN!$Q$1</f>
        <v>0</v>
      </c>
      <c r="AR209" s="59">
        <f>AR199*$I170*2/MAIN!$Q$1</f>
        <v>0</v>
      </c>
      <c r="AS209" s="13">
        <f>AS199*$I170*2/MAIN!$Q$1</f>
        <v>0</v>
      </c>
      <c r="AT209" s="13">
        <f>AT199*$I170*2/MAIN!$Q$1</f>
        <v>0</v>
      </c>
      <c r="AU209" s="13">
        <f>AU199*$I170*2/MAIN!$Q$1</f>
        <v>0</v>
      </c>
      <c r="AV209" s="13">
        <f>AV199*$I170*2/MAIN!$Q$1</f>
        <v>0</v>
      </c>
      <c r="AW209" s="13">
        <f>AW199*$I170*2/MAIN!$Q$1</f>
        <v>0</v>
      </c>
      <c r="AX209" s="13">
        <f>AX199*$I170*2/MAIN!$Q$1</f>
        <v>0</v>
      </c>
      <c r="AY209" s="13">
        <f>AY199*$I170*2/MAIN!$Q$1</f>
        <v>0</v>
      </c>
      <c r="AZ209" s="13">
        <f>AZ199*$I170*2/MAIN!$Q$1</f>
        <v>0</v>
      </c>
      <c r="BA209" s="13">
        <f>BA199*$I170*2/MAIN!$Q$1</f>
        <v>0</v>
      </c>
      <c r="BB209" s="13">
        <f>BB199*$I170*2/MAIN!$Q$1</f>
        <v>0</v>
      </c>
      <c r="BC209" s="13">
        <f>BC199*$I170*2/MAIN!$Q$1</f>
        <v>0</v>
      </c>
      <c r="BD209" s="13">
        <f>BD199*$I170*2/MAIN!$Q$1</f>
        <v>0</v>
      </c>
      <c r="BE209" s="13">
        <f>BE199*$I170*2/MAIN!$Q$1</f>
        <v>0</v>
      </c>
      <c r="BF209" s="13">
        <f>BF199*$I170*2/MAIN!$Q$1</f>
        <v>0</v>
      </c>
      <c r="BG209" s="13">
        <f>BG199*$I170*2/MAIN!$Q$1</f>
        <v>0</v>
      </c>
      <c r="BH209" s="13">
        <f>BH199*$I170*2/MAIN!$Q$1</f>
        <v>0</v>
      </c>
      <c r="BI209" s="13">
        <f>BI199*$I170*2/MAIN!$Q$1</f>
        <v>0</v>
      </c>
      <c r="BJ209" s="13">
        <f>BJ199*$I170*2/MAIN!$Q$1</f>
        <v>0</v>
      </c>
      <c r="BK209" s="13">
        <f>BK199*$I170*2/MAIN!$Q$1</f>
        <v>0</v>
      </c>
      <c r="BL209" s="13">
        <f>BL199*$I170*2/MAIN!$Q$1</f>
        <v>0</v>
      </c>
      <c r="BM209" s="13">
        <f>BM199*$I170*2/MAIN!$Q$1</f>
        <v>0</v>
      </c>
      <c r="BN209" s="13">
        <f>BN199*$I170*2/MAIN!$Q$1</f>
        <v>0</v>
      </c>
      <c r="BO209" s="3">
        <f>BO199*$I170*2/MAIN!$Q$1</f>
        <v>0</v>
      </c>
      <c r="BP209" s="43"/>
      <c r="BQ209" s="43"/>
      <c r="BR209" s="42"/>
    </row>
    <row r="210" spans="1:70" ht="16.5">
      <c r="A210" s="41"/>
      <c r="B210" s="14">
        <f t="shared" si="156"/>
        <v>7</v>
      </c>
      <c r="C210" s="298" t="s">
        <v>66</v>
      </c>
      <c r="D210" s="3">
        <f>D200*$I170*2/MAIN!$Q$1</f>
        <v>0</v>
      </c>
      <c r="E210" s="13">
        <f>E200*$I170*2/MAIN!$Q$1</f>
        <v>0</v>
      </c>
      <c r="F210" s="13">
        <f>F200*$I170*2/MAIN!$Q$1</f>
        <v>0</v>
      </c>
      <c r="G210" s="13">
        <f>G200*$I170*2/MAIN!$Q$1</f>
        <v>0</v>
      </c>
      <c r="H210" s="13">
        <f>H200*$I170*2/MAIN!$Q$1</f>
        <v>0</v>
      </c>
      <c r="I210" s="13">
        <f>I200*$I170*2/MAIN!$Q$1</f>
        <v>0</v>
      </c>
      <c r="J210" s="13">
        <f>J200*$I170*2/MAIN!$Q$1</f>
        <v>0</v>
      </c>
      <c r="K210" s="13">
        <f>K200*$I170*2/MAIN!$Q$1</f>
        <v>0</v>
      </c>
      <c r="L210" s="13">
        <f>L200*$I170*2/MAIN!$Q$1</f>
        <v>0</v>
      </c>
      <c r="M210" s="13">
        <f>M200*$I170*2/MAIN!$Q$1</f>
        <v>0</v>
      </c>
      <c r="N210" s="13">
        <f>N200*$I170*2/MAIN!$Q$1</f>
        <v>0</v>
      </c>
      <c r="O210" s="13">
        <f>O200*$I170*2/MAIN!$Q$1</f>
        <v>0</v>
      </c>
      <c r="P210" s="13">
        <f>P200*$I170*2/MAIN!$Q$1</f>
        <v>0</v>
      </c>
      <c r="Q210" s="13">
        <f>Q200*$I170*2/MAIN!$Q$1</f>
        <v>0</v>
      </c>
      <c r="R210" s="13">
        <f>R200*$I170*2/MAIN!$Q$1</f>
        <v>0</v>
      </c>
      <c r="S210" s="13">
        <f>S200*$I170*2/MAIN!$Q$1</f>
        <v>0</v>
      </c>
      <c r="T210" s="13">
        <f>T200*$I170*2/MAIN!$Q$1</f>
        <v>0</v>
      </c>
      <c r="U210" s="13">
        <f>U200*$I170*2/MAIN!$Q$1</f>
        <v>0</v>
      </c>
      <c r="V210" s="13">
        <f>V200*$I170*2/MAIN!$Q$1</f>
        <v>0</v>
      </c>
      <c r="W210" s="13">
        <f>W200*$I170*2/MAIN!$Q$1</f>
        <v>0</v>
      </c>
      <c r="X210" s="13">
        <f>X200*$I170*2/MAIN!$Q$1</f>
        <v>0</v>
      </c>
      <c r="Y210" s="13">
        <f>Y200*$I170*2/MAIN!$Q$1</f>
        <v>0</v>
      </c>
      <c r="Z210" s="13">
        <f>Z200*$I170*2/MAIN!$Q$1</f>
        <v>0</v>
      </c>
      <c r="AA210" s="13">
        <f>AA200*$I170*2/MAIN!$Q$1</f>
        <v>0</v>
      </c>
      <c r="AB210" s="13">
        <f>AB200*$I170*2/MAIN!$Q$1</f>
        <v>0</v>
      </c>
      <c r="AC210" s="13">
        <f>AC200*$I170*2/MAIN!$Q$1</f>
        <v>0</v>
      </c>
      <c r="AD210" s="13">
        <f>AD200*$I170*2/MAIN!$Q$1</f>
        <v>0</v>
      </c>
      <c r="AE210" s="13">
        <f>AE200*$I170*2/MAIN!$Q$1</f>
        <v>0</v>
      </c>
      <c r="AF210" s="13">
        <f>AF200*$I170*2/MAIN!$Q$1</f>
        <v>0</v>
      </c>
      <c r="AG210" s="13">
        <f>AG200*$I170*2/MAIN!$Q$1</f>
        <v>0</v>
      </c>
      <c r="AH210" s="13">
        <f>AH200*$I170*2/MAIN!$Q$1</f>
        <v>0</v>
      </c>
      <c r="AI210" s="13">
        <f>AI200*$I170*2/MAIN!$Q$1</f>
        <v>0</v>
      </c>
      <c r="AJ210" s="13">
        <f>AJ200*$I170*2/MAIN!$Q$1</f>
        <v>0</v>
      </c>
      <c r="AK210" s="13">
        <f>AK200*$I170*2/MAIN!$Q$1</f>
        <v>0</v>
      </c>
      <c r="AL210" s="13">
        <f>AL200*$I170*2/MAIN!$Q$1</f>
        <v>0</v>
      </c>
      <c r="AM210" s="13">
        <f>AM200*$I170*2/MAIN!$Q$1</f>
        <v>0</v>
      </c>
      <c r="AN210" s="13">
        <f>AN200*$I170*2/MAIN!$Q$1</f>
        <v>0</v>
      </c>
      <c r="AO210" s="13">
        <f>AO200*$I170*2/MAIN!$Q$1</f>
        <v>0</v>
      </c>
      <c r="AP210" s="13">
        <f>AP200*$I170*2/MAIN!$Q$1</f>
        <v>0</v>
      </c>
      <c r="AQ210" s="13">
        <f>AQ200*$I170*2/MAIN!$Q$1</f>
        <v>0</v>
      </c>
      <c r="AR210" s="59">
        <f>AR200*$I170*2/MAIN!$Q$1</f>
        <v>0</v>
      </c>
      <c r="AS210" s="13">
        <f>AS200*$I170*2/MAIN!$Q$1</f>
        <v>0</v>
      </c>
      <c r="AT210" s="13">
        <f>AT200*$I170*2/MAIN!$Q$1</f>
        <v>0</v>
      </c>
      <c r="AU210" s="13">
        <f>AU200*$I170*2/MAIN!$Q$1</f>
        <v>0</v>
      </c>
      <c r="AV210" s="13">
        <f>AV200*$I170*2/MAIN!$Q$1</f>
        <v>0</v>
      </c>
      <c r="AW210" s="13">
        <f>AW200*$I170*2/MAIN!$Q$1</f>
        <v>0</v>
      </c>
      <c r="AX210" s="13">
        <f>AX200*$I170*2/MAIN!$Q$1</f>
        <v>0</v>
      </c>
      <c r="AY210" s="13">
        <f>AY200*$I170*2/MAIN!$Q$1</f>
        <v>0</v>
      </c>
      <c r="AZ210" s="13">
        <f>AZ200*$I170*2/MAIN!$Q$1</f>
        <v>0</v>
      </c>
      <c r="BA210" s="13">
        <f>BA200*$I170*2/MAIN!$Q$1</f>
        <v>0</v>
      </c>
      <c r="BB210" s="13">
        <f>BB200*$I170*2/MAIN!$Q$1</f>
        <v>0</v>
      </c>
      <c r="BC210" s="13">
        <f>BC200*$I170*2/MAIN!$Q$1</f>
        <v>0</v>
      </c>
      <c r="BD210" s="13">
        <f>BD200*$I170*2/MAIN!$Q$1</f>
        <v>0</v>
      </c>
      <c r="BE210" s="13">
        <f>BE200*$I170*2/MAIN!$Q$1</f>
        <v>0</v>
      </c>
      <c r="BF210" s="13">
        <f>BF200*$I170*2/MAIN!$Q$1</f>
        <v>0</v>
      </c>
      <c r="BG210" s="13">
        <f>BG200*$I170*2/MAIN!$Q$1</f>
        <v>0</v>
      </c>
      <c r="BH210" s="13">
        <f>BH200*$I170*2/MAIN!$Q$1</f>
        <v>0</v>
      </c>
      <c r="BI210" s="13">
        <f>BI200*$I170*2/MAIN!$Q$1</f>
        <v>0</v>
      </c>
      <c r="BJ210" s="13">
        <f>BJ200*$I170*2/MAIN!$Q$1</f>
        <v>0</v>
      </c>
      <c r="BK210" s="13">
        <f>BK200*$I170*2/MAIN!$Q$1</f>
        <v>0</v>
      </c>
      <c r="BL210" s="13">
        <f>BL200*$I170*2/MAIN!$Q$1</f>
        <v>0</v>
      </c>
      <c r="BM210" s="13">
        <f>BM200*$I170*2/MAIN!$Q$1</f>
        <v>0</v>
      </c>
      <c r="BN210" s="13">
        <f>BN200*$I170*2/MAIN!$Q$1</f>
        <v>0</v>
      </c>
      <c r="BO210" s="3">
        <f>BO200*$I170*2/MAIN!$Q$1</f>
        <v>0</v>
      </c>
      <c r="BP210" s="43"/>
      <c r="BQ210" s="43"/>
      <c r="BR210" s="42"/>
    </row>
    <row r="211" spans="1:70" ht="16.5">
      <c r="A211" s="41"/>
      <c r="B211" s="14">
        <f t="shared" si="156"/>
        <v>8</v>
      </c>
      <c r="C211" s="298" t="s">
        <v>66</v>
      </c>
      <c r="D211" s="3">
        <f>D201*$I170*2/MAIN!$Q$1</f>
        <v>0</v>
      </c>
      <c r="E211" s="13">
        <f>E201*$I170*2/MAIN!$Q$1</f>
        <v>0</v>
      </c>
      <c r="F211" s="13">
        <f>F201*$I170*2/MAIN!$Q$1</f>
        <v>0</v>
      </c>
      <c r="G211" s="13">
        <f>G201*$I170*2/MAIN!$Q$1</f>
        <v>0</v>
      </c>
      <c r="H211" s="13">
        <f>H201*$I170*2/MAIN!$Q$1</f>
        <v>0</v>
      </c>
      <c r="I211" s="13">
        <f>I201*$I170*2/MAIN!$Q$1</f>
        <v>0</v>
      </c>
      <c r="J211" s="13">
        <f>J201*$I170*2/MAIN!$Q$1</f>
        <v>0</v>
      </c>
      <c r="K211" s="13">
        <f>K201*$I170*2/MAIN!$Q$1</f>
        <v>0</v>
      </c>
      <c r="L211" s="13">
        <f>L201*$I170*2/MAIN!$Q$1</f>
        <v>0</v>
      </c>
      <c r="M211" s="13">
        <f>M201*$I170*2/MAIN!$Q$1</f>
        <v>0</v>
      </c>
      <c r="N211" s="13">
        <f>N201*$I170*2/MAIN!$Q$1</f>
        <v>0</v>
      </c>
      <c r="O211" s="13">
        <f>O201*$I170*2/MAIN!$Q$1</f>
        <v>0</v>
      </c>
      <c r="P211" s="13">
        <f>P201*$I170*2/MAIN!$Q$1</f>
        <v>0</v>
      </c>
      <c r="Q211" s="13">
        <f>Q201*$I170*2/MAIN!$Q$1</f>
        <v>0</v>
      </c>
      <c r="R211" s="13">
        <f>R201*$I170*2/MAIN!$Q$1</f>
        <v>0</v>
      </c>
      <c r="S211" s="13">
        <f>S201*$I170*2/MAIN!$Q$1</f>
        <v>0</v>
      </c>
      <c r="T211" s="13">
        <f>T201*$I170*2/MAIN!$Q$1</f>
        <v>0</v>
      </c>
      <c r="U211" s="13">
        <f>U201*$I170*2/MAIN!$Q$1</f>
        <v>0</v>
      </c>
      <c r="V211" s="13">
        <f>V201*$I170*2/MAIN!$Q$1</f>
        <v>0</v>
      </c>
      <c r="W211" s="13">
        <f>W201*$I170*2/MAIN!$Q$1</f>
        <v>0</v>
      </c>
      <c r="X211" s="13">
        <f>X201*$I170*2/MAIN!$Q$1</f>
        <v>0</v>
      </c>
      <c r="Y211" s="13">
        <f>Y201*$I170*2/MAIN!$Q$1</f>
        <v>0</v>
      </c>
      <c r="Z211" s="13">
        <f>Z201*$I170*2/MAIN!$Q$1</f>
        <v>0</v>
      </c>
      <c r="AA211" s="13">
        <f>AA201*$I170*2/MAIN!$Q$1</f>
        <v>0</v>
      </c>
      <c r="AB211" s="13">
        <f>AB201*$I170*2/MAIN!$Q$1</f>
        <v>0</v>
      </c>
      <c r="AC211" s="13">
        <f>AC201*$I170*2/MAIN!$Q$1</f>
        <v>0</v>
      </c>
      <c r="AD211" s="13">
        <f>AD201*$I170*2/MAIN!$Q$1</f>
        <v>0</v>
      </c>
      <c r="AE211" s="13">
        <f>AE201*$I170*2/MAIN!$Q$1</f>
        <v>0</v>
      </c>
      <c r="AF211" s="13">
        <f>AF201*$I170*2/MAIN!$Q$1</f>
        <v>0</v>
      </c>
      <c r="AG211" s="13">
        <f>AG201*$I170*2/MAIN!$Q$1</f>
        <v>0</v>
      </c>
      <c r="AH211" s="13">
        <f>AH201*$I170*2/MAIN!$Q$1</f>
        <v>0</v>
      </c>
      <c r="AI211" s="13">
        <f>AI201*$I170*2/MAIN!$Q$1</f>
        <v>0</v>
      </c>
      <c r="AJ211" s="13">
        <f>AJ201*$I170*2/MAIN!$Q$1</f>
        <v>0</v>
      </c>
      <c r="AK211" s="13">
        <f>AK201*$I170*2/MAIN!$Q$1</f>
        <v>0</v>
      </c>
      <c r="AL211" s="13">
        <f>AL201*$I170*2/MAIN!$Q$1</f>
        <v>0</v>
      </c>
      <c r="AM211" s="13">
        <f>AM201*$I170*2/MAIN!$Q$1</f>
        <v>0</v>
      </c>
      <c r="AN211" s="13">
        <f>AN201*$I170*2/MAIN!$Q$1</f>
        <v>0</v>
      </c>
      <c r="AO211" s="13">
        <f>AO201*$I170*2/MAIN!$Q$1</f>
        <v>0</v>
      </c>
      <c r="AP211" s="13">
        <f>AP201*$I170*2/MAIN!$Q$1</f>
        <v>0</v>
      </c>
      <c r="AQ211" s="13">
        <f>AQ201*$I170*2/MAIN!$Q$1</f>
        <v>0</v>
      </c>
      <c r="AR211" s="59">
        <f>AR201*$I170*2/MAIN!$Q$1</f>
        <v>0</v>
      </c>
      <c r="AS211" s="13">
        <f>AS201*$I170*2/MAIN!$Q$1</f>
        <v>0</v>
      </c>
      <c r="AT211" s="13">
        <f>AT201*$I170*2/MAIN!$Q$1</f>
        <v>0</v>
      </c>
      <c r="AU211" s="13">
        <f>AU201*$I170*2/MAIN!$Q$1</f>
        <v>0</v>
      </c>
      <c r="AV211" s="13">
        <f>AV201*$I170*2/MAIN!$Q$1</f>
        <v>0</v>
      </c>
      <c r="AW211" s="13">
        <f>AW201*$I170*2/MAIN!$Q$1</f>
        <v>0</v>
      </c>
      <c r="AX211" s="13">
        <f>AX201*$I170*2/MAIN!$Q$1</f>
        <v>0</v>
      </c>
      <c r="AY211" s="13">
        <f>AY201*$I170*2/MAIN!$Q$1</f>
        <v>0</v>
      </c>
      <c r="AZ211" s="13">
        <f>AZ201*$I170*2/MAIN!$Q$1</f>
        <v>0</v>
      </c>
      <c r="BA211" s="13">
        <f>BA201*$I170*2/MAIN!$Q$1</f>
        <v>0</v>
      </c>
      <c r="BB211" s="13">
        <f>BB201*$I170*2/MAIN!$Q$1</f>
        <v>0</v>
      </c>
      <c r="BC211" s="13">
        <f>BC201*$I170*2/MAIN!$Q$1</f>
        <v>0</v>
      </c>
      <c r="BD211" s="13">
        <f>BD201*$I170*2/MAIN!$Q$1</f>
        <v>0</v>
      </c>
      <c r="BE211" s="13">
        <f>BE201*$I170*2/MAIN!$Q$1</f>
        <v>0</v>
      </c>
      <c r="BF211" s="13">
        <f>BF201*$I170*2/MAIN!$Q$1</f>
        <v>0</v>
      </c>
      <c r="BG211" s="13">
        <f>BG201*$I170*2/MAIN!$Q$1</f>
        <v>0</v>
      </c>
      <c r="BH211" s="13">
        <f>BH201*$I170*2/MAIN!$Q$1</f>
        <v>0</v>
      </c>
      <c r="BI211" s="13">
        <f>BI201*$I170*2/MAIN!$Q$1</f>
        <v>0</v>
      </c>
      <c r="BJ211" s="13">
        <f>BJ201*$I170*2/MAIN!$Q$1</f>
        <v>0</v>
      </c>
      <c r="BK211" s="13">
        <f>BK201*$I170*2/MAIN!$Q$1</f>
        <v>0</v>
      </c>
      <c r="BL211" s="13">
        <f>BL201*$I170*2/MAIN!$Q$1</f>
        <v>0</v>
      </c>
      <c r="BM211" s="13">
        <f>BM201*$I170*2/MAIN!$Q$1</f>
        <v>0</v>
      </c>
      <c r="BN211" s="13">
        <f>BN201*$I170*2/MAIN!$Q$1</f>
        <v>0</v>
      </c>
      <c r="BO211" s="3">
        <f>BO201*$I170*2/MAIN!$Q$1</f>
        <v>0</v>
      </c>
      <c r="BP211" s="43"/>
      <c r="BQ211" s="43"/>
      <c r="BR211" s="42"/>
    </row>
    <row r="212" spans="1:70" ht="16.5">
      <c r="A212" s="41"/>
      <c r="B212" s="14">
        <f t="shared" si="156"/>
        <v>9</v>
      </c>
      <c r="C212" s="298" t="s">
        <v>66</v>
      </c>
      <c r="D212" s="3">
        <f>D202*$I170*2/MAIN!$Q$1</f>
        <v>0</v>
      </c>
      <c r="E212" s="13">
        <f>E202*$I170*2/MAIN!$Q$1</f>
        <v>0</v>
      </c>
      <c r="F212" s="13">
        <f>F202*$I170*2/MAIN!$Q$1</f>
        <v>0</v>
      </c>
      <c r="G212" s="13">
        <f>G202*$I170*2/MAIN!$Q$1</f>
        <v>0</v>
      </c>
      <c r="H212" s="13">
        <f>H202*$I170*2/MAIN!$Q$1</f>
        <v>0</v>
      </c>
      <c r="I212" s="13">
        <f>I202*$I170*2/MAIN!$Q$1</f>
        <v>0</v>
      </c>
      <c r="J212" s="13">
        <f>J202*$I170*2/MAIN!$Q$1</f>
        <v>0</v>
      </c>
      <c r="K212" s="13">
        <f>K202*$I170*2/MAIN!$Q$1</f>
        <v>0</v>
      </c>
      <c r="L212" s="13">
        <f>L202*$I170*2/MAIN!$Q$1</f>
        <v>0</v>
      </c>
      <c r="M212" s="13">
        <f>M202*$I170*2/MAIN!$Q$1</f>
        <v>0</v>
      </c>
      <c r="N212" s="13">
        <f>N202*$I170*2/MAIN!$Q$1</f>
        <v>0</v>
      </c>
      <c r="O212" s="13">
        <f>O202*$I170*2/MAIN!$Q$1</f>
        <v>0</v>
      </c>
      <c r="P212" s="13">
        <f>P202*$I170*2/MAIN!$Q$1</f>
        <v>0</v>
      </c>
      <c r="Q212" s="13">
        <f>Q202*$I170*2/MAIN!$Q$1</f>
        <v>0</v>
      </c>
      <c r="R212" s="13">
        <f>R202*$I170*2/MAIN!$Q$1</f>
        <v>0</v>
      </c>
      <c r="S212" s="13">
        <f>S202*$I170*2/MAIN!$Q$1</f>
        <v>0</v>
      </c>
      <c r="T212" s="13">
        <f>T202*$I170*2/MAIN!$Q$1</f>
        <v>0</v>
      </c>
      <c r="U212" s="13">
        <f>U202*$I170*2/MAIN!$Q$1</f>
        <v>0</v>
      </c>
      <c r="V212" s="13">
        <f>V202*$I170*2/MAIN!$Q$1</f>
        <v>0</v>
      </c>
      <c r="W212" s="13">
        <f>W202*$I170*2/MAIN!$Q$1</f>
        <v>0</v>
      </c>
      <c r="X212" s="13">
        <f>X202*$I170*2/MAIN!$Q$1</f>
        <v>0</v>
      </c>
      <c r="Y212" s="13">
        <f>Y202*$I170*2/MAIN!$Q$1</f>
        <v>0</v>
      </c>
      <c r="Z212" s="13">
        <f>Z202*$I170*2/MAIN!$Q$1</f>
        <v>0</v>
      </c>
      <c r="AA212" s="13">
        <f>AA202*$I170*2/MAIN!$Q$1</f>
        <v>0</v>
      </c>
      <c r="AB212" s="13">
        <f>AB202*$I170*2/MAIN!$Q$1</f>
        <v>0</v>
      </c>
      <c r="AC212" s="13">
        <f>AC202*$I170*2/MAIN!$Q$1</f>
        <v>0</v>
      </c>
      <c r="AD212" s="13">
        <f>AD202*$I170*2/MAIN!$Q$1</f>
        <v>0</v>
      </c>
      <c r="AE212" s="13">
        <f>AE202*$I170*2/MAIN!$Q$1</f>
        <v>0</v>
      </c>
      <c r="AF212" s="13">
        <f>AF202*$I170*2/MAIN!$Q$1</f>
        <v>0</v>
      </c>
      <c r="AG212" s="13">
        <f>AG202*$I170*2/MAIN!$Q$1</f>
        <v>0</v>
      </c>
      <c r="AH212" s="13">
        <f>AH202*$I170*2/MAIN!$Q$1</f>
        <v>0</v>
      </c>
      <c r="AI212" s="13">
        <f>AI202*$I170*2/MAIN!$Q$1</f>
        <v>0</v>
      </c>
      <c r="AJ212" s="13">
        <f>AJ202*$I170*2/MAIN!$Q$1</f>
        <v>0</v>
      </c>
      <c r="AK212" s="13">
        <f>AK202*$I170*2/MAIN!$Q$1</f>
        <v>0</v>
      </c>
      <c r="AL212" s="13">
        <f>AL202*$I170*2/MAIN!$Q$1</f>
        <v>0</v>
      </c>
      <c r="AM212" s="13">
        <f>AM202*$I170*2/MAIN!$Q$1</f>
        <v>0</v>
      </c>
      <c r="AN212" s="13">
        <f>AN202*$I170*2/MAIN!$Q$1</f>
        <v>0</v>
      </c>
      <c r="AO212" s="13">
        <f>AO202*$I170*2/MAIN!$Q$1</f>
        <v>0</v>
      </c>
      <c r="AP212" s="13">
        <f>AP202*$I170*2/MAIN!$Q$1</f>
        <v>0</v>
      </c>
      <c r="AQ212" s="13">
        <f>AQ202*$I170*2/MAIN!$Q$1</f>
        <v>0</v>
      </c>
      <c r="AR212" s="59">
        <f>AR202*$I170*2/MAIN!$Q$1</f>
        <v>0</v>
      </c>
      <c r="AS212" s="13">
        <f>AS202*$I170*2/MAIN!$Q$1</f>
        <v>0</v>
      </c>
      <c r="AT212" s="13">
        <f>AT202*$I170*2/MAIN!$Q$1</f>
        <v>0</v>
      </c>
      <c r="AU212" s="13">
        <f>AU202*$I170*2/MAIN!$Q$1</f>
        <v>0</v>
      </c>
      <c r="AV212" s="13">
        <f>AV202*$I170*2/MAIN!$Q$1</f>
        <v>0</v>
      </c>
      <c r="AW212" s="13">
        <f>AW202*$I170*2/MAIN!$Q$1</f>
        <v>0</v>
      </c>
      <c r="AX212" s="13">
        <f>AX202*$I170*2/MAIN!$Q$1</f>
        <v>0</v>
      </c>
      <c r="AY212" s="13">
        <f>AY202*$I170*2/MAIN!$Q$1</f>
        <v>0</v>
      </c>
      <c r="AZ212" s="13">
        <f>AZ202*$I170*2/MAIN!$Q$1</f>
        <v>0</v>
      </c>
      <c r="BA212" s="13">
        <f>BA202*$I170*2/MAIN!$Q$1</f>
        <v>0</v>
      </c>
      <c r="BB212" s="13">
        <f>BB202*$I170*2/MAIN!$Q$1</f>
        <v>0</v>
      </c>
      <c r="BC212" s="13">
        <f>BC202*$I170*2/MAIN!$Q$1</f>
        <v>0</v>
      </c>
      <c r="BD212" s="13">
        <f>BD202*$I170*2/MAIN!$Q$1</f>
        <v>0</v>
      </c>
      <c r="BE212" s="13">
        <f>BE202*$I170*2/MAIN!$Q$1</f>
        <v>0</v>
      </c>
      <c r="BF212" s="13">
        <f>BF202*$I170*2/MAIN!$Q$1</f>
        <v>0</v>
      </c>
      <c r="BG212" s="13">
        <f>BG202*$I170*2/MAIN!$Q$1</f>
        <v>0</v>
      </c>
      <c r="BH212" s="13">
        <f>BH202*$I170*2/MAIN!$Q$1</f>
        <v>0</v>
      </c>
      <c r="BI212" s="13">
        <f>BI202*$I170*2/MAIN!$Q$1</f>
        <v>0</v>
      </c>
      <c r="BJ212" s="13">
        <f>BJ202*$I170*2/MAIN!$Q$1</f>
        <v>0</v>
      </c>
      <c r="BK212" s="13">
        <f>BK202*$I170*2/MAIN!$Q$1</f>
        <v>0</v>
      </c>
      <c r="BL212" s="13">
        <f>BL202*$I170*2/MAIN!$Q$1</f>
        <v>0</v>
      </c>
      <c r="BM212" s="13">
        <f>BM202*$I170*2/MAIN!$Q$1</f>
        <v>0</v>
      </c>
      <c r="BN212" s="13">
        <f>BN202*$I170*2/MAIN!$Q$1</f>
        <v>0</v>
      </c>
      <c r="BO212" s="3">
        <f>BO202*$I170*2/MAIN!$Q$1</f>
        <v>0</v>
      </c>
      <c r="BP212" s="43"/>
      <c r="BQ212" s="43"/>
      <c r="BR212" s="42"/>
    </row>
    <row r="213" spans="1:70" ht="16.5">
      <c r="A213" s="41"/>
      <c r="B213" s="290" t="s">
        <v>67</v>
      </c>
      <c r="C213" s="298" t="s">
        <v>68</v>
      </c>
      <c r="D213" s="3">
        <f>D203*$I170*MAIN!$C$15/MAIN!$Q$1</f>
        <v>-273181.96987737337</v>
      </c>
      <c r="E213" s="13">
        <f>E203*$I170*MAIN!$C$15/MAIN!$Q$1</f>
        <v>-273181.96987737337</v>
      </c>
      <c r="F213" s="13">
        <f>F203*$I170*MAIN!$C$15/MAIN!$Q$1</f>
        <v>-273181.96987737337</v>
      </c>
      <c r="G213" s="13">
        <f>G203*$I170*MAIN!$C$15/MAIN!$Q$1</f>
        <v>-273181.96987737337</v>
      </c>
      <c r="H213" s="13">
        <f>H203*$I170*MAIN!$C$15/MAIN!$Q$1</f>
        <v>-273181.96987737337</v>
      </c>
      <c r="I213" s="13">
        <f>I203*$I170*MAIN!$C$15/MAIN!$Q$1</f>
        <v>-273181.96987737337</v>
      </c>
      <c r="J213" s="13">
        <f>J203*$I170*MAIN!$C$15/MAIN!$Q$1</f>
        <v>-273181.96987737337</v>
      </c>
      <c r="K213" s="13">
        <f>K203*$I170*MAIN!$C$15/MAIN!$Q$1</f>
        <v>-273181.96987737337</v>
      </c>
      <c r="L213" s="13">
        <f>L203*$I170*MAIN!$C$15/MAIN!$Q$1</f>
        <v>-273181.96987737337</v>
      </c>
      <c r="M213" s="13">
        <f>M203*$I170*MAIN!$C$15/MAIN!$Q$1</f>
        <v>-273181.96987737337</v>
      </c>
      <c r="N213" s="13">
        <f>N203*$I170*MAIN!$C$15/MAIN!$Q$1</f>
        <v>-273181.96987737337</v>
      </c>
      <c r="O213" s="13">
        <f>O203*$I170*MAIN!$C$15/MAIN!$Q$1</f>
        <v>-273181.96987737337</v>
      </c>
      <c r="P213" s="13">
        <f>P203*$I170*MAIN!$C$15/MAIN!$Q$1</f>
        <v>-273181.96987737337</v>
      </c>
      <c r="Q213" s="13">
        <f>Q203*$I170*MAIN!$C$15/MAIN!$Q$1</f>
        <v>-273181.96987737337</v>
      </c>
      <c r="R213" s="13">
        <f>R203*$I170*MAIN!$C$15/MAIN!$Q$1</f>
        <v>-273181.96987737337</v>
      </c>
      <c r="S213" s="13">
        <f>S203*$I170*MAIN!$C$15/MAIN!$Q$1</f>
        <v>-273181.96987737337</v>
      </c>
      <c r="T213" s="13">
        <f>T203*$I170*MAIN!$C$15/MAIN!$Q$1</f>
        <v>-273181.96987737337</v>
      </c>
      <c r="U213" s="13">
        <f>U203*$I170*MAIN!$C$15/MAIN!$Q$1</f>
        <v>-273181.96987737337</v>
      </c>
      <c r="V213" s="13">
        <f>V203*$I170*MAIN!$C$15/MAIN!$Q$1</f>
        <v>-273181.96987737337</v>
      </c>
      <c r="W213" s="13">
        <f>W203*$I170*MAIN!$C$15/MAIN!$Q$1</f>
        <v>-273181.96987737337</v>
      </c>
      <c r="X213" s="13">
        <f>X203*$I170*MAIN!$C$15/MAIN!$Q$1</f>
        <v>-273181.96987737337</v>
      </c>
      <c r="Y213" s="13">
        <f>Y203*$I170*MAIN!$C$15/MAIN!$Q$1</f>
        <v>-273181.96987737337</v>
      </c>
      <c r="Z213" s="13">
        <f>Z203*$I170*MAIN!$C$15/MAIN!$Q$1</f>
        <v>-273181.96987737337</v>
      </c>
      <c r="AA213" s="13">
        <f>AA203*$I170*MAIN!$C$15/MAIN!$Q$1</f>
        <v>-273181.96987737337</v>
      </c>
      <c r="AB213" s="13">
        <f>AB203*$I170*MAIN!$C$15/MAIN!$Q$1</f>
        <v>-273181.96987737337</v>
      </c>
      <c r="AC213" s="13">
        <f>AC203*$I170*MAIN!$C$15/MAIN!$Q$1</f>
        <v>-273181.96987737337</v>
      </c>
      <c r="AD213" s="13">
        <f>AD203*$I170*MAIN!$C$15/MAIN!$Q$1</f>
        <v>-273181.96987737337</v>
      </c>
      <c r="AE213" s="13">
        <f>AE203*$I170*MAIN!$C$15/MAIN!$Q$1</f>
        <v>-273181.96987737337</v>
      </c>
      <c r="AF213" s="13">
        <f>AF203*$I170*MAIN!$C$15/MAIN!$Q$1</f>
        <v>-273181.96987737337</v>
      </c>
      <c r="AG213" s="13">
        <f>AG203*$I170*MAIN!$C$15/MAIN!$Q$1</f>
        <v>-273181.96987737337</v>
      </c>
      <c r="AH213" s="13">
        <f>AH203*$I170*MAIN!$C$15/MAIN!$Q$1</f>
        <v>-273181.96987737337</v>
      </c>
      <c r="AI213" s="13">
        <f>AI203*$I170*MAIN!$C$15/MAIN!$Q$1</f>
        <v>-273181.96987737337</v>
      </c>
      <c r="AJ213" s="13">
        <f>AJ203*$I170*MAIN!$C$15/MAIN!$Q$1</f>
        <v>-273181.96987737337</v>
      </c>
      <c r="AK213" s="13">
        <f>AK203*$I170*MAIN!$C$15/MAIN!$Q$1</f>
        <v>-273181.96987737337</v>
      </c>
      <c r="AL213" s="13">
        <f>AL203*$I170*MAIN!$C$15/MAIN!$Q$1</f>
        <v>-273181.96987737337</v>
      </c>
      <c r="AM213" s="13">
        <f>AM203*$I170*MAIN!$C$15/MAIN!$Q$1</f>
        <v>-273181.96987737337</v>
      </c>
      <c r="AN213" s="13">
        <f>AN203*$I170*MAIN!$C$15/MAIN!$Q$1</f>
        <v>-273181.96987737337</v>
      </c>
      <c r="AO213" s="13">
        <f>AO203*$I170*MAIN!$C$15/MAIN!$Q$1</f>
        <v>-273181.96987737337</v>
      </c>
      <c r="AP213" s="13">
        <f>AP203*$I170*MAIN!$C$15/MAIN!$Q$1</f>
        <v>-273181.96987737337</v>
      </c>
      <c r="AQ213" s="13">
        <f>AQ203*$I170*MAIN!$C$15/MAIN!$Q$1</f>
        <v>-273181.96987737337</v>
      </c>
      <c r="AR213" s="59">
        <f>AR203*$I170*MAIN!$C$15/MAIN!$Q$1</f>
        <v>-273181.96987737337</v>
      </c>
      <c r="AS213" s="13">
        <f>AS203*$I170*MAIN!$C$15/MAIN!$Q$1</f>
        <v>-233798.82253281135</v>
      </c>
      <c r="AT213" s="13">
        <f>AT203*$I170*MAIN!$C$15/MAIN!$Q$1</f>
        <v>-198538.63332118007</v>
      </c>
      <c r="AU213" s="13">
        <f>AU203*$I170*MAIN!$C$15/MAIN!$Q$1</f>
        <v>-166786.16746159457</v>
      </c>
      <c r="AV213" s="13">
        <f>AV203*$I170*MAIN!$C$15/MAIN!$Q$1</f>
        <v>-138042.79850736435</v>
      </c>
      <c r="AW213" s="13">
        <f>AW203*$I170*MAIN!$C$15/MAIN!$Q$1</f>
        <v>-111900.13152107263</v>
      </c>
      <c r="AX213" s="13">
        <f>AX203*$I170*MAIN!$C$15/MAIN!$Q$1</f>
        <v>-88020.476093211895</v>
      </c>
      <c r="AY213" s="13">
        <f>AY203*$I170*MAIN!$C$15/MAIN!$Q$1</f>
        <v>-66122.179979498353</v>
      </c>
      <c r="AZ213" s="13">
        <f>AZ203*$I170*MAIN!$C$15/MAIN!$Q$1</f>
        <v>-45968.468038884435</v>
      </c>
      <c r="BA213" s="13">
        <f>BA203*$I170*MAIN!$C$15/MAIN!$Q$1</f>
        <v>-27358.846508741186</v>
      </c>
      <c r="BB213" s="13">
        <f>BB203*$I170*MAIN!$C$15/MAIN!$Q$1</f>
        <v>-10122.410089507177</v>
      </c>
      <c r="BC213" s="13">
        <f>BC203*$I170*MAIN!$C$15/MAIN!$Q$1</f>
        <v>5887.4220978795292</v>
      </c>
      <c r="BD213" s="13">
        <f>BD203*$I170*MAIN!$C$15/MAIN!$Q$1</f>
        <v>20640.451674060685</v>
      </c>
      <c r="BE213" s="13">
        <f>BE203*$I170*MAIN!$C$15/MAIN!$Q$1</f>
        <v>33363.190364824077</v>
      </c>
      <c r="BF213" s="13">
        <f>BF203*$I170*MAIN!$C$15/MAIN!$Q$1</f>
        <v>44558.826842348397</v>
      </c>
      <c r="BG213" s="13">
        <f>BG203*$I170*MAIN!$C$15/MAIN!$Q$1</f>
        <v>54486.740209935902</v>
      </c>
      <c r="BH213" s="13">
        <f>BH203*$I170*MAIN!$C$15/MAIN!$Q$1</f>
        <v>63350.716191932639</v>
      </c>
      <c r="BI213" s="13">
        <f>BI203*$I170*MAIN!$C$15/MAIN!$Q$1</f>
        <v>71313.083974354755</v>
      </c>
      <c r="BJ213" s="13">
        <f>BJ203*$I170*MAIN!$C$15/MAIN!$Q$1</f>
        <v>64262.861295343937</v>
      </c>
      <c r="BK213" s="13">
        <f>BK203*$I170*MAIN!$C$15/MAIN!$Q$1</f>
        <v>70790.554460890024</v>
      </c>
      <c r="BL213" s="13">
        <f>BL203*$I170*MAIN!$C$15/MAIN!$Q$1</f>
        <v>129800.13647081831</v>
      </c>
      <c r="BM213" s="13">
        <f>BM203*$I170*MAIN!$C$15/MAIN!$Q$1</f>
        <v>152890.8424747033</v>
      </c>
      <c r="BN213" s="13">
        <f>BN203*$I170*MAIN!$C$15/MAIN!$Q$1</f>
        <v>165205.88567677524</v>
      </c>
      <c r="BO213" s="3">
        <f>BO203*$I170*MAIN!$C$15/MAIN!$Q$1</f>
        <v>205669.59905501181</v>
      </c>
      <c r="BP213" s="41"/>
      <c r="BQ213" s="41"/>
      <c r="BR213" s="41"/>
    </row>
    <row r="214" spans="1:70" ht="16.5">
      <c r="A214" s="41"/>
      <c r="B214" s="290" t="s">
        <v>69</v>
      </c>
      <c r="C214" s="298" t="s">
        <v>70</v>
      </c>
      <c r="D214" s="3">
        <f>MAX($F170-$C$8/2*D173,$F170-MAIN!$C$13/2)</f>
        <v>1136.0498956973217</v>
      </c>
      <c r="E214" s="304">
        <f>MAX($F170-$C$8/2*E173,$F170-MAIN!$C$13/2)</f>
        <v>1129.342441408337</v>
      </c>
      <c r="F214" s="304">
        <f>MAX($F170-$C$8/2*F173,$F170-MAIN!$C$13/2)</f>
        <v>1122.6349871193522</v>
      </c>
      <c r="G214" s="304">
        <f>MAX($F170-$C$8/2*G173,$F170-MAIN!$C$13/2)</f>
        <v>1115.9275328303675</v>
      </c>
      <c r="H214" s="304">
        <f>MAX($F170-$C$8/2*H173,$F170-MAIN!$C$13/2)</f>
        <v>1109.2200785413827</v>
      </c>
      <c r="I214" s="304">
        <f>MAX($F170-$C$8/2*I173,$F170-MAIN!$C$13/2)</f>
        <v>1102.5126242523979</v>
      </c>
      <c r="J214" s="304">
        <f>MAX($F170-$C$8/2*J173,$F170-MAIN!$C$13/2)</f>
        <v>1095.8051699634132</v>
      </c>
      <c r="K214" s="304">
        <f>MAX($F170-$C$8/2*K173,$F170-MAIN!$C$13/2)</f>
        <v>1089.0977156744284</v>
      </c>
      <c r="L214" s="304">
        <f>MAX($F170-$C$8/2*L173,$F170-MAIN!$C$13/2)</f>
        <v>1082.3902613854436</v>
      </c>
      <c r="M214" s="304">
        <f>MAX($F170-$C$8/2*M173,$F170-MAIN!$C$13/2)</f>
        <v>1075.6828070964589</v>
      </c>
      <c r="N214" s="304">
        <f>MAX($F170-$C$8/2*N173,$F170-MAIN!$C$13/2)</f>
        <v>1068.9753528074741</v>
      </c>
      <c r="O214" s="304">
        <f>MAX($F170-$C$8/2*O173,$F170-MAIN!$C$13/2)</f>
        <v>1062.2678985184893</v>
      </c>
      <c r="P214" s="304">
        <f>MAX($F170-$C$8/2*P173,$F170-MAIN!$C$13/2)</f>
        <v>1055.5604442295046</v>
      </c>
      <c r="Q214" s="304">
        <f>MAX($F170-$C$8/2*Q173,$F170-MAIN!$C$13/2)</f>
        <v>1048.8529899405198</v>
      </c>
      <c r="R214" s="304">
        <f>MAX($F170-$C$8/2*R173,$F170-MAIN!$C$13/2)</f>
        <v>1042.1455356515351</v>
      </c>
      <c r="S214" s="304">
        <f>MAX($F170-$C$8/2*S173,$F170-MAIN!$C$13/2)</f>
        <v>1035.4380813625503</v>
      </c>
      <c r="T214" s="304">
        <f>MAX($F170-$C$8/2*T173,$F170-MAIN!$C$13/2)</f>
        <v>1028.7306270735655</v>
      </c>
      <c r="U214" s="304">
        <f>MAX($F170-$C$8/2*U173,$F170-MAIN!$C$13/2)</f>
        <v>1022.0231727845808</v>
      </c>
      <c r="V214" s="304">
        <f>MAX($F170-$C$8/2*V173,$F170-MAIN!$C$13/2)</f>
        <v>1015.315718495596</v>
      </c>
      <c r="W214" s="304">
        <f>MAX($F170-$C$8/2*W173,$F170-MAIN!$C$13/2)</f>
        <v>1008.6082642066112</v>
      </c>
      <c r="X214" s="304">
        <f>MAX($F170-$C$8/2*X173,$F170-MAIN!$C$13/2)</f>
        <v>1001.9008099176265</v>
      </c>
      <c r="Y214" s="304">
        <f>MAX($F170-$C$8/2*Y173,$F170-MAIN!$C$13/2)</f>
        <v>995.19335562864171</v>
      </c>
      <c r="Z214" s="304">
        <f>MAX($F170-$C$8/2*Z173,$F170-MAIN!$C$13/2)</f>
        <v>988.48590133965695</v>
      </c>
      <c r="AA214" s="304">
        <f>MAX($F170-$C$8/2*AA173,$F170-MAIN!$C$13/2)</f>
        <v>981.77844705067218</v>
      </c>
      <c r="AB214" s="304">
        <f>MAX($F170-$C$8/2*AB173,$F170-MAIN!$C$13/2)</f>
        <v>975.07099276168742</v>
      </c>
      <c r="AC214" s="304">
        <f>MAX($F170-$C$8/2*AC173,$F170-MAIN!$C$13/2)</f>
        <v>968.36353847270266</v>
      </c>
      <c r="AD214" s="304">
        <f>MAX($F170-$C$8/2*AD173,$F170-MAIN!$C$13/2)</f>
        <v>961.65608418371789</v>
      </c>
      <c r="AE214" s="304">
        <f>MAX($F170-$C$8/2*AE173,$F170-MAIN!$C$13/2)</f>
        <v>954.94862989473313</v>
      </c>
      <c r="AF214" s="304">
        <f>MAX($F170-$C$8/2*AF173,$F170-MAIN!$C$13/2)</f>
        <v>948.24117560574837</v>
      </c>
      <c r="AG214" s="304">
        <f>MAX($F170-$C$8/2*AG173,$F170-MAIN!$C$13/2)</f>
        <v>941.5337213167636</v>
      </c>
      <c r="AH214" s="304">
        <f>MAX($F170-$C$8/2*AH173,$F170-MAIN!$C$13/2)</f>
        <v>934.82626702777884</v>
      </c>
      <c r="AI214" s="304">
        <f>MAX($F170-$C$8/2*AI173,$F170-MAIN!$C$13/2)</f>
        <v>928.11881273879408</v>
      </c>
      <c r="AJ214" s="304">
        <f>MAX($F170-$C$8/2*AJ173,$F170-MAIN!$C$13/2)</f>
        <v>921.41135844980931</v>
      </c>
      <c r="AK214" s="304">
        <f>MAX($F170-$C$8/2*AK173,$F170-MAIN!$C$13/2)</f>
        <v>914.70390416082455</v>
      </c>
      <c r="AL214" s="304">
        <f>MAX($F170-$C$8/2*AL173,$F170-MAIN!$C$13/2)</f>
        <v>907.99644987183979</v>
      </c>
      <c r="AM214" s="304">
        <f>MAX($F170-$C$8/2*AM173,$F170-MAIN!$C$13/2)</f>
        <v>901.28899558285502</v>
      </c>
      <c r="AN214" s="304">
        <f>MAX($F170-$C$8/2*AN173,$F170-MAIN!$C$13/2)</f>
        <v>894.58154129387026</v>
      </c>
      <c r="AO214" s="304">
        <f>MAX($F170-$C$8/2*AO173,$F170-MAIN!$C$13/2)</f>
        <v>887.8740870048855</v>
      </c>
      <c r="AP214" s="304">
        <f>MAX($F170-$C$8/2*AP173,$F170-MAIN!$C$13/2)</f>
        <v>881.16663271590073</v>
      </c>
      <c r="AQ214" s="304">
        <f>MAX($F170-$C$8/2*AQ173,$F170-MAIN!$C$13/2)</f>
        <v>874.45917842691597</v>
      </c>
      <c r="AR214" s="56">
        <f>MAX($F170-$C$8/2*AR173,$F170-MAIN!$C$13/2)</f>
        <v>867.75172413793098</v>
      </c>
      <c r="AS214" s="304">
        <f>MAX($F170-$C$8/2*AS173,$F170-MAIN!$C$13/2)</f>
        <v>851.1332123411978</v>
      </c>
      <c r="AT214" s="304">
        <f>MAX($F170-$C$8/2*AT173,$F170-MAIN!$C$13/2)</f>
        <v>834.51470054446463</v>
      </c>
      <c r="AU214" s="304">
        <f>MAX($F170-$C$8/2*AU173,$F170-MAIN!$C$13/2)</f>
        <v>817.89618874773146</v>
      </c>
      <c r="AV214" s="304">
        <f>MAX($F170-$C$8/2*AV173,$F170-MAIN!$C$13/2)</f>
        <v>801.27767695099817</v>
      </c>
      <c r="AW214" s="304">
        <f>MAX($F170-$C$8/2*AW173,$F170-MAIN!$C$13/2)</f>
        <v>784.65916515426488</v>
      </c>
      <c r="AX214" s="304">
        <f>MAX($F170-$C$8/2*AX173,$F170-MAIN!$C$13/2)</f>
        <v>768.04065335753171</v>
      </c>
      <c r="AY214" s="304">
        <f>MAX($F170-$C$8/2*AY173,$F170-MAIN!$C$13/2)</f>
        <v>751.42214156079854</v>
      </c>
      <c r="AZ214" s="304">
        <f>MAX($F170-$C$8/2*AZ173,$F170-MAIN!$C$13/2)</f>
        <v>734.80362976406536</v>
      </c>
      <c r="BA214" s="304">
        <f>MAX($F170-$C$8/2*BA173,$F170-MAIN!$C$13/2)</f>
        <v>718.18511796733208</v>
      </c>
      <c r="BB214" s="304">
        <f>MAX($F170-$C$8/2*BB173,$F170-MAIN!$C$13/2)</f>
        <v>701.56660617059879</v>
      </c>
      <c r="BC214" s="304">
        <f>MAX($F170-$C$8/2*BC173,$F170-MAIN!$C$13/2)</f>
        <v>684.94809437386562</v>
      </c>
      <c r="BD214" s="304">
        <f>MAX($F170-$C$8/2*BD173,$F170-MAIN!$C$13/2)</f>
        <v>668.32958257713244</v>
      </c>
      <c r="BE214" s="304">
        <f>MAX($F170-$C$8/2*BE173,$F170-MAIN!$C$13/2)</f>
        <v>651.71107078039927</v>
      </c>
      <c r="BF214" s="304">
        <f>MAX($F170-$C$8/2*BF173,$F170-MAIN!$C$13/2)</f>
        <v>635.09255898366598</v>
      </c>
      <c r="BG214" s="304">
        <f>MAX($F170-$C$8/2*BG173,$F170-MAIN!$C$13/2)</f>
        <v>618.47404718693281</v>
      </c>
      <c r="BH214" s="304">
        <f>MAX($F170-$C$8/2*BH173,$F170-MAIN!$C$13/2)</f>
        <v>601.85553539019952</v>
      </c>
      <c r="BI214" s="304">
        <f>MAX($F170-$C$8/2*BI173,$F170-MAIN!$C$13/2)</f>
        <v>585.23702359346635</v>
      </c>
      <c r="BJ214" s="304">
        <f>MAX($F170-$C$8/2*BJ173,$F170-MAIN!$C$13/2)</f>
        <v>568.61851179673306</v>
      </c>
      <c r="BK214" s="304">
        <f>MAX($F170-$C$8/2*BK173,$F170-MAIN!$C$13/2)</f>
        <v>552</v>
      </c>
      <c r="BL214" s="304">
        <f>MAX($F170-$C$8/2*BL173,$F170-MAIN!$C$13/2)</f>
        <v>552</v>
      </c>
      <c r="BM214" s="304">
        <f>MAX($F170-$C$8/2*BM173,$F170-MAIN!$C$13/2)</f>
        <v>552</v>
      </c>
      <c r="BN214" s="304">
        <f>MAX($F170-$C$8/2*BN173,$F170-MAIN!$C$13/2)</f>
        <v>552</v>
      </c>
      <c r="BO214" s="3">
        <f>$F170-MAIN!$C$13/2</f>
        <v>552</v>
      </c>
      <c r="BP214" s="41"/>
      <c r="BQ214" s="41"/>
      <c r="BR214" s="41"/>
    </row>
    <row r="215" spans="1:70" ht="16.5">
      <c r="A215" s="227">
        <f>IF(I170=0,0,1)</f>
        <v>1</v>
      </c>
      <c r="B215" s="295" t="s">
        <v>31</v>
      </c>
      <c r="C215" s="298" t="s">
        <v>71</v>
      </c>
      <c r="D215" s="3">
        <f>$A215*(D174+SUM(D204:D213))/1000</f>
        <v>-692.24012970619208</v>
      </c>
      <c r="E215" s="304">
        <f t="shared" ref="E215:BO215" si="157">$A215*(E174+SUM(E204:E213))/1000</f>
        <v>-444.28583323496144</v>
      </c>
      <c r="F215" s="304">
        <f t="shared" si="157"/>
        <v>-282.17420145271734</v>
      </c>
      <c r="G215" s="304">
        <f t="shared" si="157"/>
        <v>-137.4802828503648</v>
      </c>
      <c r="H215" s="304">
        <f t="shared" si="157"/>
        <v>-9.5542594363358795</v>
      </c>
      <c r="I215" s="304">
        <f t="shared" si="157"/>
        <v>108.42196464507549</v>
      </c>
      <c r="J215" s="304">
        <f t="shared" si="157"/>
        <v>203.6438620465598</v>
      </c>
      <c r="K215" s="304">
        <f t="shared" si="157"/>
        <v>294.86524037675258</v>
      </c>
      <c r="L215" s="304">
        <f t="shared" si="157"/>
        <v>386.08661870694556</v>
      </c>
      <c r="M215" s="304">
        <f t="shared" si="157"/>
        <v>477.30799703713819</v>
      </c>
      <c r="N215" s="304">
        <f t="shared" si="157"/>
        <v>568.52937536733111</v>
      </c>
      <c r="O215" s="304">
        <f t="shared" si="157"/>
        <v>659.75075369752381</v>
      </c>
      <c r="P215" s="304">
        <f t="shared" si="157"/>
        <v>750.97213202771661</v>
      </c>
      <c r="Q215" s="304">
        <f t="shared" si="157"/>
        <v>845.66220424193023</v>
      </c>
      <c r="R215" s="304">
        <f t="shared" si="157"/>
        <v>980.20619103125921</v>
      </c>
      <c r="S215" s="304">
        <f t="shared" si="157"/>
        <v>1109.764254127567</v>
      </c>
      <c r="T215" s="304">
        <f t="shared" si="157"/>
        <v>1235.1502904737524</v>
      </c>
      <c r="U215" s="304">
        <f t="shared" si="157"/>
        <v>1357.0101924027429</v>
      </c>
      <c r="V215" s="304">
        <f t="shared" si="157"/>
        <v>1475.8630697600852</v>
      </c>
      <c r="W215" s="304">
        <f t="shared" si="157"/>
        <v>1592.1309025102846</v>
      </c>
      <c r="X215" s="304">
        <f t="shared" si="157"/>
        <v>1706.160242860477</v>
      </c>
      <c r="Y215" s="304">
        <f t="shared" si="157"/>
        <v>1818.2383474924723</v>
      </c>
      <c r="Z215" s="304">
        <f t="shared" si="157"/>
        <v>1928.6053392671247</v>
      </c>
      <c r="AA215" s="304">
        <f t="shared" si="157"/>
        <v>2037.4634935909583</v>
      </c>
      <c r="AB215" s="304">
        <f t="shared" si="157"/>
        <v>2144.9844124820161</v>
      </c>
      <c r="AC215" s="304">
        <f t="shared" si="157"/>
        <v>2251.3146264081215</v>
      </c>
      <c r="AD215" s="304">
        <f t="shared" si="157"/>
        <v>2356.580011719298</v>
      </c>
      <c r="AE215" s="304">
        <f t="shared" si="157"/>
        <v>2473.9321826059654</v>
      </c>
      <c r="AF215" s="304">
        <f t="shared" si="157"/>
        <v>2600.4215731291752</v>
      </c>
      <c r="AG215" s="304">
        <f t="shared" si="157"/>
        <v>2710.4211293881872</v>
      </c>
      <c r="AH215" s="304">
        <f t="shared" si="157"/>
        <v>2832.6229097096825</v>
      </c>
      <c r="AI215" s="304">
        <f t="shared" si="157"/>
        <v>2952.9683515620713</v>
      </c>
      <c r="AJ215" s="304">
        <f t="shared" si="157"/>
        <v>3071.6194486846307</v>
      </c>
      <c r="AK215" s="304">
        <f t="shared" si="157"/>
        <v>3188.7198790395059</v>
      </c>
      <c r="AL215" s="304">
        <f t="shared" si="157"/>
        <v>3304.3975222389754</v>
      </c>
      <c r="AM215" s="304">
        <f t="shared" si="157"/>
        <v>3418.7665728693128</v>
      </c>
      <c r="AN215" s="304">
        <f t="shared" si="157"/>
        <v>3531.9293234182182</v>
      </c>
      <c r="AO215" s="304">
        <f t="shared" si="157"/>
        <v>3643.9776755385428</v>
      </c>
      <c r="AP215" s="304">
        <f t="shared" si="157"/>
        <v>3754.9944267444307</v>
      </c>
      <c r="AQ215" s="304">
        <f t="shared" si="157"/>
        <v>3865.0543705304613</v>
      </c>
      <c r="AR215" s="61">
        <f t="shared" si="157"/>
        <v>3974.2252407326241</v>
      </c>
      <c r="AS215" s="304">
        <f t="shared" si="157"/>
        <v>4280.6442603300093</v>
      </c>
      <c r="AT215" s="304">
        <f t="shared" si="157"/>
        <v>4578.645573739328</v>
      </c>
      <c r="AU215" s="304">
        <f t="shared" si="157"/>
        <v>4869.4852853048878</v>
      </c>
      <c r="AV215" s="304">
        <f t="shared" si="157"/>
        <v>5154.1814240220137</v>
      </c>
      <c r="AW215" s="304">
        <f t="shared" si="157"/>
        <v>5433.567796221264</v>
      </c>
      <c r="AX215" s="304">
        <f t="shared" si="157"/>
        <v>5708.3338531553845</v>
      </c>
      <c r="AY215" s="304">
        <f t="shared" si="157"/>
        <v>5964.8127481268466</v>
      </c>
      <c r="AZ215" s="304">
        <f t="shared" si="157"/>
        <v>6231.9716704411721</v>
      </c>
      <c r="BA215" s="304">
        <f t="shared" si="157"/>
        <v>6495.9780748341209</v>
      </c>
      <c r="BB215" s="304">
        <f t="shared" si="157"/>
        <v>6753.0201680197933</v>
      </c>
      <c r="BC215" s="304">
        <f t="shared" si="157"/>
        <v>7005.937340881389</v>
      </c>
      <c r="BD215" s="304">
        <f t="shared" si="157"/>
        <v>7255.6842160165288</v>
      </c>
      <c r="BE215" s="304">
        <f t="shared" si="157"/>
        <v>7498.6596280397862</v>
      </c>
      <c r="BF215" s="304">
        <f t="shared" si="157"/>
        <v>7739.5989037787231</v>
      </c>
      <c r="BG215" s="304">
        <f t="shared" si="157"/>
        <v>7978.847882037745</v>
      </c>
      <c r="BH215" s="304">
        <f t="shared" si="157"/>
        <v>8215.5947161763434</v>
      </c>
      <c r="BI215" s="304">
        <f t="shared" si="157"/>
        <v>8449.5688443943363</v>
      </c>
      <c r="BJ215" s="304">
        <f t="shared" si="157"/>
        <v>8668.5303821508969</v>
      </c>
      <c r="BK215" s="304">
        <f t="shared" si="157"/>
        <v>8901.0698357520141</v>
      </c>
      <c r="BL215" s="304">
        <f>$A215*(BL174+SUM(BL204:BL213))/1000</f>
        <v>8960.0794177619428</v>
      </c>
      <c r="BM215" s="304">
        <f>$A215*(BM174+SUM(BM204:BM213))/1000</f>
        <v>8982.6783962200461</v>
      </c>
      <c r="BN215" s="304">
        <f>$A215*(BN174+SUM(BN204:BN213))/1000</f>
        <v>8982.6783962200461</v>
      </c>
      <c r="BO215" s="3">
        <f t="shared" si="157"/>
        <v>8982.6783962200461</v>
      </c>
      <c r="BP215" s="41"/>
      <c r="BQ215" s="41"/>
      <c r="BR215" s="41"/>
    </row>
    <row r="216" spans="1:70" ht="16.5">
      <c r="A216" s="41"/>
      <c r="B216" s="295" t="s">
        <v>72</v>
      </c>
      <c r="C216" s="298" t="s">
        <v>73</v>
      </c>
      <c r="D216" s="3">
        <f>$A215*IF(D215+E215=0,0,IF(D215=0,2*E216-F216,(D174*D214+D204*($F170-$C170)+D205*($F170-$D175)+D206*($F170-$D176)+D207*($F170-$D177)+D208*($F170-$D178)+D209*($F170-$D179)+D210*($F170-$D180)+D211*($F170-$D181)+D212*($F170-$D182))/1000000-D215*($F170-MAIN!$C$13/2)/1000))</f>
        <v>228.0215467293888</v>
      </c>
      <c r="E216" s="304">
        <f>$A215*IF(E215+F215=0,0,IF(E215=0,2*F216-G216,(E174*E214+E204*($F170-$C170)+E205*($F170-$D175)+E206*($F170-$D176)+E207*($F170-$D177)+E208*($F170-$D178)+E209*($F170-$D179)+E210*($F170-$D180)+E211*($F170-$D181)+E212*($F170-$D182))/1000000-E215*($F170-MAIN!$C$13/2)/1000))</f>
        <v>365.74910031802801</v>
      </c>
      <c r="F216" s="304">
        <f>$A215*IF(F215+G215=0,0,IF(F215=0,2*G216-H216,(F174*F214+F204*($F170-$C170)+F205*($F170-$D175)+F206*($F170-$D176)+F207*($F170-$D177)+F208*($F170-$D178)+F209*($F170-$D179)+F210*($F170-$D180)+F211*($F170-$D181)+F212*($F170-$D182))/1000000-F215*($F170-MAIN!$C$13/2)/1000))</f>
        <v>454.86777654769088</v>
      </c>
      <c r="G216" s="304">
        <f>$A215*IF(G215+H215=0,0,IF(G215=0,2*H216-I216,(G174*G214+G204*($F170-$C170)+G205*($F170-$D175)+G206*($F170-$D176)+G207*($F170-$D177)+G208*($F170-$D178)+G209*($F170-$D179)+G210*($F170-$D180)+G211*($F170-$D181)+G212*($F170-$D182))/1000000-G215*($F170-MAIN!$C$13/2)/1000))</f>
        <v>533.14814865139783</v>
      </c>
      <c r="H216" s="304">
        <f>$A215*IF(H215+I215=0,0,IF(H215=0,2*I216-J216,(H174*H214+H204*($F170-$C170)+H205*($F170-$D175)+H206*($F170-$D176)+H207*($F170-$D177)+H208*($F170-$D178)+H209*($F170-$D179)+H210*($F170-$D180)+H211*($F170-$D181)+H212*($F170-$D182))/1000000-H215*($F170-MAIN!$C$13/2)/1000))</f>
        <v>600.94891616049404</v>
      </c>
      <c r="I216" s="304">
        <f>$A215*IF(I215+J215=0,0,IF(I215=0,2*J216-K216,(I174*I214+I204*($F170-$C170)+I205*($F170-$D175)+I206*($F170-$D176)+I207*($F170-$D177)+I208*($F170-$D178)+I209*($F170-$D179)+I210*($F170-$D180)+I211*($F170-$D181)+I212*($F170-$D182))/1000000-I215*($F170-MAIN!$C$13/2)/1000))</f>
        <v>662.03366798732975</v>
      </c>
      <c r="J216" s="304">
        <f>$A215*IF(J215+K215=0,0,IF(J215=0,2*K216-L216,(J174*J214+J204*($F170-$C170)+J205*($F170-$D175)+J206*($F170-$D176)+J207*($F170-$D177)+J208*($F170-$D178)+J209*($F170-$D179)+J210*($F170-$D180)+J211*($F170-$D181)+J212*($F170-$D182))/1000000-J215*($F170-MAIN!$C$13/2)/1000))</f>
        <v>709.33430503618933</v>
      </c>
      <c r="K216" s="304">
        <f>$A215*IF(K215+L215=0,0,IF(K215=0,2*L216-M216,(K174*K214+K204*($F170-$C170)+K205*($F170-$D175)+K206*($F170-$D176)+K207*($F170-$D177)+K208*($F170-$D178)+K209*($F170-$D179)+K210*($F170-$D180)+K211*($F170-$D181)+K212*($F170-$D182))/1000000-K215*($F170-MAIN!$C$13/2)/1000))</f>
        <v>753.2029291070404</v>
      </c>
      <c r="L216" s="304">
        <f>$A215*IF(L215+M215=0,0,IF(L215=0,2*M216-N216,(L174*L214+L204*($F170-$C170)+L205*($F170-$D175)+L206*($F170-$D176)+L207*($F170-$D177)+L208*($F170-$D178)+L209*($F170-$D179)+L210*($F170-$D180)+L211*($F170-$D181)+L212*($F170-$D182))/1000000-L215*($F170-MAIN!$C$13/2)/1000))</f>
        <v>795.84782672723577</v>
      </c>
      <c r="M216" s="304">
        <f>$A215*IF(M215+N215=0,0,IF(M215=0,2*N216-O216,(M174*M214+M204*($F170-$C170)+M205*($F170-$D175)+M206*($F170-$D176)+M207*($F170-$D177)+M208*($F170-$D178)+M209*($F170-$D179)+M210*($F170-$D180)+M211*($F170-$D181)+M212*($F170-$D182))/1000000-M215*($F170-MAIN!$C$13/2)/1000))</f>
        <v>837.26899789677464</v>
      </c>
      <c r="N216" s="304">
        <f>$A215*IF(N215+O215=0,0,IF(N215=0,2*O216-P216,(N174*N214+N204*($F170-$C170)+N205*($F170-$D175)+N206*($F170-$D176)+N207*($F170-$D177)+N208*($F170-$D178)+N209*($F170-$D179)+N210*($F170-$D180)+N211*($F170-$D181)+N212*($F170-$D182))/1000000-N215*($F170-MAIN!$C$13/2)/1000))</f>
        <v>877.4664426156578</v>
      </c>
      <c r="O216" s="304">
        <f>$A215*IF(O215+P215=0,0,IF(O215=0,2*P216-Q216,(O174*O214+O204*($F170-$C170)+O205*($F170-$D175)+O206*($F170-$D176)+O207*($F170-$D177)+O208*($F170-$D178)+O209*($F170-$D179)+O210*($F170-$D180)+O211*($F170-$D181)+O212*($F170-$D182))/1000000-O215*($F170-MAIN!$C$13/2)/1000))</f>
        <v>916.44016088388548</v>
      </c>
      <c r="P216" s="304">
        <f>$A215*IF(P215+Q215=0,0,IF(P215=0,2*Q216-R216,(P174*P214+P204*($F170-$C170)+P205*($F170-$D175)+P206*($F170-$D176)+P207*($F170-$D177)+P208*($F170-$D178)+P209*($F170-$D179)+P210*($F170-$D180)+P211*($F170-$D181)+P212*($F170-$D182))/1000000-P215*($F170-MAIN!$C$13/2)/1000))</f>
        <v>954.19015270145678</v>
      </c>
      <c r="Q216" s="304">
        <f>$A215*IF(Q215+R215=0,0,IF(Q215=0,2*R216-S216,(Q174*Q214+Q204*($F170-$C170)+Q205*($F170-$D175)+Q206*($F170-$D176)+Q207*($F170-$D177)+Q208*($F170-$D178)+Q209*($F170-$D179)+Q210*($F170-$D180)+Q211*($F170-$D181)+Q212*($F170-$D182))/1000000-Q215*($F170-MAIN!$C$13/2)/1000))</f>
        <v>991.35465774303202</v>
      </c>
      <c r="R216" s="304">
        <f>$A215*IF(R215+S215=0,0,IF(R215=0,2*S216-T216,(R174*R214+R204*($F170-$C170)+R205*($F170-$D175)+R206*($F170-$D176)+R207*($F170-$D177)+R208*($F170-$D178)+R209*($F170-$D179)+R210*($F170-$D180)+R211*($F170-$D181)+R212*($F170-$D182))/1000000-R215*($F170-MAIN!$C$13/2)/1000))</f>
        <v>1034.628556615773</v>
      </c>
      <c r="S216" s="304">
        <f>$A215*IF(S215+T215=0,0,IF(S215=0,2*T216-U216,(S174*S214+S204*($F170-$C170)+S205*($F170-$D175)+S206*($F170-$D176)+S207*($F170-$D177)+S208*($F170-$D178)+S209*($F170-$D179)+S210*($F170-$D180)+S211*($F170-$D181)+S212*($F170-$D182))/1000000-S215*($F170-MAIN!$C$13/2)/1000))</f>
        <v>1075.7613190783416</v>
      </c>
      <c r="T216" s="304">
        <f>$A215*IF(T215+U215=0,0,IF(T215=0,2*U216-V216,(T174*T214+T204*($F170-$C170)+T205*($F170-$D175)+T206*($F170-$D176)+T207*($F170-$D177)+T208*($F170-$D178)+T209*($F170-$D179)+T210*($F170-$D180)+T211*($F170-$D181)+T212*($F170-$D182))/1000000-T215*($F170-MAIN!$C$13/2)/1000))</f>
        <v>1114.9027021682323</v>
      </c>
      <c r="U216" s="304">
        <f>$A215*IF(U215+V215=0,0,IF(U215=0,2*V216-W216,(U174*U214+U204*($F170-$C170)+U205*($F170-$D175)+U206*($F170-$D176)+U207*($F170-$D177)+U208*($F170-$D178)+U209*($F170-$D179)+U210*($F170-$D180)+U211*($F170-$D181)+U212*($F170-$D182))/1000000-U215*($F170-MAIN!$C$13/2)/1000))</f>
        <v>1152.1715500747027</v>
      </c>
      <c r="V216" s="304">
        <f>$A215*IF(V215+W215=0,0,IF(V215=0,2*W216-X216,(V174*V214+V204*($F170-$C170)+V205*($F170-$D175)+V206*($F170-$D176)+V207*($F170-$D177)+V208*($F170-$D178)+V209*($F170-$D179)+V210*($F170-$D180)+V211*($F170-$D181)+V212*($F170-$D182))/1000000-V215*($F170-MAIN!$C$13/2)/1000))</f>
        <v>1187.6633790093342</v>
      </c>
      <c r="W216" s="304">
        <f>$A215*IF(W215+X215=0,0,IF(W215=0,2*X216-Y216,(W174*W214+W204*($F170-$C170)+W205*($F170-$D175)+W206*($F170-$D176)+W207*($F170-$D177)+W208*($F170-$D178)+W209*($F170-$D179)+W210*($F170-$D180)+W211*($F170-$D181)+W212*($F170-$D182))/1000000-W215*($F170-MAIN!$C$13/2)/1000))</f>
        <v>1221.4558332855959</v>
      </c>
      <c r="X216" s="304">
        <f>$A215*IF(X215+Y215=0,0,IF(X215=0,2*Y216-Z216,(X174*X214+X204*($F170-$C170)+X205*($F170-$D175)+X206*($F170-$D176)+X207*($F170-$D177)+X208*($F170-$D178)+X209*($F170-$D179)+X210*($F170-$D180)+X211*($F170-$D181)+X212*($F170-$D182))/1000000-X215*($F170-MAIN!$C$13/2)/1000))</f>
        <v>1253.6126785095998</v>
      </c>
      <c r="Y216" s="304">
        <f>$A215*IF(Y215+Z215=0,0,IF(Y215=0,2*Z216-AA216,(Y174*Y214+Y204*($F170-$C170)+Y205*($F170-$D175)+Y206*($F170-$D176)+Y207*($F170-$D177)+Y208*($F170-$D178)+Y209*($F170-$D179)+Y210*($F170-$D180)+Y211*($F170-$D181)+Y212*($F170-$D182))/1000000-Y215*($F170-MAIN!$C$13/2)/1000))</f>
        <v>1284.1867699107995</v>
      </c>
      <c r="Z216" s="304">
        <f>$A215*IF(Z215+AA215=0,0,IF(Z215=0,2*AA216-AB216,(Z174*Z214+Z204*($F170-$C170)+Z205*($F170-$D175)+Z206*($F170-$D176)+Z207*($F170-$D177)+Z208*($F170-$D178)+Z209*($F170-$D179)+Z210*($F170-$D180)+Z211*($F170-$D181)+Z212*($F170-$D182))/1000000-Z215*($F170-MAIN!$C$13/2)/1000))</f>
        <v>1313.2222900955931</v>
      </c>
      <c r="AA216" s="304">
        <f>$A215*IF(AA215+AB215=0,0,IF(AA215=0,2*AB216-AC216,(AA174*AA214+AA204*($F170-$C170)+AA205*($F170-$D175)+AA206*($F170-$D176)+AA207*($F170-$D177)+AA208*($F170-$D178)+AA209*($F170-$D179)+AA210*($F170-$D180)+AA211*($F170-$D181)+AA212*($F170-$D182))/1000000-AA215*($F170-MAIN!$C$13/2)/1000))</f>
        <v>1340.7564577387791</v>
      </c>
      <c r="AB216" s="304">
        <f>$A215*IF(AB215+AC215=0,0,IF(AB215=0,2*AC216-AD216,(AB174*AB214+AB204*($F170-$C170)+AB205*($F170-$D175)+AB206*($F170-$D176)+AB207*($F170-$D177)+AB208*($F170-$D178)+AB209*($F170-$D179)+AB210*($F170-$D180)+AB211*($F170-$D181)+AB212*($F170-$D182))/1000000-AB215*($F170-MAIN!$C$13/2)/1000))</f>
        <v>1366.8208476116788</v>
      </c>
      <c r="AC216" s="304">
        <f>$A215*IF(AC215+AD215=0,0,IF(AC215=0,2*AD216-AE216,(AC174*AC214+AC204*($F170-$C170)+AC205*($F170-$D175)+AC206*($F170-$D176)+AC207*($F170-$D177)+AC208*($F170-$D178)+AC209*($F170-$D179)+AC210*($F170-$D180)+AC211*($F170-$D181)+AC212*($F170-$D182))/1000000-AC215*($F170-MAIN!$C$13/2)/1000))</f>
        <v>1391.4424213203715</v>
      </c>
      <c r="AD216" s="304">
        <f>$A215*IF(AD215+AE215=0,0,IF(AD215=0,2*AE216-AF216,(AD174*AD214+AD204*($F170-$C170)+AD205*($F170-$D175)+AD206*($F170-$D176)+AD207*($F170-$D177)+AD208*($F170-$D178)+AD209*($F170-$D179)+AD210*($F170-$D180)+AD211*($F170-$D181)+AD212*($F170-$D182))/1000000-AD215*($F170-MAIN!$C$13/2)/1000))</f>
        <v>1414.644340113261</v>
      </c>
      <c r="AE216" s="304">
        <f>$A215*IF(AE215+AF215=0,0,IF(AE215=0,2*AF216-AG216,(AE174*AE214+AE204*($F170-$C170)+AE205*($F170-$D175)+AE206*($F170-$D176)+AE207*($F170-$D177)+AE208*($F170-$D178)+AE209*($F170-$D179)+AE210*($F170-$D180)+AE211*($F170-$D181)+AE212*($F170-$D182))/1000000-AE215*($F170-MAIN!$C$13/2)/1000))</f>
        <v>1434.0467223688972</v>
      </c>
      <c r="AF216" s="304">
        <f>$A215*IF(AF215+AG215=0,0,IF(AF215=0,2*AG216-AH216,(AF174*AF214+AF204*($F170-$C170)+AF205*($F170-$D175)+AF206*($F170-$D176)+AF207*($F170-$D177)+AF208*($F170-$D178)+AF209*($F170-$D179)+AF210*($F170-$D180)+AF211*($F170-$D181)+AF212*($F170-$D182))/1000000-AF215*($F170-MAIN!$C$13/2)/1000))</f>
        <v>1450.2270346079631</v>
      </c>
      <c r="AG216" s="304">
        <f>$A215*IF(AG215+AH215=0,0,IF(AG215=0,2*AH216-AI216,(AG174*AG214+AG204*($F170-$C170)+AG205*($F170-$D175)+AG206*($F170-$D176)+AG207*($F170-$D177)+AG208*($F170-$D178)+AG209*($F170-$D179)+AG210*($F170-$D180)+AG211*($F170-$D181)+AG212*($F170-$D182))/1000000-AG215*($F170-MAIN!$C$13/2)/1000))</f>
        <v>1462.6899574323577</v>
      </c>
      <c r="AH216" s="304">
        <f>$A215*IF(AH215+AI215=0,0,IF(AH215=0,2*AI216-AJ216,(AH174*AH214+AH204*($F170-$C170)+AH205*($F170-$D175)+AH206*($F170-$D176)+AH207*($F170-$D177)+AH208*($F170-$D178)+AH209*($F170-$D179)+AH210*($F170-$D180)+AH211*($F170-$D181)+AH212*($F170-$D182))/1000000-AH215*($F170-MAIN!$C$13/2)/1000))</f>
        <v>1476.66475232176</v>
      </c>
      <c r="AI216" s="304">
        <f>$A215*IF(AI215+AJ215=0,0,IF(AI215=0,2*AJ216-AK216,(AI174*AI214+AI204*($F170-$C170)+AI205*($F170-$D175)+AI206*($F170-$D176)+AI207*($F170-$D177)+AI208*($F170-$D178)+AI209*($F170-$D179)+AI210*($F170-$D180)+AI211*($F170-$D181)+AI212*($F170-$D182))/1000000-AI215*($F170-MAIN!$C$13/2)/1000))</f>
        <v>1489.5205677525237</v>
      </c>
      <c r="AJ216" s="304">
        <f>$A215*IF(AJ215+AK215=0,0,IF(AJ215=0,2*AK216-AL216,(AJ174*AJ214+AJ204*($F170-$C170)+AJ205*($F170-$D175)+AJ206*($F170-$D176)+AJ207*($F170-$D177)+AJ208*($F170-$D178)+AJ209*($F170-$D179)+AJ210*($F170-$D180)+AJ211*($F170-$D181)+AJ212*($F170-$D182))/1000000-AJ215*($F170-MAIN!$C$13/2)/1000))</f>
        <v>1501.2482629579197</v>
      </c>
      <c r="AK216" s="304">
        <f>$A215*IF(AK215+AL215=0,0,IF(AK215=0,2*AL216-AM216,(AK174*AK214+AK204*($F170-$C170)+AK205*($F170-$D175)+AK206*($F170-$D176)+AK207*($F170-$D177)+AK208*($F170-$D178)+AK209*($F170-$D179)+AK210*($F170-$D180)+AK211*($F170-$D181)+AK212*($F170-$D182))/1000000-AK215*($F170-MAIN!$C$13/2)/1000))</f>
        <v>1511.8397306694712</v>
      </c>
      <c r="AL216" s="304">
        <f>$A215*IF(AL215+AM215=0,0,IF(AL215=0,2*AM216-AN216,(AL174*AL214+AL204*($F170-$C170)+AL205*($F170-$D175)+AL206*($F170-$D176)+AL207*($F170-$D177)+AL208*($F170-$D178)+AL209*($F170-$D179)+AL210*($F170-$D180)+AL211*($F170-$D181)+AL212*($F170-$D182))/1000000-AL215*($F170-MAIN!$C$13/2)/1000))</f>
        <v>1521.2877550669225</v>
      </c>
      <c r="AM216" s="304">
        <f>$A215*IF(AM215+AN215=0,0,IF(AM215=0,2*AN216-AO216,(AM174*AM214+AM204*($F170-$C170)+AM205*($F170-$D175)+AM206*($F170-$D176)+AM207*($F170-$D177)+AM208*($F170-$D178)+AM209*($F170-$D179)+AM210*($F170-$D180)+AM211*($F170-$D181)+AM212*($F170-$D182))/1000000-AM215*($F170-MAIN!$C$13/2)/1000))</f>
        <v>1529.585892530419</v>
      </c>
      <c r="AN216" s="304">
        <f>$A215*IF(AN215+AO215=0,0,IF(AN215=0,2*AO216-AP216,(AN174*AN214+AN204*($F170-$C170)+AN205*($F170-$D175)+AN206*($F170-$D176)+AN207*($F170-$D177)+AN208*($F170-$D178)+AN209*($F170-$D179)+AN210*($F170-$D180)+AN211*($F170-$D181)+AN212*($F170-$D182))/1000000-AN215*($F170-MAIN!$C$13/2)/1000))</f>
        <v>1536.7283710358538</v>
      </c>
      <c r="AO216" s="304">
        <f>$A215*IF(AO215+AP215=0,0,IF(AO215=0,2*AP216-AQ216,(AO174*AO214+AO204*($F170-$C170)+AO205*($F170-$D175)+AO206*($F170-$D176)+AO207*($F170-$D177)+AO208*($F170-$D178)+AO209*($F170-$D179)+AO210*($F170-$D180)+AO211*($F170-$D181)+AO212*($F170-$D182))/1000000-AO215*($F170-MAIN!$C$13/2)/1000))</f>
        <v>1542.7100048792959</v>
      </c>
      <c r="AP216" s="304">
        <f>$A215*IF(AP215+AQ215=0,0,IF(AP215=0,2*AQ216-AR216,(AP174*AP214+AP204*($F170-$C170)+AP205*($F170-$D175)+AP206*($F170-$D176)+AP207*($F170-$D177)+AP208*($F170-$D178)+AP209*($F170-$D179)+AP210*($F170-$D180)+AP211*($F170-$D181)+AP212*($F170-$D182))/1000000-AP215*($F170-MAIN!$C$13/2)/1000))</f>
        <v>1547.5261220730144</v>
      </c>
      <c r="AQ216" s="304">
        <f>$A215*IF(AQ215+AR215=0,0,IF(AQ215=0,2*AR216-AS216,(AQ174*AQ214+AQ204*($F170-$C170)+AQ205*($F170-$D175)+AQ206*($F170-$D176)+AQ207*($F170-$D177)+AQ208*($F170-$D178)+AQ209*($F170-$D179)+AQ210*($F170-$D180)+AQ211*($F170-$D181)+AQ212*($F170-$D182))/1000000-AQ215*($F170-MAIN!$C$13/2)/1000))</f>
        <v>1551.1725022694222</v>
      </c>
      <c r="AR216" s="56">
        <f>$A215*IF(AR215+AS215=0,0,IF(AR215=0,2*AS216-AT216,(AR174*AR214+AR204*($F170-$C170)+AR205*($F170-$D175)+AR206*($F170-$D176)+AR207*($F170-$D177)+AR208*($F170-$D178)+AR209*($F170-$D179)+AR210*($F170-$D180)+AR211*($F170-$D181)+AR212*($F170-$D182))/1000000-AR215*($F170-MAIN!$C$13/2)/1000))</f>
        <v>1553.6453234739324</v>
      </c>
      <c r="AS216" s="304">
        <f>$A215*IF(AS215+AT215=0,0,IF(AS215=0,2*AT216-AU216,(AS174*AS214+AS204*($F170-$C170)+AS205*($F170-$D175)+AS206*($F170-$D176)+AS207*($F170-$D177)+AS208*($F170-$D178)+AS209*($F170-$D179)+AS210*($F170-$D180)+AS211*($F170-$D181)+AS212*($F170-$D182))/1000000-AS215*($F170-MAIN!$C$13/2)/1000))</f>
        <v>1532.9551429545459</v>
      </c>
      <c r="AT216" s="304">
        <f>$A215*IF(AT215+AU215=0,0,IF(AT215=0,2*AU216-AV216,(AT174*AT214+AT204*($F170-$C170)+AT205*($F170-$D175)+AT206*($F170-$D176)+AT207*($F170-$D177)+AT208*($F170-$D178)+AT209*($F170-$D179)+AT210*($F170-$D180)+AT211*($F170-$D181)+AT212*($F170-$D182))/1000000-AT215*($F170-MAIN!$C$13/2)/1000))</f>
        <v>1507.2712154274645</v>
      </c>
      <c r="AU216" s="304">
        <f>$A215*IF(AU215+AV215=0,0,IF(AU215=0,2*AV216-AW216,(AU174*AU214+AU204*($F170-$C170)+AU205*($F170-$D175)+AU206*($F170-$D176)+AU207*($F170-$D177)+AU208*($F170-$D178)+AU209*($F170-$D179)+AU210*($F170-$D180)+AU211*($F170-$D181)+AU212*($F170-$D182))/1000000-AU215*($F170-MAIN!$C$13/2)/1000))</f>
        <v>1476.2177691604047</v>
      </c>
      <c r="AV216" s="304">
        <f>$A215*IF(AV215+AW215=0,0,IF(AV215=0,2*AW216-AX216,(AV174*AV214+AV204*($F170-$C170)+AV205*($F170-$D175)+AV206*($F170-$D176)+AV207*($F170-$D177)+AV208*($F170-$D178)+AV209*($F170-$D179)+AV210*($F170-$D180)+AV211*($F170-$D181)+AV212*($F170-$D182))/1000000-AV215*($F170-MAIN!$C$13/2)/1000))</f>
        <v>1439.4902542003183</v>
      </c>
      <c r="AW216" s="304">
        <f>$A215*IF(AW215+AX215=0,0,IF(AW215=0,2*AX216-AY216,(AW174*AW214+AW204*($F170-$C170)+AW205*($F170-$D175)+AW206*($F170-$D176)+AW207*($F170-$D177)+AW208*($F170-$D178)+AW209*($F170-$D179)+AW210*($F170-$D180)+AW211*($F170-$D181)+AW212*($F170-$D182))/1000000-AW215*($F170-MAIN!$C$13/2)/1000))</f>
        <v>1396.8392319948744</v>
      </c>
      <c r="AX216" s="304">
        <f>$A215*IF(AX215+AY215=0,0,IF(AX215=0,2*AY216-AZ216,(AX174*AX214+AX204*($F170-$C170)+AX205*($F170-$D175)+AX206*($F170-$D176)+AX207*($F170-$D177)+AX208*($F170-$D178)+AX209*($F170-$D179)+AX210*($F170-$D180)+AX211*($F170-$D181)+AX212*($F170-$D182))/1000000-AX215*($F170-MAIN!$C$13/2)/1000))</f>
        <v>1348.0584487461774</v>
      </c>
      <c r="AY216" s="304">
        <f>$A215*IF(AY215+AZ215=0,0,IF(AY215=0,2*AZ216-BA216,(AY174*AY214+AY204*($F170-$C170)+AY205*($F170-$D175)+AY206*($F170-$D176)+AY207*($F170-$D177)+AY208*($F170-$D178)+AY209*($F170-$D179)+AY210*($F170-$D180)+AY211*($F170-$D181)+AY212*($F170-$D182))/1000000-AY215*($F170-MAIN!$C$13/2)/1000))</f>
        <v>1295.5963846744689</v>
      </c>
      <c r="AZ216" s="304">
        <f>$A215*IF(AZ215+BA215=0,0,IF(AZ215=0,2*BA216-BB216,(AZ174*AZ214+AZ204*($F170-$C170)+AZ205*($F170-$D175)+AZ206*($F170-$D176)+AZ207*($F170-$D177)+AZ208*($F170-$D178)+AZ209*($F170-$D179)+AZ210*($F170-$D180)+AZ211*($F170-$D181)+AZ212*($F170-$D182))/1000000-AZ215*($F170-MAIN!$C$13/2)/1000))</f>
        <v>1234.0674084810416</v>
      </c>
      <c r="BA216" s="304">
        <f>$A215*IF(BA215+BB215=0,0,IF(BA215=0,2*BB216-BC216,(BA174*BA214+BA204*($F170-$C170)+BA205*($F170-$D175)+BA206*($F170-$D176)+BA207*($F170-$D177)+BA208*($F170-$D178)+BA209*($F170-$D179)+BA210*($F170-$D180)+BA211*($F170-$D181)+BA212*($F170-$D182))/1000000-BA215*($F170-MAIN!$C$13/2)/1000))</f>
        <v>1165.9695701832111</v>
      </c>
      <c r="BB216" s="304">
        <f>$A215*IF(BB215+BC215=0,0,IF(BB215=0,2*BC216-BD216,(BB174*BB214+BB204*($F170-$C170)+BB205*($F170-$D175)+BB206*($F170-$D176)+BB207*($F170-$D177)+BB208*($F170-$D178)+BB209*($F170-$D179)+BB210*($F170-$D180)+BB211*($F170-$D181)+BB212*($F170-$D182))/1000000-BB215*($F170-MAIN!$C$13/2)/1000))</f>
        <v>1090.432911233092</v>
      </c>
      <c r="BC216" s="304">
        <f>$A215*IF(BC215+BD215=0,0,IF(BC215=0,2*BD216-BE216,(BC174*BC214+BC204*($F170-$C170)+BC205*($F170-$D175)+BC206*($F170-$D176)+BC207*($F170-$D177)+BC208*($F170-$D178)+BC209*($F170-$D179)+BC210*($F170-$D180)+BC211*($F170-$D181)+BC212*($F170-$D182))/1000000-BC215*($F170-MAIN!$C$13/2)/1000))</f>
        <v>1007.835285659386</v>
      </c>
      <c r="BD216" s="304">
        <f>$A215*IF(BD215+BE215=0,0,IF(BD215=0,2*BE216-BF216,(BD174*BD214+BD204*($F170-$C170)+BD205*($F170-$D175)+BD206*($F170-$D176)+BD207*($F170-$D177)+BD208*($F170-$D178)+BD209*($F170-$D179)+BD210*($F170-$D180)+BD211*($F170-$D181)+BD212*($F170-$D182))/1000000-BD215*($F170-MAIN!$C$13/2)/1000))</f>
        <v>918.77154001427334</v>
      </c>
      <c r="BE216" s="304">
        <f>$A215*IF(BE215+BF215=0,0,IF(BE215=0,2*BF216-BG216,(BE174*BE214+BE204*($F170-$C170)+BE205*($F170-$D175)+BE206*($F170-$D176)+BE207*($F170-$D177)+BE208*($F170-$D178)+BE209*($F170-$D179)+BE210*($F170-$D180)+BE211*($F170-$D181)+BE212*($F170-$D182))/1000000-BE215*($F170-MAIN!$C$13/2)/1000))</f>
        <v>824.18893241358273</v>
      </c>
      <c r="BF216" s="304">
        <f>$A215*IF(BF215+BG215=0,0,IF(BF215=0,2*BG216-BH216,(BF174*BF214+BF204*($F170-$C170)+BF205*($F170-$D175)+BF206*($F170-$D176)+BF207*($F170-$D177)+BF208*($F170-$D178)+BF209*($F170-$D179)+BF210*($F170-$D180)+BF211*($F170-$D181)+BF212*($F170-$D182))/1000000-BF215*($F170-MAIN!$C$13/2)/1000))</f>
        <v>723.03098928968029</v>
      </c>
      <c r="BG216" s="304">
        <f>$A215*IF(BG215+BH215=0,0,IF(BG215=0,2*BH216-BI216,(BG174*BG214+BG204*($F170-$C170)+BG205*($F170-$D175)+BG206*($F170-$D176)+BG207*($F170-$D177)+BG208*($F170-$D178)+BG209*($F170-$D179)+BG210*($F170-$D180)+BG211*($F170-$D181)+BG212*($F170-$D182))/1000000-BG215*($F170-MAIN!$C$13/2)/1000))</f>
        <v>615.1386247925393</v>
      </c>
      <c r="BH216" s="304">
        <f>$A215*IF(BH215+BI215=0,0,IF(BH215=0,2*BI216-BJ216,(BH174*BH214+BH204*($F170-$C170)+BH205*($F170-$D175)+BH206*($F170-$D176)+BH207*($F170-$D177)+BH208*($F170-$D178)+BH209*($F170-$D179)+BH210*($F170-$D180)+BH211*($F170-$D181)+BH212*($F170-$D182))/1000000-BH215*($F170-MAIN!$C$13/2)/1000))</f>
        <v>500.18747513167091</v>
      </c>
      <c r="BI216" s="304">
        <f>$A215*IF(BI215+BJ215=0,0,IF(BI215=0,2*BJ216-BK216,(BI174*BI214+BI204*($F170-$C170)+BI205*($F170-$D175)+BI206*($F170-$D176)+BI207*($F170-$D177)+BI208*($F170-$D178)+BI209*($F170-$D179)+BI210*($F170-$D180)+BI211*($F170-$D181)+BI212*($F170-$D182))/1000000-BI215*($F170-MAIN!$C$13/2)/1000))</f>
        <v>377.98837027478294</v>
      </c>
      <c r="BJ216" s="304">
        <f>$A215*IF(BJ215+BK215=0,0,IF(BJ215=0,2*BK216-BO216,(BJ174*BJ214+BJ204*($F170-$C170)+BJ205*($F170-$D175)+BJ206*($F170-$D176)+BJ207*($F170-$D177)+BJ208*($F170-$D178)+BJ209*($F170-$D179)+BJ210*($F170-$D180)+BJ211*($F170-$D181)+BJ212*($F170-$D182))/1000000-BJ215*($F170-MAIN!$C$13/2)/1000))</f>
        <v>256.65879680046692</v>
      </c>
      <c r="BK216" s="304">
        <f>$A215*IF(BK215+BO215=0,0,IF(BK215=0,2*BO216-BP216,(BK174*BK214+BK204*($F170-$C170)+BK205*($F170-$D175)+BK206*($F170-$D176)+BK207*($F170-$D177)+BK208*($F170-$D178)+BK209*($F170-$D179)+BK210*($F170-$D180)+BK211*($F170-$D181)+BK212*($F170-$D182))/1000000-BK215*($F170-MAIN!$C$13/2)/1000))</f>
        <v>120.40370265710044</v>
      </c>
      <c r="BL216" s="304">
        <f>$A215*IF(BL215+BP215=0,0,IF(BL215=0,2*BP216-BQ216,(BL174*BL214+BL204*($F170-$C170)+BL205*($F170-$D175)+BL206*($F170-$D176)+BL207*($F170-$D177)+BL208*($F170-$D178)+BL209*($F170-$D179)+BL210*($F170-$D180)+BL211*($F170-$D181)+BL212*($F170-$D182))/1000000-BL215*($F170-MAIN!$C$13/2)/1000))</f>
        <v>80.591904661068838</v>
      </c>
      <c r="BM216" s="304">
        <f>$A215*IF(BM215+BQ215=0,0,IF(BM215=0,2*BQ216-BR216,(BM174*BM214+BM204*($F170-$C170)+BM205*($F170-$D175)+BM206*($F170-$D176)+BM207*($F170-$D177)+BM208*($F170-$D178)+BM209*($F170-$D179)+BM210*($F170-$D180)+BM211*($F170-$D181)+BM212*($F170-$D182))/1000000-BM215*($F170-MAIN!$C$13/2)/1000))</f>
        <v>64.741941405178295</v>
      </c>
      <c r="BN216" s="304">
        <f>$A215*IF(BN215+BR215=0,0,IF(BN215=0,2*BR216-BS216,(BN174*BN214+BN204*($F170-$C170)+BN205*($F170-$D175)+BN206*($F170-$D176)+BN207*($F170-$D177)+BN208*($F170-$D178)+BN209*($F170-$D179)+BN210*($F170-$D180)+BN211*($F170-$D181)+BN212*($F170-$D182))/1000000-BN215*($F170-MAIN!$C$13/2)/1000))</f>
        <v>49.635488410636754</v>
      </c>
      <c r="BO216" s="3">
        <v>0</v>
      </c>
      <c r="BP216" s="41"/>
      <c r="BQ216" s="41"/>
      <c r="BR216" s="41"/>
    </row>
    <row r="217" spans="1:70" ht="16.5">
      <c r="A217" s="41"/>
      <c r="B217" s="296" t="s">
        <v>74</v>
      </c>
      <c r="C217" s="303" t="s">
        <v>75</v>
      </c>
      <c r="D217" s="15"/>
      <c r="E217" s="308"/>
      <c r="F217" s="308"/>
      <c r="G217" s="308"/>
      <c r="H217" s="308"/>
      <c r="I217" s="308"/>
      <c r="J217" s="308"/>
      <c r="K217" s="308"/>
      <c r="L217" s="308"/>
      <c r="M217" s="308"/>
      <c r="N217" s="308"/>
      <c r="O217" s="308"/>
      <c r="P217" s="308"/>
      <c r="Q217" s="308"/>
      <c r="R217" s="308"/>
      <c r="S217" s="308"/>
      <c r="T217" s="308"/>
      <c r="U217" s="308"/>
      <c r="V217" s="308"/>
      <c r="W217" s="308"/>
      <c r="X217" s="308"/>
      <c r="Y217" s="308"/>
      <c r="Z217" s="308"/>
      <c r="AA217" s="308"/>
      <c r="AB217" s="308"/>
      <c r="AC217" s="308"/>
      <c r="AD217" s="308"/>
      <c r="AE217" s="309"/>
      <c r="AF217" s="308"/>
      <c r="AG217" s="308"/>
      <c r="AH217" s="308"/>
      <c r="AI217" s="308"/>
      <c r="AJ217" s="308" t="str">
        <f>FIXED(MAIN!$Q$1,0)&amp;MAIN!R$1&amp;FIXED(B169,0)</f>
        <v>8H20</v>
      </c>
      <c r="AK217" s="308"/>
      <c r="AL217" s="308"/>
      <c r="AM217" s="308"/>
      <c r="AN217" s="308"/>
      <c r="AO217" s="308"/>
      <c r="AP217" s="308"/>
      <c r="AQ217" s="308"/>
      <c r="AR217" s="60"/>
      <c r="AS217" s="308"/>
      <c r="AT217" s="308"/>
      <c r="AU217" s="308"/>
      <c r="AV217" s="308"/>
      <c r="AW217" s="308"/>
      <c r="AX217" s="308"/>
      <c r="AY217" s="308"/>
      <c r="AZ217" s="308"/>
      <c r="BA217" s="308"/>
      <c r="BB217" s="308"/>
      <c r="BC217" s="308"/>
      <c r="BD217" s="308"/>
      <c r="BE217" s="308"/>
      <c r="BF217" s="308"/>
      <c r="BG217" s="308"/>
      <c r="BH217" s="308"/>
      <c r="BI217" s="308"/>
      <c r="BJ217" s="308"/>
      <c r="BK217" s="308"/>
      <c r="BL217" s="621"/>
      <c r="BM217" s="621"/>
      <c r="BN217" s="621"/>
      <c r="BO217" s="15"/>
      <c r="BP217" s="41"/>
      <c r="BQ217" s="41"/>
      <c r="BR217" s="41"/>
    </row>
    <row r="218" spans="1:70">
      <c r="A218" s="41"/>
      <c r="C218" s="65" t="s">
        <v>135</v>
      </c>
      <c r="D218" s="66">
        <f t="shared" ref="D218:AI218" si="158">E215-D215</f>
        <v>247.95429647123063</v>
      </c>
      <c r="E218" s="66">
        <f t="shared" si="158"/>
        <v>162.1116317822441</v>
      </c>
      <c r="F218" s="66">
        <f t="shared" si="158"/>
        <v>144.69391860235254</v>
      </c>
      <c r="G218" s="66">
        <f t="shared" si="158"/>
        <v>127.92602341402892</v>
      </c>
      <c r="H218" s="66">
        <f t="shared" si="158"/>
        <v>117.97622408141137</v>
      </c>
      <c r="I218" s="66">
        <f t="shared" si="158"/>
        <v>95.221897401484313</v>
      </c>
      <c r="J218" s="66">
        <f t="shared" si="158"/>
        <v>91.221378330192778</v>
      </c>
      <c r="K218" s="66">
        <f t="shared" si="158"/>
        <v>91.221378330192977</v>
      </c>
      <c r="L218" s="66">
        <f t="shared" si="158"/>
        <v>91.221378330192636</v>
      </c>
      <c r="M218" s="66">
        <f t="shared" si="158"/>
        <v>91.22137833019292</v>
      </c>
      <c r="N218" s="66">
        <f t="shared" si="158"/>
        <v>91.221378330192692</v>
      </c>
      <c r="O218" s="66">
        <f t="shared" si="158"/>
        <v>91.221378330192806</v>
      </c>
      <c r="P218" s="66">
        <f t="shared" si="158"/>
        <v>94.690072214213615</v>
      </c>
      <c r="Q218" s="66">
        <f t="shared" si="158"/>
        <v>134.54398678932898</v>
      </c>
      <c r="R218" s="66">
        <f t="shared" si="158"/>
        <v>129.55806309630782</v>
      </c>
      <c r="S218" s="66">
        <f t="shared" si="158"/>
        <v>125.38603634618539</v>
      </c>
      <c r="T218" s="66">
        <f t="shared" si="158"/>
        <v>121.85990192899044</v>
      </c>
      <c r="U218" s="66">
        <f t="shared" si="158"/>
        <v>118.85287735734232</v>
      </c>
      <c r="V218" s="66">
        <f t="shared" si="158"/>
        <v>116.26783275019943</v>
      </c>
      <c r="W218" s="66">
        <f t="shared" si="158"/>
        <v>114.02934035019234</v>
      </c>
      <c r="X218" s="66">
        <f t="shared" si="158"/>
        <v>112.0781046319953</v>
      </c>
      <c r="Y218" s="66">
        <f t="shared" si="158"/>
        <v>110.36699177465243</v>
      </c>
      <c r="Z218" s="66">
        <f t="shared" si="158"/>
        <v>108.85815432383356</v>
      </c>
      <c r="AA218" s="66">
        <f t="shared" si="158"/>
        <v>107.52091889105782</v>
      </c>
      <c r="AB218" s="66">
        <f t="shared" si="158"/>
        <v>106.33021392610544</v>
      </c>
      <c r="AC218" s="66">
        <f t="shared" si="158"/>
        <v>105.26538531117649</v>
      </c>
      <c r="AD218" s="66">
        <f t="shared" si="158"/>
        <v>117.35217088666741</v>
      </c>
      <c r="AE218" s="66">
        <f t="shared" si="158"/>
        <v>126.48939052320975</v>
      </c>
      <c r="AF218" s="66">
        <f t="shared" si="158"/>
        <v>109.99955625901202</v>
      </c>
      <c r="AG218" s="66">
        <f t="shared" si="158"/>
        <v>122.20178032149533</v>
      </c>
      <c r="AH218" s="66">
        <f t="shared" si="158"/>
        <v>120.34544185238883</v>
      </c>
      <c r="AI218" s="66">
        <f t="shared" si="158"/>
        <v>118.65109712255935</v>
      </c>
      <c r="AJ218" s="66">
        <f t="shared" ref="AJ218:BJ218" si="159">AK215-AJ215</f>
        <v>117.10043035487524</v>
      </c>
      <c r="AK218" s="66">
        <f t="shared" si="159"/>
        <v>115.67764319946946</v>
      </c>
      <c r="AL218" s="66">
        <f t="shared" si="159"/>
        <v>114.36905063033737</v>
      </c>
      <c r="AM218" s="66">
        <f t="shared" si="159"/>
        <v>113.16275054890548</v>
      </c>
      <c r="AN218" s="66">
        <f t="shared" si="159"/>
        <v>112.04835212032458</v>
      </c>
      <c r="AO218" s="66">
        <f t="shared" si="159"/>
        <v>111.01675120588789</v>
      </c>
      <c r="AP218" s="66">
        <f t="shared" si="159"/>
        <v>110.05994378603054</v>
      </c>
      <c r="AQ218" s="66">
        <f t="shared" si="159"/>
        <v>109.17087020216286</v>
      </c>
      <c r="AR218" s="66">
        <f t="shared" si="159"/>
        <v>306.41901959738516</v>
      </c>
      <c r="AS218" s="66">
        <f t="shared" si="159"/>
        <v>298.00131340931875</v>
      </c>
      <c r="AT218" s="66">
        <f t="shared" si="159"/>
        <v>290.83971156555981</v>
      </c>
      <c r="AU218" s="66">
        <f t="shared" si="159"/>
        <v>284.6961387171259</v>
      </c>
      <c r="AV218" s="66">
        <f t="shared" si="159"/>
        <v>279.38637219925022</v>
      </c>
      <c r="AW218" s="66">
        <f t="shared" si="159"/>
        <v>274.76605693412057</v>
      </c>
      <c r="AX218" s="66">
        <f t="shared" si="159"/>
        <v>256.47889497146207</v>
      </c>
      <c r="AY218" s="66">
        <f t="shared" si="159"/>
        <v>267.15892231432554</v>
      </c>
      <c r="AZ218" s="66">
        <f t="shared" si="159"/>
        <v>264.00640439294875</v>
      </c>
      <c r="BA218" s="66">
        <f t="shared" si="159"/>
        <v>257.04209318567246</v>
      </c>
      <c r="BB218" s="66">
        <f t="shared" si="159"/>
        <v>252.91717286159565</v>
      </c>
      <c r="BC218" s="66">
        <f t="shared" si="159"/>
        <v>249.74687513513982</v>
      </c>
      <c r="BD218" s="66">
        <f t="shared" si="159"/>
        <v>242.97541202325738</v>
      </c>
      <c r="BE218" s="66">
        <f t="shared" si="159"/>
        <v>240.93927573893689</v>
      </c>
      <c r="BF218" s="66">
        <f t="shared" si="159"/>
        <v>239.2489782590219</v>
      </c>
      <c r="BG218" s="66">
        <f t="shared" si="159"/>
        <v>236.74683413859839</v>
      </c>
      <c r="BH218" s="66">
        <f t="shared" si="159"/>
        <v>233.97412821799298</v>
      </c>
      <c r="BI218" s="66">
        <f t="shared" si="159"/>
        <v>218.96153775656057</v>
      </c>
      <c r="BJ218" s="66">
        <f t="shared" si="159"/>
        <v>232.5394536011172</v>
      </c>
      <c r="BK218" s="66">
        <f t="shared" ref="BK218:BN219" si="160">BL215-BK215</f>
        <v>59.009582009928636</v>
      </c>
      <c r="BL218" s="66">
        <f t="shared" si="160"/>
        <v>22.598978458103375</v>
      </c>
      <c r="BM218" s="66">
        <f t="shared" si="160"/>
        <v>0</v>
      </c>
      <c r="BN218" s="66">
        <f t="shared" si="160"/>
        <v>0</v>
      </c>
      <c r="BO218" s="65">
        <v>0</v>
      </c>
      <c r="BP218" s="41"/>
      <c r="BQ218" s="41"/>
      <c r="BR218" s="41"/>
    </row>
    <row r="219" spans="1:70">
      <c r="A219" s="41"/>
      <c r="C219" s="65" t="s">
        <v>136</v>
      </c>
      <c r="D219" s="66">
        <f t="shared" ref="D219:AI219" si="161">E216-D216</f>
        <v>137.72755358863921</v>
      </c>
      <c r="E219" s="66">
        <f t="shared" si="161"/>
        <v>89.118676229662867</v>
      </c>
      <c r="F219" s="66">
        <f t="shared" si="161"/>
        <v>78.280372103706952</v>
      </c>
      <c r="G219" s="66">
        <f t="shared" si="161"/>
        <v>67.800767509096204</v>
      </c>
      <c r="H219" s="66">
        <f t="shared" si="161"/>
        <v>61.084751826835713</v>
      </c>
      <c r="I219" s="66">
        <f t="shared" si="161"/>
        <v>47.300637048859585</v>
      </c>
      <c r="J219" s="66">
        <f t="shared" si="161"/>
        <v>43.86862407085107</v>
      </c>
      <c r="K219" s="66">
        <f t="shared" si="161"/>
        <v>42.644897620195366</v>
      </c>
      <c r="L219" s="66">
        <f t="shared" si="161"/>
        <v>41.421171169538866</v>
      </c>
      <c r="M219" s="66">
        <f t="shared" si="161"/>
        <v>40.197444718883162</v>
      </c>
      <c r="N219" s="66">
        <f t="shared" si="161"/>
        <v>38.973718268227685</v>
      </c>
      <c r="O219" s="66">
        <f t="shared" si="161"/>
        <v>37.749991817571299</v>
      </c>
      <c r="P219" s="66">
        <f t="shared" si="161"/>
        <v>37.164505041575239</v>
      </c>
      <c r="Q219" s="66">
        <f t="shared" si="161"/>
        <v>43.273898872741029</v>
      </c>
      <c r="R219" s="66">
        <f t="shared" si="161"/>
        <v>41.132762462568508</v>
      </c>
      <c r="S219" s="66">
        <f t="shared" si="161"/>
        <v>39.141383089890724</v>
      </c>
      <c r="T219" s="66">
        <f t="shared" si="161"/>
        <v>37.268847906470455</v>
      </c>
      <c r="U219" s="66">
        <f t="shared" si="161"/>
        <v>35.491828934631485</v>
      </c>
      <c r="V219" s="66">
        <f t="shared" si="161"/>
        <v>33.792454276261651</v>
      </c>
      <c r="W219" s="66">
        <f t="shared" si="161"/>
        <v>32.156845224003973</v>
      </c>
      <c r="X219" s="66">
        <f t="shared" si="161"/>
        <v>30.574091401199667</v>
      </c>
      <c r="Y219" s="66">
        <f t="shared" si="161"/>
        <v>29.03552018479354</v>
      </c>
      <c r="Z219" s="66">
        <f t="shared" si="161"/>
        <v>27.534167643186038</v>
      </c>
      <c r="AA219" s="66">
        <f t="shared" si="161"/>
        <v>26.06438987289971</v>
      </c>
      <c r="AB219" s="66">
        <f t="shared" si="161"/>
        <v>24.621573708692722</v>
      </c>
      <c r="AC219" s="66">
        <f t="shared" si="161"/>
        <v>23.201918792889501</v>
      </c>
      <c r="AD219" s="66">
        <f t="shared" si="161"/>
        <v>19.402382255636212</v>
      </c>
      <c r="AE219" s="66">
        <f t="shared" si="161"/>
        <v>16.18031223906587</v>
      </c>
      <c r="AF219" s="66">
        <f t="shared" si="161"/>
        <v>12.462922824394582</v>
      </c>
      <c r="AG219" s="66">
        <f t="shared" si="161"/>
        <v>13.974794889402347</v>
      </c>
      <c r="AH219" s="66">
        <f t="shared" si="161"/>
        <v>12.855815430763641</v>
      </c>
      <c r="AI219" s="66">
        <f t="shared" si="161"/>
        <v>11.727695205396003</v>
      </c>
      <c r="AJ219" s="66">
        <f t="shared" ref="AJ219:BJ219" si="162">AK216-AJ216</f>
        <v>10.591467711551559</v>
      </c>
      <c r="AK219" s="66">
        <f t="shared" si="162"/>
        <v>9.4480243974512632</v>
      </c>
      <c r="AL219" s="66">
        <f t="shared" si="162"/>
        <v>8.2981374634964595</v>
      </c>
      <c r="AM219" s="66">
        <f t="shared" si="162"/>
        <v>7.1424785054348376</v>
      </c>
      <c r="AN219" s="66">
        <f t="shared" si="162"/>
        <v>5.9816338434420686</v>
      </c>
      <c r="AO219" s="66">
        <f t="shared" si="162"/>
        <v>4.8161171937185827</v>
      </c>
      <c r="AP219" s="66">
        <f t="shared" si="162"/>
        <v>3.6463801964077902</v>
      </c>
      <c r="AQ219" s="66">
        <f t="shared" si="162"/>
        <v>2.4728212045101827</v>
      </c>
      <c r="AR219" s="66">
        <f t="shared" si="162"/>
        <v>-20.690180519386558</v>
      </c>
      <c r="AS219" s="66">
        <f t="shared" si="162"/>
        <v>-25.683927527081323</v>
      </c>
      <c r="AT219" s="66">
        <f t="shared" si="162"/>
        <v>-31.053446267059826</v>
      </c>
      <c r="AU219" s="66">
        <f t="shared" si="162"/>
        <v>-36.72751496008641</v>
      </c>
      <c r="AV219" s="66">
        <f t="shared" si="162"/>
        <v>-42.651022205443951</v>
      </c>
      <c r="AW219" s="66">
        <f t="shared" si="162"/>
        <v>-48.780783248696935</v>
      </c>
      <c r="AX219" s="66">
        <f t="shared" si="162"/>
        <v>-52.462064071708483</v>
      </c>
      <c r="AY219" s="66">
        <f t="shared" si="162"/>
        <v>-61.528976193427297</v>
      </c>
      <c r="AZ219" s="66">
        <f t="shared" si="162"/>
        <v>-68.097838297830549</v>
      </c>
      <c r="BA219" s="66">
        <f t="shared" si="162"/>
        <v>-75.53665895011909</v>
      </c>
      <c r="BB219" s="66">
        <f t="shared" si="162"/>
        <v>-82.597625573705955</v>
      </c>
      <c r="BC219" s="66">
        <f t="shared" si="162"/>
        <v>-89.063745645112704</v>
      </c>
      <c r="BD219" s="66">
        <f t="shared" si="162"/>
        <v>-94.582607600690608</v>
      </c>
      <c r="BE219" s="66">
        <f t="shared" si="162"/>
        <v>-101.15794312390244</v>
      </c>
      <c r="BF219" s="66">
        <f t="shared" si="162"/>
        <v>-107.89236449714099</v>
      </c>
      <c r="BG219" s="66">
        <f t="shared" si="162"/>
        <v>-114.9511496608684</v>
      </c>
      <c r="BH219" s="66">
        <f t="shared" si="162"/>
        <v>-122.19910485688797</v>
      </c>
      <c r="BI219" s="66">
        <f t="shared" si="162"/>
        <v>-121.32957347431602</v>
      </c>
      <c r="BJ219" s="66">
        <f t="shared" si="162"/>
        <v>-136.25509414336648</v>
      </c>
      <c r="BK219" s="66">
        <f t="shared" si="160"/>
        <v>-39.811797996031601</v>
      </c>
      <c r="BL219" s="66">
        <f t="shared" si="160"/>
        <v>-15.849963255890543</v>
      </c>
      <c r="BM219" s="66">
        <f t="shared" si="160"/>
        <v>-15.106452994541542</v>
      </c>
      <c r="BN219" s="66">
        <f t="shared" si="160"/>
        <v>-49.635488410636754</v>
      </c>
      <c r="BO219" s="65">
        <v>0</v>
      </c>
      <c r="BP219" s="41"/>
      <c r="BQ219" s="41"/>
      <c r="BR219" s="41"/>
    </row>
    <row r="220" spans="1:70">
      <c r="A220" s="41"/>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c r="AX220" s="2"/>
      <c r="AY220" s="2"/>
      <c r="AZ220" s="2"/>
      <c r="BA220" s="2"/>
      <c r="BB220" s="2"/>
      <c r="BC220" s="2"/>
      <c r="BD220" s="2"/>
      <c r="BE220" s="2"/>
      <c r="BF220" s="2"/>
      <c r="BG220" s="2"/>
      <c r="BH220" s="2"/>
      <c r="BI220" s="2"/>
      <c r="BJ220" s="2"/>
      <c r="BK220" s="2"/>
      <c r="BL220" s="2"/>
      <c r="BM220" s="2"/>
      <c r="BN220" s="2"/>
      <c r="BO220" s="16"/>
      <c r="BP220" s="41"/>
      <c r="BQ220" s="41"/>
      <c r="BR220" s="41"/>
    </row>
    <row r="221" spans="1:70" ht="18.75">
      <c r="A221" s="41"/>
      <c r="B221" s="275">
        <f>MAIN!C$37</f>
        <v>16</v>
      </c>
      <c r="C221" s="276" t="s">
        <v>43</v>
      </c>
      <c r="D221" s="258"/>
      <c r="E221" s="259"/>
      <c r="F221" s="259"/>
      <c r="G221" s="259"/>
      <c r="H221" s="259"/>
      <c r="I221" s="259"/>
      <c r="J221" s="259"/>
      <c r="K221" s="277"/>
      <c r="L221" s="259"/>
      <c r="M221" s="259"/>
      <c r="N221" s="278" t="s">
        <v>93</v>
      </c>
      <c r="O221" s="279">
        <f>$C$8*$C$9*MAIN!C$14</f>
        <v>5440.0000000000009</v>
      </c>
      <c r="P221" s="73"/>
      <c r="Q221" s="73"/>
      <c r="R221" s="73"/>
      <c r="S221" s="73"/>
      <c r="T221" s="73"/>
      <c r="U221" s="73"/>
      <c r="V221" s="73"/>
      <c r="W221" s="73"/>
      <c r="X221" s="73"/>
      <c r="Y221" s="73"/>
      <c r="Z221" s="73"/>
      <c r="AA221" s="73"/>
      <c r="AB221" s="73"/>
      <c r="AC221" s="73"/>
      <c r="AD221" s="73"/>
      <c r="AE221" s="73"/>
      <c r="AF221" s="73"/>
      <c r="AG221" s="73"/>
      <c r="AH221" s="73"/>
      <c r="AI221" s="73"/>
      <c r="AJ221" s="73"/>
      <c r="AK221" s="73"/>
      <c r="AL221" s="73"/>
      <c r="AM221" s="73"/>
      <c r="AN221" s="73"/>
      <c r="AO221" s="73"/>
      <c r="AP221" s="73"/>
      <c r="AQ221" s="73"/>
      <c r="AR221" s="41"/>
      <c r="AS221" s="73"/>
      <c r="AT221" s="41"/>
      <c r="AU221" s="41"/>
      <c r="AV221" s="41"/>
      <c r="AW221" s="41"/>
      <c r="AX221" s="41"/>
      <c r="AY221" s="41"/>
      <c r="AZ221" s="41"/>
      <c r="BA221" s="41"/>
      <c r="BB221" s="41"/>
      <c r="BC221" s="41"/>
      <c r="BD221" s="41"/>
      <c r="BE221" s="41"/>
      <c r="BF221" s="41"/>
      <c r="BG221" s="41"/>
      <c r="BH221" s="41"/>
      <c r="BI221" s="41"/>
      <c r="BJ221" s="41"/>
      <c r="BK221" s="41"/>
      <c r="BL221" s="41"/>
      <c r="BM221" s="41"/>
      <c r="BN221" s="41"/>
      <c r="BO221" s="41"/>
      <c r="BP221" s="41"/>
      <c r="BQ221" s="41"/>
      <c r="BR221" s="41"/>
    </row>
    <row r="222" spans="1:70" ht="18.75">
      <c r="A222" s="41"/>
      <c r="B222" s="260" t="str">
        <f>B170</f>
        <v>d' =</v>
      </c>
      <c r="C222" s="261">
        <f>MAIN!I$8+MAIN!E37+MAIN!C37/2</f>
        <v>46</v>
      </c>
      <c r="D222" s="262"/>
      <c r="E222" s="263" t="str">
        <f>E170</f>
        <v>d =</v>
      </c>
      <c r="F222" s="261">
        <f>IF(I222=0,0,MAIN!C$13-C222)</f>
        <v>1154</v>
      </c>
      <c r="G222" s="262" t="str">
        <f>G170</f>
        <v>mm</v>
      </c>
      <c r="H222" s="263" t="s">
        <v>76</v>
      </c>
      <c r="I222" s="264">
        <f>IF(MAIN!I37="ok",MAIN!C$13*MAIN!C$14*MAIN!D37/100,0)</f>
        <v>1608.4954386379745</v>
      </c>
      <c r="J222" s="262" t="str">
        <f>J170</f>
        <v>mm²</v>
      </c>
      <c r="K222" s="263" t="s">
        <v>48</v>
      </c>
      <c r="L222" s="261">
        <f>(F222-C222)/(MAIN!C$16-1)</f>
        <v>369.33333333333331</v>
      </c>
      <c r="M222" s="262" t="s">
        <v>14</v>
      </c>
      <c r="N222" s="263" t="s">
        <v>17</v>
      </c>
      <c r="O222" s="280">
        <f>I222*MAIN!C$15/MAIN!Q$1*(200000*F$8-C$9-C$10)</f>
        <v>97535.433554511386</v>
      </c>
      <c r="P222" s="45"/>
      <c r="Q222" s="45"/>
      <c r="R222" s="45"/>
      <c r="S222" s="45"/>
      <c r="T222" s="45"/>
      <c r="U222" s="45"/>
      <c r="V222" s="45"/>
      <c r="W222" s="45"/>
      <c r="X222" s="45"/>
      <c r="Y222" s="45"/>
      <c r="Z222" s="45"/>
      <c r="AA222" s="45"/>
      <c r="AB222" s="45"/>
      <c r="AC222" s="45"/>
      <c r="AD222" s="45"/>
      <c r="AE222" s="45"/>
      <c r="AF222" s="45"/>
      <c r="AG222" s="45"/>
      <c r="AH222" s="45"/>
      <c r="AI222" s="289"/>
      <c r="AJ222" s="45"/>
      <c r="AK222" s="45"/>
      <c r="AL222" s="45"/>
      <c r="AM222" s="45"/>
      <c r="AN222" s="45"/>
      <c r="AO222" s="45"/>
      <c r="AP222" s="45"/>
      <c r="AQ222" s="45"/>
      <c r="AR222" s="41"/>
      <c r="AS222" s="45"/>
      <c r="AT222" s="41"/>
      <c r="AU222" s="41"/>
      <c r="AV222" s="41"/>
      <c r="AW222" s="41"/>
      <c r="AX222" s="41"/>
      <c r="AY222" s="41"/>
      <c r="AZ222" s="41"/>
      <c r="BA222" s="41"/>
      <c r="BB222" s="41"/>
      <c r="BC222" s="41"/>
      <c r="BD222" s="41"/>
      <c r="BE222" s="41"/>
      <c r="BF222" s="41"/>
      <c r="BG222" s="41"/>
      <c r="BH222" s="41"/>
      <c r="BI222" s="41"/>
      <c r="BJ222" s="41"/>
      <c r="BK222" s="41"/>
      <c r="BL222" s="41"/>
      <c r="BM222" s="41"/>
      <c r="BN222" s="41"/>
      <c r="BO222" s="41"/>
      <c r="BP222" s="41"/>
      <c r="BQ222" s="41"/>
      <c r="BR222" s="41"/>
    </row>
    <row r="223" spans="1:70" ht="18.75">
      <c r="A223" s="41"/>
      <c r="B223" s="265"/>
      <c r="C223" s="266"/>
      <c r="D223" s="267"/>
      <c r="E223" s="268" t="s">
        <v>49</v>
      </c>
      <c r="F223" s="269">
        <f>(AR225-D225)/40</f>
        <v>16.983567859906842</v>
      </c>
      <c r="G223" s="270" t="s">
        <v>50</v>
      </c>
      <c r="H223" s="281"/>
      <c r="I223" s="281"/>
      <c r="J223" s="281"/>
      <c r="K223" s="281"/>
      <c r="L223" s="281"/>
      <c r="M223" s="281"/>
      <c r="N223" s="282" t="s">
        <v>120</v>
      </c>
      <c r="O223" s="283">
        <f>-100000*F$8*C222*I222*MAIN!C$15/MAIN!Q$1*2</f>
        <v>-12948388.281035695</v>
      </c>
      <c r="P223" s="49"/>
      <c r="Q223" s="49"/>
      <c r="R223" s="49"/>
      <c r="S223" s="49"/>
      <c r="T223" s="49"/>
      <c r="U223" s="49"/>
      <c r="V223" s="49"/>
      <c r="W223" s="49"/>
      <c r="X223" s="49"/>
      <c r="Y223" s="49"/>
      <c r="Z223" s="49"/>
      <c r="AA223" s="49"/>
      <c r="AB223" s="49"/>
      <c r="AC223" s="49"/>
      <c r="AD223" s="49"/>
      <c r="AE223" s="49"/>
      <c r="AF223" s="49"/>
      <c r="AG223" s="289"/>
      <c r="AH223" s="49"/>
      <c r="AI223" s="310" t="str">
        <f>B221&amp;" Bar diameter continued"</f>
        <v>16 Bar diameter continued</v>
      </c>
      <c r="AJ223" s="49"/>
      <c r="AK223" s="49"/>
      <c r="AL223" s="49"/>
      <c r="AM223" s="49"/>
      <c r="AN223" s="49"/>
      <c r="AO223" s="49"/>
      <c r="AP223" s="49"/>
      <c r="AQ223" s="49"/>
      <c r="AR223" s="49" t="s">
        <v>49</v>
      </c>
      <c r="AS223" s="50">
        <f>IF(I222=0,0,(BK225-AR225)/19)</f>
        <v>41.481347045775358</v>
      </c>
      <c r="AT223" s="46" t="s">
        <v>121</v>
      </c>
      <c r="AU223" s="41"/>
      <c r="AV223" s="41"/>
      <c r="AW223" s="41"/>
      <c r="AX223" s="41"/>
      <c r="AY223" s="41"/>
      <c r="AZ223" s="41"/>
      <c r="BA223" s="41"/>
      <c r="BB223" s="41"/>
      <c r="BC223" s="41"/>
      <c r="BD223" s="41"/>
      <c r="BE223" s="41"/>
      <c r="BF223" s="41"/>
      <c r="BG223" s="41"/>
      <c r="BH223" s="41"/>
      <c r="BI223" s="41"/>
      <c r="BJ223" s="41"/>
      <c r="BK223" s="41"/>
      <c r="BL223" s="41"/>
      <c r="BM223" s="41"/>
      <c r="BN223" s="41"/>
      <c r="BO223" s="41"/>
      <c r="BP223" s="41"/>
      <c r="BQ223" s="41"/>
      <c r="BR223" s="41"/>
    </row>
    <row r="224" spans="1:70" ht="15.75">
      <c r="A224" s="41"/>
      <c r="B224" s="41"/>
      <c r="C224" s="51"/>
      <c r="D224" s="52"/>
      <c r="E224" s="52"/>
      <c r="F224" s="52"/>
      <c r="G224" s="52"/>
      <c r="H224" s="52"/>
      <c r="I224" s="52"/>
      <c r="J224" s="52"/>
      <c r="K224" s="52"/>
      <c r="L224" s="52"/>
      <c r="M224" s="52"/>
      <c r="N224" s="45"/>
      <c r="O224" s="52"/>
      <c r="P224" s="52"/>
      <c r="Q224" s="52"/>
      <c r="R224" s="52"/>
      <c r="S224" s="52"/>
      <c r="T224" s="52"/>
      <c r="U224" s="52"/>
      <c r="V224" s="52"/>
      <c r="W224" s="52"/>
      <c r="X224" s="52"/>
      <c r="Y224" s="52"/>
      <c r="Z224" s="52"/>
      <c r="AA224" s="52"/>
      <c r="AB224" s="52"/>
      <c r="AC224" s="52"/>
      <c r="AD224" s="52"/>
      <c r="AE224" s="52"/>
      <c r="AF224" s="52"/>
      <c r="AG224" s="52"/>
      <c r="AH224" s="52"/>
      <c r="AI224" s="52"/>
      <c r="AJ224" s="52"/>
      <c r="AK224" s="52"/>
      <c r="AL224" s="52"/>
      <c r="AM224" s="52"/>
      <c r="AN224" s="52"/>
      <c r="AO224" s="52"/>
      <c r="AP224" s="52"/>
      <c r="AQ224" s="52"/>
      <c r="AR224" s="52"/>
      <c r="AS224" s="52"/>
      <c r="AT224" s="41"/>
      <c r="AU224" s="41"/>
      <c r="AV224" s="41"/>
      <c r="AW224" s="41"/>
      <c r="AX224" s="41"/>
      <c r="AY224" s="41"/>
      <c r="AZ224" s="41"/>
      <c r="BA224" s="41"/>
      <c r="BB224" s="41"/>
      <c r="BC224" s="41"/>
      <c r="BD224" s="41"/>
      <c r="BE224" s="41"/>
      <c r="BF224" s="41"/>
      <c r="BG224" s="41"/>
      <c r="BH224" s="41"/>
      <c r="BI224" s="41"/>
      <c r="BJ224" s="41"/>
      <c r="BK224" s="53"/>
      <c r="BL224" s="53"/>
      <c r="BM224" s="53"/>
      <c r="BN224" s="53"/>
      <c r="BO224" s="288" t="s">
        <v>51</v>
      </c>
      <c r="BP224" s="41"/>
      <c r="BQ224" s="41"/>
      <c r="BR224" s="41"/>
    </row>
    <row r="225" spans="1:70" ht="16.5">
      <c r="A225" s="41"/>
      <c r="B225" s="284" t="s">
        <v>115</v>
      </c>
      <c r="C225" s="297" t="s">
        <v>52</v>
      </c>
      <c r="D225" s="285">
        <f>0.8*(-O222+SQRT(O222^2-4*O221*O223))/2/O221</f>
        <v>32.51169173399456</v>
      </c>
      <c r="E225" s="286">
        <f t="shared" ref="E225:AQ225" si="163">D225+$F223</f>
        <v>49.495259593901402</v>
      </c>
      <c r="F225" s="286">
        <f t="shared" si="163"/>
        <v>66.478827453808236</v>
      </c>
      <c r="G225" s="286">
        <f t="shared" si="163"/>
        <v>83.462395313715078</v>
      </c>
      <c r="H225" s="286">
        <f t="shared" si="163"/>
        <v>100.44596317362192</v>
      </c>
      <c r="I225" s="286">
        <f t="shared" si="163"/>
        <v>117.42953103352876</v>
      </c>
      <c r="J225" s="286">
        <f t="shared" si="163"/>
        <v>134.4130988934356</v>
      </c>
      <c r="K225" s="286">
        <f t="shared" si="163"/>
        <v>151.39666675334246</v>
      </c>
      <c r="L225" s="286">
        <f t="shared" si="163"/>
        <v>168.38023461324929</v>
      </c>
      <c r="M225" s="286">
        <f t="shared" si="163"/>
        <v>185.36380247315611</v>
      </c>
      <c r="N225" s="286">
        <f t="shared" si="163"/>
        <v>202.34737033306294</v>
      </c>
      <c r="O225" s="286">
        <f t="shared" si="163"/>
        <v>219.33093819296977</v>
      </c>
      <c r="P225" s="286">
        <f t="shared" si="163"/>
        <v>236.3145060528766</v>
      </c>
      <c r="Q225" s="286">
        <f t="shared" si="163"/>
        <v>253.29807391278342</v>
      </c>
      <c r="R225" s="286">
        <f t="shared" si="163"/>
        <v>270.28164177269025</v>
      </c>
      <c r="S225" s="286">
        <f t="shared" si="163"/>
        <v>287.26520963259708</v>
      </c>
      <c r="T225" s="286">
        <f t="shared" si="163"/>
        <v>304.2487774925039</v>
      </c>
      <c r="U225" s="286">
        <f t="shared" si="163"/>
        <v>321.23234535241073</v>
      </c>
      <c r="V225" s="286">
        <f t="shared" si="163"/>
        <v>338.21591321231756</v>
      </c>
      <c r="W225" s="286">
        <f t="shared" si="163"/>
        <v>355.19948107222439</v>
      </c>
      <c r="X225" s="286">
        <f t="shared" si="163"/>
        <v>372.18304893213121</v>
      </c>
      <c r="Y225" s="286">
        <f t="shared" si="163"/>
        <v>389.16661679203804</v>
      </c>
      <c r="Z225" s="286">
        <f t="shared" si="163"/>
        <v>406.15018465194487</v>
      </c>
      <c r="AA225" s="286">
        <f t="shared" si="163"/>
        <v>423.1337525118517</v>
      </c>
      <c r="AB225" s="286">
        <f t="shared" si="163"/>
        <v>440.11732037175852</v>
      </c>
      <c r="AC225" s="286">
        <f t="shared" si="163"/>
        <v>457.10088823166535</v>
      </c>
      <c r="AD225" s="286">
        <f t="shared" si="163"/>
        <v>474.08445609157218</v>
      </c>
      <c r="AE225" s="286">
        <f t="shared" si="163"/>
        <v>491.06802395147901</v>
      </c>
      <c r="AF225" s="286">
        <f t="shared" si="163"/>
        <v>508.05159181138583</v>
      </c>
      <c r="AG225" s="286">
        <f t="shared" si="163"/>
        <v>525.03515967129272</v>
      </c>
      <c r="AH225" s="286">
        <f t="shared" si="163"/>
        <v>542.0187275311996</v>
      </c>
      <c r="AI225" s="286">
        <f t="shared" si="163"/>
        <v>559.00229539110649</v>
      </c>
      <c r="AJ225" s="286">
        <f t="shared" si="163"/>
        <v>575.98586325101337</v>
      </c>
      <c r="AK225" s="286">
        <f t="shared" si="163"/>
        <v>592.96943111092025</v>
      </c>
      <c r="AL225" s="286">
        <f t="shared" si="163"/>
        <v>609.95299897082714</v>
      </c>
      <c r="AM225" s="286">
        <f t="shared" si="163"/>
        <v>626.93656683073402</v>
      </c>
      <c r="AN225" s="286">
        <f t="shared" si="163"/>
        <v>643.92013469064091</v>
      </c>
      <c r="AO225" s="286">
        <f t="shared" si="163"/>
        <v>660.90370255054779</v>
      </c>
      <c r="AP225" s="286">
        <f t="shared" si="163"/>
        <v>677.88727041045468</v>
      </c>
      <c r="AQ225" s="286">
        <f t="shared" si="163"/>
        <v>694.87083827036156</v>
      </c>
      <c r="AR225" s="62">
        <f>200000*F$8/C$10*F222/(1+200000*F$8/C$10)</f>
        <v>711.85440613026822</v>
      </c>
      <c r="AS225" s="286">
        <f t="shared" ref="AS225:BJ225" si="164">AR225+$AS223</f>
        <v>753.33575317604357</v>
      </c>
      <c r="AT225" s="286">
        <f t="shared" si="164"/>
        <v>794.81710022181892</v>
      </c>
      <c r="AU225" s="286">
        <f t="shared" si="164"/>
        <v>836.29844726759427</v>
      </c>
      <c r="AV225" s="286">
        <f t="shared" si="164"/>
        <v>877.77979431336962</v>
      </c>
      <c r="AW225" s="286">
        <f t="shared" si="164"/>
        <v>919.26114135914497</v>
      </c>
      <c r="AX225" s="286">
        <f t="shared" si="164"/>
        <v>960.74248840492032</v>
      </c>
      <c r="AY225" s="286">
        <f t="shared" si="164"/>
        <v>1002.2238354506957</v>
      </c>
      <c r="AZ225" s="286">
        <f t="shared" si="164"/>
        <v>1043.705182496471</v>
      </c>
      <c r="BA225" s="286">
        <f t="shared" si="164"/>
        <v>1085.1865295422465</v>
      </c>
      <c r="BB225" s="286">
        <f t="shared" si="164"/>
        <v>1126.667876588022</v>
      </c>
      <c r="BC225" s="286">
        <f t="shared" si="164"/>
        <v>1168.1492236337974</v>
      </c>
      <c r="BD225" s="286">
        <f t="shared" si="164"/>
        <v>1209.6305706795729</v>
      </c>
      <c r="BE225" s="286">
        <f t="shared" si="164"/>
        <v>1251.1119177253483</v>
      </c>
      <c r="BF225" s="286">
        <f t="shared" si="164"/>
        <v>1292.5932647711238</v>
      </c>
      <c r="BG225" s="286">
        <f t="shared" si="164"/>
        <v>1334.0746118168993</v>
      </c>
      <c r="BH225" s="286">
        <f t="shared" si="164"/>
        <v>1375.5559588626747</v>
      </c>
      <c r="BI225" s="286">
        <f t="shared" si="164"/>
        <v>1417.0373059084502</v>
      </c>
      <c r="BJ225" s="286">
        <f t="shared" si="164"/>
        <v>1458.5186529542257</v>
      </c>
      <c r="BK225" s="286">
        <f>BK17</f>
        <v>1500</v>
      </c>
      <c r="BL225" s="286">
        <f>BL17</f>
        <v>2200</v>
      </c>
      <c r="BM225" s="286">
        <f>BM17</f>
        <v>2900</v>
      </c>
      <c r="BN225" s="286">
        <f>BN17</f>
        <v>3600</v>
      </c>
      <c r="BO225" s="287"/>
      <c r="BP225" s="41"/>
      <c r="BQ225" s="41"/>
      <c r="BR225" s="41"/>
    </row>
    <row r="226" spans="1:70" ht="16.5">
      <c r="A226" s="41"/>
      <c r="B226" s="290" t="s">
        <v>53</v>
      </c>
      <c r="C226" s="298" t="s">
        <v>54</v>
      </c>
      <c r="D226" s="3">
        <f>MIN($C$8*D225,MAIN!$C$13)*MAIN!$C$14*$C$9</f>
        <v>176863.6030329304</v>
      </c>
      <c r="E226" s="304">
        <f>MIN($C$8*E225,MAIN!$C$13)*MAIN!$C$14*$C$9</f>
        <v>269254.21219082363</v>
      </c>
      <c r="F226" s="304">
        <f>MIN($C$8*F225,MAIN!$C$13)*MAIN!$C$14*$C$9</f>
        <v>361644.82134871685</v>
      </c>
      <c r="G226" s="304">
        <f>MIN($C$8*G225,MAIN!$C$13)*MAIN!$C$14*$C$9</f>
        <v>454035.43050661002</v>
      </c>
      <c r="H226" s="304">
        <f>MIN($C$8*H225,MAIN!$C$13)*MAIN!$C$14*$C$9</f>
        <v>546426.0396645033</v>
      </c>
      <c r="I226" s="304">
        <f>MIN($C$8*I225,MAIN!$C$13)*MAIN!$C$14*$C$9</f>
        <v>638816.64882239653</v>
      </c>
      <c r="J226" s="304">
        <f>MIN($C$8*J225,MAIN!$C$13)*MAIN!$C$14*$C$9</f>
        <v>731207.25798028975</v>
      </c>
      <c r="K226" s="304">
        <f>MIN($C$8*K225,MAIN!$C$13)*MAIN!$C$14*$C$9</f>
        <v>823597.86713818309</v>
      </c>
      <c r="L226" s="304">
        <f>MIN($C$8*L225,MAIN!$C$13)*MAIN!$C$14*$C$9</f>
        <v>915988.4762960762</v>
      </c>
      <c r="M226" s="304">
        <f>MIN($C$8*M225,MAIN!$C$13)*MAIN!$C$14*$C$9</f>
        <v>1008379.0854539694</v>
      </c>
      <c r="N226" s="304">
        <f>MIN($C$8*N225,MAIN!$C$13)*MAIN!$C$14*$C$9</f>
        <v>1100769.6946118625</v>
      </c>
      <c r="O226" s="304">
        <f>MIN($C$8*O225,MAIN!$C$13)*MAIN!$C$14*$C$9</f>
        <v>1193160.3037697556</v>
      </c>
      <c r="P226" s="304">
        <f>MIN($C$8*P225,MAIN!$C$13)*MAIN!$C$14*$C$9</f>
        <v>1285550.9129276488</v>
      </c>
      <c r="Q226" s="304">
        <f>MIN($C$8*Q225,MAIN!$C$13)*MAIN!$C$14*$C$9</f>
        <v>1377941.5220855419</v>
      </c>
      <c r="R226" s="304">
        <f>MIN($C$8*R225,MAIN!$C$13)*MAIN!$C$14*$C$9</f>
        <v>1470332.1312434352</v>
      </c>
      <c r="S226" s="304">
        <f>MIN($C$8*S225,MAIN!$C$13)*MAIN!$C$14*$C$9</f>
        <v>1562722.7404013283</v>
      </c>
      <c r="T226" s="304">
        <f>MIN($C$8*T225,MAIN!$C$13)*MAIN!$C$14*$C$9</f>
        <v>1655113.3495592214</v>
      </c>
      <c r="U226" s="304">
        <f>MIN($C$8*U225,MAIN!$C$13)*MAIN!$C$14*$C$9</f>
        <v>1747503.9587171145</v>
      </c>
      <c r="V226" s="304">
        <f>MIN($C$8*V225,MAIN!$C$13)*MAIN!$C$14*$C$9</f>
        <v>1839894.5678750079</v>
      </c>
      <c r="W226" s="304">
        <f>MIN($C$8*W225,MAIN!$C$13)*MAIN!$C$14*$C$9</f>
        <v>1932285.1770329007</v>
      </c>
      <c r="X226" s="304">
        <f>MIN($C$8*X225,MAIN!$C$13)*MAIN!$C$14*$C$9</f>
        <v>2024675.7861907941</v>
      </c>
      <c r="Y226" s="304">
        <f>MIN($C$8*Y225,MAIN!$C$13)*MAIN!$C$14*$C$9</f>
        <v>2117066.3953486872</v>
      </c>
      <c r="Z226" s="304">
        <f>MIN($C$8*Z225,MAIN!$C$13)*MAIN!$C$14*$C$9</f>
        <v>2209457.0045065801</v>
      </c>
      <c r="AA226" s="304">
        <f>MIN($C$8*AA225,MAIN!$C$13)*MAIN!$C$14*$C$9</f>
        <v>2301847.6136644734</v>
      </c>
      <c r="AB226" s="304">
        <f>MIN($C$8*AB225,MAIN!$C$13)*MAIN!$C$14*$C$9</f>
        <v>2394238.2228223667</v>
      </c>
      <c r="AC226" s="304">
        <f>MIN($C$8*AC225,MAIN!$C$13)*MAIN!$C$14*$C$9</f>
        <v>2486628.8319802596</v>
      </c>
      <c r="AD226" s="304">
        <f>MIN($C$8*AD225,MAIN!$C$13)*MAIN!$C$14*$C$9</f>
        <v>2579019.441138153</v>
      </c>
      <c r="AE226" s="304">
        <f>MIN($C$8*AE225,MAIN!$C$13)*MAIN!$C$14*$C$9</f>
        <v>2671410.0502960463</v>
      </c>
      <c r="AF226" s="304">
        <f>MIN($C$8*AF225,MAIN!$C$13)*MAIN!$C$14*$C$9</f>
        <v>2763800.6594539392</v>
      </c>
      <c r="AG226" s="304">
        <f>MIN($C$8*AG225,MAIN!$C$13)*MAIN!$C$14*$C$9</f>
        <v>2856191.2686118325</v>
      </c>
      <c r="AH226" s="304">
        <f>MIN($C$8*AH225,MAIN!$C$13)*MAIN!$C$14*$C$9</f>
        <v>2948581.8777697263</v>
      </c>
      <c r="AI226" s="304">
        <f>MIN($C$8*AI225,MAIN!$C$13)*MAIN!$C$14*$C$9</f>
        <v>3040972.4869276201</v>
      </c>
      <c r="AJ226" s="304">
        <f>MIN($C$8*AJ225,MAIN!$C$13)*MAIN!$C$14*$C$9</f>
        <v>3133363.096085513</v>
      </c>
      <c r="AK226" s="304">
        <f>MIN($C$8*AK225,MAIN!$C$13)*MAIN!$C$14*$C$9</f>
        <v>3225753.7052434064</v>
      </c>
      <c r="AL226" s="304">
        <f>MIN($C$8*AL225,MAIN!$C$13)*MAIN!$C$14*$C$9</f>
        <v>3318144.3144013002</v>
      </c>
      <c r="AM226" s="304">
        <f>MIN($C$8*AM225,MAIN!$C$13)*MAIN!$C$14*$C$9</f>
        <v>3410534.9235591935</v>
      </c>
      <c r="AN226" s="304">
        <f>MIN($C$8*AN225,MAIN!$C$13)*MAIN!$C$14*$C$9</f>
        <v>3502925.5327170873</v>
      </c>
      <c r="AO226" s="304">
        <f>MIN($C$8*AO225,MAIN!$C$13)*MAIN!$C$14*$C$9</f>
        <v>3595316.1418749802</v>
      </c>
      <c r="AP226" s="304">
        <f>MIN($C$8*AP225,MAIN!$C$13)*MAIN!$C$14*$C$9</f>
        <v>3687706.751032874</v>
      </c>
      <c r="AQ226" s="304">
        <f>MIN($C$8*AQ225,MAIN!$C$13)*MAIN!$C$14*$C$9</f>
        <v>3780097.3601907673</v>
      </c>
      <c r="AR226" s="56">
        <f>MIN($C$8*AR225,MAIN!$C$13)*MAIN!$C$14*$C$9</f>
        <v>3872487.9693486597</v>
      </c>
      <c r="AS226" s="304">
        <f>MIN($C$8*AS225,MAIN!$C$13)*MAIN!$C$14*$C$9</f>
        <v>4098146.4972776775</v>
      </c>
      <c r="AT226" s="304">
        <f>MIN($C$8*AT225,MAIN!$C$13)*MAIN!$C$14*$C$9</f>
        <v>4323805.0252066962</v>
      </c>
      <c r="AU226" s="304">
        <f>MIN($C$8*AU225,MAIN!$C$13)*MAIN!$C$14*$C$9</f>
        <v>4549463.5531357126</v>
      </c>
      <c r="AV226" s="304">
        <f>MIN($C$8*AV225,MAIN!$C$13)*MAIN!$C$14*$C$9</f>
        <v>4775122.0810647318</v>
      </c>
      <c r="AW226" s="304">
        <f>MIN($C$8*AW225,MAIN!$C$13)*MAIN!$C$14*$C$9</f>
        <v>5000780.6089937491</v>
      </c>
      <c r="AX226" s="304">
        <f>MIN($C$8*AX225,MAIN!$C$13)*MAIN!$C$14*$C$9</f>
        <v>5226439.1369227674</v>
      </c>
      <c r="AY226" s="304">
        <f>MIN($C$8*AY225,MAIN!$C$13)*MAIN!$C$14*$C$9</f>
        <v>5452097.6648517856</v>
      </c>
      <c r="AZ226" s="304">
        <f>MIN($C$8*AZ225,MAIN!$C$13)*MAIN!$C$14*$C$9</f>
        <v>5677756.192780803</v>
      </c>
      <c r="BA226" s="304">
        <f>MIN($C$8*BA225,MAIN!$C$13)*MAIN!$C$14*$C$9</f>
        <v>5903414.7207098212</v>
      </c>
      <c r="BB226" s="304">
        <f>MIN($C$8*BB225,MAIN!$C$13)*MAIN!$C$14*$C$9</f>
        <v>6129073.2486388404</v>
      </c>
      <c r="BC226" s="304">
        <f>MIN($C$8*BC225,MAIN!$C$13)*MAIN!$C$14*$C$9</f>
        <v>6354731.7765678596</v>
      </c>
      <c r="BD226" s="304">
        <f>MIN($C$8*BD225,MAIN!$C$13)*MAIN!$C$14*$C$9</f>
        <v>6580390.3044968769</v>
      </c>
      <c r="BE226" s="304">
        <f>MIN($C$8*BE225,MAIN!$C$13)*MAIN!$C$14*$C$9</f>
        <v>6806048.8324258951</v>
      </c>
      <c r="BF226" s="304">
        <f>MIN($C$8*BF225,MAIN!$C$13)*MAIN!$C$14*$C$9</f>
        <v>7031707.3603549143</v>
      </c>
      <c r="BG226" s="304">
        <f>MIN($C$8*BG225,MAIN!$C$13)*MAIN!$C$14*$C$9</f>
        <v>7257365.8882839335</v>
      </c>
      <c r="BH226" s="304">
        <f>MIN($C$8*BH225,MAIN!$C$13)*MAIN!$C$14*$C$9</f>
        <v>7483024.4162129508</v>
      </c>
      <c r="BI226" s="304">
        <f>MIN($C$8*BI225,MAIN!$C$13)*MAIN!$C$14*$C$9</f>
        <v>7708682.94414197</v>
      </c>
      <c r="BJ226" s="304">
        <f>MIN($C$8*BJ225,MAIN!$C$13)*MAIN!$C$14*$C$9</f>
        <v>7934341.4720709892</v>
      </c>
      <c r="BK226" s="304">
        <f>MIN($C$8*BK225,MAIN!$C$13)*MAIN!$C$14*$C$9</f>
        <v>8160000</v>
      </c>
      <c r="BL226" s="304">
        <f>MIN($C$8*BL225,MAIN!$C$13)*MAIN!$C$14*$C$9</f>
        <v>8160000</v>
      </c>
      <c r="BM226" s="304">
        <f>MIN($C$8*BM225,MAIN!$C$13)*MAIN!$C$14*$C$9</f>
        <v>8160000</v>
      </c>
      <c r="BN226" s="304">
        <f>MIN($C$8*BN225,MAIN!$C$13)*MAIN!$C$14*$C$9</f>
        <v>8160000</v>
      </c>
      <c r="BO226" s="3">
        <f>MAIN!$C$13*MAIN!$C$14*$C$9</f>
        <v>8160000</v>
      </c>
      <c r="BP226" s="41"/>
      <c r="BQ226" s="41"/>
      <c r="BR226" s="41"/>
    </row>
    <row r="227" spans="1:70" ht="16.5">
      <c r="A227" s="41"/>
      <c r="B227" s="4">
        <v>2</v>
      </c>
      <c r="C227" s="299" t="s">
        <v>55</v>
      </c>
      <c r="D227" s="5">
        <f>IF(C222+L222&gt;=F222,0,C222+L222)</f>
        <v>415.33333333333331</v>
      </c>
      <c r="E227" s="6"/>
      <c r="F227" s="6"/>
      <c r="G227" s="6"/>
      <c r="H227" s="6"/>
      <c r="I227" s="6"/>
      <c r="J227" s="6"/>
      <c r="K227" s="6"/>
      <c r="L227" s="6"/>
      <c r="M227" s="6"/>
      <c r="N227" s="6"/>
      <c r="O227" s="6"/>
      <c r="P227" s="6"/>
      <c r="Q227" s="6"/>
      <c r="R227" s="6"/>
      <c r="S227" s="6"/>
      <c r="T227" s="6"/>
      <c r="U227" s="6"/>
      <c r="V227" s="6"/>
      <c r="W227" s="6"/>
      <c r="X227" s="6"/>
      <c r="Y227" s="6"/>
      <c r="Z227" s="6"/>
      <c r="AA227" s="6"/>
      <c r="AB227" s="6"/>
      <c r="AC227" s="6"/>
      <c r="AD227" s="6"/>
      <c r="AE227" s="6"/>
      <c r="AF227" s="6"/>
      <c r="AG227" s="6"/>
      <c r="AH227" s="6"/>
      <c r="AI227" s="6"/>
      <c r="AJ227" s="6"/>
      <c r="AK227" s="6"/>
      <c r="AL227" s="6"/>
      <c r="AM227" s="6"/>
      <c r="AN227" s="6"/>
      <c r="AO227" s="6"/>
      <c r="AP227" s="6"/>
      <c r="AQ227" s="6"/>
      <c r="AR227" s="57"/>
      <c r="AS227" s="6"/>
      <c r="AT227" s="6"/>
      <c r="AU227" s="6"/>
      <c r="AV227" s="6"/>
      <c r="AW227" s="6"/>
      <c r="AX227" s="6"/>
      <c r="AY227" s="6"/>
      <c r="AZ227" s="6"/>
      <c r="BA227" s="6"/>
      <c r="BB227" s="6"/>
      <c r="BC227" s="6"/>
      <c r="BD227" s="6"/>
      <c r="BE227" s="6"/>
      <c r="BF227" s="6"/>
      <c r="BG227" s="6"/>
      <c r="BH227" s="6"/>
      <c r="BI227" s="6"/>
      <c r="BJ227" s="6"/>
      <c r="BK227" s="6"/>
      <c r="BL227" s="6"/>
      <c r="BM227" s="6"/>
      <c r="BN227" s="6"/>
      <c r="BO227" s="7"/>
      <c r="BP227" s="43"/>
      <c r="BQ227" s="43"/>
      <c r="BR227" s="42"/>
    </row>
    <row r="228" spans="1:70" ht="16.5">
      <c r="A228" s="41"/>
      <c r="B228" s="4">
        <f t="shared" ref="B228:B234" si="165">1+B227</f>
        <v>3</v>
      </c>
      <c r="C228" s="299" t="s">
        <v>55</v>
      </c>
      <c r="D228" s="5">
        <f>IF(C222+B227*L222&gt;=F222,0,C222+B227*L222)</f>
        <v>784.66666666666663</v>
      </c>
      <c r="E228" s="6"/>
      <c r="F228" s="6"/>
      <c r="G228" s="6"/>
      <c r="H228" s="6"/>
      <c r="I228" s="6"/>
      <c r="J228" s="6"/>
      <c r="K228" s="6"/>
      <c r="L228" s="6"/>
      <c r="M228" s="6"/>
      <c r="N228" s="6"/>
      <c r="O228" s="6"/>
      <c r="P228" s="6"/>
      <c r="Q228" s="6"/>
      <c r="R228" s="6"/>
      <c r="S228" s="6"/>
      <c r="T228" s="6"/>
      <c r="U228" s="6"/>
      <c r="V228" s="6"/>
      <c r="W228" s="6"/>
      <c r="X228" s="6"/>
      <c r="Y228" s="6"/>
      <c r="Z228" s="6"/>
      <c r="AA228" s="6"/>
      <c r="AB228" s="6"/>
      <c r="AC228" s="6"/>
      <c r="AD228" s="6"/>
      <c r="AE228" s="6"/>
      <c r="AF228" s="6"/>
      <c r="AG228" s="6"/>
      <c r="AH228" s="6"/>
      <c r="AI228" s="6"/>
      <c r="AJ228" s="6"/>
      <c r="AK228" s="6"/>
      <c r="AL228" s="6"/>
      <c r="AM228" s="6"/>
      <c r="AN228" s="6"/>
      <c r="AO228" s="6"/>
      <c r="AP228" s="6"/>
      <c r="AQ228" s="6"/>
      <c r="AR228" s="57"/>
      <c r="AS228" s="6"/>
      <c r="AT228" s="6"/>
      <c r="AU228" s="6"/>
      <c r="AV228" s="6"/>
      <c r="AW228" s="6"/>
      <c r="AX228" s="6"/>
      <c r="AY228" s="6"/>
      <c r="AZ228" s="6"/>
      <c r="BA228" s="6"/>
      <c r="BB228" s="6"/>
      <c r="BC228" s="6"/>
      <c r="BD228" s="6"/>
      <c r="BE228" s="6"/>
      <c r="BF228" s="6"/>
      <c r="BG228" s="6"/>
      <c r="BH228" s="6"/>
      <c r="BI228" s="6"/>
      <c r="BJ228" s="6"/>
      <c r="BK228" s="6"/>
      <c r="BL228" s="6"/>
      <c r="BM228" s="6"/>
      <c r="BN228" s="6"/>
      <c r="BO228" s="7"/>
      <c r="BP228" s="43"/>
      <c r="BQ228" s="43"/>
      <c r="BR228" s="42"/>
    </row>
    <row r="229" spans="1:70" ht="16.5">
      <c r="A229" s="41"/>
      <c r="B229" s="4">
        <f t="shared" si="165"/>
        <v>4</v>
      </c>
      <c r="C229" s="299" t="s">
        <v>55</v>
      </c>
      <c r="D229" s="5">
        <f>IF(C222+B228*L222&gt;=F222,0,C222+B228*L222)</f>
        <v>0</v>
      </c>
      <c r="E229" s="6"/>
      <c r="F229" s="6"/>
      <c r="G229" s="6"/>
      <c r="H229" s="6"/>
      <c r="I229" s="6"/>
      <c r="J229" s="6"/>
      <c r="K229" s="6"/>
      <c r="L229" s="6"/>
      <c r="M229" s="6"/>
      <c r="N229" s="6"/>
      <c r="O229" s="6"/>
      <c r="P229" s="6"/>
      <c r="Q229" s="6"/>
      <c r="R229" s="6"/>
      <c r="S229" s="6"/>
      <c r="T229" s="6"/>
      <c r="U229" s="6"/>
      <c r="V229" s="6"/>
      <c r="W229" s="6"/>
      <c r="X229" s="6"/>
      <c r="Y229" s="6"/>
      <c r="Z229" s="6"/>
      <c r="AA229" s="6"/>
      <c r="AB229" s="6"/>
      <c r="AC229" s="6"/>
      <c r="AD229" s="6"/>
      <c r="AE229" s="6"/>
      <c r="AF229" s="6"/>
      <c r="AG229" s="6"/>
      <c r="AH229" s="6"/>
      <c r="AI229" s="6"/>
      <c r="AJ229" s="6"/>
      <c r="AK229" s="6"/>
      <c r="AL229" s="6"/>
      <c r="AM229" s="6"/>
      <c r="AN229" s="6"/>
      <c r="AO229" s="6"/>
      <c r="AP229" s="6"/>
      <c r="AQ229" s="6"/>
      <c r="AR229" s="57"/>
      <c r="AS229" s="6"/>
      <c r="AT229" s="6"/>
      <c r="AU229" s="6"/>
      <c r="AV229" s="6"/>
      <c r="AW229" s="6"/>
      <c r="AX229" s="6"/>
      <c r="AY229" s="6"/>
      <c r="AZ229" s="6"/>
      <c r="BA229" s="6"/>
      <c r="BB229" s="6"/>
      <c r="BC229" s="6"/>
      <c r="BD229" s="6"/>
      <c r="BE229" s="6"/>
      <c r="BF229" s="6"/>
      <c r="BG229" s="6"/>
      <c r="BH229" s="6"/>
      <c r="BI229" s="6"/>
      <c r="BJ229" s="6"/>
      <c r="BK229" s="6"/>
      <c r="BL229" s="6"/>
      <c r="BM229" s="6"/>
      <c r="BN229" s="6"/>
      <c r="BO229" s="7"/>
      <c r="BP229" s="43"/>
      <c r="BQ229" s="43"/>
      <c r="BR229" s="42"/>
    </row>
    <row r="230" spans="1:70" ht="16.5">
      <c r="A230" s="41"/>
      <c r="B230" s="4">
        <f t="shared" si="165"/>
        <v>5</v>
      </c>
      <c r="C230" s="299" t="s">
        <v>55</v>
      </c>
      <c r="D230" s="5">
        <f>IF(C222+B229*L222&gt;=F222,0,C222+B229*L222)</f>
        <v>0</v>
      </c>
      <c r="E230" s="6"/>
      <c r="F230" s="6"/>
      <c r="G230" s="6"/>
      <c r="H230" s="6"/>
      <c r="I230" s="6"/>
      <c r="J230" s="6"/>
      <c r="K230" s="6"/>
      <c r="L230" s="6"/>
      <c r="M230" s="6"/>
      <c r="N230" s="6"/>
      <c r="O230" s="6"/>
      <c r="P230" s="6"/>
      <c r="Q230" s="6"/>
      <c r="R230" s="6"/>
      <c r="S230" s="6"/>
      <c r="T230" s="6"/>
      <c r="U230" s="6"/>
      <c r="V230" s="6"/>
      <c r="W230" s="6"/>
      <c r="X230" s="6"/>
      <c r="Y230" s="6"/>
      <c r="Z230" s="6"/>
      <c r="AA230" s="6"/>
      <c r="AB230" s="6"/>
      <c r="AC230" s="6"/>
      <c r="AD230" s="6"/>
      <c r="AE230" s="6"/>
      <c r="AF230" s="6"/>
      <c r="AG230" s="6"/>
      <c r="AH230" s="6"/>
      <c r="AI230" s="6"/>
      <c r="AJ230" s="6"/>
      <c r="AK230" s="6"/>
      <c r="AL230" s="6"/>
      <c r="AM230" s="6"/>
      <c r="AN230" s="6"/>
      <c r="AO230" s="6"/>
      <c r="AP230" s="6"/>
      <c r="AQ230" s="6"/>
      <c r="AR230" s="57"/>
      <c r="AS230" s="6"/>
      <c r="AT230" s="6"/>
      <c r="AU230" s="6"/>
      <c r="AV230" s="6"/>
      <c r="AW230" s="6"/>
      <c r="AX230" s="6"/>
      <c r="AY230" s="6"/>
      <c r="AZ230" s="6"/>
      <c r="BA230" s="6"/>
      <c r="BB230" s="6"/>
      <c r="BC230" s="6"/>
      <c r="BD230" s="6"/>
      <c r="BE230" s="6"/>
      <c r="BF230" s="6"/>
      <c r="BG230" s="6"/>
      <c r="BH230" s="6"/>
      <c r="BI230" s="6"/>
      <c r="BJ230" s="6"/>
      <c r="BK230" s="6"/>
      <c r="BL230" s="6"/>
      <c r="BM230" s="6"/>
      <c r="BN230" s="6"/>
      <c r="BO230" s="7"/>
      <c r="BP230" s="43"/>
      <c r="BQ230" s="43"/>
      <c r="BR230" s="42"/>
    </row>
    <row r="231" spans="1:70" ht="16.5">
      <c r="A231" s="41"/>
      <c r="B231" s="4">
        <f t="shared" si="165"/>
        <v>6</v>
      </c>
      <c r="C231" s="299" t="s">
        <v>55</v>
      </c>
      <c r="D231" s="5">
        <f>IF(C222+B230*L222&gt;=F222,0,C222+B230*L222)</f>
        <v>0</v>
      </c>
      <c r="E231" s="6"/>
      <c r="F231" s="6"/>
      <c r="G231" s="6"/>
      <c r="H231" s="6"/>
      <c r="I231" s="6"/>
      <c r="J231" s="6"/>
      <c r="K231" s="6"/>
      <c r="L231" s="6"/>
      <c r="M231" s="6"/>
      <c r="N231" s="6"/>
      <c r="O231" s="6"/>
      <c r="P231" s="6"/>
      <c r="Q231" s="6"/>
      <c r="R231" s="6"/>
      <c r="S231" s="6"/>
      <c r="T231" s="6"/>
      <c r="U231" s="6"/>
      <c r="V231" s="6"/>
      <c r="W231" s="6"/>
      <c r="X231" s="6"/>
      <c r="Y231" s="6"/>
      <c r="Z231" s="6"/>
      <c r="AA231" s="6"/>
      <c r="AB231" s="6"/>
      <c r="AC231" s="6"/>
      <c r="AD231" s="6"/>
      <c r="AE231" s="6"/>
      <c r="AF231" s="6"/>
      <c r="AG231" s="6"/>
      <c r="AH231" s="6"/>
      <c r="AI231" s="6"/>
      <c r="AJ231" s="6"/>
      <c r="AK231" s="6"/>
      <c r="AL231" s="6"/>
      <c r="AM231" s="6"/>
      <c r="AN231" s="6"/>
      <c r="AO231" s="6"/>
      <c r="AP231" s="6"/>
      <c r="AQ231" s="6"/>
      <c r="AR231" s="57"/>
      <c r="AS231" s="6"/>
      <c r="AT231" s="6"/>
      <c r="AU231" s="6"/>
      <c r="AV231" s="6"/>
      <c r="AW231" s="6"/>
      <c r="AX231" s="6"/>
      <c r="AY231" s="6"/>
      <c r="AZ231" s="6"/>
      <c r="BA231" s="6"/>
      <c r="BB231" s="6"/>
      <c r="BC231" s="6"/>
      <c r="BD231" s="6"/>
      <c r="BE231" s="6"/>
      <c r="BF231" s="6"/>
      <c r="BG231" s="6"/>
      <c r="BH231" s="6"/>
      <c r="BI231" s="6"/>
      <c r="BJ231" s="6"/>
      <c r="BK231" s="6"/>
      <c r="BL231" s="6"/>
      <c r="BM231" s="6"/>
      <c r="BN231" s="6"/>
      <c r="BO231" s="7"/>
      <c r="BP231" s="43"/>
      <c r="BQ231" s="43"/>
      <c r="BR231" s="42"/>
    </row>
    <row r="232" spans="1:70" ht="16.5">
      <c r="A232" s="41"/>
      <c r="B232" s="4">
        <f t="shared" si="165"/>
        <v>7</v>
      </c>
      <c r="C232" s="299" t="s">
        <v>55</v>
      </c>
      <c r="D232" s="5">
        <f>IF(C222+B231*L222&gt;=F222,0,C222+B231*L222)</f>
        <v>0</v>
      </c>
      <c r="E232" s="6"/>
      <c r="F232" s="6"/>
      <c r="G232" s="6"/>
      <c r="H232" s="6"/>
      <c r="I232" s="6"/>
      <c r="J232" s="6"/>
      <c r="K232" s="6"/>
      <c r="L232" s="6"/>
      <c r="M232" s="6"/>
      <c r="N232" s="6"/>
      <c r="O232" s="6"/>
      <c r="P232" s="6"/>
      <c r="Q232" s="6"/>
      <c r="R232" s="6"/>
      <c r="S232" s="6"/>
      <c r="T232" s="6"/>
      <c r="U232" s="6"/>
      <c r="V232" s="6"/>
      <c r="W232" s="6"/>
      <c r="X232" s="6"/>
      <c r="Y232" s="6"/>
      <c r="Z232" s="6"/>
      <c r="AA232" s="6"/>
      <c r="AB232" s="6"/>
      <c r="AC232" s="6"/>
      <c r="AD232" s="6"/>
      <c r="AE232" s="6"/>
      <c r="AF232" s="6"/>
      <c r="AG232" s="6"/>
      <c r="AH232" s="6"/>
      <c r="AI232" s="6"/>
      <c r="AJ232" s="6"/>
      <c r="AK232" s="6"/>
      <c r="AL232" s="6"/>
      <c r="AM232" s="6"/>
      <c r="AN232" s="6"/>
      <c r="AO232" s="6"/>
      <c r="AP232" s="6"/>
      <c r="AQ232" s="6"/>
      <c r="AR232" s="57"/>
      <c r="AS232" s="6"/>
      <c r="AT232" s="6"/>
      <c r="AU232" s="6"/>
      <c r="AV232" s="6"/>
      <c r="AW232" s="6"/>
      <c r="AX232" s="6"/>
      <c r="AY232" s="6"/>
      <c r="AZ232" s="6"/>
      <c r="BA232" s="6"/>
      <c r="BB232" s="6"/>
      <c r="BC232" s="6"/>
      <c r="BD232" s="6"/>
      <c r="BE232" s="6"/>
      <c r="BF232" s="6"/>
      <c r="BG232" s="6"/>
      <c r="BH232" s="6"/>
      <c r="BI232" s="6"/>
      <c r="BJ232" s="6"/>
      <c r="BK232" s="6"/>
      <c r="BL232" s="6"/>
      <c r="BM232" s="6"/>
      <c r="BN232" s="6"/>
      <c r="BO232" s="7"/>
      <c r="BP232" s="43"/>
      <c r="BQ232" s="43"/>
      <c r="BR232" s="42"/>
    </row>
    <row r="233" spans="1:70" ht="16.5">
      <c r="A233" s="41"/>
      <c r="B233" s="4">
        <f t="shared" si="165"/>
        <v>8</v>
      </c>
      <c r="C233" s="299" t="s">
        <v>55</v>
      </c>
      <c r="D233" s="5">
        <f>IF(C222+B232*L222&gt;=F222,0,C222+B232*L222)</f>
        <v>0</v>
      </c>
      <c r="E233" s="6"/>
      <c r="F233" s="6"/>
      <c r="G233" s="6"/>
      <c r="H233" s="6"/>
      <c r="I233" s="6"/>
      <c r="J233" s="6"/>
      <c r="K233" s="6"/>
      <c r="L233" s="6"/>
      <c r="M233" s="6"/>
      <c r="N233" s="6"/>
      <c r="O233" s="6"/>
      <c r="P233" s="6"/>
      <c r="Q233" s="6"/>
      <c r="R233" s="6"/>
      <c r="S233" s="6"/>
      <c r="T233" s="6"/>
      <c r="U233" s="6"/>
      <c r="V233" s="6"/>
      <c r="W233" s="6"/>
      <c r="X233" s="6"/>
      <c r="Y233" s="6"/>
      <c r="Z233" s="6"/>
      <c r="AA233" s="6"/>
      <c r="AB233" s="6"/>
      <c r="AC233" s="6"/>
      <c r="AD233" s="6"/>
      <c r="AE233" s="6"/>
      <c r="AF233" s="6"/>
      <c r="AG233" s="6"/>
      <c r="AH233" s="6"/>
      <c r="AI233" s="6"/>
      <c r="AJ233" s="6"/>
      <c r="AK233" s="6"/>
      <c r="AL233" s="6"/>
      <c r="AM233" s="6"/>
      <c r="AN233" s="6"/>
      <c r="AO233" s="6"/>
      <c r="AP233" s="6"/>
      <c r="AQ233" s="6"/>
      <c r="AR233" s="57"/>
      <c r="AS233" s="6"/>
      <c r="AT233" s="6"/>
      <c r="AU233" s="6"/>
      <c r="AV233" s="6"/>
      <c r="AW233" s="6"/>
      <c r="AX233" s="6"/>
      <c r="AY233" s="6"/>
      <c r="AZ233" s="6"/>
      <c r="BA233" s="6"/>
      <c r="BB233" s="6"/>
      <c r="BC233" s="6"/>
      <c r="BD233" s="6"/>
      <c r="BE233" s="6"/>
      <c r="BF233" s="6"/>
      <c r="BG233" s="6"/>
      <c r="BH233" s="6"/>
      <c r="BI233" s="6"/>
      <c r="BJ233" s="6"/>
      <c r="BK233" s="6"/>
      <c r="BL233" s="6"/>
      <c r="BM233" s="6"/>
      <c r="BN233" s="6"/>
      <c r="BO233" s="7"/>
      <c r="BP233" s="43"/>
      <c r="BQ233" s="43"/>
      <c r="BR233" s="42"/>
    </row>
    <row r="234" spans="1:70" ht="16.5">
      <c r="A234" s="41"/>
      <c r="B234" s="4">
        <f t="shared" si="165"/>
        <v>9</v>
      </c>
      <c r="C234" s="299" t="s">
        <v>55</v>
      </c>
      <c r="D234" s="5">
        <f>IF(C222+B233*L222&gt;=F222,0,C222+B233*L222)</f>
        <v>0</v>
      </c>
      <c r="E234" s="6"/>
      <c r="F234" s="6"/>
      <c r="G234" s="6"/>
      <c r="H234" s="6"/>
      <c r="I234" s="6"/>
      <c r="J234" s="6"/>
      <c r="K234" s="6"/>
      <c r="L234" s="6"/>
      <c r="M234" s="6"/>
      <c r="N234" s="6"/>
      <c r="O234" s="6"/>
      <c r="P234" s="6"/>
      <c r="Q234" s="6"/>
      <c r="R234" s="6"/>
      <c r="S234" s="6"/>
      <c r="T234" s="6"/>
      <c r="U234" s="6"/>
      <c r="V234" s="6"/>
      <c r="W234" s="6"/>
      <c r="X234" s="6"/>
      <c r="Y234" s="6"/>
      <c r="Z234" s="6"/>
      <c r="AA234" s="6"/>
      <c r="AB234" s="6"/>
      <c r="AC234" s="6"/>
      <c r="AD234" s="6"/>
      <c r="AE234" s="6"/>
      <c r="AF234" s="6"/>
      <c r="AG234" s="6"/>
      <c r="AH234" s="6"/>
      <c r="AI234" s="6"/>
      <c r="AJ234" s="6"/>
      <c r="AK234" s="6"/>
      <c r="AL234" s="6"/>
      <c r="AM234" s="6"/>
      <c r="AN234" s="6"/>
      <c r="AO234" s="6"/>
      <c r="AP234" s="6"/>
      <c r="AQ234" s="6"/>
      <c r="AR234" s="57"/>
      <c r="AS234" s="6"/>
      <c r="AT234" s="6"/>
      <c r="AU234" s="6"/>
      <c r="AV234" s="6"/>
      <c r="AW234" s="6"/>
      <c r="AX234" s="6"/>
      <c r="AY234" s="6"/>
      <c r="AZ234" s="6"/>
      <c r="BA234" s="6"/>
      <c r="BB234" s="6"/>
      <c r="BC234" s="6"/>
      <c r="BD234" s="6"/>
      <c r="BE234" s="6"/>
      <c r="BF234" s="6"/>
      <c r="BG234" s="6"/>
      <c r="BH234" s="6"/>
      <c r="BI234" s="6"/>
      <c r="BJ234" s="6"/>
      <c r="BK234" s="6"/>
      <c r="BL234" s="6"/>
      <c r="BM234" s="6"/>
      <c r="BN234" s="6"/>
      <c r="BO234" s="7"/>
      <c r="BP234" s="43"/>
      <c r="BQ234" s="43"/>
      <c r="BR234" s="42"/>
    </row>
    <row r="235" spans="1:70" ht="16.5">
      <c r="A235" s="41"/>
      <c r="B235" s="291" t="s">
        <v>116</v>
      </c>
      <c r="C235" s="298" t="s">
        <v>117</v>
      </c>
      <c r="D235" s="3">
        <f>IF(D225&gt;MAIN!$C$13,MAX($F$9,$F$9*D225/(D225-$F$10)),$F$8)</f>
        <v>3.5000000000000001E-3</v>
      </c>
      <c r="E235" s="304">
        <f>IF(E225&gt;MAIN!$C$13,MAX($F$9,$F$9*E225/(E225-$F$10)),$F$8)</f>
        <v>3.5000000000000001E-3</v>
      </c>
      <c r="F235" s="304">
        <f>IF(F225&gt;MAIN!$C$13,MAX($F$9,$F$9*F225/(F225-$F$10)),$F$8)</f>
        <v>3.5000000000000001E-3</v>
      </c>
      <c r="G235" s="304">
        <f>IF(G225&gt;MAIN!$C$13,MAX($F$9,$F$9*G225/(G225-$F$10)),$F$8)</f>
        <v>3.5000000000000001E-3</v>
      </c>
      <c r="H235" s="304">
        <f>IF(H225&gt;MAIN!$C$13,MAX($F$9,$F$9*H225/(H225-$F$10)),$F$8)</f>
        <v>3.5000000000000001E-3</v>
      </c>
      <c r="I235" s="304">
        <f>IF(I225&gt;MAIN!$C$13,MAX($F$9,$F$9*I225/(I225-$F$10)),$F$8)</f>
        <v>3.5000000000000001E-3</v>
      </c>
      <c r="J235" s="304">
        <f>IF(J225&gt;MAIN!$C$13,MAX($F$9,$F$9*J225/(J225-$F$10)),$F$8)</f>
        <v>3.5000000000000001E-3</v>
      </c>
      <c r="K235" s="304">
        <f>IF(K225&gt;MAIN!$C$13,MAX($F$9,$F$9*K225/(K225-$F$10)),$F$8)</f>
        <v>3.5000000000000001E-3</v>
      </c>
      <c r="L235" s="304">
        <f>IF(L225&gt;MAIN!$C$13,MAX($F$9,$F$9*L225/(L225-$F$10)),$F$8)</f>
        <v>3.5000000000000001E-3</v>
      </c>
      <c r="M235" s="304">
        <f>IF(M225&gt;MAIN!$C$13,MAX($F$9,$F$9*M225/(M225-$F$10)),$F$8)</f>
        <v>3.5000000000000001E-3</v>
      </c>
      <c r="N235" s="304">
        <f>IF(N225&gt;MAIN!$C$13,MAX($F$9,$F$9*N225/(N225-$F$10)),$F$8)</f>
        <v>3.5000000000000001E-3</v>
      </c>
      <c r="O235" s="304">
        <f>IF(O225&gt;MAIN!$C$13,MAX($F$9,$F$9*O225/(O225-$F$10)),$F$8)</f>
        <v>3.5000000000000001E-3</v>
      </c>
      <c r="P235" s="304">
        <f>IF(P225&gt;MAIN!$C$13,MAX($F$9,$F$9*P225/(P225-$F$10)),$F$8)</f>
        <v>3.5000000000000001E-3</v>
      </c>
      <c r="Q235" s="304">
        <f>IF(Q225&gt;MAIN!$C$13,MAX($F$9,$F$9*Q225/(Q225-$F$10)),$F$8)</f>
        <v>3.5000000000000001E-3</v>
      </c>
      <c r="R235" s="304">
        <f>IF(R225&gt;MAIN!$C$13,MAX($F$9,$F$9*R225/(R225-$F$10)),$F$8)</f>
        <v>3.5000000000000001E-3</v>
      </c>
      <c r="S235" s="304">
        <f>IF(S225&gt;MAIN!$C$13,MAX($F$9,$F$9*S225/(S225-$F$10)),$F$8)</f>
        <v>3.5000000000000001E-3</v>
      </c>
      <c r="T235" s="304">
        <f>IF(T225&gt;MAIN!$C$13,MAX($F$9,$F$9*T225/(T225-$F$10)),$F$8)</f>
        <v>3.5000000000000001E-3</v>
      </c>
      <c r="U235" s="304">
        <f>IF(U225&gt;MAIN!$C$13,MAX($F$9,$F$9*U225/(U225-$F$10)),$F$8)</f>
        <v>3.5000000000000001E-3</v>
      </c>
      <c r="V235" s="304">
        <f>IF(V225&gt;MAIN!$C$13,MAX($F$9,$F$9*V225/(V225-$F$10)),$F$8)</f>
        <v>3.5000000000000001E-3</v>
      </c>
      <c r="W235" s="304">
        <f>IF(W225&gt;MAIN!$C$13,MAX($F$9,$F$9*W225/(W225-$F$10)),$F$8)</f>
        <v>3.5000000000000001E-3</v>
      </c>
      <c r="X235" s="304">
        <f>IF(X225&gt;MAIN!$C$13,MAX($F$9,$F$9*X225/(X225-$F$10)),$F$8)</f>
        <v>3.5000000000000001E-3</v>
      </c>
      <c r="Y235" s="304">
        <f>IF(Y225&gt;MAIN!$C$13,MAX($F$9,$F$9*Y225/(Y225-$F$10)),$F$8)</f>
        <v>3.5000000000000001E-3</v>
      </c>
      <c r="Z235" s="304">
        <f>IF(Z225&gt;MAIN!$C$13,MAX($F$9,$F$9*Z225/(Z225-$F$10)),$F$8)</f>
        <v>3.5000000000000001E-3</v>
      </c>
      <c r="AA235" s="304">
        <f>IF(AA225&gt;MAIN!$C$13,MAX($F$9,$F$9*AA225/(AA225-$F$10)),$F$8)</f>
        <v>3.5000000000000001E-3</v>
      </c>
      <c r="AB235" s="304">
        <f>IF(AB225&gt;MAIN!$C$13,MAX($F$9,$F$9*AB225/(AB225-$F$10)),$F$8)</f>
        <v>3.5000000000000001E-3</v>
      </c>
      <c r="AC235" s="304">
        <f>IF(AC225&gt;MAIN!$C$13,MAX($F$9,$F$9*AC225/(AC225-$F$10)),$F$8)</f>
        <v>3.5000000000000001E-3</v>
      </c>
      <c r="AD235" s="304">
        <f>IF(AD225&gt;MAIN!$C$13,MAX($F$9,$F$9*AD225/(AD225-$F$10)),$F$8)</f>
        <v>3.5000000000000001E-3</v>
      </c>
      <c r="AE235" s="304">
        <f>IF(AE225&gt;MAIN!$C$13,MAX($F$9,$F$9*AE225/(AE225-$F$10)),$F$8)</f>
        <v>3.5000000000000001E-3</v>
      </c>
      <c r="AF235" s="304">
        <f>IF(AF225&gt;MAIN!$C$13,MAX($F$9,$F$9*AF225/(AF225-$F$10)),$F$8)</f>
        <v>3.5000000000000001E-3</v>
      </c>
      <c r="AG235" s="304">
        <f>IF(AG225&gt;MAIN!$C$13,MAX($F$9,$F$9*AG225/(AG225-$F$10)),$F$8)</f>
        <v>3.5000000000000001E-3</v>
      </c>
      <c r="AH235" s="304">
        <f>IF(AH225&gt;MAIN!$C$13,MAX($F$9,$F$9*AH225/(AH225-$F$10)),$F$8)</f>
        <v>3.5000000000000001E-3</v>
      </c>
      <c r="AI235" s="304">
        <f>IF(AI225&gt;MAIN!$C$13,MAX($F$9,$F$9*AI225/(AI225-$F$10)),$F$8)</f>
        <v>3.5000000000000001E-3</v>
      </c>
      <c r="AJ235" s="304">
        <f>IF(AJ225&gt;MAIN!$C$13,MAX($F$9,$F$9*AJ225/(AJ225-$F$10)),$F$8)</f>
        <v>3.5000000000000001E-3</v>
      </c>
      <c r="AK235" s="304">
        <f>IF(AK225&gt;MAIN!$C$13,MAX($F$9,$F$9*AK225/(AK225-$F$10)),$F$8)</f>
        <v>3.5000000000000001E-3</v>
      </c>
      <c r="AL235" s="304">
        <f>IF(AL225&gt;MAIN!$C$13,MAX($F$9,$F$9*AL225/(AL225-$F$10)),$F$8)</f>
        <v>3.5000000000000001E-3</v>
      </c>
      <c r="AM235" s="304">
        <f>IF(AM225&gt;MAIN!$C$13,MAX($F$9,$F$9*AM225/(AM225-$F$10)),$F$8)</f>
        <v>3.5000000000000001E-3</v>
      </c>
      <c r="AN235" s="304">
        <f>IF(AN225&gt;MAIN!$C$13,MAX($F$9,$F$9*AN225/(AN225-$F$10)),$F$8)</f>
        <v>3.5000000000000001E-3</v>
      </c>
      <c r="AO235" s="304">
        <f>IF(AO225&gt;MAIN!$C$13,MAX($F$9,$F$9*AO225/(AO225-$F$10)),$F$8)</f>
        <v>3.5000000000000001E-3</v>
      </c>
      <c r="AP235" s="304">
        <f>IF(AP225&gt;MAIN!$C$13,MAX($F$9,$F$9*AP225/(AP225-$F$10)),$F$8)</f>
        <v>3.5000000000000001E-3</v>
      </c>
      <c r="AQ235" s="304">
        <f>IF(AQ225&gt;MAIN!$C$13,MAX($F$9,$F$9*AQ225/(AQ225-$F$10)),$F$8)</f>
        <v>3.5000000000000001E-3</v>
      </c>
      <c r="AR235" s="56">
        <f>IF(AR225&gt;MAIN!$C$13,MAX($F$9,$F$9*AR225/(AR225-$F$10)),$F$8)</f>
        <v>3.5000000000000001E-3</v>
      </c>
      <c r="AS235" s="304">
        <f>IF(AS225&gt;MAIN!$C$13,MAX($F$9,$F$9*AS225/(AS225-$F$10)),$F$8)</f>
        <v>3.5000000000000001E-3</v>
      </c>
      <c r="AT235" s="304">
        <f>IF(AT225&gt;MAIN!$C$13,MAX($F$9,$F$9*AT225/(AT225-$F$10)),$F$8)</f>
        <v>3.5000000000000001E-3</v>
      </c>
      <c r="AU235" s="304">
        <f>IF(AU225&gt;MAIN!$C$13,MAX($F$9,$F$9*AU225/(AU225-$F$10)),$F$8)</f>
        <v>3.5000000000000001E-3</v>
      </c>
      <c r="AV235" s="304">
        <f>IF(AV225&gt;MAIN!$C$13,MAX($F$9,$F$9*AV225/(AV225-$F$10)),$F$8)</f>
        <v>3.5000000000000001E-3</v>
      </c>
      <c r="AW235" s="304">
        <f>IF(AW225&gt;MAIN!$C$13,MAX($F$9,$F$9*AW225/(AW225-$F$10)),$F$8)</f>
        <v>3.5000000000000001E-3</v>
      </c>
      <c r="AX235" s="304">
        <f>IF(AX225&gt;MAIN!$C$13,MAX($F$9,$F$9*AX225/(AX225-$F$10)),$F$8)</f>
        <v>3.5000000000000001E-3</v>
      </c>
      <c r="AY235" s="304">
        <f>IF(AY225&gt;MAIN!$C$13,MAX($F$9,$F$9*AY225/(AY225-$F$10)),$F$8)</f>
        <v>3.5000000000000001E-3</v>
      </c>
      <c r="AZ235" s="304">
        <f>IF(AZ225&gt;MAIN!$C$13,MAX($F$9,$F$9*AZ225/(AZ225-$F$10)),$F$8)</f>
        <v>3.5000000000000001E-3</v>
      </c>
      <c r="BA235" s="304">
        <f>IF(BA225&gt;MAIN!$C$13,MAX($F$9,$F$9*BA225/(BA225-$F$10)),$F$8)</f>
        <v>3.5000000000000001E-3</v>
      </c>
      <c r="BB235" s="304">
        <f>IF(BB225&gt;MAIN!$C$13,MAX($F$9,$F$9*BB225/(BB225-$F$10)),$F$8)</f>
        <v>3.5000000000000001E-3</v>
      </c>
      <c r="BC235" s="304">
        <f>IF(BC225&gt;MAIN!$C$13,MAX($F$9,$F$9*BC225/(BC225-$F$10)),$F$8)</f>
        <v>3.5000000000000001E-3</v>
      </c>
      <c r="BD235" s="304">
        <f>IF(BD225&gt;MAIN!$C$13,MAX($F$9,$F$9*BD225/(BD225-$F$10)),$F$8)</f>
        <v>3.4723545709486555E-3</v>
      </c>
      <c r="BE235" s="304">
        <f>IF(BE225&gt;MAIN!$C$13,MAX($F$9,$F$9*BE225/(BE225-$F$10)),$F$8)</f>
        <v>3.36262598858298E-3</v>
      </c>
      <c r="BF235" s="304">
        <f>IF(BF225&gt;MAIN!$C$13,MAX($F$9,$F$9*BF225/(BF225-$F$10)),$F$8)</f>
        <v>3.2660413093924408E-3</v>
      </c>
      <c r="BG235" s="304">
        <f>IF(BG225&gt;MAIN!$C$13,MAX($F$9,$F$9*BG225/(BG225-$F$10)),$F$8)</f>
        <v>3.180372312429056E-3</v>
      </c>
      <c r="BH235" s="304">
        <f>IF(BH225&gt;MAIN!$C$13,MAX($F$9,$F$9*BH225/(BH225-$F$10)),$F$8)</f>
        <v>3.1038674907994872E-3</v>
      </c>
      <c r="BI235" s="304">
        <f>IF(BI225&gt;MAIN!$C$13,MAX($F$9,$F$9*BI225/(BI225-$F$10)),$F$8)</f>
        <v>3.035131036743203E-3</v>
      </c>
      <c r="BJ235" s="304">
        <f>IF(BJ225&gt;MAIN!$C$13,MAX($F$9,$F$9*BJ225/(BJ225-$F$10)),$F$8)</f>
        <v>2.9730369094333282E-3</v>
      </c>
      <c r="BK235" s="304">
        <f>IF(BK225&gt;MAIN!$C$13,MAX($F$9,$F$9*BK225/(BK225-$F$10)),$F$8)</f>
        <v>2.9166666666666668E-3</v>
      </c>
      <c r="BL235" s="304">
        <f>IF(BL225&gt;MAIN!$C$13,MAX($F$9,$F$9*BL225/(BL225-$F$10)),$F$8)</f>
        <v>2.40625E-3</v>
      </c>
      <c r="BM235" s="304">
        <f>IF(BM225&gt;MAIN!$C$13,MAX($F$9,$F$9*BM225/(BM225-$F$10)),$F$8)</f>
        <v>2.2065217391304347E-3</v>
      </c>
      <c r="BN235" s="304">
        <f>IF(BN225&gt;MAIN!$C$13,MAX($F$9,$F$9*BN225/(BN225-$F$10)),$F$8)</f>
        <v>2.0999999999999999E-3</v>
      </c>
      <c r="BO235" s="3">
        <f>$F$9</f>
        <v>1.75E-3</v>
      </c>
      <c r="BP235" s="43"/>
      <c r="BQ235" s="43"/>
      <c r="BR235" s="42"/>
    </row>
    <row r="236" spans="1:70" ht="16.5">
      <c r="A236" s="41"/>
      <c r="B236" s="292" t="s">
        <v>118</v>
      </c>
      <c r="C236" s="300" t="s">
        <v>56</v>
      </c>
      <c r="D236" s="8">
        <f t="shared" ref="D236:AI236" si="166">D235*(D225-$C222)/D225</f>
        <v>-1.4520646700662686E-3</v>
      </c>
      <c r="E236" s="305">
        <f t="shared" si="166"/>
        <v>2.4716323702567784E-4</v>
      </c>
      <c r="F236" s="305">
        <f t="shared" si="166"/>
        <v>1.0781762981323896E-3</v>
      </c>
      <c r="G236" s="305">
        <f t="shared" si="166"/>
        <v>1.5709875460099159E-3</v>
      </c>
      <c r="H236" s="305">
        <f t="shared" si="166"/>
        <v>1.8971481290720486E-3</v>
      </c>
      <c r="I236" s="305">
        <f t="shared" si="166"/>
        <v>2.128964975138742E-3</v>
      </c>
      <c r="J236" s="305">
        <f t="shared" si="166"/>
        <v>2.3022000733154526E-3</v>
      </c>
      <c r="K236" s="305">
        <f t="shared" si="166"/>
        <v>2.4365683970948748E-3</v>
      </c>
      <c r="L236" s="305">
        <f t="shared" si="166"/>
        <v>2.5438307657083439E-3</v>
      </c>
      <c r="M236" s="305">
        <f t="shared" si="166"/>
        <v>2.6314377572540593E-3</v>
      </c>
      <c r="N236" s="305">
        <f t="shared" si="166"/>
        <v>2.7043385602936445E-3</v>
      </c>
      <c r="O236" s="305">
        <f t="shared" si="166"/>
        <v>2.7659494309081449E-3</v>
      </c>
      <c r="P236" s="305">
        <f t="shared" si="166"/>
        <v>2.8187045404484165E-3</v>
      </c>
      <c r="Q236" s="305">
        <f t="shared" si="166"/>
        <v>2.8643852181227556E-3</v>
      </c>
      <c r="R236" s="305">
        <f t="shared" si="166"/>
        <v>2.9043250627602641E-3</v>
      </c>
      <c r="S236" s="305">
        <f t="shared" si="166"/>
        <v>2.9395422954073911E-3</v>
      </c>
      <c r="T236" s="305">
        <f t="shared" si="166"/>
        <v>2.9708277833459273E-3</v>
      </c>
      <c r="U236" s="305">
        <f t="shared" si="166"/>
        <v>2.9988051411093939E-3</v>
      </c>
      <c r="V236" s="305">
        <f t="shared" si="166"/>
        <v>3.0239727236047258E-3</v>
      </c>
      <c r="W236" s="305">
        <f t="shared" si="166"/>
        <v>3.0467335720367702E-3</v>
      </c>
      <c r="X236" s="305">
        <f t="shared" si="166"/>
        <v>3.067417160824649E-3</v>
      </c>
      <c r="Y236" s="305">
        <f t="shared" si="166"/>
        <v>3.086295450192649E-3</v>
      </c>
      <c r="Z236" s="305">
        <f t="shared" si="166"/>
        <v>3.103594911232231E-3</v>
      </c>
      <c r="AA236" s="305">
        <f t="shared" si="166"/>
        <v>3.1195056550221895E-3</v>
      </c>
      <c r="AB236" s="305">
        <f t="shared" si="166"/>
        <v>3.1341884480619703E-3</v>
      </c>
      <c r="AC236" s="305">
        <f t="shared" si="166"/>
        <v>3.1477801637558775E-3</v>
      </c>
      <c r="AD236" s="305">
        <f t="shared" si="166"/>
        <v>3.1603980621357857E-3</v>
      </c>
      <c r="AE236" s="305">
        <f t="shared" si="166"/>
        <v>3.172143181499621E-3</v>
      </c>
      <c r="AF236" s="305">
        <f t="shared" si="166"/>
        <v>3.1831030497789063E-3</v>
      </c>
      <c r="AG236" s="305">
        <f t="shared" si="166"/>
        <v>3.1933538696707537E-3</v>
      </c>
      <c r="AH236" s="305">
        <f t="shared" si="166"/>
        <v>3.2029622929574285E-3</v>
      </c>
      <c r="AI236" s="305">
        <f t="shared" si="166"/>
        <v>3.211986871382422E-3</v>
      </c>
      <c r="AJ236" s="305">
        <f t="shared" ref="AJ236:BK236" si="167">AJ235*(AJ225-$C222)/AJ225</f>
        <v>3.2204792508425915E-3</v>
      </c>
      <c r="AK236" s="305">
        <f t="shared" si="167"/>
        <v>3.2284851603591627E-3</v>
      </c>
      <c r="AL236" s="305">
        <f t="shared" si="167"/>
        <v>3.2360452358269325E-3</v>
      </c>
      <c r="AM236" s="305">
        <f t="shared" si="167"/>
        <v>3.2431957098724021E-3</v>
      </c>
      <c r="AN236" s="305">
        <f t="shared" si="167"/>
        <v>3.2499689925407456E-3</v>
      </c>
      <c r="AO236" s="305">
        <f t="shared" si="167"/>
        <v>3.2563941624495795E-3</v>
      </c>
      <c r="AP236" s="305">
        <f t="shared" si="167"/>
        <v>3.262497384111497E-3</v>
      </c>
      <c r="AQ236" s="305">
        <f t="shared" si="167"/>
        <v>3.2683022640570825E-3</v>
      </c>
      <c r="AR236" s="58">
        <f t="shared" si="167"/>
        <v>3.2738301559792028E-3</v>
      </c>
      <c r="AS236" s="305">
        <f t="shared" si="167"/>
        <v>3.2862838723355047E-3</v>
      </c>
      <c r="AT236" s="305">
        <f t="shared" si="167"/>
        <v>3.2974376747114927E-3</v>
      </c>
      <c r="AU236" s="305">
        <f t="shared" si="167"/>
        <v>3.307484994709689E-3</v>
      </c>
      <c r="AV236" s="305">
        <f t="shared" si="167"/>
        <v>3.3165826998490665E-3</v>
      </c>
      <c r="AW236" s="305">
        <f t="shared" si="167"/>
        <v>3.3248593432743624E-3</v>
      </c>
      <c r="AX236" s="305">
        <f t="shared" si="167"/>
        <v>3.3324212763117186E-3</v>
      </c>
      <c r="AY236" s="305">
        <f t="shared" si="167"/>
        <v>3.3393572430577855E-3</v>
      </c>
      <c r="AZ236" s="305">
        <f t="shared" si="167"/>
        <v>3.3457418793160542E-3</v>
      </c>
      <c r="BA236" s="305">
        <f t="shared" si="167"/>
        <v>3.3516384090503662E-3</v>
      </c>
      <c r="BB236" s="305">
        <f t="shared" si="167"/>
        <v>3.3571007451747279E-3</v>
      </c>
      <c r="BC236" s="305">
        <f t="shared" si="167"/>
        <v>3.3621751427448865E-3</v>
      </c>
      <c r="BD236" s="305">
        <f t="shared" si="167"/>
        <v>3.3403073871759248E-3</v>
      </c>
      <c r="BE236" s="305">
        <f t="shared" si="167"/>
        <v>3.238991329458285E-3</v>
      </c>
      <c r="BF236" s="305">
        <f t="shared" si="167"/>
        <v>3.1498114756723541E-3</v>
      </c>
      <c r="BG236" s="305">
        <f t="shared" si="167"/>
        <v>3.0707104351428284E-3</v>
      </c>
      <c r="BH236" s="305">
        <f t="shared" si="167"/>
        <v>3.0000709831715265E-3</v>
      </c>
      <c r="BI236" s="305">
        <f t="shared" si="167"/>
        <v>2.9366043239262242E-3</v>
      </c>
      <c r="BJ236" s="305">
        <f t="shared" si="167"/>
        <v>2.8792707463767731E-3</v>
      </c>
      <c r="BK236" s="305">
        <f t="shared" si="167"/>
        <v>2.8272222222222223E-3</v>
      </c>
      <c r="BL236" s="305">
        <f>BL235*(BL225-$C222)/BL225</f>
        <v>2.3559375E-3</v>
      </c>
      <c r="BM236" s="305">
        <f>BM235*(BM225-$C222)/BM225</f>
        <v>2.1715217391304348E-3</v>
      </c>
      <c r="BN236" s="305">
        <f>BN235*(BN225-$C222)/BN225</f>
        <v>2.0731666666666663E-3</v>
      </c>
      <c r="BO236" s="8">
        <f>BO235</f>
        <v>1.75E-3</v>
      </c>
      <c r="BP236" s="41"/>
      <c r="BQ236" s="41"/>
      <c r="BR236" s="41"/>
    </row>
    <row r="237" spans="1:70" ht="16.5">
      <c r="A237" s="41"/>
      <c r="B237" s="9">
        <v>2</v>
      </c>
      <c r="C237" s="300" t="s">
        <v>57</v>
      </c>
      <c r="D237" s="8">
        <f>IF($D227=0,0,D235*(D225-$D227)/D225)</f>
        <v>-4.1212120136975151E-2</v>
      </c>
      <c r="E237" s="305">
        <f t="shared" ref="E237:BK237" si="168">IF($D227=0,0,E235*(E225-$D227)/E225)</f>
        <v>-2.5869815990333372E-2</v>
      </c>
      <c r="F237" s="305">
        <f t="shared" si="168"/>
        <v>-1.836661110526842E-2</v>
      </c>
      <c r="G237" s="305">
        <f t="shared" si="168"/>
        <v>-1.3917025490374236E-2</v>
      </c>
      <c r="H237" s="305">
        <f t="shared" si="168"/>
        <v>-1.0972126312871214E-2</v>
      </c>
      <c r="I237" s="305">
        <f t="shared" si="168"/>
        <v>-8.8790553693994766E-3</v>
      </c>
      <c r="J237" s="305">
        <f t="shared" si="168"/>
        <v>-7.3149181786155522E-3</v>
      </c>
      <c r="K237" s="305">
        <f t="shared" si="168"/>
        <v>-6.101708530578156E-3</v>
      </c>
      <c r="L237" s="305">
        <f t="shared" si="168"/>
        <v>-5.1332381588942285E-3</v>
      </c>
      <c r="M237" s="305">
        <f t="shared" si="168"/>
        <v>-4.3422359018945068E-3</v>
      </c>
      <c r="N237" s="305">
        <f t="shared" si="168"/>
        <v>-3.6840156077834725E-3</v>
      </c>
      <c r="O237" s="305">
        <f t="shared" si="168"/>
        <v>-3.1277319499163165E-3</v>
      </c>
      <c r="P237" s="305">
        <f t="shared" si="168"/>
        <v>-2.6514068304440068E-3</v>
      </c>
      <c r="Q237" s="305">
        <f t="shared" si="168"/>
        <v>-2.2389566537612078E-3</v>
      </c>
      <c r="R237" s="305">
        <f t="shared" si="168"/>
        <v>-1.8783403753674689E-3</v>
      </c>
      <c r="S237" s="305">
        <f t="shared" si="168"/>
        <v>-1.5603644921912379E-3</v>
      </c>
      <c r="T237" s="305">
        <f t="shared" si="168"/>
        <v>-1.277888275007061E-3</v>
      </c>
      <c r="U237" s="305">
        <f t="shared" si="168"/>
        <v>-1.0252811172296768E-3</v>
      </c>
      <c r="V237" s="305">
        <f t="shared" si="168"/>
        <v>-7.9804337962689688E-4</v>
      </c>
      <c r="W237" s="305">
        <f t="shared" si="168"/>
        <v>-5.9253600900133555E-4</v>
      </c>
      <c r="X237" s="305">
        <f t="shared" si="168"/>
        <v>-4.0578418559773647E-4</v>
      </c>
      <c r="Y237" s="305">
        <f t="shared" si="168"/>
        <v>-2.3533238449245929E-4</v>
      </c>
      <c r="Z237" s="305">
        <f t="shared" si="168"/>
        <v>-7.9135801482900183E-5</v>
      </c>
      <c r="AA237" s="305">
        <f t="shared" si="168"/>
        <v>6.4522073606145718E-5</v>
      </c>
      <c r="AB237" s="305">
        <f t="shared" si="168"/>
        <v>1.9709279916822476E-4</v>
      </c>
      <c r="AC237" s="305">
        <f t="shared" si="168"/>
        <v>3.1981220318712819E-4</v>
      </c>
      <c r="AD237" s="305">
        <f t="shared" si="168"/>
        <v>4.3373902479122326E-4</v>
      </c>
      <c r="AE237" s="305">
        <f t="shared" si="168"/>
        <v>5.3978553730816897E-4</v>
      </c>
      <c r="AF237" s="305">
        <f t="shared" si="168"/>
        <v>6.3874202916317131E-4</v>
      </c>
      <c r="AG237" s="305">
        <f t="shared" si="168"/>
        <v>7.3129653340404943E-4</v>
      </c>
      <c r="AH237" s="305">
        <f t="shared" si="168"/>
        <v>8.1805084800692452E-4</v>
      </c>
      <c r="AI237" s="305">
        <f t="shared" si="168"/>
        <v>8.9953363581520289E-4</v>
      </c>
      <c r="AJ237" s="305">
        <f t="shared" si="168"/>
        <v>9.7621120688310748E-4</v>
      </c>
      <c r="AK237" s="305">
        <f t="shared" si="168"/>
        <v>1.0484964478805565E-3</v>
      </c>
      <c r="AL237" s="305">
        <f t="shared" si="168"/>
        <v>1.1167562597127379E-3</v>
      </c>
      <c r="AM237" s="305">
        <f t="shared" si="168"/>
        <v>1.1813177862392246E-3</v>
      </c>
      <c r="AN237" s="305">
        <f t="shared" si="168"/>
        <v>1.2424736572881777E-3</v>
      </c>
      <c r="AO237" s="305">
        <f t="shared" si="168"/>
        <v>1.3004864232766407E-3</v>
      </c>
      <c r="AP237" s="305">
        <f t="shared" si="168"/>
        <v>1.3555923232096033E-3</v>
      </c>
      <c r="AQ237" s="305">
        <f t="shared" si="168"/>
        <v>1.4080045001095996E-3</v>
      </c>
      <c r="AR237" s="58">
        <f t="shared" si="168"/>
        <v>1.4579157561600484E-3</v>
      </c>
      <c r="AS237" s="305">
        <f t="shared" si="168"/>
        <v>1.5703601806524563E-3</v>
      </c>
      <c r="AT237" s="305">
        <f t="shared" si="168"/>
        <v>1.6710677006559437E-3</v>
      </c>
      <c r="AU237" s="305">
        <f t="shared" si="168"/>
        <v>1.7617848073063201E-3</v>
      </c>
      <c r="AV237" s="305">
        <f t="shared" si="168"/>
        <v>1.8439278551589627E-3</v>
      </c>
      <c r="AW237" s="305">
        <f t="shared" si="168"/>
        <v>1.9186575486946039E-3</v>
      </c>
      <c r="AX237" s="305">
        <f t="shared" si="168"/>
        <v>1.986934132495663E-3</v>
      </c>
      <c r="AY237" s="305">
        <f t="shared" si="168"/>
        <v>2.0495588757246433E-3</v>
      </c>
      <c r="AZ237" s="305">
        <f t="shared" si="168"/>
        <v>2.1072056639695937E-3</v>
      </c>
      <c r="BA237" s="305">
        <f t="shared" si="168"/>
        <v>2.1604453454837371E-3</v>
      </c>
      <c r="BB237" s="305">
        <f t="shared" si="168"/>
        <v>2.2097646991863116E-3</v>
      </c>
      <c r="BC237" s="305">
        <f t="shared" si="168"/>
        <v>2.2555813613052782E-3</v>
      </c>
      <c r="BD237" s="305">
        <f t="shared" si="168"/>
        <v>2.280102462391975E-3</v>
      </c>
      <c r="BE237" s="305">
        <f t="shared" si="168"/>
        <v>2.2463304431527618E-3</v>
      </c>
      <c r="BF237" s="305">
        <f t="shared" si="168"/>
        <v>2.2166038252241179E-3</v>
      </c>
      <c r="BG237" s="305">
        <f t="shared" si="168"/>
        <v>2.1902368117142764E-3</v>
      </c>
      <c r="BH237" s="305">
        <f t="shared" si="168"/>
        <v>2.1666903277238422E-3</v>
      </c>
      <c r="BI237" s="305">
        <f t="shared" si="168"/>
        <v>2.145534774642075E-3</v>
      </c>
      <c r="BJ237" s="305">
        <f t="shared" si="168"/>
        <v>2.1264235821255913E-3</v>
      </c>
      <c r="BK237" s="305">
        <f t="shared" si="168"/>
        <v>2.1090740740740744E-3</v>
      </c>
      <c r="BL237" s="305">
        <f>IF($D227=0,0,BL235*(BL225-$D227)/BL225)</f>
        <v>1.9519791666666665E-3</v>
      </c>
      <c r="BM237" s="305">
        <f>IF($D227=0,0,BM235*(BM225-$D227)/BM225)</f>
        <v>1.8905072463768114E-3</v>
      </c>
      <c r="BN237" s="305">
        <f>IF($D227=0,0,BN235*(BN225-$D227)/BN225)</f>
        <v>1.857722222222222E-3</v>
      </c>
      <c r="BO237" s="8">
        <f>IF(D237=0,0,BO236)</f>
        <v>1.75E-3</v>
      </c>
      <c r="BP237" s="43"/>
      <c r="BQ237" s="43"/>
      <c r="BR237" s="42"/>
    </row>
    <row r="238" spans="1:70" ht="16.5">
      <c r="A238" s="41"/>
      <c r="B238" s="9">
        <f t="shared" ref="B238:B244" si="169">1+B237</f>
        <v>3</v>
      </c>
      <c r="C238" s="300" t="s">
        <v>57</v>
      </c>
      <c r="D238" s="8">
        <f>IF($D228=0,0,D235*(D225-$D228)/D225)</f>
        <v>-8.0972175603884033E-2</v>
      </c>
      <c r="E238" s="305">
        <f t="shared" ref="E238:BK238" si="170">IF($D228=0,0,E235*(E225-$D228)/E225)</f>
        <v>-5.1986795217692422E-2</v>
      </c>
      <c r="F238" s="305">
        <f t="shared" si="170"/>
        <v>-3.7811398508669242E-2</v>
      </c>
      <c r="G238" s="305">
        <f t="shared" si="170"/>
        <v>-2.9405038526758385E-2</v>
      </c>
      <c r="H238" s="305">
        <f t="shared" si="170"/>
        <v>-2.3841400754814474E-2</v>
      </c>
      <c r="I238" s="305">
        <f t="shared" si="170"/>
        <v>-1.9887075713937694E-2</v>
      </c>
      <c r="J238" s="305">
        <f t="shared" si="170"/>
        <v>-1.6932036430546558E-2</v>
      </c>
      <c r="K238" s="305">
        <f t="shared" si="170"/>
        <v>-1.463998545825119E-2</v>
      </c>
      <c r="L238" s="305">
        <f t="shared" si="170"/>
        <v>-1.2810307083496801E-2</v>
      </c>
      <c r="M238" s="305">
        <f t="shared" si="170"/>
        <v>-1.131590956104307E-2</v>
      </c>
      <c r="N238" s="305">
        <f t="shared" si="170"/>
        <v>-1.0072369775860589E-2</v>
      </c>
      <c r="O238" s="305">
        <f t="shared" si="170"/>
        <v>-9.0214133307407792E-3</v>
      </c>
      <c r="P238" s="305">
        <f t="shared" si="170"/>
        <v>-8.1215182013364296E-3</v>
      </c>
      <c r="Q238" s="305">
        <f t="shared" si="170"/>
        <v>-7.3422985256451703E-3</v>
      </c>
      <c r="R238" s="305">
        <f t="shared" si="170"/>
        <v>-6.661005813495202E-3</v>
      </c>
      <c r="S238" s="305">
        <f t="shared" si="170"/>
        <v>-6.0602712797898665E-3</v>
      </c>
      <c r="T238" s="305">
        <f t="shared" si="170"/>
        <v>-5.5266043333600488E-3</v>
      </c>
      <c r="U238" s="305">
        <f t="shared" si="170"/>
        <v>-5.0493673755687479E-3</v>
      </c>
      <c r="V238" s="305">
        <f t="shared" si="170"/>
        <v>-4.6200594828585198E-3</v>
      </c>
      <c r="W238" s="305">
        <f t="shared" si="170"/>
        <v>-4.2318055900394409E-3</v>
      </c>
      <c r="X238" s="305">
        <f t="shared" si="170"/>
        <v>-3.8789855320201213E-3</v>
      </c>
      <c r="Y238" s="305">
        <f t="shared" si="170"/>
        <v>-3.5569602191775677E-3</v>
      </c>
      <c r="Z238" s="305">
        <f t="shared" si="170"/>
        <v>-3.2618665141980314E-3</v>
      </c>
      <c r="AA238" s="305">
        <f t="shared" si="170"/>
        <v>-2.9904615078098981E-3</v>
      </c>
      <c r="AB238" s="305">
        <f t="shared" si="170"/>
        <v>-2.7400028497255209E-3</v>
      </c>
      <c r="AC238" s="305">
        <f t="shared" si="170"/>
        <v>-2.5081557573816216E-3</v>
      </c>
      <c r="AD238" s="305">
        <f t="shared" si="170"/>
        <v>-2.292920012553339E-3</v>
      </c>
      <c r="AE238" s="305">
        <f t="shared" si="170"/>
        <v>-2.0925721068832826E-3</v>
      </c>
      <c r="AF238" s="305">
        <f t="shared" si="170"/>
        <v>-1.9056189914525639E-3</v>
      </c>
      <c r="AG238" s="305">
        <f t="shared" si="170"/>
        <v>-1.7307608028626546E-3</v>
      </c>
      <c r="AH238" s="305">
        <f t="shared" si="170"/>
        <v>-1.5668605969435792E-3</v>
      </c>
      <c r="AI238" s="305">
        <f t="shared" si="170"/>
        <v>-1.4129195997520164E-3</v>
      </c>
      <c r="AJ238" s="305">
        <f t="shared" si="170"/>
        <v>-1.2680568370763766E-3</v>
      </c>
      <c r="AK238" s="305">
        <f t="shared" si="170"/>
        <v>-1.1314922645980496E-3</v>
      </c>
      <c r="AL238" s="305">
        <f t="shared" si="170"/>
        <v>-1.0025327164014566E-3</v>
      </c>
      <c r="AM238" s="305">
        <f t="shared" si="170"/>
        <v>-8.8056013739395273E-4</v>
      </c>
      <c r="AN238" s="305">
        <f t="shared" si="170"/>
        <v>-7.6502167796438988E-4</v>
      </c>
      <c r="AO238" s="305">
        <f t="shared" si="170"/>
        <v>-6.5542131589629859E-4</v>
      </c>
      <c r="AP238" s="305">
        <f t="shared" si="170"/>
        <v>-5.5131273769229059E-4</v>
      </c>
      <c r="AQ238" s="305">
        <f t="shared" si="170"/>
        <v>-4.5229326383788322E-4</v>
      </c>
      <c r="AR238" s="58">
        <f t="shared" si="170"/>
        <v>-3.5799864365910605E-4</v>
      </c>
      <c r="AS238" s="305">
        <f t="shared" si="170"/>
        <v>-1.4556351103059249E-4</v>
      </c>
      <c r="AT238" s="305">
        <f t="shared" si="170"/>
        <v>4.4697726600394241E-5</v>
      </c>
      <c r="AU238" s="305">
        <f t="shared" si="170"/>
        <v>2.1608461990295163E-4</v>
      </c>
      <c r="AV238" s="305">
        <f t="shared" si="170"/>
        <v>3.7127301046885883E-4</v>
      </c>
      <c r="AW238" s="305">
        <f t="shared" si="170"/>
        <v>5.1245575411484553E-4</v>
      </c>
      <c r="AX238" s="305">
        <f t="shared" si="170"/>
        <v>6.4144698867960655E-4</v>
      </c>
      <c r="AY238" s="305">
        <f t="shared" si="170"/>
        <v>7.5976050839150202E-4</v>
      </c>
      <c r="AZ238" s="305">
        <f t="shared" si="170"/>
        <v>8.6866944862313254E-4</v>
      </c>
      <c r="BA238" s="305">
        <f t="shared" si="170"/>
        <v>9.6925228191710791E-4</v>
      </c>
      <c r="BB238" s="305">
        <f t="shared" si="170"/>
        <v>1.0624286531978942E-3</v>
      </c>
      <c r="BC238" s="305">
        <f t="shared" si="170"/>
        <v>1.1489875798656696E-3</v>
      </c>
      <c r="BD238" s="305">
        <f t="shared" si="170"/>
        <v>1.2198975376080247E-3</v>
      </c>
      <c r="BE238" s="305">
        <f t="shared" si="170"/>
        <v>1.2536695568472382E-3</v>
      </c>
      <c r="BF238" s="305">
        <f t="shared" si="170"/>
        <v>1.2833961747758822E-3</v>
      </c>
      <c r="BG238" s="305">
        <f t="shared" si="170"/>
        <v>1.3097631882857238E-3</v>
      </c>
      <c r="BH238" s="305">
        <f t="shared" si="170"/>
        <v>1.3333096722761577E-3</v>
      </c>
      <c r="BI238" s="305">
        <f t="shared" si="170"/>
        <v>1.3544652253579255E-3</v>
      </c>
      <c r="BJ238" s="305">
        <f t="shared" si="170"/>
        <v>1.3735764178744094E-3</v>
      </c>
      <c r="BK238" s="305">
        <f t="shared" si="170"/>
        <v>1.3909259259259261E-3</v>
      </c>
      <c r="BL238" s="305">
        <f>IF($D228=0,0,BL235*(BL225-$D228)/BL225)</f>
        <v>1.5480208333333335E-3</v>
      </c>
      <c r="BM238" s="305">
        <f>IF($D228=0,0,BM235*(BM225-$D228)/BM225)</f>
        <v>1.6094927536231885E-3</v>
      </c>
      <c r="BN238" s="305">
        <f>IF($D228=0,0,BN235*(BN225-$D228)/BN225)</f>
        <v>1.6422777777777779E-3</v>
      </c>
      <c r="BO238" s="8">
        <f>IF(D238=0,0,BO236)</f>
        <v>1.75E-3</v>
      </c>
      <c r="BP238" s="43"/>
      <c r="BQ238" s="43"/>
      <c r="BR238" s="42"/>
    </row>
    <row r="239" spans="1:70" ht="16.5">
      <c r="A239" s="41"/>
      <c r="B239" s="9">
        <f t="shared" si="169"/>
        <v>4</v>
      </c>
      <c r="C239" s="300" t="s">
        <v>57</v>
      </c>
      <c r="D239" s="8">
        <f>IF($D229=0,0,D235*(D225-$D229)/D225)</f>
        <v>0</v>
      </c>
      <c r="E239" s="305">
        <f t="shared" ref="E239:BK239" si="171">IF($D229=0,0,E235*(E225-$D229)/E225)</f>
        <v>0</v>
      </c>
      <c r="F239" s="305">
        <f t="shared" si="171"/>
        <v>0</v>
      </c>
      <c r="G239" s="305">
        <f t="shared" si="171"/>
        <v>0</v>
      </c>
      <c r="H239" s="305">
        <f t="shared" si="171"/>
        <v>0</v>
      </c>
      <c r="I239" s="305">
        <f t="shared" si="171"/>
        <v>0</v>
      </c>
      <c r="J239" s="305">
        <f t="shared" si="171"/>
        <v>0</v>
      </c>
      <c r="K239" s="305">
        <f t="shared" si="171"/>
        <v>0</v>
      </c>
      <c r="L239" s="305">
        <f t="shared" si="171"/>
        <v>0</v>
      </c>
      <c r="M239" s="305">
        <f t="shared" si="171"/>
        <v>0</v>
      </c>
      <c r="N239" s="305">
        <f t="shared" si="171"/>
        <v>0</v>
      </c>
      <c r="O239" s="305">
        <f t="shared" si="171"/>
        <v>0</v>
      </c>
      <c r="P239" s="305">
        <f t="shared" si="171"/>
        <v>0</v>
      </c>
      <c r="Q239" s="305">
        <f t="shared" si="171"/>
        <v>0</v>
      </c>
      <c r="R239" s="305">
        <f t="shared" si="171"/>
        <v>0</v>
      </c>
      <c r="S239" s="305">
        <f t="shared" si="171"/>
        <v>0</v>
      </c>
      <c r="T239" s="305">
        <f t="shared" si="171"/>
        <v>0</v>
      </c>
      <c r="U239" s="305">
        <f t="shared" si="171"/>
        <v>0</v>
      </c>
      <c r="V239" s="305">
        <f t="shared" si="171"/>
        <v>0</v>
      </c>
      <c r="W239" s="305">
        <f t="shared" si="171"/>
        <v>0</v>
      </c>
      <c r="X239" s="305">
        <f t="shared" si="171"/>
        <v>0</v>
      </c>
      <c r="Y239" s="305">
        <f t="shared" si="171"/>
        <v>0</v>
      </c>
      <c r="Z239" s="305">
        <f t="shared" si="171"/>
        <v>0</v>
      </c>
      <c r="AA239" s="305">
        <f t="shared" si="171"/>
        <v>0</v>
      </c>
      <c r="AB239" s="305">
        <f t="shared" si="171"/>
        <v>0</v>
      </c>
      <c r="AC239" s="305">
        <f t="shared" si="171"/>
        <v>0</v>
      </c>
      <c r="AD239" s="305">
        <f t="shared" si="171"/>
        <v>0</v>
      </c>
      <c r="AE239" s="305">
        <f t="shared" si="171"/>
        <v>0</v>
      </c>
      <c r="AF239" s="305">
        <f t="shared" si="171"/>
        <v>0</v>
      </c>
      <c r="AG239" s="305">
        <f t="shared" si="171"/>
        <v>0</v>
      </c>
      <c r="AH239" s="305">
        <f t="shared" si="171"/>
        <v>0</v>
      </c>
      <c r="AI239" s="305">
        <f t="shared" si="171"/>
        <v>0</v>
      </c>
      <c r="AJ239" s="305">
        <f t="shared" si="171"/>
        <v>0</v>
      </c>
      <c r="AK239" s="305">
        <f t="shared" si="171"/>
        <v>0</v>
      </c>
      <c r="AL239" s="305">
        <f t="shared" si="171"/>
        <v>0</v>
      </c>
      <c r="AM239" s="305">
        <f t="shared" si="171"/>
        <v>0</v>
      </c>
      <c r="AN239" s="305">
        <f t="shared" si="171"/>
        <v>0</v>
      </c>
      <c r="AO239" s="305">
        <f t="shared" si="171"/>
        <v>0</v>
      </c>
      <c r="AP239" s="305">
        <f t="shared" si="171"/>
        <v>0</v>
      </c>
      <c r="AQ239" s="305">
        <f t="shared" si="171"/>
        <v>0</v>
      </c>
      <c r="AR239" s="58">
        <f t="shared" si="171"/>
        <v>0</v>
      </c>
      <c r="AS239" s="305">
        <f t="shared" si="171"/>
        <v>0</v>
      </c>
      <c r="AT239" s="305">
        <f t="shared" si="171"/>
        <v>0</v>
      </c>
      <c r="AU239" s="305">
        <f t="shared" si="171"/>
        <v>0</v>
      </c>
      <c r="AV239" s="305">
        <f t="shared" si="171"/>
        <v>0</v>
      </c>
      <c r="AW239" s="305">
        <f t="shared" si="171"/>
        <v>0</v>
      </c>
      <c r="AX239" s="305">
        <f t="shared" si="171"/>
        <v>0</v>
      </c>
      <c r="AY239" s="305">
        <f t="shared" si="171"/>
        <v>0</v>
      </c>
      <c r="AZ239" s="305">
        <f t="shared" si="171"/>
        <v>0</v>
      </c>
      <c r="BA239" s="305">
        <f t="shared" si="171"/>
        <v>0</v>
      </c>
      <c r="BB239" s="305">
        <f t="shared" si="171"/>
        <v>0</v>
      </c>
      <c r="BC239" s="305">
        <f t="shared" si="171"/>
        <v>0</v>
      </c>
      <c r="BD239" s="305">
        <f t="shared" si="171"/>
        <v>0</v>
      </c>
      <c r="BE239" s="305">
        <f t="shared" si="171"/>
        <v>0</v>
      </c>
      <c r="BF239" s="305">
        <f t="shared" si="171"/>
        <v>0</v>
      </c>
      <c r="BG239" s="305">
        <f t="shared" si="171"/>
        <v>0</v>
      </c>
      <c r="BH239" s="305">
        <f t="shared" si="171"/>
        <v>0</v>
      </c>
      <c r="BI239" s="305">
        <f t="shared" si="171"/>
        <v>0</v>
      </c>
      <c r="BJ239" s="305">
        <f t="shared" si="171"/>
        <v>0</v>
      </c>
      <c r="BK239" s="305">
        <f t="shared" si="171"/>
        <v>0</v>
      </c>
      <c r="BL239" s="305">
        <f>IF($D229=0,0,BL235*(BL225-$D229)/BL225)</f>
        <v>0</v>
      </c>
      <c r="BM239" s="305">
        <f>IF($D229=0,0,BM235*(BM225-$D229)/BM225)</f>
        <v>0</v>
      </c>
      <c r="BN239" s="305">
        <f>IF($D229=0,0,BN235*(BN225-$D229)/BN225)</f>
        <v>0</v>
      </c>
      <c r="BO239" s="8">
        <f>IF(D239=0,0,BO236)</f>
        <v>0</v>
      </c>
      <c r="BP239" s="43"/>
      <c r="BQ239" s="43"/>
      <c r="BR239" s="42"/>
    </row>
    <row r="240" spans="1:70" ht="16.5">
      <c r="A240" s="41"/>
      <c r="B240" s="9">
        <f t="shared" si="169"/>
        <v>5</v>
      </c>
      <c r="C240" s="300" t="s">
        <v>57</v>
      </c>
      <c r="D240" s="8">
        <f>IF($D230=0,0,D235*(D225-$D230)/D225)</f>
        <v>0</v>
      </c>
      <c r="E240" s="305">
        <f t="shared" ref="E240:BK240" si="172">IF($D230=0,0,E235*(E225-$D230)/E225)</f>
        <v>0</v>
      </c>
      <c r="F240" s="305">
        <f t="shared" si="172"/>
        <v>0</v>
      </c>
      <c r="G240" s="305">
        <f t="shared" si="172"/>
        <v>0</v>
      </c>
      <c r="H240" s="305">
        <f t="shared" si="172"/>
        <v>0</v>
      </c>
      <c r="I240" s="305">
        <f t="shared" si="172"/>
        <v>0</v>
      </c>
      <c r="J240" s="305">
        <f t="shared" si="172"/>
        <v>0</v>
      </c>
      <c r="K240" s="305">
        <f t="shared" si="172"/>
        <v>0</v>
      </c>
      <c r="L240" s="305">
        <f t="shared" si="172"/>
        <v>0</v>
      </c>
      <c r="M240" s="305">
        <f t="shared" si="172"/>
        <v>0</v>
      </c>
      <c r="N240" s="305">
        <f t="shared" si="172"/>
        <v>0</v>
      </c>
      <c r="O240" s="305">
        <f t="shared" si="172"/>
        <v>0</v>
      </c>
      <c r="P240" s="305">
        <f t="shared" si="172"/>
        <v>0</v>
      </c>
      <c r="Q240" s="305">
        <f t="shared" si="172"/>
        <v>0</v>
      </c>
      <c r="R240" s="305">
        <f t="shared" si="172"/>
        <v>0</v>
      </c>
      <c r="S240" s="305">
        <f t="shared" si="172"/>
        <v>0</v>
      </c>
      <c r="T240" s="305">
        <f t="shared" si="172"/>
        <v>0</v>
      </c>
      <c r="U240" s="305">
        <f t="shared" si="172"/>
        <v>0</v>
      </c>
      <c r="V240" s="305">
        <f t="shared" si="172"/>
        <v>0</v>
      </c>
      <c r="W240" s="305">
        <f t="shared" si="172"/>
        <v>0</v>
      </c>
      <c r="X240" s="305">
        <f t="shared" si="172"/>
        <v>0</v>
      </c>
      <c r="Y240" s="305">
        <f t="shared" si="172"/>
        <v>0</v>
      </c>
      <c r="Z240" s="305">
        <f t="shared" si="172"/>
        <v>0</v>
      </c>
      <c r="AA240" s="305">
        <f t="shared" si="172"/>
        <v>0</v>
      </c>
      <c r="AB240" s="305">
        <f t="shared" si="172"/>
        <v>0</v>
      </c>
      <c r="AC240" s="305">
        <f t="shared" si="172"/>
        <v>0</v>
      </c>
      <c r="AD240" s="305">
        <f t="shared" si="172"/>
        <v>0</v>
      </c>
      <c r="AE240" s="305">
        <f t="shared" si="172"/>
        <v>0</v>
      </c>
      <c r="AF240" s="305">
        <f t="shared" si="172"/>
        <v>0</v>
      </c>
      <c r="AG240" s="305">
        <f t="shared" si="172"/>
        <v>0</v>
      </c>
      <c r="AH240" s="305">
        <f t="shared" si="172"/>
        <v>0</v>
      </c>
      <c r="AI240" s="305">
        <f t="shared" si="172"/>
        <v>0</v>
      </c>
      <c r="AJ240" s="305">
        <f t="shared" si="172"/>
        <v>0</v>
      </c>
      <c r="AK240" s="305">
        <f t="shared" si="172"/>
        <v>0</v>
      </c>
      <c r="AL240" s="305">
        <f t="shared" si="172"/>
        <v>0</v>
      </c>
      <c r="AM240" s="305">
        <f t="shared" si="172"/>
        <v>0</v>
      </c>
      <c r="AN240" s="305">
        <f t="shared" si="172"/>
        <v>0</v>
      </c>
      <c r="AO240" s="305">
        <f t="shared" si="172"/>
        <v>0</v>
      </c>
      <c r="AP240" s="305">
        <f t="shared" si="172"/>
        <v>0</v>
      </c>
      <c r="AQ240" s="305">
        <f t="shared" si="172"/>
        <v>0</v>
      </c>
      <c r="AR240" s="58">
        <f t="shared" si="172"/>
        <v>0</v>
      </c>
      <c r="AS240" s="305">
        <f t="shared" si="172"/>
        <v>0</v>
      </c>
      <c r="AT240" s="305">
        <f t="shared" si="172"/>
        <v>0</v>
      </c>
      <c r="AU240" s="305">
        <f t="shared" si="172"/>
        <v>0</v>
      </c>
      <c r="AV240" s="305">
        <f t="shared" si="172"/>
        <v>0</v>
      </c>
      <c r="AW240" s="305">
        <f t="shared" si="172"/>
        <v>0</v>
      </c>
      <c r="AX240" s="305">
        <f t="shared" si="172"/>
        <v>0</v>
      </c>
      <c r="AY240" s="305">
        <f t="shared" si="172"/>
        <v>0</v>
      </c>
      <c r="AZ240" s="305">
        <f t="shared" si="172"/>
        <v>0</v>
      </c>
      <c r="BA240" s="305">
        <f t="shared" si="172"/>
        <v>0</v>
      </c>
      <c r="BB240" s="305">
        <f t="shared" si="172"/>
        <v>0</v>
      </c>
      <c r="BC240" s="305">
        <f t="shared" si="172"/>
        <v>0</v>
      </c>
      <c r="BD240" s="305">
        <f t="shared" si="172"/>
        <v>0</v>
      </c>
      <c r="BE240" s="305">
        <f t="shared" si="172"/>
        <v>0</v>
      </c>
      <c r="BF240" s="305">
        <f t="shared" si="172"/>
        <v>0</v>
      </c>
      <c r="BG240" s="305">
        <f t="shared" si="172"/>
        <v>0</v>
      </c>
      <c r="BH240" s="305">
        <f t="shared" si="172"/>
        <v>0</v>
      </c>
      <c r="BI240" s="305">
        <f t="shared" si="172"/>
        <v>0</v>
      </c>
      <c r="BJ240" s="305">
        <f t="shared" si="172"/>
        <v>0</v>
      </c>
      <c r="BK240" s="305">
        <f t="shared" si="172"/>
        <v>0</v>
      </c>
      <c r="BL240" s="305">
        <f>IF($D230=0,0,BL235*(BL225-$D230)/BL225)</f>
        <v>0</v>
      </c>
      <c r="BM240" s="305">
        <f>IF($D230=0,0,BM235*(BM225-$D230)/BM225)</f>
        <v>0</v>
      </c>
      <c r="BN240" s="305">
        <f>IF($D230=0,0,BN235*(BN225-$D230)/BN225)</f>
        <v>0</v>
      </c>
      <c r="BO240" s="8">
        <f>IF(D240=0,0,BO236)</f>
        <v>0</v>
      </c>
      <c r="BP240" s="43"/>
      <c r="BQ240" s="43"/>
      <c r="BR240" s="42"/>
    </row>
    <row r="241" spans="1:70" ht="16.5">
      <c r="A241" s="41"/>
      <c r="B241" s="9">
        <f t="shared" si="169"/>
        <v>6</v>
      </c>
      <c r="C241" s="300" t="s">
        <v>57</v>
      </c>
      <c r="D241" s="8">
        <f>IF($D231=0,0,D235*(D225-$D231)/D225)</f>
        <v>0</v>
      </c>
      <c r="E241" s="305">
        <f t="shared" ref="E241:BK241" si="173">IF($D231=0,0,E235*(E225-$D231)/E225)</f>
        <v>0</v>
      </c>
      <c r="F241" s="306">
        <f t="shared" si="173"/>
        <v>0</v>
      </c>
      <c r="G241" s="306">
        <f t="shared" si="173"/>
        <v>0</v>
      </c>
      <c r="H241" s="306">
        <f t="shared" si="173"/>
        <v>0</v>
      </c>
      <c r="I241" s="305">
        <f t="shared" si="173"/>
        <v>0</v>
      </c>
      <c r="J241" s="305">
        <f t="shared" si="173"/>
        <v>0</v>
      </c>
      <c r="K241" s="305">
        <f t="shared" si="173"/>
        <v>0</v>
      </c>
      <c r="L241" s="305">
        <f t="shared" si="173"/>
        <v>0</v>
      </c>
      <c r="M241" s="305">
        <f t="shared" si="173"/>
        <v>0</v>
      </c>
      <c r="N241" s="305">
        <f t="shared" si="173"/>
        <v>0</v>
      </c>
      <c r="O241" s="305">
        <f t="shared" si="173"/>
        <v>0</v>
      </c>
      <c r="P241" s="305">
        <f t="shared" si="173"/>
        <v>0</v>
      </c>
      <c r="Q241" s="305">
        <f t="shared" si="173"/>
        <v>0</v>
      </c>
      <c r="R241" s="305">
        <f t="shared" si="173"/>
        <v>0</v>
      </c>
      <c r="S241" s="305">
        <f t="shared" si="173"/>
        <v>0</v>
      </c>
      <c r="T241" s="305">
        <f t="shared" si="173"/>
        <v>0</v>
      </c>
      <c r="U241" s="305">
        <f t="shared" si="173"/>
        <v>0</v>
      </c>
      <c r="V241" s="305">
        <f t="shared" si="173"/>
        <v>0</v>
      </c>
      <c r="W241" s="305">
        <f t="shared" si="173"/>
        <v>0</v>
      </c>
      <c r="X241" s="305">
        <f t="shared" si="173"/>
        <v>0</v>
      </c>
      <c r="Y241" s="305">
        <f t="shared" si="173"/>
        <v>0</v>
      </c>
      <c r="Z241" s="305">
        <f t="shared" si="173"/>
        <v>0</v>
      </c>
      <c r="AA241" s="305">
        <f t="shared" si="173"/>
        <v>0</v>
      </c>
      <c r="AB241" s="305">
        <f t="shared" si="173"/>
        <v>0</v>
      </c>
      <c r="AC241" s="305">
        <f t="shared" si="173"/>
        <v>0</v>
      </c>
      <c r="AD241" s="305">
        <f t="shared" si="173"/>
        <v>0</v>
      </c>
      <c r="AE241" s="305">
        <f t="shared" si="173"/>
        <v>0</v>
      </c>
      <c r="AF241" s="305">
        <f t="shared" si="173"/>
        <v>0</v>
      </c>
      <c r="AG241" s="305">
        <f t="shared" si="173"/>
        <v>0</v>
      </c>
      <c r="AH241" s="305">
        <f t="shared" si="173"/>
        <v>0</v>
      </c>
      <c r="AI241" s="305">
        <f t="shared" si="173"/>
        <v>0</v>
      </c>
      <c r="AJ241" s="305">
        <f t="shared" si="173"/>
        <v>0</v>
      </c>
      <c r="AK241" s="305">
        <f t="shared" si="173"/>
        <v>0</v>
      </c>
      <c r="AL241" s="305">
        <f t="shared" si="173"/>
        <v>0</v>
      </c>
      <c r="AM241" s="305">
        <f t="shared" si="173"/>
        <v>0</v>
      </c>
      <c r="AN241" s="305">
        <f t="shared" si="173"/>
        <v>0</v>
      </c>
      <c r="AO241" s="305">
        <f t="shared" si="173"/>
        <v>0</v>
      </c>
      <c r="AP241" s="305">
        <f t="shared" si="173"/>
        <v>0</v>
      </c>
      <c r="AQ241" s="305">
        <f t="shared" si="173"/>
        <v>0</v>
      </c>
      <c r="AR241" s="58">
        <f t="shared" si="173"/>
        <v>0</v>
      </c>
      <c r="AS241" s="305">
        <f t="shared" si="173"/>
        <v>0</v>
      </c>
      <c r="AT241" s="305">
        <f t="shared" si="173"/>
        <v>0</v>
      </c>
      <c r="AU241" s="305">
        <f t="shared" si="173"/>
        <v>0</v>
      </c>
      <c r="AV241" s="305">
        <f t="shared" si="173"/>
        <v>0</v>
      </c>
      <c r="AW241" s="305">
        <f t="shared" si="173"/>
        <v>0</v>
      </c>
      <c r="AX241" s="305">
        <f t="shared" si="173"/>
        <v>0</v>
      </c>
      <c r="AY241" s="305">
        <f t="shared" si="173"/>
        <v>0</v>
      </c>
      <c r="AZ241" s="305">
        <f t="shared" si="173"/>
        <v>0</v>
      </c>
      <c r="BA241" s="305">
        <f t="shared" si="173"/>
        <v>0</v>
      </c>
      <c r="BB241" s="305">
        <f t="shared" si="173"/>
        <v>0</v>
      </c>
      <c r="BC241" s="305">
        <f t="shared" si="173"/>
        <v>0</v>
      </c>
      <c r="BD241" s="305">
        <f t="shared" si="173"/>
        <v>0</v>
      </c>
      <c r="BE241" s="305">
        <f t="shared" si="173"/>
        <v>0</v>
      </c>
      <c r="BF241" s="305">
        <f t="shared" si="173"/>
        <v>0</v>
      </c>
      <c r="BG241" s="305">
        <f t="shared" si="173"/>
        <v>0</v>
      </c>
      <c r="BH241" s="305">
        <f t="shared" si="173"/>
        <v>0</v>
      </c>
      <c r="BI241" s="305">
        <f t="shared" si="173"/>
        <v>0</v>
      </c>
      <c r="BJ241" s="305">
        <f t="shared" si="173"/>
        <v>0</v>
      </c>
      <c r="BK241" s="305">
        <f t="shared" si="173"/>
        <v>0</v>
      </c>
      <c r="BL241" s="305">
        <f>IF($D231=0,0,BL235*(BL225-$D231)/BL225)</f>
        <v>0</v>
      </c>
      <c r="BM241" s="305">
        <f>IF($D231=0,0,BM235*(BM225-$D231)/BM225)</f>
        <v>0</v>
      </c>
      <c r="BN241" s="305">
        <f>IF($D231=0,0,BN235*(BN225-$D231)/BN225)</f>
        <v>0</v>
      </c>
      <c r="BO241" s="8">
        <f>IF(D241=0,0,BO236)</f>
        <v>0</v>
      </c>
      <c r="BP241" s="43"/>
      <c r="BQ241" s="43"/>
      <c r="BR241" s="42"/>
    </row>
    <row r="242" spans="1:70" ht="16.5">
      <c r="A242" s="41"/>
      <c r="B242" s="9">
        <f t="shared" si="169"/>
        <v>7</v>
      </c>
      <c r="C242" s="300" t="s">
        <v>57</v>
      </c>
      <c r="D242" s="8">
        <f>IF($D232=0,0,D235*(D225-$D232)/D225)</f>
        <v>0</v>
      </c>
      <c r="E242" s="305">
        <f t="shared" ref="E242:BK242" si="174">IF($D232=0,0,E235*(E225-$D232)/E225)</f>
        <v>0</v>
      </c>
      <c r="F242" s="306">
        <f t="shared" si="174"/>
        <v>0</v>
      </c>
      <c r="G242" s="306">
        <f t="shared" si="174"/>
        <v>0</v>
      </c>
      <c r="H242" s="306">
        <f t="shared" si="174"/>
        <v>0</v>
      </c>
      <c r="I242" s="305">
        <f t="shared" si="174"/>
        <v>0</v>
      </c>
      <c r="J242" s="305">
        <f t="shared" si="174"/>
        <v>0</v>
      </c>
      <c r="K242" s="305">
        <f t="shared" si="174"/>
        <v>0</v>
      </c>
      <c r="L242" s="305">
        <f t="shared" si="174"/>
        <v>0</v>
      </c>
      <c r="M242" s="305">
        <f t="shared" si="174"/>
        <v>0</v>
      </c>
      <c r="N242" s="305">
        <f t="shared" si="174"/>
        <v>0</v>
      </c>
      <c r="O242" s="305">
        <f t="shared" si="174"/>
        <v>0</v>
      </c>
      <c r="P242" s="305">
        <f t="shared" si="174"/>
        <v>0</v>
      </c>
      <c r="Q242" s="305">
        <f t="shared" si="174"/>
        <v>0</v>
      </c>
      <c r="R242" s="305">
        <f t="shared" si="174"/>
        <v>0</v>
      </c>
      <c r="S242" s="305">
        <f t="shared" si="174"/>
        <v>0</v>
      </c>
      <c r="T242" s="305">
        <f t="shared" si="174"/>
        <v>0</v>
      </c>
      <c r="U242" s="305">
        <f t="shared" si="174"/>
        <v>0</v>
      </c>
      <c r="V242" s="305">
        <f t="shared" si="174"/>
        <v>0</v>
      </c>
      <c r="W242" s="305">
        <f t="shared" si="174"/>
        <v>0</v>
      </c>
      <c r="X242" s="305">
        <f t="shared" si="174"/>
        <v>0</v>
      </c>
      <c r="Y242" s="305">
        <f t="shared" si="174"/>
        <v>0</v>
      </c>
      <c r="Z242" s="305">
        <f t="shared" si="174"/>
        <v>0</v>
      </c>
      <c r="AA242" s="305">
        <f t="shared" si="174"/>
        <v>0</v>
      </c>
      <c r="AB242" s="305">
        <f t="shared" si="174"/>
        <v>0</v>
      </c>
      <c r="AC242" s="305">
        <f t="shared" si="174"/>
        <v>0</v>
      </c>
      <c r="AD242" s="305">
        <f t="shared" si="174"/>
        <v>0</v>
      </c>
      <c r="AE242" s="305">
        <f t="shared" si="174"/>
        <v>0</v>
      </c>
      <c r="AF242" s="305">
        <f t="shared" si="174"/>
        <v>0</v>
      </c>
      <c r="AG242" s="305">
        <f t="shared" si="174"/>
        <v>0</v>
      </c>
      <c r="AH242" s="305">
        <f t="shared" si="174"/>
        <v>0</v>
      </c>
      <c r="AI242" s="305">
        <f t="shared" si="174"/>
        <v>0</v>
      </c>
      <c r="AJ242" s="305">
        <f t="shared" si="174"/>
        <v>0</v>
      </c>
      <c r="AK242" s="305">
        <f t="shared" si="174"/>
        <v>0</v>
      </c>
      <c r="AL242" s="305">
        <f t="shared" si="174"/>
        <v>0</v>
      </c>
      <c r="AM242" s="305">
        <f t="shared" si="174"/>
        <v>0</v>
      </c>
      <c r="AN242" s="305">
        <f t="shared" si="174"/>
        <v>0</v>
      </c>
      <c r="AO242" s="305">
        <f t="shared" si="174"/>
        <v>0</v>
      </c>
      <c r="AP242" s="305">
        <f t="shared" si="174"/>
        <v>0</v>
      </c>
      <c r="AQ242" s="305">
        <f t="shared" si="174"/>
        <v>0</v>
      </c>
      <c r="AR242" s="58">
        <f t="shared" si="174"/>
        <v>0</v>
      </c>
      <c r="AS242" s="305">
        <f t="shared" si="174"/>
        <v>0</v>
      </c>
      <c r="AT242" s="305">
        <f t="shared" si="174"/>
        <v>0</v>
      </c>
      <c r="AU242" s="305">
        <f t="shared" si="174"/>
        <v>0</v>
      </c>
      <c r="AV242" s="305">
        <f t="shared" si="174"/>
        <v>0</v>
      </c>
      <c r="AW242" s="305">
        <f t="shared" si="174"/>
        <v>0</v>
      </c>
      <c r="AX242" s="305">
        <f t="shared" si="174"/>
        <v>0</v>
      </c>
      <c r="AY242" s="305">
        <f t="shared" si="174"/>
        <v>0</v>
      </c>
      <c r="AZ242" s="305">
        <f t="shared" si="174"/>
        <v>0</v>
      </c>
      <c r="BA242" s="305">
        <f t="shared" si="174"/>
        <v>0</v>
      </c>
      <c r="BB242" s="305">
        <f t="shared" si="174"/>
        <v>0</v>
      </c>
      <c r="BC242" s="305">
        <f t="shared" si="174"/>
        <v>0</v>
      </c>
      <c r="BD242" s="305">
        <f t="shared" si="174"/>
        <v>0</v>
      </c>
      <c r="BE242" s="305">
        <f t="shared" si="174"/>
        <v>0</v>
      </c>
      <c r="BF242" s="305">
        <f t="shared" si="174"/>
        <v>0</v>
      </c>
      <c r="BG242" s="305">
        <f t="shared" si="174"/>
        <v>0</v>
      </c>
      <c r="BH242" s="305">
        <f t="shared" si="174"/>
        <v>0</v>
      </c>
      <c r="BI242" s="305">
        <f t="shared" si="174"/>
        <v>0</v>
      </c>
      <c r="BJ242" s="305">
        <f t="shared" si="174"/>
        <v>0</v>
      </c>
      <c r="BK242" s="305">
        <f t="shared" si="174"/>
        <v>0</v>
      </c>
      <c r="BL242" s="305">
        <f>IF($D232=0,0,BL235*(BL225-$D232)/BL225)</f>
        <v>0</v>
      </c>
      <c r="BM242" s="305">
        <f>IF($D232=0,0,BM235*(BM225-$D232)/BM225)</f>
        <v>0</v>
      </c>
      <c r="BN242" s="305">
        <f>IF($D232=0,0,BN235*(BN225-$D232)/BN225)</f>
        <v>0</v>
      </c>
      <c r="BO242" s="8">
        <f>IF(D242=0,0,BO236)</f>
        <v>0</v>
      </c>
      <c r="BP242" s="43"/>
      <c r="BQ242" s="43"/>
      <c r="BR242" s="42"/>
    </row>
    <row r="243" spans="1:70" ht="16.5">
      <c r="A243" s="41"/>
      <c r="B243" s="9">
        <f t="shared" si="169"/>
        <v>8</v>
      </c>
      <c r="C243" s="300" t="s">
        <v>57</v>
      </c>
      <c r="D243" s="8">
        <f>IF($D233=0,0,D235*(D225-$D233)/D225)</f>
        <v>0</v>
      </c>
      <c r="E243" s="305">
        <f t="shared" ref="E243:BK243" si="175">IF($D233=0,0,E235*(E225-$D233)/E225)</f>
        <v>0</v>
      </c>
      <c r="F243" s="306">
        <f t="shared" si="175"/>
        <v>0</v>
      </c>
      <c r="G243" s="306">
        <f t="shared" si="175"/>
        <v>0</v>
      </c>
      <c r="H243" s="306">
        <f t="shared" si="175"/>
        <v>0</v>
      </c>
      <c r="I243" s="305">
        <f t="shared" si="175"/>
        <v>0</v>
      </c>
      <c r="J243" s="305">
        <f t="shared" si="175"/>
        <v>0</v>
      </c>
      <c r="K243" s="305">
        <f t="shared" si="175"/>
        <v>0</v>
      </c>
      <c r="L243" s="305">
        <f t="shared" si="175"/>
        <v>0</v>
      </c>
      <c r="M243" s="305">
        <f t="shared" si="175"/>
        <v>0</v>
      </c>
      <c r="N243" s="305">
        <f t="shared" si="175"/>
        <v>0</v>
      </c>
      <c r="O243" s="305">
        <f t="shared" si="175"/>
        <v>0</v>
      </c>
      <c r="P243" s="305">
        <f t="shared" si="175"/>
        <v>0</v>
      </c>
      <c r="Q243" s="305">
        <f t="shared" si="175"/>
        <v>0</v>
      </c>
      <c r="R243" s="305">
        <f t="shared" si="175"/>
        <v>0</v>
      </c>
      <c r="S243" s="305">
        <f t="shared" si="175"/>
        <v>0</v>
      </c>
      <c r="T243" s="305">
        <f t="shared" si="175"/>
        <v>0</v>
      </c>
      <c r="U243" s="305">
        <f t="shared" si="175"/>
        <v>0</v>
      </c>
      <c r="V243" s="305">
        <f t="shared" si="175"/>
        <v>0</v>
      </c>
      <c r="W243" s="305">
        <f t="shared" si="175"/>
        <v>0</v>
      </c>
      <c r="X243" s="305">
        <f t="shared" si="175"/>
        <v>0</v>
      </c>
      <c r="Y243" s="305">
        <f t="shared" si="175"/>
        <v>0</v>
      </c>
      <c r="Z243" s="305">
        <f t="shared" si="175"/>
        <v>0</v>
      </c>
      <c r="AA243" s="305">
        <f t="shared" si="175"/>
        <v>0</v>
      </c>
      <c r="AB243" s="305">
        <f t="shared" si="175"/>
        <v>0</v>
      </c>
      <c r="AC243" s="305">
        <f t="shared" si="175"/>
        <v>0</v>
      </c>
      <c r="AD243" s="305">
        <f t="shared" si="175"/>
        <v>0</v>
      </c>
      <c r="AE243" s="305">
        <f t="shared" si="175"/>
        <v>0</v>
      </c>
      <c r="AF243" s="305">
        <f t="shared" si="175"/>
        <v>0</v>
      </c>
      <c r="AG243" s="305">
        <f t="shared" si="175"/>
        <v>0</v>
      </c>
      <c r="AH243" s="305">
        <f t="shared" si="175"/>
        <v>0</v>
      </c>
      <c r="AI243" s="305">
        <f t="shared" si="175"/>
        <v>0</v>
      </c>
      <c r="AJ243" s="305">
        <f t="shared" si="175"/>
        <v>0</v>
      </c>
      <c r="AK243" s="305">
        <f t="shared" si="175"/>
        <v>0</v>
      </c>
      <c r="AL243" s="305">
        <f t="shared" si="175"/>
        <v>0</v>
      </c>
      <c r="AM243" s="305">
        <f t="shared" si="175"/>
        <v>0</v>
      </c>
      <c r="AN243" s="305">
        <f t="shared" si="175"/>
        <v>0</v>
      </c>
      <c r="AO243" s="305">
        <f t="shared" si="175"/>
        <v>0</v>
      </c>
      <c r="AP243" s="305">
        <f t="shared" si="175"/>
        <v>0</v>
      </c>
      <c r="AQ243" s="305">
        <f t="shared" si="175"/>
        <v>0</v>
      </c>
      <c r="AR243" s="58">
        <f t="shared" si="175"/>
        <v>0</v>
      </c>
      <c r="AS243" s="305">
        <f t="shared" si="175"/>
        <v>0</v>
      </c>
      <c r="AT243" s="305">
        <f t="shared" si="175"/>
        <v>0</v>
      </c>
      <c r="AU243" s="305">
        <f t="shared" si="175"/>
        <v>0</v>
      </c>
      <c r="AV243" s="305">
        <f t="shared" si="175"/>
        <v>0</v>
      </c>
      <c r="AW243" s="305">
        <f t="shared" si="175"/>
        <v>0</v>
      </c>
      <c r="AX243" s="305">
        <f t="shared" si="175"/>
        <v>0</v>
      </c>
      <c r="AY243" s="305">
        <f t="shared" si="175"/>
        <v>0</v>
      </c>
      <c r="AZ243" s="305">
        <f t="shared" si="175"/>
        <v>0</v>
      </c>
      <c r="BA243" s="305">
        <f t="shared" si="175"/>
        <v>0</v>
      </c>
      <c r="BB243" s="305">
        <f t="shared" si="175"/>
        <v>0</v>
      </c>
      <c r="BC243" s="305">
        <f t="shared" si="175"/>
        <v>0</v>
      </c>
      <c r="BD243" s="305">
        <f t="shared" si="175"/>
        <v>0</v>
      </c>
      <c r="BE243" s="305">
        <f t="shared" si="175"/>
        <v>0</v>
      </c>
      <c r="BF243" s="305">
        <f t="shared" si="175"/>
        <v>0</v>
      </c>
      <c r="BG243" s="305">
        <f t="shared" si="175"/>
        <v>0</v>
      </c>
      <c r="BH243" s="305">
        <f t="shared" si="175"/>
        <v>0</v>
      </c>
      <c r="BI243" s="305">
        <f t="shared" si="175"/>
        <v>0</v>
      </c>
      <c r="BJ243" s="305">
        <f t="shared" si="175"/>
        <v>0</v>
      </c>
      <c r="BK243" s="305">
        <f t="shared" si="175"/>
        <v>0</v>
      </c>
      <c r="BL243" s="305">
        <f>IF($D233=0,0,BL235*(BL225-$D233)/BL225)</f>
        <v>0</v>
      </c>
      <c r="BM243" s="305">
        <f>IF($D233=0,0,BM235*(BM225-$D233)/BM225)</f>
        <v>0</v>
      </c>
      <c r="BN243" s="305">
        <f>IF($D233=0,0,BN235*(BN225-$D233)/BN225)</f>
        <v>0</v>
      </c>
      <c r="BO243" s="8">
        <f>IF(D243=0,0,BO236)</f>
        <v>0</v>
      </c>
      <c r="BP243" s="43"/>
      <c r="BQ243" s="43"/>
      <c r="BR243" s="42"/>
    </row>
    <row r="244" spans="1:70" ht="16.5">
      <c r="A244" s="41"/>
      <c r="B244" s="9">
        <f t="shared" si="169"/>
        <v>9</v>
      </c>
      <c r="C244" s="300" t="s">
        <v>57</v>
      </c>
      <c r="D244" s="8">
        <f>IF($D234=0,0,D235*(D225-$D234)/D225)</f>
        <v>0</v>
      </c>
      <c r="E244" s="305">
        <f t="shared" ref="E244:BK244" si="176">IF($D234=0,0,E235*(E225-$D234)/E225)</f>
        <v>0</v>
      </c>
      <c r="F244" s="306">
        <f t="shared" si="176"/>
        <v>0</v>
      </c>
      <c r="G244" s="306">
        <f t="shared" si="176"/>
        <v>0</v>
      </c>
      <c r="H244" s="306">
        <f t="shared" si="176"/>
        <v>0</v>
      </c>
      <c r="I244" s="305">
        <f t="shared" si="176"/>
        <v>0</v>
      </c>
      <c r="J244" s="305">
        <f t="shared" si="176"/>
        <v>0</v>
      </c>
      <c r="K244" s="305">
        <f t="shared" si="176"/>
        <v>0</v>
      </c>
      <c r="L244" s="305">
        <f t="shared" si="176"/>
        <v>0</v>
      </c>
      <c r="M244" s="305">
        <f t="shared" si="176"/>
        <v>0</v>
      </c>
      <c r="N244" s="305">
        <f t="shared" si="176"/>
        <v>0</v>
      </c>
      <c r="O244" s="305">
        <f t="shared" si="176"/>
        <v>0</v>
      </c>
      <c r="P244" s="305">
        <f t="shared" si="176"/>
        <v>0</v>
      </c>
      <c r="Q244" s="305">
        <f t="shared" si="176"/>
        <v>0</v>
      </c>
      <c r="R244" s="305">
        <f t="shared" si="176"/>
        <v>0</v>
      </c>
      <c r="S244" s="305">
        <f t="shared" si="176"/>
        <v>0</v>
      </c>
      <c r="T244" s="305">
        <f t="shared" si="176"/>
        <v>0</v>
      </c>
      <c r="U244" s="305">
        <f t="shared" si="176"/>
        <v>0</v>
      </c>
      <c r="V244" s="305">
        <f t="shared" si="176"/>
        <v>0</v>
      </c>
      <c r="W244" s="305">
        <f t="shared" si="176"/>
        <v>0</v>
      </c>
      <c r="X244" s="305">
        <f t="shared" si="176"/>
        <v>0</v>
      </c>
      <c r="Y244" s="305">
        <f t="shared" si="176"/>
        <v>0</v>
      </c>
      <c r="Z244" s="305">
        <f t="shared" si="176"/>
        <v>0</v>
      </c>
      <c r="AA244" s="305">
        <f t="shared" si="176"/>
        <v>0</v>
      </c>
      <c r="AB244" s="305">
        <f t="shared" si="176"/>
        <v>0</v>
      </c>
      <c r="AC244" s="305">
        <f t="shared" si="176"/>
        <v>0</v>
      </c>
      <c r="AD244" s="305">
        <f t="shared" si="176"/>
        <v>0</v>
      </c>
      <c r="AE244" s="305">
        <f t="shared" si="176"/>
        <v>0</v>
      </c>
      <c r="AF244" s="305">
        <f t="shared" si="176"/>
        <v>0</v>
      </c>
      <c r="AG244" s="305">
        <f t="shared" si="176"/>
        <v>0</v>
      </c>
      <c r="AH244" s="305">
        <f t="shared" si="176"/>
        <v>0</v>
      </c>
      <c r="AI244" s="305">
        <f t="shared" si="176"/>
        <v>0</v>
      </c>
      <c r="AJ244" s="305">
        <f t="shared" si="176"/>
        <v>0</v>
      </c>
      <c r="AK244" s="305">
        <f t="shared" si="176"/>
        <v>0</v>
      </c>
      <c r="AL244" s="305">
        <f t="shared" si="176"/>
        <v>0</v>
      </c>
      <c r="AM244" s="305">
        <f t="shared" si="176"/>
        <v>0</v>
      </c>
      <c r="AN244" s="305">
        <f t="shared" si="176"/>
        <v>0</v>
      </c>
      <c r="AO244" s="305">
        <f t="shared" si="176"/>
        <v>0</v>
      </c>
      <c r="AP244" s="305">
        <f t="shared" si="176"/>
        <v>0</v>
      </c>
      <c r="AQ244" s="305">
        <f t="shared" si="176"/>
        <v>0</v>
      </c>
      <c r="AR244" s="58">
        <f t="shared" si="176"/>
        <v>0</v>
      </c>
      <c r="AS244" s="305">
        <f t="shared" si="176"/>
        <v>0</v>
      </c>
      <c r="AT244" s="305">
        <f t="shared" si="176"/>
        <v>0</v>
      </c>
      <c r="AU244" s="305">
        <f t="shared" si="176"/>
        <v>0</v>
      </c>
      <c r="AV244" s="305">
        <f t="shared" si="176"/>
        <v>0</v>
      </c>
      <c r="AW244" s="305">
        <f t="shared" si="176"/>
        <v>0</v>
      </c>
      <c r="AX244" s="305">
        <f t="shared" si="176"/>
        <v>0</v>
      </c>
      <c r="AY244" s="305">
        <f t="shared" si="176"/>
        <v>0</v>
      </c>
      <c r="AZ244" s="305">
        <f t="shared" si="176"/>
        <v>0</v>
      </c>
      <c r="BA244" s="305">
        <f t="shared" si="176"/>
        <v>0</v>
      </c>
      <c r="BB244" s="305">
        <f t="shared" si="176"/>
        <v>0</v>
      </c>
      <c r="BC244" s="305">
        <f t="shared" si="176"/>
        <v>0</v>
      </c>
      <c r="BD244" s="305">
        <f t="shared" si="176"/>
        <v>0</v>
      </c>
      <c r="BE244" s="305">
        <f t="shared" si="176"/>
        <v>0</v>
      </c>
      <c r="BF244" s="305">
        <f t="shared" si="176"/>
        <v>0</v>
      </c>
      <c r="BG244" s="305">
        <f t="shared" si="176"/>
        <v>0</v>
      </c>
      <c r="BH244" s="305">
        <f t="shared" si="176"/>
        <v>0</v>
      </c>
      <c r="BI244" s="305">
        <f t="shared" si="176"/>
        <v>0</v>
      </c>
      <c r="BJ244" s="305">
        <f t="shared" si="176"/>
        <v>0</v>
      </c>
      <c r="BK244" s="305">
        <f t="shared" si="176"/>
        <v>0</v>
      </c>
      <c r="BL244" s="305">
        <f>IF($D234=0,0,BL235*(BL225-$D234)/BL225)</f>
        <v>0</v>
      </c>
      <c r="BM244" s="305">
        <f>IF($D234=0,0,BM235*(BM225-$D234)/BM225)</f>
        <v>0</v>
      </c>
      <c r="BN244" s="305">
        <f>IF($D234=0,0,BN235*(BN225-$D234)/BN225)</f>
        <v>0</v>
      </c>
      <c r="BO244" s="8">
        <f>IF(D244=0,0,BO236)</f>
        <v>0</v>
      </c>
      <c r="BP244" s="43"/>
      <c r="BQ244" s="43"/>
      <c r="BR244" s="42"/>
    </row>
    <row r="245" spans="1:70" ht="16.5">
      <c r="A245" s="41"/>
      <c r="B245" s="292" t="s">
        <v>119</v>
      </c>
      <c r="C245" s="300" t="s">
        <v>58</v>
      </c>
      <c r="D245" s="8">
        <f>D235*(D225-$F222)/D225</f>
        <v>-0.12073223107079289</v>
      </c>
      <c r="E245" s="10">
        <f t="shared" ref="E245:BK245" si="177">E235*(E225-$F222)/E225</f>
        <v>-7.8103774445051469E-2</v>
      </c>
      <c r="F245" s="32">
        <f t="shared" si="177"/>
        <v>-5.7256185912070059E-2</v>
      </c>
      <c r="G245" s="32">
        <f t="shared" si="177"/>
        <v>-4.4893051563142543E-2</v>
      </c>
      <c r="H245" s="32">
        <f t="shared" si="177"/>
        <v>-3.6710675196757733E-2</v>
      </c>
      <c r="I245" s="10">
        <f t="shared" si="177"/>
        <v>-3.0895096058475915E-2</v>
      </c>
      <c r="J245" s="10">
        <f t="shared" si="177"/>
        <v>-2.6549154682477562E-2</v>
      </c>
      <c r="K245" s="10">
        <f t="shared" si="177"/>
        <v>-2.3178262385924218E-2</v>
      </c>
      <c r="L245" s="10">
        <f t="shared" si="177"/>
        <v>-2.0487376008099377E-2</v>
      </c>
      <c r="M245" s="10">
        <f t="shared" si="177"/>
        <v>-1.8289583220191641E-2</v>
      </c>
      <c r="N245" s="10">
        <f t="shared" si="177"/>
        <v>-1.6460723943937706E-2</v>
      </c>
      <c r="O245" s="10">
        <f t="shared" si="177"/>
        <v>-1.4915094711565238E-2</v>
      </c>
      <c r="P245" s="10">
        <f t="shared" si="177"/>
        <v>-1.3591629572228854E-2</v>
      </c>
      <c r="Q245" s="10">
        <f t="shared" si="177"/>
        <v>-1.2445640397529135E-2</v>
      </c>
      <c r="R245" s="10">
        <f t="shared" si="177"/>
        <v>-1.1443671251622937E-2</v>
      </c>
      <c r="S245" s="10">
        <f t="shared" si="177"/>
        <v>-1.0560178067388496E-2</v>
      </c>
      <c r="T245" s="10">
        <f t="shared" si="177"/>
        <v>-9.7753203917130393E-3</v>
      </c>
      <c r="U245" s="10">
        <f t="shared" si="177"/>
        <v>-9.073453633907819E-3</v>
      </c>
      <c r="V245" s="10">
        <f t="shared" si="177"/>
        <v>-8.442075586090142E-3</v>
      </c>
      <c r="W245" s="10">
        <f t="shared" si="177"/>
        <v>-7.8710751710775479E-3</v>
      </c>
      <c r="X245" s="10">
        <f t="shared" si="177"/>
        <v>-7.3521868784425081E-3</v>
      </c>
      <c r="Y245" s="10">
        <f t="shared" si="177"/>
        <v>-6.8785880538626771E-3</v>
      </c>
      <c r="Z245" s="10">
        <f t="shared" si="177"/>
        <v>-6.4445972269131634E-3</v>
      </c>
      <c r="AA245" s="10">
        <f t="shared" si="177"/>
        <v>-6.0454450892259417E-3</v>
      </c>
      <c r="AB245" s="10">
        <f t="shared" si="177"/>
        <v>-5.6770984986192667E-3</v>
      </c>
      <c r="AC245" s="10">
        <f t="shared" si="177"/>
        <v>-5.3361237179503718E-3</v>
      </c>
      <c r="AD245" s="10">
        <f t="shared" si="177"/>
        <v>-5.0195790498979015E-3</v>
      </c>
      <c r="AE245" s="10">
        <f t="shared" si="177"/>
        <v>-4.7249297510747346E-3</v>
      </c>
      <c r="AF245" s="10">
        <f t="shared" si="177"/>
        <v>-4.4499800120682996E-3</v>
      </c>
      <c r="AG245" s="10">
        <f t="shared" si="177"/>
        <v>-4.1928181391293591E-3</v>
      </c>
      <c r="AH245" s="10">
        <f t="shared" si="177"/>
        <v>-3.9517720418940829E-3</v>
      </c>
      <c r="AI245" s="10">
        <f t="shared" si="177"/>
        <v>-3.7253728353192355E-3</v>
      </c>
      <c r="AJ245" s="10">
        <f t="shared" si="177"/>
        <v>-3.5123248810358613E-3</v>
      </c>
      <c r="AK245" s="10">
        <f t="shared" si="177"/>
        <v>-3.311480977076656E-3</v>
      </c>
      <c r="AL245" s="10">
        <f t="shared" si="177"/>
        <v>-3.1218216925156515E-3</v>
      </c>
      <c r="AM245" s="10">
        <f t="shared" si="177"/>
        <v>-2.9424380610271303E-3</v>
      </c>
      <c r="AN245" s="10">
        <f t="shared" si="177"/>
        <v>-2.7725170132169579E-3</v>
      </c>
      <c r="AO245" s="10">
        <f t="shared" si="177"/>
        <v>-2.6113290550692381E-3</v>
      </c>
      <c r="AP245" s="10">
        <f t="shared" si="177"/>
        <v>-2.4582177985941847E-3</v>
      </c>
      <c r="AQ245" s="10">
        <f t="shared" si="177"/>
        <v>-2.3125910277853666E-3</v>
      </c>
      <c r="AR245" s="58">
        <f t="shared" si="177"/>
        <v>-2.1739130434782609E-3</v>
      </c>
      <c r="AS245" s="10">
        <f t="shared" si="177"/>
        <v>-1.8614872027136412E-3</v>
      </c>
      <c r="AT245" s="10">
        <f t="shared" si="177"/>
        <v>-1.5816722474551554E-3</v>
      </c>
      <c r="AU245" s="10">
        <f t="shared" si="177"/>
        <v>-1.3296155675004172E-3</v>
      </c>
      <c r="AV245" s="10">
        <f t="shared" si="177"/>
        <v>-1.1013818342212453E-3</v>
      </c>
      <c r="AW245" s="10">
        <f t="shared" si="177"/>
        <v>-8.9374604046491316E-4</v>
      </c>
      <c r="AX245" s="10">
        <f t="shared" si="177"/>
        <v>-7.0404015513644976E-4</v>
      </c>
      <c r="AY245" s="10">
        <f t="shared" si="177"/>
        <v>-5.3003785894163984E-4</v>
      </c>
      <c r="AZ245" s="10">
        <f t="shared" si="177"/>
        <v>-3.6986676672332865E-4</v>
      </c>
      <c r="BA245" s="10">
        <f t="shared" si="177"/>
        <v>-2.219407816495211E-4</v>
      </c>
      <c r="BB245" s="10">
        <f t="shared" si="177"/>
        <v>-8.4907392790522539E-5</v>
      </c>
      <c r="BC245" s="10">
        <f t="shared" si="177"/>
        <v>4.2393798426061091E-5</v>
      </c>
      <c r="BD245" s="10">
        <f t="shared" si="177"/>
        <v>1.5969261282407438E-4</v>
      </c>
      <c r="BE245" s="10">
        <f t="shared" si="177"/>
        <v>2.6100867054171489E-4</v>
      </c>
      <c r="BF245" s="10">
        <f t="shared" si="177"/>
        <v>3.5018852432764633E-4</v>
      </c>
      <c r="BG245" s="10">
        <f t="shared" si="177"/>
        <v>4.2928956485717142E-4</v>
      </c>
      <c r="BH245" s="10">
        <f t="shared" si="177"/>
        <v>4.9992901682847316E-4</v>
      </c>
      <c r="BI245" s="10">
        <f t="shared" si="177"/>
        <v>5.6339567607377602E-4</v>
      </c>
      <c r="BJ245" s="10">
        <f t="shared" si="177"/>
        <v>6.2072925362322733E-4</v>
      </c>
      <c r="BK245" s="10">
        <f t="shared" si="177"/>
        <v>6.7277777777777789E-4</v>
      </c>
      <c r="BL245" s="10">
        <f>BL235*(BL225-$F222)/BL225</f>
        <v>1.1440625000000001E-3</v>
      </c>
      <c r="BM245" s="10">
        <f>BM235*(BM225-$F222)/BM225</f>
        <v>1.3284782608695652E-3</v>
      </c>
      <c r="BN245" s="10">
        <f>BN235*(BN225-$F222)/BN225</f>
        <v>1.4268333333333331E-3</v>
      </c>
      <c r="BO245" s="8">
        <f>BO236</f>
        <v>1.75E-3</v>
      </c>
      <c r="BP245" s="41"/>
      <c r="BQ245" s="41"/>
      <c r="BR245" s="41"/>
    </row>
    <row r="246" spans="1:70" ht="16.5">
      <c r="A246" s="41"/>
      <c r="B246" s="293" t="s">
        <v>59</v>
      </c>
      <c r="C246" s="301" t="s">
        <v>60</v>
      </c>
      <c r="D246" s="12">
        <f t="shared" ref="D246:BJ246" si="178">IF(D236&lt;0,MAX(-$C$10,200000*D236),MIN(200000*D236,$C$10)-IF(AND($C222&lt;$C$8*D225,$C222&gt;0),$C$9,0))</f>
        <v>-290.41293401325373</v>
      </c>
      <c r="E246" s="307">
        <f t="shared" si="178"/>
        <v>49.432647405135569</v>
      </c>
      <c r="F246" s="307">
        <f t="shared" si="178"/>
        <v>192.96859295981125</v>
      </c>
      <c r="G246" s="307">
        <f t="shared" si="178"/>
        <v>291.53084253531648</v>
      </c>
      <c r="H246" s="307">
        <f t="shared" si="178"/>
        <v>356.76295914774306</v>
      </c>
      <c r="I246" s="307">
        <f t="shared" si="178"/>
        <v>403.12632836108173</v>
      </c>
      <c r="J246" s="307">
        <f t="shared" si="178"/>
        <v>412.1159420289855</v>
      </c>
      <c r="K246" s="307">
        <f t="shared" si="178"/>
        <v>412.1159420289855</v>
      </c>
      <c r="L246" s="307">
        <f t="shared" si="178"/>
        <v>412.1159420289855</v>
      </c>
      <c r="M246" s="307">
        <f t="shared" si="178"/>
        <v>412.1159420289855</v>
      </c>
      <c r="N246" s="307">
        <f t="shared" si="178"/>
        <v>412.1159420289855</v>
      </c>
      <c r="O246" s="307">
        <f t="shared" si="178"/>
        <v>412.1159420289855</v>
      </c>
      <c r="P246" s="307">
        <f t="shared" si="178"/>
        <v>412.1159420289855</v>
      </c>
      <c r="Q246" s="307">
        <f t="shared" si="178"/>
        <v>412.1159420289855</v>
      </c>
      <c r="R246" s="307">
        <f t="shared" si="178"/>
        <v>412.1159420289855</v>
      </c>
      <c r="S246" s="307">
        <f t="shared" si="178"/>
        <v>412.1159420289855</v>
      </c>
      <c r="T246" s="307">
        <f t="shared" si="178"/>
        <v>412.1159420289855</v>
      </c>
      <c r="U246" s="307">
        <f t="shared" si="178"/>
        <v>412.1159420289855</v>
      </c>
      <c r="V246" s="307">
        <f t="shared" si="178"/>
        <v>412.1159420289855</v>
      </c>
      <c r="W246" s="307">
        <f t="shared" si="178"/>
        <v>412.1159420289855</v>
      </c>
      <c r="X246" s="307">
        <f t="shared" si="178"/>
        <v>412.1159420289855</v>
      </c>
      <c r="Y246" s="307">
        <f t="shared" si="178"/>
        <v>412.1159420289855</v>
      </c>
      <c r="Z246" s="307">
        <f t="shared" si="178"/>
        <v>412.1159420289855</v>
      </c>
      <c r="AA246" s="307">
        <f t="shared" si="178"/>
        <v>412.1159420289855</v>
      </c>
      <c r="AB246" s="307">
        <f t="shared" si="178"/>
        <v>412.1159420289855</v>
      </c>
      <c r="AC246" s="307">
        <f t="shared" si="178"/>
        <v>412.1159420289855</v>
      </c>
      <c r="AD246" s="307">
        <f t="shared" si="178"/>
        <v>412.1159420289855</v>
      </c>
      <c r="AE246" s="307">
        <f t="shared" si="178"/>
        <v>412.1159420289855</v>
      </c>
      <c r="AF246" s="307">
        <f t="shared" si="178"/>
        <v>412.1159420289855</v>
      </c>
      <c r="AG246" s="307">
        <f t="shared" si="178"/>
        <v>412.1159420289855</v>
      </c>
      <c r="AH246" s="307">
        <f t="shared" si="178"/>
        <v>412.1159420289855</v>
      </c>
      <c r="AI246" s="307">
        <f t="shared" si="178"/>
        <v>412.1159420289855</v>
      </c>
      <c r="AJ246" s="307">
        <f t="shared" si="178"/>
        <v>412.1159420289855</v>
      </c>
      <c r="AK246" s="307">
        <f t="shared" si="178"/>
        <v>412.1159420289855</v>
      </c>
      <c r="AL246" s="307">
        <f t="shared" si="178"/>
        <v>412.1159420289855</v>
      </c>
      <c r="AM246" s="307">
        <f t="shared" si="178"/>
        <v>412.1159420289855</v>
      </c>
      <c r="AN246" s="307">
        <f t="shared" si="178"/>
        <v>412.1159420289855</v>
      </c>
      <c r="AO246" s="307">
        <f t="shared" si="178"/>
        <v>412.1159420289855</v>
      </c>
      <c r="AP246" s="307">
        <f t="shared" si="178"/>
        <v>412.1159420289855</v>
      </c>
      <c r="AQ246" s="307">
        <f t="shared" si="178"/>
        <v>412.1159420289855</v>
      </c>
      <c r="AR246" s="61">
        <f t="shared" si="178"/>
        <v>412.1159420289855</v>
      </c>
      <c r="AS246" s="307">
        <f t="shared" si="178"/>
        <v>412.1159420289855</v>
      </c>
      <c r="AT246" s="307">
        <f t="shared" si="178"/>
        <v>412.1159420289855</v>
      </c>
      <c r="AU246" s="307">
        <f t="shared" si="178"/>
        <v>412.1159420289855</v>
      </c>
      <c r="AV246" s="307">
        <f t="shared" si="178"/>
        <v>412.1159420289855</v>
      </c>
      <c r="AW246" s="307">
        <f t="shared" si="178"/>
        <v>412.1159420289855</v>
      </c>
      <c r="AX246" s="307">
        <f t="shared" si="178"/>
        <v>412.1159420289855</v>
      </c>
      <c r="AY246" s="307">
        <f t="shared" si="178"/>
        <v>412.1159420289855</v>
      </c>
      <c r="AZ246" s="307">
        <f t="shared" si="178"/>
        <v>412.1159420289855</v>
      </c>
      <c r="BA246" s="307">
        <f t="shared" si="178"/>
        <v>412.1159420289855</v>
      </c>
      <c r="BB246" s="307">
        <f t="shared" si="178"/>
        <v>412.1159420289855</v>
      </c>
      <c r="BC246" s="307">
        <f t="shared" si="178"/>
        <v>412.1159420289855</v>
      </c>
      <c r="BD246" s="307">
        <f t="shared" si="178"/>
        <v>412.1159420289855</v>
      </c>
      <c r="BE246" s="307">
        <f t="shared" si="178"/>
        <v>412.1159420289855</v>
      </c>
      <c r="BF246" s="307">
        <f t="shared" si="178"/>
        <v>412.1159420289855</v>
      </c>
      <c r="BG246" s="307">
        <f t="shared" si="178"/>
        <v>412.1159420289855</v>
      </c>
      <c r="BH246" s="307">
        <f t="shared" si="178"/>
        <v>412.1159420289855</v>
      </c>
      <c r="BI246" s="307">
        <f t="shared" si="178"/>
        <v>412.1159420289855</v>
      </c>
      <c r="BJ246" s="307">
        <f t="shared" si="178"/>
        <v>412.1159420289855</v>
      </c>
      <c r="BK246" s="307">
        <f>IF(BK236&lt;0,MAX(-$C$10,200000*BK236),MIN(200000*BK236,$C$10)-IF(AND($C222&lt;$C$8*BK225,$C222&gt;0),$C$9,0))</f>
        <v>412.1159420289855</v>
      </c>
      <c r="BL246" s="307">
        <f>IF(BL236&lt;0,MAX(-$C$10,200000*BL236),MIN(200000*BL236,$C$10)-IF(AND($C222&lt;$C$8*BL225,$C222&gt;0),$C$9,0))</f>
        <v>412.1159420289855</v>
      </c>
      <c r="BM246" s="307">
        <f>IF(BM236&lt;0,MAX(-$C$10,200000*BM236),MIN(200000*BM236,$C$10)-IF(AND($C222&lt;$C$8*BM225,$C222&gt;0),$C$9,0))</f>
        <v>411.63768115942031</v>
      </c>
      <c r="BN246" s="307">
        <f>IF(BN236&lt;0,MAX(-$C$10,200000*BN236),MIN(200000*BN236,$C$10)-IF(AND($C222&lt;$C$8*BN225,$C222&gt;0),$C$9,0))</f>
        <v>391.96666666666658</v>
      </c>
      <c r="BO246" s="12">
        <f>200000*BO236-C$9</f>
        <v>327.33333333333331</v>
      </c>
      <c r="BP246" s="41"/>
      <c r="BQ246" s="41"/>
      <c r="BR246" s="41"/>
    </row>
    <row r="247" spans="1:70" ht="16.5">
      <c r="A247" s="41"/>
      <c r="B247" s="11">
        <v>2</v>
      </c>
      <c r="C247" s="302" t="s">
        <v>61</v>
      </c>
      <c r="D247" s="12">
        <f t="shared" ref="D247:AI247" si="179">IF(D237&lt;0,MAX(-$C$10,200000*D237),MIN(200000*D237,$C$10)-IF(AND($D227&lt;$C$8*D225,$D227&gt;0),$C$9,0))</f>
        <v>-434.78260869565219</v>
      </c>
      <c r="E247" s="307">
        <f t="shared" si="179"/>
        <v>-434.78260869565219</v>
      </c>
      <c r="F247" s="307">
        <f t="shared" si="179"/>
        <v>-434.78260869565219</v>
      </c>
      <c r="G247" s="307">
        <f t="shared" si="179"/>
        <v>-434.78260869565219</v>
      </c>
      <c r="H247" s="307">
        <f t="shared" si="179"/>
        <v>-434.78260869565219</v>
      </c>
      <c r="I247" s="307">
        <f t="shared" si="179"/>
        <v>-434.78260869565219</v>
      </c>
      <c r="J247" s="307">
        <f t="shared" si="179"/>
        <v>-434.78260869565219</v>
      </c>
      <c r="K247" s="307">
        <f t="shared" si="179"/>
        <v>-434.78260869565219</v>
      </c>
      <c r="L247" s="307">
        <f t="shared" si="179"/>
        <v>-434.78260869565219</v>
      </c>
      <c r="M247" s="307">
        <f t="shared" si="179"/>
        <v>-434.78260869565219</v>
      </c>
      <c r="N247" s="307">
        <f t="shared" si="179"/>
        <v>-434.78260869565219</v>
      </c>
      <c r="O247" s="307">
        <f t="shared" si="179"/>
        <v>-434.78260869565219</v>
      </c>
      <c r="P247" s="307">
        <f t="shared" si="179"/>
        <v>-434.78260869565219</v>
      </c>
      <c r="Q247" s="307">
        <f t="shared" si="179"/>
        <v>-434.78260869565219</v>
      </c>
      <c r="R247" s="307">
        <f t="shared" si="179"/>
        <v>-375.66807507349381</v>
      </c>
      <c r="S247" s="307">
        <f t="shared" si="179"/>
        <v>-312.07289843824759</v>
      </c>
      <c r="T247" s="307">
        <f t="shared" si="179"/>
        <v>-255.57765500141221</v>
      </c>
      <c r="U247" s="307">
        <f t="shared" si="179"/>
        <v>-205.05622344593536</v>
      </c>
      <c r="V247" s="307">
        <f t="shared" si="179"/>
        <v>-159.60867592537937</v>
      </c>
      <c r="W247" s="307">
        <f t="shared" si="179"/>
        <v>-118.50720180026711</v>
      </c>
      <c r="X247" s="307">
        <f t="shared" si="179"/>
        <v>-81.156837119547291</v>
      </c>
      <c r="Y247" s="307">
        <f t="shared" si="179"/>
        <v>-47.066476898491857</v>
      </c>
      <c r="Z247" s="307">
        <f t="shared" si="179"/>
        <v>-15.827160296580036</v>
      </c>
      <c r="AA247" s="307">
        <f t="shared" si="179"/>
        <v>12.904414721229143</v>
      </c>
      <c r="AB247" s="307">
        <f t="shared" si="179"/>
        <v>39.418559833644956</v>
      </c>
      <c r="AC247" s="307">
        <f t="shared" si="179"/>
        <v>63.962440637425637</v>
      </c>
      <c r="AD247" s="307">
        <f t="shared" si="179"/>
        <v>86.747804958244657</v>
      </c>
      <c r="AE247" s="307">
        <f t="shared" si="179"/>
        <v>107.9571074616338</v>
      </c>
      <c r="AF247" s="307">
        <f t="shared" si="179"/>
        <v>127.74840583263426</v>
      </c>
      <c r="AG247" s="307">
        <f t="shared" si="179"/>
        <v>123.59264001414321</v>
      </c>
      <c r="AH247" s="307">
        <f t="shared" si="179"/>
        <v>140.94350293471825</v>
      </c>
      <c r="AI247" s="307">
        <f t="shared" si="179"/>
        <v>157.24006049637393</v>
      </c>
      <c r="AJ247" s="307">
        <f t="shared" ref="AJ247:BK247" si="180">IF(AJ237&lt;0,MAX(-$C$10,200000*AJ237),MIN(200000*AJ237,$C$10)-IF(AND($D227&lt;$C$8*AJ225,$D227&gt;0),$C$9,0))</f>
        <v>172.57557470995485</v>
      </c>
      <c r="AK247" s="307">
        <f t="shared" si="180"/>
        <v>187.03262290944465</v>
      </c>
      <c r="AL247" s="307">
        <f t="shared" si="180"/>
        <v>200.68458527588092</v>
      </c>
      <c r="AM247" s="307">
        <f t="shared" si="180"/>
        <v>213.59689058117826</v>
      </c>
      <c r="AN247" s="307">
        <f t="shared" si="180"/>
        <v>225.82806479096888</v>
      </c>
      <c r="AO247" s="307">
        <f t="shared" si="180"/>
        <v>237.43061798866151</v>
      </c>
      <c r="AP247" s="307">
        <f t="shared" si="180"/>
        <v>248.45179797525398</v>
      </c>
      <c r="AQ247" s="307">
        <f t="shared" si="180"/>
        <v>258.93423335525324</v>
      </c>
      <c r="AR247" s="61">
        <f t="shared" si="180"/>
        <v>268.91648456534301</v>
      </c>
      <c r="AS247" s="307">
        <f t="shared" si="180"/>
        <v>291.40536946382457</v>
      </c>
      <c r="AT247" s="307">
        <f t="shared" si="180"/>
        <v>311.54687346452204</v>
      </c>
      <c r="AU247" s="307">
        <f t="shared" si="180"/>
        <v>329.69029479459732</v>
      </c>
      <c r="AV247" s="307">
        <f t="shared" si="180"/>
        <v>346.11890436512584</v>
      </c>
      <c r="AW247" s="307">
        <f t="shared" si="180"/>
        <v>361.06484307225412</v>
      </c>
      <c r="AX247" s="307">
        <f t="shared" si="180"/>
        <v>374.72015983246592</v>
      </c>
      <c r="AY247" s="307">
        <f t="shared" si="180"/>
        <v>387.24510847826201</v>
      </c>
      <c r="AZ247" s="307">
        <f t="shared" si="180"/>
        <v>398.77446612725208</v>
      </c>
      <c r="BA247" s="307">
        <f t="shared" si="180"/>
        <v>409.42240243008075</v>
      </c>
      <c r="BB247" s="307">
        <f t="shared" si="180"/>
        <v>412.1159420289855</v>
      </c>
      <c r="BC247" s="307">
        <f t="shared" si="180"/>
        <v>412.1159420289855</v>
      </c>
      <c r="BD247" s="307">
        <f t="shared" si="180"/>
        <v>412.1159420289855</v>
      </c>
      <c r="BE247" s="307">
        <f t="shared" si="180"/>
        <v>412.1159420289855</v>
      </c>
      <c r="BF247" s="307">
        <f t="shared" si="180"/>
        <v>412.1159420289855</v>
      </c>
      <c r="BG247" s="307">
        <f t="shared" si="180"/>
        <v>412.1159420289855</v>
      </c>
      <c r="BH247" s="307">
        <f t="shared" si="180"/>
        <v>410.67139887810174</v>
      </c>
      <c r="BI247" s="307">
        <f t="shared" si="180"/>
        <v>406.44028826174832</v>
      </c>
      <c r="BJ247" s="307">
        <f t="shared" si="180"/>
        <v>402.6180497584516</v>
      </c>
      <c r="BK247" s="307">
        <f t="shared" si="180"/>
        <v>399.14814814814821</v>
      </c>
      <c r="BL247" s="307">
        <f>IF(BL237&lt;0,MAX(-$C$10,200000*BL237),MIN(200000*BL237,$C$10)-IF(AND($D227&lt;$C$8*BL225,$D227&gt;0),$C$9,0))</f>
        <v>367.72916666666663</v>
      </c>
      <c r="BM247" s="307">
        <f>IF(BM237&lt;0,MAX(-$C$10,200000*BM237),MIN(200000*BM237,$C$10)-IF(AND($D227&lt;$C$8*BM225,$D227&gt;0),$C$9,0))</f>
        <v>355.43478260869557</v>
      </c>
      <c r="BN247" s="307">
        <f>IF(BN237&lt;0,MAX(-$C$10,200000*BN237),MIN(200000*BN237,$C$10)-IF(AND($D227&lt;$C$8*BN225,$D227&gt;0),$C$9,0))</f>
        <v>348.87777777777774</v>
      </c>
      <c r="BO247" s="12">
        <f>IF(D247=0,0,BO246)</f>
        <v>327.33333333333331</v>
      </c>
      <c r="BP247" s="43"/>
      <c r="BQ247" s="43"/>
      <c r="BR247" s="42"/>
    </row>
    <row r="248" spans="1:70" ht="16.5">
      <c r="A248" s="41"/>
      <c r="B248" s="11">
        <f t="shared" ref="B248:B254" si="181">1+B247</f>
        <v>3</v>
      </c>
      <c r="C248" s="302" t="s">
        <v>61</v>
      </c>
      <c r="D248" s="12">
        <f t="shared" ref="D248:AI248" si="182">IF(D238&lt;0,MAX(-$C$10,200000*D238),MIN(200000*D238,$C$10)-IF(AND($D228&lt;$C$8*D225,$D228&gt;0),$C$9,0))</f>
        <v>-434.78260869565219</v>
      </c>
      <c r="E248" s="307">
        <f t="shared" si="182"/>
        <v>-434.78260869565219</v>
      </c>
      <c r="F248" s="307">
        <f t="shared" si="182"/>
        <v>-434.78260869565219</v>
      </c>
      <c r="G248" s="307">
        <f t="shared" si="182"/>
        <v>-434.78260869565219</v>
      </c>
      <c r="H248" s="307">
        <f t="shared" si="182"/>
        <v>-434.78260869565219</v>
      </c>
      <c r="I248" s="307">
        <f t="shared" si="182"/>
        <v>-434.78260869565219</v>
      </c>
      <c r="J248" s="307">
        <f t="shared" si="182"/>
        <v>-434.78260869565219</v>
      </c>
      <c r="K248" s="307">
        <f t="shared" si="182"/>
        <v>-434.78260869565219</v>
      </c>
      <c r="L248" s="307">
        <f t="shared" si="182"/>
        <v>-434.78260869565219</v>
      </c>
      <c r="M248" s="307">
        <f t="shared" si="182"/>
        <v>-434.78260869565219</v>
      </c>
      <c r="N248" s="307">
        <f t="shared" si="182"/>
        <v>-434.78260869565219</v>
      </c>
      <c r="O248" s="307">
        <f t="shared" si="182"/>
        <v>-434.78260869565219</v>
      </c>
      <c r="P248" s="307">
        <f t="shared" si="182"/>
        <v>-434.78260869565219</v>
      </c>
      <c r="Q248" s="307">
        <f t="shared" si="182"/>
        <v>-434.78260869565219</v>
      </c>
      <c r="R248" s="307">
        <f t="shared" si="182"/>
        <v>-434.78260869565219</v>
      </c>
      <c r="S248" s="307">
        <f t="shared" si="182"/>
        <v>-434.78260869565219</v>
      </c>
      <c r="T248" s="307">
        <f t="shared" si="182"/>
        <v>-434.78260869565219</v>
      </c>
      <c r="U248" s="307">
        <f t="shared" si="182"/>
        <v>-434.78260869565219</v>
      </c>
      <c r="V248" s="307">
        <f t="shared" si="182"/>
        <v>-434.78260869565219</v>
      </c>
      <c r="W248" s="307">
        <f t="shared" si="182"/>
        <v>-434.78260869565219</v>
      </c>
      <c r="X248" s="307">
        <f t="shared" si="182"/>
        <v>-434.78260869565219</v>
      </c>
      <c r="Y248" s="307">
        <f t="shared" si="182"/>
        <v>-434.78260869565219</v>
      </c>
      <c r="Z248" s="307">
        <f t="shared" si="182"/>
        <v>-434.78260869565219</v>
      </c>
      <c r="AA248" s="307">
        <f t="shared" si="182"/>
        <v>-434.78260869565219</v>
      </c>
      <c r="AB248" s="307">
        <f t="shared" si="182"/>
        <v>-434.78260869565219</v>
      </c>
      <c r="AC248" s="307">
        <f t="shared" si="182"/>
        <v>-434.78260869565219</v>
      </c>
      <c r="AD248" s="307">
        <f t="shared" si="182"/>
        <v>-434.78260869565219</v>
      </c>
      <c r="AE248" s="307">
        <f t="shared" si="182"/>
        <v>-418.51442137665651</v>
      </c>
      <c r="AF248" s="307">
        <f t="shared" si="182"/>
        <v>-381.12379829051281</v>
      </c>
      <c r="AG248" s="307">
        <f t="shared" si="182"/>
        <v>-346.15216057253093</v>
      </c>
      <c r="AH248" s="307">
        <f t="shared" si="182"/>
        <v>-313.37211938871582</v>
      </c>
      <c r="AI248" s="307">
        <f t="shared" si="182"/>
        <v>-282.5839199504033</v>
      </c>
      <c r="AJ248" s="307">
        <f t="shared" ref="AJ248:BK248" si="183">IF(AJ238&lt;0,MAX(-$C$10,200000*AJ238),MIN(200000*AJ238,$C$10)-IF(AND($D228&lt;$C$8*AJ225,$D228&gt;0),$C$9,0))</f>
        <v>-253.61136741527531</v>
      </c>
      <c r="AK248" s="307">
        <f t="shared" si="183"/>
        <v>-226.29845291960993</v>
      </c>
      <c r="AL248" s="307">
        <f t="shared" si="183"/>
        <v>-200.50654328029131</v>
      </c>
      <c r="AM248" s="307">
        <f t="shared" si="183"/>
        <v>-176.11202747879054</v>
      </c>
      <c r="AN248" s="307">
        <f t="shared" si="183"/>
        <v>-153.00433559287796</v>
      </c>
      <c r="AO248" s="307">
        <f t="shared" si="183"/>
        <v>-131.08426317925972</v>
      </c>
      <c r="AP248" s="307">
        <f t="shared" si="183"/>
        <v>-110.26254753845812</v>
      </c>
      <c r="AQ248" s="307">
        <f t="shared" si="183"/>
        <v>-90.458652767576638</v>
      </c>
      <c r="AR248" s="61">
        <f t="shared" si="183"/>
        <v>-71.599728731821216</v>
      </c>
      <c r="AS248" s="307">
        <f t="shared" si="183"/>
        <v>-29.112702206118499</v>
      </c>
      <c r="AT248" s="307">
        <f t="shared" si="183"/>
        <v>8.9395453200788477</v>
      </c>
      <c r="AU248" s="307">
        <f t="shared" si="183"/>
        <v>43.216923980590323</v>
      </c>
      <c r="AV248" s="307">
        <f t="shared" si="183"/>
        <v>74.254602093771766</v>
      </c>
      <c r="AW248" s="307">
        <f t="shared" si="183"/>
        <v>102.4911508229691</v>
      </c>
      <c r="AX248" s="307">
        <f t="shared" si="183"/>
        <v>128.28939773592131</v>
      </c>
      <c r="AY248" s="307">
        <f t="shared" si="183"/>
        <v>129.28543501163375</v>
      </c>
      <c r="AZ248" s="307">
        <f t="shared" si="183"/>
        <v>151.06722305795986</v>
      </c>
      <c r="BA248" s="307">
        <f t="shared" si="183"/>
        <v>171.18378971675492</v>
      </c>
      <c r="BB248" s="307">
        <f t="shared" si="183"/>
        <v>189.8190639729122</v>
      </c>
      <c r="BC248" s="307">
        <f t="shared" si="183"/>
        <v>207.13084930646724</v>
      </c>
      <c r="BD248" s="307">
        <f t="shared" si="183"/>
        <v>221.31284085493829</v>
      </c>
      <c r="BE248" s="307">
        <f t="shared" si="183"/>
        <v>228.06724470278098</v>
      </c>
      <c r="BF248" s="307">
        <f t="shared" si="183"/>
        <v>234.01256828850975</v>
      </c>
      <c r="BG248" s="307">
        <f t="shared" si="183"/>
        <v>239.28597099047809</v>
      </c>
      <c r="BH248" s="307">
        <f t="shared" si="183"/>
        <v>243.99526778856486</v>
      </c>
      <c r="BI248" s="307">
        <f t="shared" si="183"/>
        <v>248.22637840491845</v>
      </c>
      <c r="BJ248" s="307">
        <f t="shared" si="183"/>
        <v>252.04861690821522</v>
      </c>
      <c r="BK248" s="307">
        <f t="shared" si="183"/>
        <v>255.51851851851856</v>
      </c>
      <c r="BL248" s="307">
        <f>IF(BL238&lt;0,MAX(-$C$10,200000*BL238),MIN(200000*BL238,$C$10)-IF(AND($D228&lt;$C$8*BL225,$D228&gt;0),$C$9,0))</f>
        <v>286.9375</v>
      </c>
      <c r="BM248" s="307">
        <f>IF(BM238&lt;0,MAX(-$C$10,200000*BM238),MIN(200000*BM238,$C$10)-IF(AND($D228&lt;$C$8*BM225,$D228&gt;0),$C$9,0))</f>
        <v>299.231884057971</v>
      </c>
      <c r="BN248" s="307">
        <f>IF(BN238&lt;0,MAX(-$C$10,200000*BN238),MIN(200000*BN238,$C$10)-IF(AND($D228&lt;$C$8*BN225,$D228&gt;0),$C$9,0))</f>
        <v>305.78888888888889</v>
      </c>
      <c r="BO248" s="12">
        <f>IF(D248=0,0,BO246)</f>
        <v>327.33333333333331</v>
      </c>
      <c r="BP248" s="43"/>
      <c r="BQ248" s="43"/>
      <c r="BR248" s="42"/>
    </row>
    <row r="249" spans="1:70" ht="16.5">
      <c r="A249" s="41"/>
      <c r="B249" s="11">
        <f t="shared" si="181"/>
        <v>4</v>
      </c>
      <c r="C249" s="302" t="s">
        <v>61</v>
      </c>
      <c r="D249" s="12">
        <f t="shared" ref="D249:AI249" si="184">IF(D239&lt;0,MAX(-$C$10,200000*D239),MIN(200000*D239,$C$10)-IF(AND($D229&lt;$C$8*D225,$D229&gt;0),$C$9,0))</f>
        <v>0</v>
      </c>
      <c r="E249" s="307">
        <f t="shared" si="184"/>
        <v>0</v>
      </c>
      <c r="F249" s="307">
        <f t="shared" si="184"/>
        <v>0</v>
      </c>
      <c r="G249" s="307">
        <f t="shared" si="184"/>
        <v>0</v>
      </c>
      <c r="H249" s="307">
        <f t="shared" si="184"/>
        <v>0</v>
      </c>
      <c r="I249" s="307">
        <f t="shared" si="184"/>
        <v>0</v>
      </c>
      <c r="J249" s="307">
        <f t="shared" si="184"/>
        <v>0</v>
      </c>
      <c r="K249" s="307">
        <f t="shared" si="184"/>
        <v>0</v>
      </c>
      <c r="L249" s="307">
        <f t="shared" si="184"/>
        <v>0</v>
      </c>
      <c r="M249" s="307">
        <f t="shared" si="184"/>
        <v>0</v>
      </c>
      <c r="N249" s="307">
        <f t="shared" si="184"/>
        <v>0</v>
      </c>
      <c r="O249" s="307">
        <f t="shared" si="184"/>
        <v>0</v>
      </c>
      <c r="P249" s="307">
        <f t="shared" si="184"/>
        <v>0</v>
      </c>
      <c r="Q249" s="307">
        <f t="shared" si="184"/>
        <v>0</v>
      </c>
      <c r="R249" s="307">
        <f t="shared" si="184"/>
        <v>0</v>
      </c>
      <c r="S249" s="307">
        <f t="shared" si="184"/>
        <v>0</v>
      </c>
      <c r="T249" s="307">
        <f t="shared" si="184"/>
        <v>0</v>
      </c>
      <c r="U249" s="307">
        <f t="shared" si="184"/>
        <v>0</v>
      </c>
      <c r="V249" s="307">
        <f t="shared" si="184"/>
        <v>0</v>
      </c>
      <c r="W249" s="307">
        <f t="shared" si="184"/>
        <v>0</v>
      </c>
      <c r="X249" s="307">
        <f t="shared" si="184"/>
        <v>0</v>
      </c>
      <c r="Y249" s="307">
        <f t="shared" si="184"/>
        <v>0</v>
      </c>
      <c r="Z249" s="307">
        <f t="shared" si="184"/>
        <v>0</v>
      </c>
      <c r="AA249" s="307">
        <f t="shared" si="184"/>
        <v>0</v>
      </c>
      <c r="AB249" s="307">
        <f t="shared" si="184"/>
        <v>0</v>
      </c>
      <c r="AC249" s="307">
        <f t="shared" si="184"/>
        <v>0</v>
      </c>
      <c r="AD249" s="307">
        <f t="shared" si="184"/>
        <v>0</v>
      </c>
      <c r="AE249" s="307">
        <f t="shared" si="184"/>
        <v>0</v>
      </c>
      <c r="AF249" s="307">
        <f t="shared" si="184"/>
        <v>0</v>
      </c>
      <c r="AG249" s="307">
        <f t="shared" si="184"/>
        <v>0</v>
      </c>
      <c r="AH249" s="307">
        <f t="shared" si="184"/>
        <v>0</v>
      </c>
      <c r="AI249" s="307">
        <f t="shared" si="184"/>
        <v>0</v>
      </c>
      <c r="AJ249" s="307">
        <f t="shared" ref="AJ249:BK249" si="185">IF(AJ239&lt;0,MAX(-$C$10,200000*AJ239),MIN(200000*AJ239,$C$10)-IF(AND($D229&lt;$C$8*AJ225,$D229&gt;0),$C$9,0))</f>
        <v>0</v>
      </c>
      <c r="AK249" s="307">
        <f t="shared" si="185"/>
        <v>0</v>
      </c>
      <c r="AL249" s="307">
        <f t="shared" si="185"/>
        <v>0</v>
      </c>
      <c r="AM249" s="307">
        <f t="shared" si="185"/>
        <v>0</v>
      </c>
      <c r="AN249" s="307">
        <f t="shared" si="185"/>
        <v>0</v>
      </c>
      <c r="AO249" s="307">
        <f t="shared" si="185"/>
        <v>0</v>
      </c>
      <c r="AP249" s="307">
        <f t="shared" si="185"/>
        <v>0</v>
      </c>
      <c r="AQ249" s="307">
        <f t="shared" si="185"/>
        <v>0</v>
      </c>
      <c r="AR249" s="61">
        <f t="shared" si="185"/>
        <v>0</v>
      </c>
      <c r="AS249" s="307">
        <f t="shared" si="185"/>
        <v>0</v>
      </c>
      <c r="AT249" s="307">
        <f t="shared" si="185"/>
        <v>0</v>
      </c>
      <c r="AU249" s="307">
        <f t="shared" si="185"/>
        <v>0</v>
      </c>
      <c r="AV249" s="307">
        <f t="shared" si="185"/>
        <v>0</v>
      </c>
      <c r="AW249" s="307">
        <f t="shared" si="185"/>
        <v>0</v>
      </c>
      <c r="AX249" s="307">
        <f t="shared" si="185"/>
        <v>0</v>
      </c>
      <c r="AY249" s="307">
        <f t="shared" si="185"/>
        <v>0</v>
      </c>
      <c r="AZ249" s="307">
        <f t="shared" si="185"/>
        <v>0</v>
      </c>
      <c r="BA249" s="307">
        <f t="shared" si="185"/>
        <v>0</v>
      </c>
      <c r="BB249" s="307">
        <f t="shared" si="185"/>
        <v>0</v>
      </c>
      <c r="BC249" s="307">
        <f t="shared" si="185"/>
        <v>0</v>
      </c>
      <c r="BD249" s="307">
        <f t="shared" si="185"/>
        <v>0</v>
      </c>
      <c r="BE249" s="307">
        <f t="shared" si="185"/>
        <v>0</v>
      </c>
      <c r="BF249" s="307">
        <f t="shared" si="185"/>
        <v>0</v>
      </c>
      <c r="BG249" s="307">
        <f t="shared" si="185"/>
        <v>0</v>
      </c>
      <c r="BH249" s="307">
        <f t="shared" si="185"/>
        <v>0</v>
      </c>
      <c r="BI249" s="307">
        <f t="shared" si="185"/>
        <v>0</v>
      </c>
      <c r="BJ249" s="307">
        <f t="shared" si="185"/>
        <v>0</v>
      </c>
      <c r="BK249" s="307">
        <f t="shared" si="185"/>
        <v>0</v>
      </c>
      <c r="BL249" s="307">
        <f>IF(BL239&lt;0,MAX(-$C$10,200000*BL239),MIN(200000*BL239,$C$10)-IF(AND($D229&lt;$C$8*BL225,$D229&gt;0),$C$9,0))</f>
        <v>0</v>
      </c>
      <c r="BM249" s="307">
        <f>IF(BM239&lt;0,MAX(-$C$10,200000*BM239),MIN(200000*BM239,$C$10)-IF(AND($D229&lt;$C$8*BM225,$D229&gt;0),$C$9,0))</f>
        <v>0</v>
      </c>
      <c r="BN249" s="307">
        <f>IF(BN239&lt;0,MAX(-$C$10,200000*BN239),MIN(200000*BN239,$C$10)-IF(AND($D229&lt;$C$8*BN225,$D229&gt;0),$C$9,0))</f>
        <v>0</v>
      </c>
      <c r="BO249" s="12">
        <f>IF(D249=0,0,BO246)</f>
        <v>0</v>
      </c>
      <c r="BP249" s="43"/>
      <c r="BQ249" s="43"/>
      <c r="BR249" s="42"/>
    </row>
    <row r="250" spans="1:70" ht="16.5">
      <c r="A250" s="41"/>
      <c r="B250" s="11">
        <f t="shared" si="181"/>
        <v>5</v>
      </c>
      <c r="C250" s="302" t="s">
        <v>61</v>
      </c>
      <c r="D250" s="12">
        <f t="shared" ref="D250:AI250" si="186">IF(D240&lt;0,MAX(-$C$10,200000*D240),MIN(200000*D240,$C$10)-IF(AND($D230&lt;$C$8*D225,$D230&gt;0),$C$9,0))</f>
        <v>0</v>
      </c>
      <c r="E250" s="307">
        <f t="shared" si="186"/>
        <v>0</v>
      </c>
      <c r="F250" s="307">
        <f t="shared" si="186"/>
        <v>0</v>
      </c>
      <c r="G250" s="307">
        <f t="shared" si="186"/>
        <v>0</v>
      </c>
      <c r="H250" s="307">
        <f t="shared" si="186"/>
        <v>0</v>
      </c>
      <c r="I250" s="307">
        <f t="shared" si="186"/>
        <v>0</v>
      </c>
      <c r="J250" s="307">
        <f t="shared" si="186"/>
        <v>0</v>
      </c>
      <c r="K250" s="307">
        <f t="shared" si="186"/>
        <v>0</v>
      </c>
      <c r="L250" s="307">
        <f t="shared" si="186"/>
        <v>0</v>
      </c>
      <c r="M250" s="307">
        <f t="shared" si="186"/>
        <v>0</v>
      </c>
      <c r="N250" s="307">
        <f t="shared" si="186"/>
        <v>0</v>
      </c>
      <c r="O250" s="307">
        <f t="shared" si="186"/>
        <v>0</v>
      </c>
      <c r="P250" s="307">
        <f t="shared" si="186"/>
        <v>0</v>
      </c>
      <c r="Q250" s="307">
        <f t="shared" si="186"/>
        <v>0</v>
      </c>
      <c r="R250" s="307">
        <f t="shared" si="186"/>
        <v>0</v>
      </c>
      <c r="S250" s="307">
        <f t="shared" si="186"/>
        <v>0</v>
      </c>
      <c r="T250" s="307">
        <f t="shared" si="186"/>
        <v>0</v>
      </c>
      <c r="U250" s="307">
        <f t="shared" si="186"/>
        <v>0</v>
      </c>
      <c r="V250" s="307">
        <f t="shared" si="186"/>
        <v>0</v>
      </c>
      <c r="W250" s="307">
        <f t="shared" si="186"/>
        <v>0</v>
      </c>
      <c r="X250" s="307">
        <f t="shared" si="186"/>
        <v>0</v>
      </c>
      <c r="Y250" s="307">
        <f t="shared" si="186"/>
        <v>0</v>
      </c>
      <c r="Z250" s="307">
        <f t="shared" si="186"/>
        <v>0</v>
      </c>
      <c r="AA250" s="307">
        <f t="shared" si="186"/>
        <v>0</v>
      </c>
      <c r="AB250" s="307">
        <f t="shared" si="186"/>
        <v>0</v>
      </c>
      <c r="AC250" s="307">
        <f t="shared" si="186"/>
        <v>0</v>
      </c>
      <c r="AD250" s="307">
        <f t="shared" si="186"/>
        <v>0</v>
      </c>
      <c r="AE250" s="307">
        <f t="shared" si="186"/>
        <v>0</v>
      </c>
      <c r="AF250" s="307">
        <f t="shared" si="186"/>
        <v>0</v>
      </c>
      <c r="AG250" s="307">
        <f t="shared" si="186"/>
        <v>0</v>
      </c>
      <c r="AH250" s="307">
        <f t="shared" si="186"/>
        <v>0</v>
      </c>
      <c r="AI250" s="307">
        <f t="shared" si="186"/>
        <v>0</v>
      </c>
      <c r="AJ250" s="307">
        <f t="shared" ref="AJ250:BK250" si="187">IF(AJ240&lt;0,MAX(-$C$10,200000*AJ240),MIN(200000*AJ240,$C$10)-IF(AND($D230&lt;$C$8*AJ225,$D230&gt;0),$C$9,0))</f>
        <v>0</v>
      </c>
      <c r="AK250" s="307">
        <f t="shared" si="187"/>
        <v>0</v>
      </c>
      <c r="AL250" s="307">
        <f t="shared" si="187"/>
        <v>0</v>
      </c>
      <c r="AM250" s="307">
        <f t="shared" si="187"/>
        <v>0</v>
      </c>
      <c r="AN250" s="307">
        <f t="shared" si="187"/>
        <v>0</v>
      </c>
      <c r="AO250" s="307">
        <f t="shared" si="187"/>
        <v>0</v>
      </c>
      <c r="AP250" s="307">
        <f t="shared" si="187"/>
        <v>0</v>
      </c>
      <c r="AQ250" s="307">
        <f t="shared" si="187"/>
        <v>0</v>
      </c>
      <c r="AR250" s="61">
        <f t="shared" si="187"/>
        <v>0</v>
      </c>
      <c r="AS250" s="307">
        <f t="shared" si="187"/>
        <v>0</v>
      </c>
      <c r="AT250" s="307">
        <f t="shared" si="187"/>
        <v>0</v>
      </c>
      <c r="AU250" s="307">
        <f t="shared" si="187"/>
        <v>0</v>
      </c>
      <c r="AV250" s="307">
        <f t="shared" si="187"/>
        <v>0</v>
      </c>
      <c r="AW250" s="307">
        <f t="shared" si="187"/>
        <v>0</v>
      </c>
      <c r="AX250" s="307">
        <f t="shared" si="187"/>
        <v>0</v>
      </c>
      <c r="AY250" s="307">
        <f t="shared" si="187"/>
        <v>0</v>
      </c>
      <c r="AZ250" s="307">
        <f t="shared" si="187"/>
        <v>0</v>
      </c>
      <c r="BA250" s="307">
        <f t="shared" si="187"/>
        <v>0</v>
      </c>
      <c r="BB250" s="307">
        <f t="shared" si="187"/>
        <v>0</v>
      </c>
      <c r="BC250" s="307">
        <f t="shared" si="187"/>
        <v>0</v>
      </c>
      <c r="BD250" s="307">
        <f t="shared" si="187"/>
        <v>0</v>
      </c>
      <c r="BE250" s="307">
        <f t="shared" si="187"/>
        <v>0</v>
      </c>
      <c r="BF250" s="307">
        <f t="shared" si="187"/>
        <v>0</v>
      </c>
      <c r="BG250" s="307">
        <f t="shared" si="187"/>
        <v>0</v>
      </c>
      <c r="BH250" s="307">
        <f t="shared" si="187"/>
        <v>0</v>
      </c>
      <c r="BI250" s="307">
        <f t="shared" si="187"/>
        <v>0</v>
      </c>
      <c r="BJ250" s="307">
        <f t="shared" si="187"/>
        <v>0</v>
      </c>
      <c r="BK250" s="307">
        <f t="shared" si="187"/>
        <v>0</v>
      </c>
      <c r="BL250" s="307">
        <f>IF(BL240&lt;0,MAX(-$C$10,200000*BL240),MIN(200000*BL240,$C$10)-IF(AND($D230&lt;$C$8*BL225,$D230&gt;0),$C$9,0))</f>
        <v>0</v>
      </c>
      <c r="BM250" s="307">
        <f>IF(BM240&lt;0,MAX(-$C$10,200000*BM240),MIN(200000*BM240,$C$10)-IF(AND($D230&lt;$C$8*BM225,$D230&gt;0),$C$9,0))</f>
        <v>0</v>
      </c>
      <c r="BN250" s="307">
        <f>IF(BN240&lt;0,MAX(-$C$10,200000*BN240),MIN(200000*BN240,$C$10)-IF(AND($D230&lt;$C$8*BN225,$D230&gt;0),$C$9,0))</f>
        <v>0</v>
      </c>
      <c r="BO250" s="12">
        <f>IF(D250=0,0,BO246)</f>
        <v>0</v>
      </c>
      <c r="BP250" s="43"/>
      <c r="BQ250" s="43"/>
      <c r="BR250" s="42"/>
    </row>
    <row r="251" spans="1:70" ht="16.5">
      <c r="A251" s="41"/>
      <c r="B251" s="11">
        <f t="shared" si="181"/>
        <v>6</v>
      </c>
      <c r="C251" s="302" t="s">
        <v>61</v>
      </c>
      <c r="D251" s="12">
        <f t="shared" ref="D251:AI251" si="188">IF(D241&lt;0,MAX(-$C$10,200000*D241),MIN(200000*D241,$C$10)-IF(AND($D231&lt;$C$8*D225,$D231&gt;0),$C$9,0))</f>
        <v>0</v>
      </c>
      <c r="E251" s="307">
        <f t="shared" si="188"/>
        <v>0</v>
      </c>
      <c r="F251" s="307">
        <f t="shared" si="188"/>
        <v>0</v>
      </c>
      <c r="G251" s="307">
        <f t="shared" si="188"/>
        <v>0</v>
      </c>
      <c r="H251" s="307">
        <f t="shared" si="188"/>
        <v>0</v>
      </c>
      <c r="I251" s="307">
        <f t="shared" si="188"/>
        <v>0</v>
      </c>
      <c r="J251" s="307">
        <f t="shared" si="188"/>
        <v>0</v>
      </c>
      <c r="K251" s="307">
        <f t="shared" si="188"/>
        <v>0</v>
      </c>
      <c r="L251" s="307">
        <f t="shared" si="188"/>
        <v>0</v>
      </c>
      <c r="M251" s="307">
        <f t="shared" si="188"/>
        <v>0</v>
      </c>
      <c r="N251" s="307">
        <f t="shared" si="188"/>
        <v>0</v>
      </c>
      <c r="O251" s="307">
        <f t="shared" si="188"/>
        <v>0</v>
      </c>
      <c r="P251" s="307">
        <f t="shared" si="188"/>
        <v>0</v>
      </c>
      <c r="Q251" s="307">
        <f t="shared" si="188"/>
        <v>0</v>
      </c>
      <c r="R251" s="307">
        <f t="shared" si="188"/>
        <v>0</v>
      </c>
      <c r="S251" s="307">
        <f t="shared" si="188"/>
        <v>0</v>
      </c>
      <c r="T251" s="307">
        <f t="shared" si="188"/>
        <v>0</v>
      </c>
      <c r="U251" s="307">
        <f t="shared" si="188"/>
        <v>0</v>
      </c>
      <c r="V251" s="307">
        <f t="shared" si="188"/>
        <v>0</v>
      </c>
      <c r="W251" s="307">
        <f t="shared" si="188"/>
        <v>0</v>
      </c>
      <c r="X251" s="307">
        <f t="shared" si="188"/>
        <v>0</v>
      </c>
      <c r="Y251" s="307">
        <f t="shared" si="188"/>
        <v>0</v>
      </c>
      <c r="Z251" s="307">
        <f t="shared" si="188"/>
        <v>0</v>
      </c>
      <c r="AA251" s="307">
        <f t="shared" si="188"/>
        <v>0</v>
      </c>
      <c r="AB251" s="307">
        <f t="shared" si="188"/>
        <v>0</v>
      </c>
      <c r="AC251" s="307">
        <f t="shared" si="188"/>
        <v>0</v>
      </c>
      <c r="AD251" s="307">
        <f t="shared" si="188"/>
        <v>0</v>
      </c>
      <c r="AE251" s="307">
        <f t="shared" si="188"/>
        <v>0</v>
      </c>
      <c r="AF251" s="307">
        <f t="shared" si="188"/>
        <v>0</v>
      </c>
      <c r="AG251" s="307">
        <f t="shared" si="188"/>
        <v>0</v>
      </c>
      <c r="AH251" s="307">
        <f t="shared" si="188"/>
        <v>0</v>
      </c>
      <c r="AI251" s="307">
        <f t="shared" si="188"/>
        <v>0</v>
      </c>
      <c r="AJ251" s="307">
        <f t="shared" ref="AJ251:BK251" si="189">IF(AJ241&lt;0,MAX(-$C$10,200000*AJ241),MIN(200000*AJ241,$C$10)-IF(AND($D231&lt;$C$8*AJ225,$D231&gt;0),$C$9,0))</f>
        <v>0</v>
      </c>
      <c r="AK251" s="307">
        <f t="shared" si="189"/>
        <v>0</v>
      </c>
      <c r="AL251" s="307">
        <f t="shared" si="189"/>
        <v>0</v>
      </c>
      <c r="AM251" s="307">
        <f t="shared" si="189"/>
        <v>0</v>
      </c>
      <c r="AN251" s="307">
        <f t="shared" si="189"/>
        <v>0</v>
      </c>
      <c r="AO251" s="307">
        <f t="shared" si="189"/>
        <v>0</v>
      </c>
      <c r="AP251" s="307">
        <f t="shared" si="189"/>
        <v>0</v>
      </c>
      <c r="AQ251" s="307">
        <f t="shared" si="189"/>
        <v>0</v>
      </c>
      <c r="AR251" s="61">
        <f t="shared" si="189"/>
        <v>0</v>
      </c>
      <c r="AS251" s="307">
        <f t="shared" si="189"/>
        <v>0</v>
      </c>
      <c r="AT251" s="307">
        <f t="shared" si="189"/>
        <v>0</v>
      </c>
      <c r="AU251" s="307">
        <f t="shared" si="189"/>
        <v>0</v>
      </c>
      <c r="AV251" s="307">
        <f t="shared" si="189"/>
        <v>0</v>
      </c>
      <c r="AW251" s="307">
        <f t="shared" si="189"/>
        <v>0</v>
      </c>
      <c r="AX251" s="307">
        <f t="shared" si="189"/>
        <v>0</v>
      </c>
      <c r="AY251" s="307">
        <f t="shared" si="189"/>
        <v>0</v>
      </c>
      <c r="AZ251" s="307">
        <f t="shared" si="189"/>
        <v>0</v>
      </c>
      <c r="BA251" s="307">
        <f t="shared" si="189"/>
        <v>0</v>
      </c>
      <c r="BB251" s="307">
        <f t="shared" si="189"/>
        <v>0</v>
      </c>
      <c r="BC251" s="307">
        <f t="shared" si="189"/>
        <v>0</v>
      </c>
      <c r="BD251" s="307">
        <f t="shared" si="189"/>
        <v>0</v>
      </c>
      <c r="BE251" s="307">
        <f t="shared" si="189"/>
        <v>0</v>
      </c>
      <c r="BF251" s="307">
        <f t="shared" si="189"/>
        <v>0</v>
      </c>
      <c r="BG251" s="307">
        <f t="shared" si="189"/>
        <v>0</v>
      </c>
      <c r="BH251" s="307">
        <f t="shared" si="189"/>
        <v>0</v>
      </c>
      <c r="BI251" s="307">
        <f t="shared" si="189"/>
        <v>0</v>
      </c>
      <c r="BJ251" s="307">
        <f t="shared" si="189"/>
        <v>0</v>
      </c>
      <c r="BK251" s="307">
        <f t="shared" si="189"/>
        <v>0</v>
      </c>
      <c r="BL251" s="307">
        <f>IF(BL241&lt;0,MAX(-$C$10,200000*BL241),MIN(200000*BL241,$C$10)-IF(AND($D231&lt;$C$8*BL225,$D231&gt;0),$C$9,0))</f>
        <v>0</v>
      </c>
      <c r="BM251" s="307">
        <f>IF(BM241&lt;0,MAX(-$C$10,200000*BM241),MIN(200000*BM241,$C$10)-IF(AND($D231&lt;$C$8*BM225,$D231&gt;0),$C$9,0))</f>
        <v>0</v>
      </c>
      <c r="BN251" s="307">
        <f>IF(BN241&lt;0,MAX(-$C$10,200000*BN241),MIN(200000*BN241,$C$10)-IF(AND($D231&lt;$C$8*BN225,$D231&gt;0),$C$9,0))</f>
        <v>0</v>
      </c>
      <c r="BO251" s="12">
        <f>IF(D251=0,0,BO246)</f>
        <v>0</v>
      </c>
      <c r="BP251" s="43"/>
      <c r="BQ251" s="43"/>
      <c r="BR251" s="42"/>
    </row>
    <row r="252" spans="1:70" ht="16.5">
      <c r="A252" s="41"/>
      <c r="B252" s="11">
        <f t="shared" si="181"/>
        <v>7</v>
      </c>
      <c r="C252" s="302" t="s">
        <v>61</v>
      </c>
      <c r="D252" s="12">
        <f t="shared" ref="D252:AI252" si="190">IF(D242&lt;0,MAX(-$C$10,200000*D242),MIN(200000*D242,$C$10)-IF(AND($D232&lt;$C$8*D225,$D232&gt;0),$C$9,0))</f>
        <v>0</v>
      </c>
      <c r="E252" s="307">
        <f t="shared" si="190"/>
        <v>0</v>
      </c>
      <c r="F252" s="307">
        <f t="shared" si="190"/>
        <v>0</v>
      </c>
      <c r="G252" s="307">
        <f t="shared" si="190"/>
        <v>0</v>
      </c>
      <c r="H252" s="307">
        <f t="shared" si="190"/>
        <v>0</v>
      </c>
      <c r="I252" s="307">
        <f t="shared" si="190"/>
        <v>0</v>
      </c>
      <c r="J252" s="307">
        <f t="shared" si="190"/>
        <v>0</v>
      </c>
      <c r="K252" s="307">
        <f t="shared" si="190"/>
        <v>0</v>
      </c>
      <c r="L252" s="307">
        <f t="shared" si="190"/>
        <v>0</v>
      </c>
      <c r="M252" s="307">
        <f t="shared" si="190"/>
        <v>0</v>
      </c>
      <c r="N252" s="307">
        <f t="shared" si="190"/>
        <v>0</v>
      </c>
      <c r="O252" s="307">
        <f t="shared" si="190"/>
        <v>0</v>
      </c>
      <c r="P252" s="307">
        <f t="shared" si="190"/>
        <v>0</v>
      </c>
      <c r="Q252" s="307">
        <f t="shared" si="190"/>
        <v>0</v>
      </c>
      <c r="R252" s="307">
        <f t="shared" si="190"/>
        <v>0</v>
      </c>
      <c r="S252" s="307">
        <f t="shared" si="190"/>
        <v>0</v>
      </c>
      <c r="T252" s="307">
        <f t="shared" si="190"/>
        <v>0</v>
      </c>
      <c r="U252" s="307">
        <f t="shared" si="190"/>
        <v>0</v>
      </c>
      <c r="V252" s="307">
        <f t="shared" si="190"/>
        <v>0</v>
      </c>
      <c r="W252" s="307">
        <f t="shared" si="190"/>
        <v>0</v>
      </c>
      <c r="X252" s="307">
        <f t="shared" si="190"/>
        <v>0</v>
      </c>
      <c r="Y252" s="307">
        <f t="shared" si="190"/>
        <v>0</v>
      </c>
      <c r="Z252" s="307">
        <f t="shared" si="190"/>
        <v>0</v>
      </c>
      <c r="AA252" s="307">
        <f t="shared" si="190"/>
        <v>0</v>
      </c>
      <c r="AB252" s="307">
        <f t="shared" si="190"/>
        <v>0</v>
      </c>
      <c r="AC252" s="307">
        <f t="shared" si="190"/>
        <v>0</v>
      </c>
      <c r="AD252" s="307">
        <f t="shared" si="190"/>
        <v>0</v>
      </c>
      <c r="AE252" s="307">
        <f t="shared" si="190"/>
        <v>0</v>
      </c>
      <c r="AF252" s="307">
        <f t="shared" si="190"/>
        <v>0</v>
      </c>
      <c r="AG252" s="307">
        <f t="shared" si="190"/>
        <v>0</v>
      </c>
      <c r="AH252" s="307">
        <f t="shared" si="190"/>
        <v>0</v>
      </c>
      <c r="AI252" s="307">
        <f t="shared" si="190"/>
        <v>0</v>
      </c>
      <c r="AJ252" s="307">
        <f t="shared" ref="AJ252:BK252" si="191">IF(AJ242&lt;0,MAX(-$C$10,200000*AJ242),MIN(200000*AJ242,$C$10)-IF(AND($D232&lt;$C$8*AJ225,$D232&gt;0),$C$9,0))</f>
        <v>0</v>
      </c>
      <c r="AK252" s="307">
        <f t="shared" si="191"/>
        <v>0</v>
      </c>
      <c r="AL252" s="307">
        <f t="shared" si="191"/>
        <v>0</v>
      </c>
      <c r="AM252" s="307">
        <f t="shared" si="191"/>
        <v>0</v>
      </c>
      <c r="AN252" s="307">
        <f t="shared" si="191"/>
        <v>0</v>
      </c>
      <c r="AO252" s="307">
        <f t="shared" si="191"/>
        <v>0</v>
      </c>
      <c r="AP252" s="307">
        <f t="shared" si="191"/>
        <v>0</v>
      </c>
      <c r="AQ252" s="307">
        <f t="shared" si="191"/>
        <v>0</v>
      </c>
      <c r="AR252" s="61">
        <f t="shared" si="191"/>
        <v>0</v>
      </c>
      <c r="AS252" s="307">
        <f t="shared" si="191"/>
        <v>0</v>
      </c>
      <c r="AT252" s="307">
        <f t="shared" si="191"/>
        <v>0</v>
      </c>
      <c r="AU252" s="307">
        <f t="shared" si="191"/>
        <v>0</v>
      </c>
      <c r="AV252" s="307">
        <f t="shared" si="191"/>
        <v>0</v>
      </c>
      <c r="AW252" s="307">
        <f t="shared" si="191"/>
        <v>0</v>
      </c>
      <c r="AX252" s="307">
        <f t="shared" si="191"/>
        <v>0</v>
      </c>
      <c r="AY252" s="307">
        <f t="shared" si="191"/>
        <v>0</v>
      </c>
      <c r="AZ252" s="307">
        <f t="shared" si="191"/>
        <v>0</v>
      </c>
      <c r="BA252" s="307">
        <f t="shared" si="191"/>
        <v>0</v>
      </c>
      <c r="BB252" s="307">
        <f t="shared" si="191"/>
        <v>0</v>
      </c>
      <c r="BC252" s="307">
        <f t="shared" si="191"/>
        <v>0</v>
      </c>
      <c r="BD252" s="307">
        <f t="shared" si="191"/>
        <v>0</v>
      </c>
      <c r="BE252" s="307">
        <f t="shared" si="191"/>
        <v>0</v>
      </c>
      <c r="BF252" s="307">
        <f t="shared" si="191"/>
        <v>0</v>
      </c>
      <c r="BG252" s="307">
        <f t="shared" si="191"/>
        <v>0</v>
      </c>
      <c r="BH252" s="307">
        <f t="shared" si="191"/>
        <v>0</v>
      </c>
      <c r="BI252" s="307">
        <f t="shared" si="191"/>
        <v>0</v>
      </c>
      <c r="BJ252" s="307">
        <f t="shared" si="191"/>
        <v>0</v>
      </c>
      <c r="BK252" s="307">
        <f t="shared" si="191"/>
        <v>0</v>
      </c>
      <c r="BL252" s="307">
        <f>IF(BL242&lt;0,MAX(-$C$10,200000*BL242),MIN(200000*BL242,$C$10)-IF(AND($D232&lt;$C$8*BL225,$D232&gt;0),$C$9,0))</f>
        <v>0</v>
      </c>
      <c r="BM252" s="307">
        <f>IF(BM242&lt;0,MAX(-$C$10,200000*BM242),MIN(200000*BM242,$C$10)-IF(AND($D232&lt;$C$8*BM225,$D232&gt;0),$C$9,0))</f>
        <v>0</v>
      </c>
      <c r="BN252" s="307">
        <f>IF(BN242&lt;0,MAX(-$C$10,200000*BN242),MIN(200000*BN242,$C$10)-IF(AND($D232&lt;$C$8*BN225,$D232&gt;0),$C$9,0))</f>
        <v>0</v>
      </c>
      <c r="BO252" s="12">
        <f>IF(D252=0,0,BO246)</f>
        <v>0</v>
      </c>
      <c r="BP252" s="43"/>
      <c r="BQ252" s="43"/>
      <c r="BR252" s="42"/>
    </row>
    <row r="253" spans="1:70" ht="16.5">
      <c r="A253" s="41"/>
      <c r="B253" s="11">
        <f t="shared" si="181"/>
        <v>8</v>
      </c>
      <c r="C253" s="302" t="s">
        <v>61</v>
      </c>
      <c r="D253" s="12">
        <f t="shared" ref="D253:AI253" si="192">IF(D243&lt;0,MAX(-$C$10,200000*D243),MIN(200000*D243,$C$10)-IF(AND($D233&lt;$C$8*D225,$D233&gt;0),$C$9,0))</f>
        <v>0</v>
      </c>
      <c r="E253" s="307">
        <f t="shared" si="192"/>
        <v>0</v>
      </c>
      <c r="F253" s="307">
        <f t="shared" si="192"/>
        <v>0</v>
      </c>
      <c r="G253" s="307">
        <f t="shared" si="192"/>
        <v>0</v>
      </c>
      <c r="H253" s="307">
        <f t="shared" si="192"/>
        <v>0</v>
      </c>
      <c r="I253" s="307">
        <f t="shared" si="192"/>
        <v>0</v>
      </c>
      <c r="J253" s="307">
        <f t="shared" si="192"/>
        <v>0</v>
      </c>
      <c r="K253" s="307">
        <f t="shared" si="192"/>
        <v>0</v>
      </c>
      <c r="L253" s="307">
        <f t="shared" si="192"/>
        <v>0</v>
      </c>
      <c r="M253" s="307">
        <f t="shared" si="192"/>
        <v>0</v>
      </c>
      <c r="N253" s="307">
        <f t="shared" si="192"/>
        <v>0</v>
      </c>
      <c r="O253" s="307">
        <f t="shared" si="192"/>
        <v>0</v>
      </c>
      <c r="P253" s="307">
        <f t="shared" si="192"/>
        <v>0</v>
      </c>
      <c r="Q253" s="307">
        <f t="shared" si="192"/>
        <v>0</v>
      </c>
      <c r="R253" s="307">
        <f t="shared" si="192"/>
        <v>0</v>
      </c>
      <c r="S253" s="307">
        <f t="shared" si="192"/>
        <v>0</v>
      </c>
      <c r="T253" s="307">
        <f t="shared" si="192"/>
        <v>0</v>
      </c>
      <c r="U253" s="307">
        <f t="shared" si="192"/>
        <v>0</v>
      </c>
      <c r="V253" s="307">
        <f t="shared" si="192"/>
        <v>0</v>
      </c>
      <c r="W253" s="307">
        <f t="shared" si="192"/>
        <v>0</v>
      </c>
      <c r="X253" s="307">
        <f t="shared" si="192"/>
        <v>0</v>
      </c>
      <c r="Y253" s="307">
        <f t="shared" si="192"/>
        <v>0</v>
      </c>
      <c r="Z253" s="307">
        <f t="shared" si="192"/>
        <v>0</v>
      </c>
      <c r="AA253" s="307">
        <f t="shared" si="192"/>
        <v>0</v>
      </c>
      <c r="AB253" s="307">
        <f t="shared" si="192"/>
        <v>0</v>
      </c>
      <c r="AC253" s="307">
        <f t="shared" si="192"/>
        <v>0</v>
      </c>
      <c r="AD253" s="307">
        <f t="shared" si="192"/>
        <v>0</v>
      </c>
      <c r="AE253" s="307">
        <f t="shared" si="192"/>
        <v>0</v>
      </c>
      <c r="AF253" s="307">
        <f t="shared" si="192"/>
        <v>0</v>
      </c>
      <c r="AG253" s="307">
        <f t="shared" si="192"/>
        <v>0</v>
      </c>
      <c r="AH253" s="307">
        <f t="shared" si="192"/>
        <v>0</v>
      </c>
      <c r="AI253" s="307">
        <f t="shared" si="192"/>
        <v>0</v>
      </c>
      <c r="AJ253" s="307">
        <f t="shared" ref="AJ253:BK253" si="193">IF(AJ243&lt;0,MAX(-$C$10,200000*AJ243),MIN(200000*AJ243,$C$10)-IF(AND($D233&lt;$C$8*AJ225,$D233&gt;0),$C$9,0))</f>
        <v>0</v>
      </c>
      <c r="AK253" s="307">
        <f t="shared" si="193"/>
        <v>0</v>
      </c>
      <c r="AL253" s="307">
        <f t="shared" si="193"/>
        <v>0</v>
      </c>
      <c r="AM253" s="307">
        <f t="shared" si="193"/>
        <v>0</v>
      </c>
      <c r="AN253" s="307">
        <f t="shared" si="193"/>
        <v>0</v>
      </c>
      <c r="AO253" s="307">
        <f t="shared" si="193"/>
        <v>0</v>
      </c>
      <c r="AP253" s="307">
        <f t="shared" si="193"/>
        <v>0</v>
      </c>
      <c r="AQ253" s="307">
        <f t="shared" si="193"/>
        <v>0</v>
      </c>
      <c r="AR253" s="61">
        <f t="shared" si="193"/>
        <v>0</v>
      </c>
      <c r="AS253" s="307">
        <f t="shared" si="193"/>
        <v>0</v>
      </c>
      <c r="AT253" s="307">
        <f t="shared" si="193"/>
        <v>0</v>
      </c>
      <c r="AU253" s="307">
        <f t="shared" si="193"/>
        <v>0</v>
      </c>
      <c r="AV253" s="307">
        <f t="shared" si="193"/>
        <v>0</v>
      </c>
      <c r="AW253" s="307">
        <f t="shared" si="193"/>
        <v>0</v>
      </c>
      <c r="AX253" s="307">
        <f t="shared" si="193"/>
        <v>0</v>
      </c>
      <c r="AY253" s="307">
        <f t="shared" si="193"/>
        <v>0</v>
      </c>
      <c r="AZ253" s="307">
        <f t="shared" si="193"/>
        <v>0</v>
      </c>
      <c r="BA253" s="307">
        <f t="shared" si="193"/>
        <v>0</v>
      </c>
      <c r="BB253" s="307">
        <f t="shared" si="193"/>
        <v>0</v>
      </c>
      <c r="BC253" s="307">
        <f t="shared" si="193"/>
        <v>0</v>
      </c>
      <c r="BD253" s="307">
        <f t="shared" si="193"/>
        <v>0</v>
      </c>
      <c r="BE253" s="307">
        <f t="shared" si="193"/>
        <v>0</v>
      </c>
      <c r="BF253" s="307">
        <f t="shared" si="193"/>
        <v>0</v>
      </c>
      <c r="BG253" s="307">
        <f t="shared" si="193"/>
        <v>0</v>
      </c>
      <c r="BH253" s="307">
        <f t="shared" si="193"/>
        <v>0</v>
      </c>
      <c r="BI253" s="307">
        <f t="shared" si="193"/>
        <v>0</v>
      </c>
      <c r="BJ253" s="307">
        <f t="shared" si="193"/>
        <v>0</v>
      </c>
      <c r="BK253" s="307">
        <f t="shared" si="193"/>
        <v>0</v>
      </c>
      <c r="BL253" s="307">
        <f>IF(BL243&lt;0,MAX(-$C$10,200000*BL243),MIN(200000*BL243,$C$10)-IF(AND($D233&lt;$C$8*BL225,$D233&gt;0),$C$9,0))</f>
        <v>0</v>
      </c>
      <c r="BM253" s="307">
        <f>IF(BM243&lt;0,MAX(-$C$10,200000*BM243),MIN(200000*BM243,$C$10)-IF(AND($D233&lt;$C$8*BM225,$D233&gt;0),$C$9,0))</f>
        <v>0</v>
      </c>
      <c r="BN253" s="307">
        <f>IF(BN243&lt;0,MAX(-$C$10,200000*BN243),MIN(200000*BN243,$C$10)-IF(AND($D233&lt;$C$8*BN225,$D233&gt;0),$C$9,0))</f>
        <v>0</v>
      </c>
      <c r="BO253" s="12">
        <f>IF(D253=0,0,BO246)</f>
        <v>0</v>
      </c>
      <c r="BP253" s="43"/>
      <c r="BQ253" s="43"/>
      <c r="BR253" s="42"/>
    </row>
    <row r="254" spans="1:70" ht="16.5">
      <c r="A254" s="41"/>
      <c r="B254" s="11">
        <f t="shared" si="181"/>
        <v>9</v>
      </c>
      <c r="C254" s="302" t="s">
        <v>61</v>
      </c>
      <c r="D254" s="12">
        <f t="shared" ref="D254:AI254" si="194">IF(D244&lt;0,MAX(-$C$10,200000*D244),MIN(200000*D244,$C$10)-IF(AND($D234&lt;$C$8*D225,$D234&gt;0),$C$9,0))</f>
        <v>0</v>
      </c>
      <c r="E254" s="307">
        <f t="shared" si="194"/>
        <v>0</v>
      </c>
      <c r="F254" s="307">
        <f t="shared" si="194"/>
        <v>0</v>
      </c>
      <c r="G254" s="307">
        <f t="shared" si="194"/>
        <v>0</v>
      </c>
      <c r="H254" s="307">
        <f t="shared" si="194"/>
        <v>0</v>
      </c>
      <c r="I254" s="307">
        <f t="shared" si="194"/>
        <v>0</v>
      </c>
      <c r="J254" s="307">
        <f t="shared" si="194"/>
        <v>0</v>
      </c>
      <c r="K254" s="307">
        <f t="shared" si="194"/>
        <v>0</v>
      </c>
      <c r="L254" s="307">
        <f t="shared" si="194"/>
        <v>0</v>
      </c>
      <c r="M254" s="307">
        <f t="shared" si="194"/>
        <v>0</v>
      </c>
      <c r="N254" s="307">
        <f t="shared" si="194"/>
        <v>0</v>
      </c>
      <c r="O254" s="307">
        <f t="shared" si="194"/>
        <v>0</v>
      </c>
      <c r="P254" s="307">
        <f t="shared" si="194"/>
        <v>0</v>
      </c>
      <c r="Q254" s="307">
        <f t="shared" si="194"/>
        <v>0</v>
      </c>
      <c r="R254" s="307">
        <f t="shared" si="194"/>
        <v>0</v>
      </c>
      <c r="S254" s="307">
        <f t="shared" si="194"/>
        <v>0</v>
      </c>
      <c r="T254" s="307">
        <f t="shared" si="194"/>
        <v>0</v>
      </c>
      <c r="U254" s="307">
        <f t="shared" si="194"/>
        <v>0</v>
      </c>
      <c r="V254" s="307">
        <f t="shared" si="194"/>
        <v>0</v>
      </c>
      <c r="W254" s="307">
        <f t="shared" si="194"/>
        <v>0</v>
      </c>
      <c r="X254" s="307">
        <f t="shared" si="194"/>
        <v>0</v>
      </c>
      <c r="Y254" s="307">
        <f t="shared" si="194"/>
        <v>0</v>
      </c>
      <c r="Z254" s="307">
        <f t="shared" si="194"/>
        <v>0</v>
      </c>
      <c r="AA254" s="307">
        <f t="shared" si="194"/>
        <v>0</v>
      </c>
      <c r="AB254" s="307">
        <f t="shared" si="194"/>
        <v>0</v>
      </c>
      <c r="AC254" s="307">
        <f t="shared" si="194"/>
        <v>0</v>
      </c>
      <c r="AD254" s="307">
        <f t="shared" si="194"/>
        <v>0</v>
      </c>
      <c r="AE254" s="307">
        <f t="shared" si="194"/>
        <v>0</v>
      </c>
      <c r="AF254" s="307">
        <f t="shared" si="194"/>
        <v>0</v>
      </c>
      <c r="AG254" s="307">
        <f t="shared" si="194"/>
        <v>0</v>
      </c>
      <c r="AH254" s="307">
        <f t="shared" si="194"/>
        <v>0</v>
      </c>
      <c r="AI254" s="307">
        <f t="shared" si="194"/>
        <v>0</v>
      </c>
      <c r="AJ254" s="307">
        <f t="shared" ref="AJ254:BK254" si="195">IF(AJ244&lt;0,MAX(-$C$10,200000*AJ244),MIN(200000*AJ244,$C$10)-IF(AND($D234&lt;$C$8*AJ225,$D234&gt;0),$C$9,0))</f>
        <v>0</v>
      </c>
      <c r="AK254" s="307">
        <f t="shared" si="195"/>
        <v>0</v>
      </c>
      <c r="AL254" s="307">
        <f t="shared" si="195"/>
        <v>0</v>
      </c>
      <c r="AM254" s="307">
        <f t="shared" si="195"/>
        <v>0</v>
      </c>
      <c r="AN254" s="307">
        <f t="shared" si="195"/>
        <v>0</v>
      </c>
      <c r="AO254" s="307">
        <f t="shared" si="195"/>
        <v>0</v>
      </c>
      <c r="AP254" s="307">
        <f t="shared" si="195"/>
        <v>0</v>
      </c>
      <c r="AQ254" s="307">
        <f t="shared" si="195"/>
        <v>0</v>
      </c>
      <c r="AR254" s="61">
        <f t="shared" si="195"/>
        <v>0</v>
      </c>
      <c r="AS254" s="307">
        <f t="shared" si="195"/>
        <v>0</v>
      </c>
      <c r="AT254" s="307">
        <f t="shared" si="195"/>
        <v>0</v>
      </c>
      <c r="AU254" s="307">
        <f t="shared" si="195"/>
        <v>0</v>
      </c>
      <c r="AV254" s="307">
        <f t="shared" si="195"/>
        <v>0</v>
      </c>
      <c r="AW254" s="307">
        <f t="shared" si="195"/>
        <v>0</v>
      </c>
      <c r="AX254" s="307">
        <f t="shared" si="195"/>
        <v>0</v>
      </c>
      <c r="AY254" s="307">
        <f t="shared" si="195"/>
        <v>0</v>
      </c>
      <c r="AZ254" s="307">
        <f t="shared" si="195"/>
        <v>0</v>
      </c>
      <c r="BA254" s="307">
        <f t="shared" si="195"/>
        <v>0</v>
      </c>
      <c r="BB254" s="307">
        <f t="shared" si="195"/>
        <v>0</v>
      </c>
      <c r="BC254" s="307">
        <f t="shared" si="195"/>
        <v>0</v>
      </c>
      <c r="BD254" s="307">
        <f t="shared" si="195"/>
        <v>0</v>
      </c>
      <c r="BE254" s="307">
        <f t="shared" si="195"/>
        <v>0</v>
      </c>
      <c r="BF254" s="307">
        <f t="shared" si="195"/>
        <v>0</v>
      </c>
      <c r="BG254" s="307">
        <f t="shared" si="195"/>
        <v>0</v>
      </c>
      <c r="BH254" s="307">
        <f t="shared" si="195"/>
        <v>0</v>
      </c>
      <c r="BI254" s="307">
        <f t="shared" si="195"/>
        <v>0</v>
      </c>
      <c r="BJ254" s="307">
        <f t="shared" si="195"/>
        <v>0</v>
      </c>
      <c r="BK254" s="307">
        <f t="shared" si="195"/>
        <v>0</v>
      </c>
      <c r="BL254" s="307">
        <f>IF(BL244&lt;0,MAX(-$C$10,200000*BL244),MIN(200000*BL244,$C$10)-IF(AND($D234&lt;$C$8*BL225,$D234&gt;0),$C$9,0))</f>
        <v>0</v>
      </c>
      <c r="BM254" s="307">
        <f>IF(BM244&lt;0,MAX(-$C$10,200000*BM244),MIN(200000*BM244,$C$10)-IF(AND($D234&lt;$C$8*BM225,$D234&gt;0),$C$9,0))</f>
        <v>0</v>
      </c>
      <c r="BN254" s="307">
        <f>IF(BN244&lt;0,MAX(-$C$10,200000*BN244),MIN(200000*BN244,$C$10)-IF(AND($D234&lt;$C$8*BN225,$D234&gt;0),$C$9,0))</f>
        <v>0</v>
      </c>
      <c r="BO254" s="12">
        <f>IF(D254=0,0,BO246)</f>
        <v>0</v>
      </c>
      <c r="BP254" s="43"/>
      <c r="BQ254" s="43"/>
      <c r="BR254" s="42"/>
    </row>
    <row r="255" spans="1:70" ht="16.5">
      <c r="A255" s="41"/>
      <c r="B255" s="294" t="s">
        <v>62</v>
      </c>
      <c r="C255" s="302" t="s">
        <v>63</v>
      </c>
      <c r="D255" s="12">
        <f t="shared" ref="D255:BJ255" si="196">IF(D245&lt;0,MAX(-$C$10,200000*D245),MIN(200000*D245,$C$10)-IF(AND($F222&lt;$C$8*D225,$D235&gt;0),$C$9,0))</f>
        <v>-434.78260869565219</v>
      </c>
      <c r="E255" s="307">
        <f t="shared" si="196"/>
        <v>-434.78260869565219</v>
      </c>
      <c r="F255" s="307">
        <f t="shared" si="196"/>
        <v>-434.78260869565219</v>
      </c>
      <c r="G255" s="307">
        <f t="shared" si="196"/>
        <v>-434.78260869565219</v>
      </c>
      <c r="H255" s="307">
        <f t="shared" si="196"/>
        <v>-434.78260869565219</v>
      </c>
      <c r="I255" s="307">
        <f t="shared" si="196"/>
        <v>-434.78260869565219</v>
      </c>
      <c r="J255" s="307">
        <f t="shared" si="196"/>
        <v>-434.78260869565219</v>
      </c>
      <c r="K255" s="307">
        <f t="shared" si="196"/>
        <v>-434.78260869565219</v>
      </c>
      <c r="L255" s="307">
        <f t="shared" si="196"/>
        <v>-434.78260869565219</v>
      </c>
      <c r="M255" s="307">
        <f t="shared" si="196"/>
        <v>-434.78260869565219</v>
      </c>
      <c r="N255" s="307">
        <f t="shared" si="196"/>
        <v>-434.78260869565219</v>
      </c>
      <c r="O255" s="307">
        <f t="shared" si="196"/>
        <v>-434.78260869565219</v>
      </c>
      <c r="P255" s="307">
        <f t="shared" si="196"/>
        <v>-434.78260869565219</v>
      </c>
      <c r="Q255" s="307">
        <f t="shared" si="196"/>
        <v>-434.78260869565219</v>
      </c>
      <c r="R255" s="307">
        <f t="shared" si="196"/>
        <v>-434.78260869565219</v>
      </c>
      <c r="S255" s="307">
        <f t="shared" si="196"/>
        <v>-434.78260869565219</v>
      </c>
      <c r="T255" s="307">
        <f t="shared" si="196"/>
        <v>-434.78260869565219</v>
      </c>
      <c r="U255" s="307">
        <f t="shared" si="196"/>
        <v>-434.78260869565219</v>
      </c>
      <c r="V255" s="307">
        <f t="shared" si="196"/>
        <v>-434.78260869565219</v>
      </c>
      <c r="W255" s="307">
        <f t="shared" si="196"/>
        <v>-434.78260869565219</v>
      </c>
      <c r="X255" s="307">
        <f t="shared" si="196"/>
        <v>-434.78260869565219</v>
      </c>
      <c r="Y255" s="307">
        <f t="shared" si="196"/>
        <v>-434.78260869565219</v>
      </c>
      <c r="Z255" s="307">
        <f t="shared" si="196"/>
        <v>-434.78260869565219</v>
      </c>
      <c r="AA255" s="307">
        <f t="shared" si="196"/>
        <v>-434.78260869565219</v>
      </c>
      <c r="AB255" s="307">
        <f t="shared" si="196"/>
        <v>-434.78260869565219</v>
      </c>
      <c r="AC255" s="307">
        <f t="shared" si="196"/>
        <v>-434.78260869565219</v>
      </c>
      <c r="AD255" s="307">
        <f t="shared" si="196"/>
        <v>-434.78260869565219</v>
      </c>
      <c r="AE255" s="307">
        <f t="shared" si="196"/>
        <v>-434.78260869565219</v>
      </c>
      <c r="AF255" s="307">
        <f t="shared" si="196"/>
        <v>-434.78260869565219</v>
      </c>
      <c r="AG255" s="307">
        <f t="shared" si="196"/>
        <v>-434.78260869565219</v>
      </c>
      <c r="AH255" s="307">
        <f t="shared" si="196"/>
        <v>-434.78260869565219</v>
      </c>
      <c r="AI255" s="307">
        <f t="shared" si="196"/>
        <v>-434.78260869565219</v>
      </c>
      <c r="AJ255" s="307">
        <f t="shared" si="196"/>
        <v>-434.78260869565219</v>
      </c>
      <c r="AK255" s="307">
        <f t="shared" si="196"/>
        <v>-434.78260869565219</v>
      </c>
      <c r="AL255" s="307">
        <f t="shared" si="196"/>
        <v>-434.78260869565219</v>
      </c>
      <c r="AM255" s="307">
        <f t="shared" si="196"/>
        <v>-434.78260869565219</v>
      </c>
      <c r="AN255" s="307">
        <f t="shared" si="196"/>
        <v>-434.78260869565219</v>
      </c>
      <c r="AO255" s="307">
        <f t="shared" si="196"/>
        <v>-434.78260869565219</v>
      </c>
      <c r="AP255" s="307">
        <f t="shared" si="196"/>
        <v>-434.78260869565219</v>
      </c>
      <c r="AQ255" s="307">
        <f t="shared" si="196"/>
        <v>-434.78260869565219</v>
      </c>
      <c r="AR255" s="61">
        <f t="shared" si="196"/>
        <v>-434.78260869565219</v>
      </c>
      <c r="AS255" s="307">
        <f t="shared" si="196"/>
        <v>-372.29744054272822</v>
      </c>
      <c r="AT255" s="307">
        <f t="shared" si="196"/>
        <v>-316.33444949103108</v>
      </c>
      <c r="AU255" s="307">
        <f t="shared" si="196"/>
        <v>-265.92311350008345</v>
      </c>
      <c r="AV255" s="307">
        <f t="shared" si="196"/>
        <v>-220.27636684424905</v>
      </c>
      <c r="AW255" s="307">
        <f t="shared" si="196"/>
        <v>-178.74920809298263</v>
      </c>
      <c r="AX255" s="307">
        <f t="shared" si="196"/>
        <v>-140.80803102728996</v>
      </c>
      <c r="AY255" s="307">
        <f t="shared" si="196"/>
        <v>-106.00757178832797</v>
      </c>
      <c r="AZ255" s="307">
        <f t="shared" si="196"/>
        <v>-73.973353344665725</v>
      </c>
      <c r="BA255" s="307">
        <f t="shared" si="196"/>
        <v>-44.38815632990422</v>
      </c>
      <c r="BB255" s="307">
        <f t="shared" si="196"/>
        <v>-16.981478558104509</v>
      </c>
      <c r="BC255" s="307">
        <f t="shared" si="196"/>
        <v>8.4787596852122178</v>
      </c>
      <c r="BD255" s="307">
        <f t="shared" si="196"/>
        <v>31.938522564814875</v>
      </c>
      <c r="BE255" s="307">
        <f t="shared" si="196"/>
        <v>52.201734108342976</v>
      </c>
      <c r="BF255" s="307">
        <f t="shared" si="196"/>
        <v>70.037704865529264</v>
      </c>
      <c r="BG255" s="307">
        <f t="shared" si="196"/>
        <v>85.857912971434288</v>
      </c>
      <c r="BH255" s="307">
        <f t="shared" si="196"/>
        <v>99.985803365694636</v>
      </c>
      <c r="BI255" s="307">
        <f t="shared" si="196"/>
        <v>112.67913521475521</v>
      </c>
      <c r="BJ255" s="307">
        <f t="shared" si="196"/>
        <v>101.4791840579788</v>
      </c>
      <c r="BK255" s="307">
        <f>IF(BK245&lt;0,MAX(-$C$10,200000*BK245),MIN(200000*BK245,$C$10)-IF(AND($F222&lt;$C$8*BK225,$D235&gt;0),$C$9,0))</f>
        <v>111.8888888888889</v>
      </c>
      <c r="BL255" s="307">
        <f>IF(BL245&lt;0,MAX(-$C$10,200000*BL245),MIN(200000*BL245,$C$10)-IF(AND($F222&lt;$C$8*BL225,$D235&gt;0),$C$9,0))</f>
        <v>206.14583333333337</v>
      </c>
      <c r="BM255" s="307">
        <f>IF(BM245&lt;0,MAX(-$C$10,200000*BM245),MIN(200000*BM245,$C$10)-IF(AND($F222&lt;$C$8*BM225,$D235&gt;0),$C$9,0))</f>
        <v>243.0289855072464</v>
      </c>
      <c r="BN255" s="307">
        <f>IF(BN245&lt;0,MAX(-$C$10,200000*BN245),MIN(200000*BN245,$C$10)-IF(AND($F222&lt;$C$8*BN225,$D235&gt;0),$C$9,0))</f>
        <v>262.69999999999993</v>
      </c>
      <c r="BO255" s="12">
        <f>BO246</f>
        <v>327.33333333333331</v>
      </c>
      <c r="BP255" s="41"/>
      <c r="BQ255" s="41"/>
      <c r="BR255" s="41"/>
    </row>
    <row r="256" spans="1:70" ht="16.5">
      <c r="A256" s="41"/>
      <c r="B256" s="290" t="s">
        <v>64</v>
      </c>
      <c r="C256" s="298" t="s">
        <v>65</v>
      </c>
      <c r="D256" s="3">
        <f>D246*$I222*MAIN!$C$15/MAIN!$Q$1</f>
        <v>-116781.96992044743</v>
      </c>
      <c r="E256" s="13">
        <f>E246*$I222*MAIN!$C$15/MAIN!$Q$1</f>
        <v>19878.046967739967</v>
      </c>
      <c r="F256" s="13">
        <f>F246*$I222*MAIN!$C$15/MAIN!$Q$1</f>
        <v>77597.275394061086</v>
      </c>
      <c r="G256" s="13">
        <f>G246*$I222*MAIN!$C$15/MAIN!$Q$1</f>
        <v>117231.50761008554</v>
      </c>
      <c r="H256" s="13">
        <f>H246*$I222*MAIN!$C$15/MAIN!$Q$1</f>
        <v>143462.89811603268</v>
      </c>
      <c r="I256" s="13">
        <f>I246*$I222*MAIN!$C$15/MAIN!$Q$1</f>
        <v>162106.71509091859</v>
      </c>
      <c r="J256" s="13">
        <f>J246*$I222*MAIN!$C$15/MAIN!$Q$1</f>
        <v>165721.65323590377</v>
      </c>
      <c r="K256" s="13">
        <f>K246*$I222*MAIN!$C$15/MAIN!$Q$1</f>
        <v>165721.65323590377</v>
      </c>
      <c r="L256" s="13">
        <f>L246*$I222*MAIN!$C$15/MAIN!$Q$1</f>
        <v>165721.65323590377</v>
      </c>
      <c r="M256" s="13">
        <f>M246*$I222*MAIN!$C$15/MAIN!$Q$1</f>
        <v>165721.65323590377</v>
      </c>
      <c r="N256" s="13">
        <f>N246*$I222*MAIN!$C$15/MAIN!$Q$1</f>
        <v>165721.65323590377</v>
      </c>
      <c r="O256" s="13">
        <f>O246*$I222*MAIN!$C$15/MAIN!$Q$1</f>
        <v>165721.65323590377</v>
      </c>
      <c r="P256" s="13">
        <f>P246*$I222*MAIN!$C$15/MAIN!$Q$1</f>
        <v>165721.65323590377</v>
      </c>
      <c r="Q256" s="13">
        <f>Q246*$I222*MAIN!$C$15/MAIN!$Q$1</f>
        <v>165721.65323590377</v>
      </c>
      <c r="R256" s="13">
        <f>R246*$I222*MAIN!$C$15/MAIN!$Q$1</f>
        <v>165721.65323590377</v>
      </c>
      <c r="S256" s="13">
        <f>S246*$I222*MAIN!$C$15/MAIN!$Q$1</f>
        <v>165721.65323590377</v>
      </c>
      <c r="T256" s="13">
        <f>T246*$I222*MAIN!$C$15/MAIN!$Q$1</f>
        <v>165721.65323590377</v>
      </c>
      <c r="U256" s="13">
        <f>U246*$I222*MAIN!$C$15/MAIN!$Q$1</f>
        <v>165721.65323590377</v>
      </c>
      <c r="V256" s="13">
        <f>V246*$I222*MAIN!$C$15/MAIN!$Q$1</f>
        <v>165721.65323590377</v>
      </c>
      <c r="W256" s="13">
        <f>W246*$I222*MAIN!$C$15/MAIN!$Q$1</f>
        <v>165721.65323590377</v>
      </c>
      <c r="X256" s="13">
        <f>X246*$I222*MAIN!$C$15/MAIN!$Q$1</f>
        <v>165721.65323590377</v>
      </c>
      <c r="Y256" s="13">
        <f>Y246*$I222*MAIN!$C$15/MAIN!$Q$1</f>
        <v>165721.65323590377</v>
      </c>
      <c r="Z256" s="13">
        <f>Z246*$I222*MAIN!$C$15/MAIN!$Q$1</f>
        <v>165721.65323590377</v>
      </c>
      <c r="AA256" s="13">
        <f>AA246*$I222*MAIN!$C$15/MAIN!$Q$1</f>
        <v>165721.65323590377</v>
      </c>
      <c r="AB256" s="13">
        <f>AB246*$I222*MAIN!$C$15/MAIN!$Q$1</f>
        <v>165721.65323590377</v>
      </c>
      <c r="AC256" s="13">
        <f>AC246*$I222*MAIN!$C$15/MAIN!$Q$1</f>
        <v>165721.65323590377</v>
      </c>
      <c r="AD256" s="13">
        <f>AD246*$I222*MAIN!$C$15/MAIN!$Q$1</f>
        <v>165721.65323590377</v>
      </c>
      <c r="AE256" s="13">
        <f>AE246*$I222*MAIN!$C$15/MAIN!$Q$1</f>
        <v>165721.65323590377</v>
      </c>
      <c r="AF256" s="13">
        <f>AF246*$I222*MAIN!$C$15/MAIN!$Q$1</f>
        <v>165721.65323590377</v>
      </c>
      <c r="AG256" s="13">
        <f>AG246*$I222*MAIN!$C$15/MAIN!$Q$1</f>
        <v>165721.65323590377</v>
      </c>
      <c r="AH256" s="13">
        <f>AH246*$I222*MAIN!$C$15/MAIN!$Q$1</f>
        <v>165721.65323590377</v>
      </c>
      <c r="AI256" s="13">
        <f>AI246*$I222*MAIN!$C$15/MAIN!$Q$1</f>
        <v>165721.65323590377</v>
      </c>
      <c r="AJ256" s="13">
        <f>AJ246*$I222*MAIN!$C$15/MAIN!$Q$1</f>
        <v>165721.65323590377</v>
      </c>
      <c r="AK256" s="13">
        <f>AK246*$I222*MAIN!$C$15/MAIN!$Q$1</f>
        <v>165721.65323590377</v>
      </c>
      <c r="AL256" s="13">
        <f>AL246*$I222*MAIN!$C$15/MAIN!$Q$1</f>
        <v>165721.65323590377</v>
      </c>
      <c r="AM256" s="13">
        <f>AM246*$I222*MAIN!$C$15/MAIN!$Q$1</f>
        <v>165721.65323590377</v>
      </c>
      <c r="AN256" s="13">
        <f>AN246*$I222*MAIN!$C$15/MAIN!$Q$1</f>
        <v>165721.65323590377</v>
      </c>
      <c r="AO256" s="13">
        <f>AO246*$I222*MAIN!$C$15/MAIN!$Q$1</f>
        <v>165721.65323590377</v>
      </c>
      <c r="AP256" s="13">
        <f>AP246*$I222*MAIN!$C$15/MAIN!$Q$1</f>
        <v>165721.65323590377</v>
      </c>
      <c r="AQ256" s="13">
        <f>AQ246*$I222*MAIN!$C$15/MAIN!$Q$1</f>
        <v>165721.65323590377</v>
      </c>
      <c r="AR256" s="56">
        <f>AR246*$I222*MAIN!$C$15/MAIN!$Q$1</f>
        <v>165721.65323590377</v>
      </c>
      <c r="AS256" s="13">
        <f>AS246*$I222*MAIN!$C$15/MAIN!$Q$1</f>
        <v>165721.65323590377</v>
      </c>
      <c r="AT256" s="13">
        <f>AT246*$I222*MAIN!$C$15/MAIN!$Q$1</f>
        <v>165721.65323590377</v>
      </c>
      <c r="AU256" s="13">
        <f>AU246*$I222*MAIN!$C$15/MAIN!$Q$1</f>
        <v>165721.65323590377</v>
      </c>
      <c r="AV256" s="13">
        <f>AV246*$I222*MAIN!$C$15/MAIN!$Q$1</f>
        <v>165721.65323590377</v>
      </c>
      <c r="AW256" s="13">
        <f>AW246*$I222*MAIN!$C$15/MAIN!$Q$1</f>
        <v>165721.65323590377</v>
      </c>
      <c r="AX256" s="13">
        <f>AX246*$I222*MAIN!$C$15/MAIN!$Q$1</f>
        <v>165721.65323590377</v>
      </c>
      <c r="AY256" s="13">
        <f>AY246*$I222*MAIN!$C$15/MAIN!$Q$1</f>
        <v>165721.65323590377</v>
      </c>
      <c r="AZ256" s="13">
        <f>AZ246*$I222*MAIN!$C$15/MAIN!$Q$1</f>
        <v>165721.65323590377</v>
      </c>
      <c r="BA256" s="13">
        <f>BA246*$I222*MAIN!$C$15/MAIN!$Q$1</f>
        <v>165721.65323590377</v>
      </c>
      <c r="BB256" s="13">
        <f>BB246*$I222*MAIN!$C$15/MAIN!$Q$1</f>
        <v>165721.65323590377</v>
      </c>
      <c r="BC256" s="13">
        <f>BC246*$I222*MAIN!$C$15/MAIN!$Q$1</f>
        <v>165721.65323590377</v>
      </c>
      <c r="BD256" s="13">
        <f>BD246*$I222*MAIN!$C$15/MAIN!$Q$1</f>
        <v>165721.65323590377</v>
      </c>
      <c r="BE256" s="13">
        <f>BE246*$I222*MAIN!$C$15/MAIN!$Q$1</f>
        <v>165721.65323590377</v>
      </c>
      <c r="BF256" s="13">
        <f>BF246*$I222*MAIN!$C$15/MAIN!$Q$1</f>
        <v>165721.65323590377</v>
      </c>
      <c r="BG256" s="13">
        <f>BG246*$I222*MAIN!$C$15/MAIN!$Q$1</f>
        <v>165721.65323590377</v>
      </c>
      <c r="BH256" s="13">
        <f>BH246*$I222*MAIN!$C$15/MAIN!$Q$1</f>
        <v>165721.65323590377</v>
      </c>
      <c r="BI256" s="13">
        <f>BI246*$I222*MAIN!$C$15/MAIN!$Q$1</f>
        <v>165721.65323590377</v>
      </c>
      <c r="BJ256" s="13">
        <f>BJ246*$I222*MAIN!$C$15/MAIN!$Q$1</f>
        <v>165721.65323590377</v>
      </c>
      <c r="BK256" s="13">
        <f>BK246*$I222*MAIN!$C$15/MAIN!$Q$1</f>
        <v>165721.65323590377</v>
      </c>
      <c r="BL256" s="13">
        <f>BL246*$I222*MAIN!$C$15/MAIN!$Q$1</f>
        <v>165721.65323590377</v>
      </c>
      <c r="BM256" s="13">
        <f>BM246*$I222*MAIN!$C$15/MAIN!$Q$1</f>
        <v>165529.33312911011</v>
      </c>
      <c r="BN256" s="13">
        <f>BN246*$I222*MAIN!$C$15/MAIN!$Q$1</f>
        <v>157619.14885786615</v>
      </c>
      <c r="BO256" s="3">
        <f>BO246*$I222*MAIN!$C$15/MAIN!$Q$1</f>
        <v>131628.54339520758</v>
      </c>
      <c r="BP256" s="41"/>
      <c r="BQ256" s="41"/>
      <c r="BR256" s="41"/>
    </row>
    <row r="257" spans="1:70" ht="16.5">
      <c r="A257" s="41"/>
      <c r="B257" s="14">
        <v>2</v>
      </c>
      <c r="C257" s="298" t="s">
        <v>66</v>
      </c>
      <c r="D257" s="3">
        <f>D247*$I222*2/MAIN!$Q$1</f>
        <v>-174836.46072151899</v>
      </c>
      <c r="E257" s="13">
        <f>E247*$I222*2/MAIN!$Q$1</f>
        <v>-174836.46072151899</v>
      </c>
      <c r="F257" s="13">
        <f>F247*$I222*2/MAIN!$Q$1</f>
        <v>-174836.46072151899</v>
      </c>
      <c r="G257" s="13">
        <f>G247*$I222*2/MAIN!$Q$1</f>
        <v>-174836.46072151899</v>
      </c>
      <c r="H257" s="13">
        <f>H247*$I222*2/MAIN!$Q$1</f>
        <v>-174836.46072151899</v>
      </c>
      <c r="I257" s="13">
        <f>I247*$I222*2/MAIN!$Q$1</f>
        <v>-174836.46072151899</v>
      </c>
      <c r="J257" s="13">
        <f>J247*$I222*2/MAIN!$Q$1</f>
        <v>-174836.46072151899</v>
      </c>
      <c r="K257" s="13">
        <f>K247*$I222*2/MAIN!$Q$1</f>
        <v>-174836.46072151899</v>
      </c>
      <c r="L257" s="13">
        <f>L247*$I222*2/MAIN!$Q$1</f>
        <v>-174836.46072151899</v>
      </c>
      <c r="M257" s="13">
        <f>M247*$I222*2/MAIN!$Q$1</f>
        <v>-174836.46072151899</v>
      </c>
      <c r="N257" s="13">
        <f>N247*$I222*2/MAIN!$Q$1</f>
        <v>-174836.46072151899</v>
      </c>
      <c r="O257" s="13">
        <f>O247*$I222*2/MAIN!$Q$1</f>
        <v>-174836.46072151899</v>
      </c>
      <c r="P257" s="13">
        <f>P247*$I222*2/MAIN!$Q$1</f>
        <v>-174836.46072151899</v>
      </c>
      <c r="Q257" s="13">
        <f>Q247*$I222*2/MAIN!$Q$1</f>
        <v>-174836.46072151899</v>
      </c>
      <c r="R257" s="13">
        <f>R247*$I222*2/MAIN!$Q$1</f>
        <v>-151065.09629940573</v>
      </c>
      <c r="S257" s="13">
        <f>S247*$I222*2/MAIN!$Q$1</f>
        <v>-125491.95841511329</v>
      </c>
      <c r="T257" s="13">
        <f>T247*$I222*2/MAIN!$Q$1</f>
        <v>-102773.87307189037</v>
      </c>
      <c r="U257" s="13">
        <f>U247*$I222*2/MAIN!$Q$1</f>
        <v>-82458.000019279076</v>
      </c>
      <c r="V257" s="13">
        <f>V247*$I222*2/MAIN!$Q$1</f>
        <v>-64182.456798254854</v>
      </c>
      <c r="W257" s="13">
        <f>W247*$I222*2/MAIN!$Q$1</f>
        <v>-47654.573385369906</v>
      </c>
      <c r="X257" s="13">
        <f>X247*$I222*2/MAIN!$Q$1</f>
        <v>-32635.10058026922</v>
      </c>
      <c r="Y257" s="13">
        <f>Y247*$I222*2/MAIN!$Q$1</f>
        <v>-18926.553350995939</v>
      </c>
      <c r="Z257" s="13">
        <f>Z247*$I222*2/MAIN!$Q$1</f>
        <v>-6364.4787859102598</v>
      </c>
      <c r="AA257" s="13">
        <f>AA247*$I222*2/MAIN!$Q$1</f>
        <v>5189.1730543474514</v>
      </c>
      <c r="AB257" s="13">
        <f>AB247*$I222*2/MAIN!$Q$1</f>
        <v>15851.143422523997</v>
      </c>
      <c r="AC257" s="13">
        <f>AC247*$I222*2/MAIN!$Q$1</f>
        <v>25720.82350236284</v>
      </c>
      <c r="AD257" s="13">
        <f>AD247*$I222*2/MAIN!$Q$1</f>
        <v>34883.362146798303</v>
      </c>
      <c r="AE257" s="13">
        <f>AE247*$I222*2/MAIN!$Q$1</f>
        <v>43412.128730146898</v>
      </c>
      <c r="AF257" s="13">
        <f>AF247*$I222*2/MAIN!$Q$1</f>
        <v>51370.68201876626</v>
      </c>
      <c r="AG257" s="13">
        <f>AG247*$I222*2/MAIN!$Q$1</f>
        <v>49699.549427993647</v>
      </c>
      <c r="AH257" s="13">
        <f>AH247*$I222*2/MAIN!$Q$1</f>
        <v>56676.745394038073</v>
      </c>
      <c r="AI257" s="13">
        <f>AI247*$I222*2/MAIN!$Q$1</f>
        <v>63229.980019894159</v>
      </c>
      <c r="AJ257" s="13">
        <f>AJ247*$I222*2/MAIN!$Q$1</f>
        <v>69396.756185322345</v>
      </c>
      <c r="AK257" s="13">
        <f>AK247*$I222*2/MAIN!$Q$1</f>
        <v>75210.280206584517</v>
      </c>
      <c r="AL257" s="13">
        <f>AL247*$I222*2/MAIN!$Q$1</f>
        <v>80700.060005302017</v>
      </c>
      <c r="AM257" s="13">
        <f>AM247*$I222*2/MAIN!$Q$1</f>
        <v>85892.40605176994</v>
      </c>
      <c r="AN257" s="13">
        <f>AN247*$I222*2/MAIN!$Q$1</f>
        <v>90810.853033178602</v>
      </c>
      <c r="AO257" s="13">
        <f>AO247*$I222*2/MAIN!$Q$1</f>
        <v>95476.51650693937</v>
      </c>
      <c r="AP257" s="13">
        <f>AP247*$I222*2/MAIN!$Q$1</f>
        <v>99908.395941149894</v>
      </c>
      <c r="AQ257" s="13">
        <f>AQ247*$I222*2/MAIN!$Q$1</f>
        <v>104123.63331478644</v>
      </c>
      <c r="AR257" s="56">
        <f>AR247*$I222*2/MAIN!$Q$1</f>
        <v>108137.73469947837</v>
      </c>
      <c r="AS257" s="13">
        <f>AS247*$I222*2/MAIN!$Q$1</f>
        <v>117181.05189429388</v>
      </c>
      <c r="AT257" s="13">
        <f>AT247*$I222*2/MAIN!$Q$1</f>
        <v>125280.43122240149</v>
      </c>
      <c r="AU257" s="13">
        <f>AU247*$I222*2/MAIN!$Q$1</f>
        <v>132576.33383507974</v>
      </c>
      <c r="AV257" s="13">
        <f>AV247*$I222*2/MAIN!$Q$1</f>
        <v>139182.66972441957</v>
      </c>
      <c r="AW257" s="13">
        <f>AW247*$I222*2/MAIN!$Q$1</f>
        <v>145192.78828356421</v>
      </c>
      <c r="AX257" s="13">
        <f>AX247*$I222*2/MAIN!$Q$1</f>
        <v>150683.91696405355</v>
      </c>
      <c r="AY257" s="13">
        <f>AY247*$I222*2/MAIN!$Q$1</f>
        <v>155720.49765553803</v>
      </c>
      <c r="AZ257" s="13">
        <f>AZ247*$I222*2/MAIN!$Q$1</f>
        <v>160356.72745274461</v>
      </c>
      <c r="BA257" s="13">
        <f>BA247*$I222*2/MAIN!$Q$1</f>
        <v>164638.51669624652</v>
      </c>
      <c r="BB257" s="13">
        <f>BB247*$I222*2/MAIN!$Q$1</f>
        <v>165721.65323590377</v>
      </c>
      <c r="BC257" s="13">
        <f>BC247*$I222*2/MAIN!$Q$1</f>
        <v>165721.65323590377</v>
      </c>
      <c r="BD257" s="13">
        <f>BD247*$I222*2/MAIN!$Q$1</f>
        <v>165721.65323590377</v>
      </c>
      <c r="BE257" s="13">
        <f>BE247*$I222*2/MAIN!$Q$1</f>
        <v>165721.65323590377</v>
      </c>
      <c r="BF257" s="13">
        <f>BF247*$I222*2/MAIN!$Q$1</f>
        <v>165721.65323590377</v>
      </c>
      <c r="BG257" s="13">
        <f>BG247*$I222*2/MAIN!$Q$1</f>
        <v>165721.65323590377</v>
      </c>
      <c r="BH257" s="13">
        <f>BH247*$I222*2/MAIN!$Q$1</f>
        <v>165140.7679686257</v>
      </c>
      <c r="BI257" s="13">
        <f>BI247*$I222*2/MAIN!$Q$1</f>
        <v>163439.33743693141</v>
      </c>
      <c r="BJ257" s="13">
        <f>BJ247*$I222*2/MAIN!$Q$1</f>
        <v>161902.32413744662</v>
      </c>
      <c r="BK257" s="13">
        <f>BK247*$I222*2/MAIN!$Q$1</f>
        <v>160506.99390927271</v>
      </c>
      <c r="BL257" s="13">
        <f>BL247*$I222*2/MAIN!$Q$1</f>
        <v>147872.6718093692</v>
      </c>
      <c r="BM257" s="13">
        <f>BM247*$I222*2/MAIN!$Q$1</f>
        <v>142928.80663984173</v>
      </c>
      <c r="BN257" s="13">
        <f>BN247*$I222*2/MAIN!$Q$1</f>
        <v>140292.0785494271</v>
      </c>
      <c r="BO257" s="3">
        <f>BO247*$I222*2/MAIN!$Q$1</f>
        <v>131628.54339520758</v>
      </c>
      <c r="BP257" s="43"/>
      <c r="BQ257" s="43"/>
      <c r="BR257" s="42"/>
    </row>
    <row r="258" spans="1:70" ht="16.5">
      <c r="A258" s="41"/>
      <c r="B258" s="14">
        <f t="shared" ref="B258:B264" si="197">1+B257</f>
        <v>3</v>
      </c>
      <c r="C258" s="298" t="s">
        <v>66</v>
      </c>
      <c r="D258" s="3">
        <f>D248*$I222*2/MAIN!$Q$1</f>
        <v>-174836.46072151899</v>
      </c>
      <c r="E258" s="13">
        <f>E248*$I222*2/MAIN!$Q$1</f>
        <v>-174836.46072151899</v>
      </c>
      <c r="F258" s="13">
        <f>F248*$I222*2/MAIN!$Q$1</f>
        <v>-174836.46072151899</v>
      </c>
      <c r="G258" s="13">
        <f>G248*$I222*2/MAIN!$Q$1</f>
        <v>-174836.46072151899</v>
      </c>
      <c r="H258" s="13">
        <f>H248*$I222*2/MAIN!$Q$1</f>
        <v>-174836.46072151899</v>
      </c>
      <c r="I258" s="13">
        <f>I248*$I222*2/MAIN!$Q$1</f>
        <v>-174836.46072151899</v>
      </c>
      <c r="J258" s="13">
        <f>J248*$I222*2/MAIN!$Q$1</f>
        <v>-174836.46072151899</v>
      </c>
      <c r="K258" s="13">
        <f>K248*$I222*2/MAIN!$Q$1</f>
        <v>-174836.46072151899</v>
      </c>
      <c r="L258" s="13">
        <f>L248*$I222*2/MAIN!$Q$1</f>
        <v>-174836.46072151899</v>
      </c>
      <c r="M258" s="13">
        <f>M248*$I222*2/MAIN!$Q$1</f>
        <v>-174836.46072151899</v>
      </c>
      <c r="N258" s="13">
        <f>N248*$I222*2/MAIN!$Q$1</f>
        <v>-174836.46072151899</v>
      </c>
      <c r="O258" s="13">
        <f>O248*$I222*2/MAIN!$Q$1</f>
        <v>-174836.46072151899</v>
      </c>
      <c r="P258" s="13">
        <f>P248*$I222*2/MAIN!$Q$1</f>
        <v>-174836.46072151899</v>
      </c>
      <c r="Q258" s="13">
        <f>Q248*$I222*2/MAIN!$Q$1</f>
        <v>-174836.46072151899</v>
      </c>
      <c r="R258" s="13">
        <f>R248*$I222*2/MAIN!$Q$1</f>
        <v>-174836.46072151899</v>
      </c>
      <c r="S258" s="13">
        <f>S248*$I222*2/MAIN!$Q$1</f>
        <v>-174836.46072151899</v>
      </c>
      <c r="T258" s="13">
        <f>T248*$I222*2/MAIN!$Q$1</f>
        <v>-174836.46072151899</v>
      </c>
      <c r="U258" s="13">
        <f>U248*$I222*2/MAIN!$Q$1</f>
        <v>-174836.46072151899</v>
      </c>
      <c r="V258" s="13">
        <f>V248*$I222*2/MAIN!$Q$1</f>
        <v>-174836.46072151899</v>
      </c>
      <c r="W258" s="13">
        <f>W248*$I222*2/MAIN!$Q$1</f>
        <v>-174836.46072151899</v>
      </c>
      <c r="X258" s="13">
        <f>X248*$I222*2/MAIN!$Q$1</f>
        <v>-174836.46072151899</v>
      </c>
      <c r="Y258" s="13">
        <f>Y248*$I222*2/MAIN!$Q$1</f>
        <v>-174836.46072151899</v>
      </c>
      <c r="Z258" s="13">
        <f>Z248*$I222*2/MAIN!$Q$1</f>
        <v>-174836.46072151899</v>
      </c>
      <c r="AA258" s="13">
        <f>AA248*$I222*2/MAIN!$Q$1</f>
        <v>-174836.46072151899</v>
      </c>
      <c r="AB258" s="13">
        <f>AB248*$I222*2/MAIN!$Q$1</f>
        <v>-174836.46072151899</v>
      </c>
      <c r="AC258" s="13">
        <f>AC248*$I222*2/MAIN!$Q$1</f>
        <v>-174836.46072151899</v>
      </c>
      <c r="AD258" s="13">
        <f>AD248*$I222*2/MAIN!$Q$1</f>
        <v>-174836.46072151899</v>
      </c>
      <c r="AE258" s="13">
        <f>AE248*$I222*2/MAIN!$Q$1</f>
        <v>-168294.63444714079</v>
      </c>
      <c r="AF258" s="13">
        <f>AF248*$I222*2/MAIN!$Q$1</f>
        <v>-153258.97277666733</v>
      </c>
      <c r="AG258" s="13">
        <f>AG248*$I222*2/MAIN!$Q$1</f>
        <v>-139196.04283889892</v>
      </c>
      <c r="AH258" s="13">
        <f>AH248*$I222*2/MAIN!$Q$1</f>
        <v>-126014.40615826604</v>
      </c>
      <c r="AI258" s="13">
        <f>AI248*$I222*2/MAIN!$Q$1</f>
        <v>-113633.73656816556</v>
      </c>
      <c r="AJ258" s="13">
        <f>AJ248*$I222*2/MAIN!$Q$1</f>
        <v>-101983.18191855245</v>
      </c>
      <c r="AK258" s="13">
        <f>AK248*$I222*2/MAIN!$Q$1</f>
        <v>-91000.007323005746</v>
      </c>
      <c r="AL258" s="13">
        <f>AL248*$I222*2/MAIN!$Q$1</f>
        <v>-80628.465070854043</v>
      </c>
      <c r="AM258" s="13">
        <f>AM248*$I222*2/MAIN!$Q$1</f>
        <v>-70818.848222230052</v>
      </c>
      <c r="AN258" s="13">
        <f>AN248*$I222*2/MAIN!$Q$1</f>
        <v>-61526.693973244524</v>
      </c>
      <c r="AO258" s="13">
        <f>AO248*$I222*2/MAIN!$Q$1</f>
        <v>-52712.109850264766</v>
      </c>
      <c r="AP258" s="13">
        <f>AP248*$I222*2/MAIN!$Q$1</f>
        <v>-44339.20119205318</v>
      </c>
      <c r="AQ258" s="13">
        <f>AQ248*$I222*2/MAIN!$Q$1</f>
        <v>-36375.582590495855</v>
      </c>
      <c r="AR258" s="59">
        <f>AR248*$I222*2/MAIN!$Q$1</f>
        <v>-28791.959268212689</v>
      </c>
      <c r="AS258" s="13">
        <f>AS248*$I222*2/MAIN!$Q$1</f>
        <v>-11706.912176241825</v>
      </c>
      <c r="AT258" s="13">
        <f>AT248*$I222*2/MAIN!$Q$1</f>
        <v>3594.8044677110697</v>
      </c>
      <c r="AU258" s="13">
        <f>AU248*$I222*2/MAIN!$Q$1</f>
        <v>17378.556273685906</v>
      </c>
      <c r="AV258" s="13">
        <f>AV248*$I222*2/MAIN!$Q$1</f>
        <v>29859.54719142742</v>
      </c>
      <c r="AW258" s="13">
        <f>AW248*$I222*2/MAIN!$Q$1</f>
        <v>41214.13714987562</v>
      </c>
      <c r="AX258" s="13">
        <f>AX248*$I222*2/MAIN!$Q$1</f>
        <v>51588.227770960584</v>
      </c>
      <c r="AY258" s="13">
        <f>AY248*$I222*2/MAIN!$Q$1</f>
        <v>51988.758124634798</v>
      </c>
      <c r="AZ258" s="13">
        <f>AZ248*$I222*2/MAIN!$Q$1</f>
        <v>60747.73480410847</v>
      </c>
      <c r="BA258" s="13">
        <f>BA248*$I222*2/MAIN!$Q$1</f>
        <v>68837.086232040616</v>
      </c>
      <c r="BB258" s="13">
        <f>BB248*$I222*2/MAIN!$Q$1</f>
        <v>76330.774641739787</v>
      </c>
      <c r="BC258" s="13">
        <f>BC248*$I222*2/MAIN!$Q$1</f>
        <v>83292.256577665554</v>
      </c>
      <c r="BD258" s="13">
        <f>BD248*$I222*2/MAIN!$Q$1</f>
        <v>88995.173756795048</v>
      </c>
      <c r="BE258" s="13">
        <f>BE248*$I222*2/MAIN!$Q$1</f>
        <v>91711.280701788492</v>
      </c>
      <c r="BF258" s="13">
        <f>BF248*$I222*2/MAIN!$Q$1</f>
        <v>94102.037169006362</v>
      </c>
      <c r="BG258" s="13">
        <f>BG248*$I222*2/MAIN!$Q$1</f>
        <v>96222.598217060673</v>
      </c>
      <c r="BH258" s="13">
        <f>BH248*$I222*2/MAIN!$Q$1</f>
        <v>98116.31882178942</v>
      </c>
      <c r="BI258" s="13">
        <f>BI248*$I222*2/MAIN!$Q$1</f>
        <v>99817.749353483785</v>
      </c>
      <c r="BJ258" s="13">
        <f>BJ248*$I222*2/MAIN!$Q$1</f>
        <v>101354.76265296861</v>
      </c>
      <c r="BK258" s="13">
        <f>BK248*$I222*2/MAIN!$Q$1</f>
        <v>102750.09288114248</v>
      </c>
      <c r="BL258" s="13">
        <f>BL248*$I222*2/MAIN!$Q$1</f>
        <v>115384.41498104595</v>
      </c>
      <c r="BM258" s="13">
        <f>BM248*$I222*2/MAIN!$Q$1</f>
        <v>120328.2801505734</v>
      </c>
      <c r="BN258" s="13">
        <f>BN248*$I222*2/MAIN!$Q$1</f>
        <v>122965.00824098804</v>
      </c>
      <c r="BO258" s="3">
        <f>BO248*$I222*2/MAIN!$Q$1</f>
        <v>131628.54339520758</v>
      </c>
      <c r="BP258" s="43"/>
      <c r="BQ258" s="43"/>
      <c r="BR258" s="42"/>
    </row>
    <row r="259" spans="1:70" ht="16.5">
      <c r="A259" s="41"/>
      <c r="B259" s="14">
        <f t="shared" si="197"/>
        <v>4</v>
      </c>
      <c r="C259" s="298" t="s">
        <v>66</v>
      </c>
      <c r="D259" s="3">
        <f>D249*$I222*2/MAIN!$Q$1</f>
        <v>0</v>
      </c>
      <c r="E259" s="13">
        <f>E249*$I222*2/MAIN!$Q$1</f>
        <v>0</v>
      </c>
      <c r="F259" s="13">
        <f>F249*$I222*2/MAIN!$Q$1</f>
        <v>0</v>
      </c>
      <c r="G259" s="13">
        <f>G249*$I222*2/MAIN!$Q$1</f>
        <v>0</v>
      </c>
      <c r="H259" s="13">
        <f>H249*$I222*2/MAIN!$Q$1</f>
        <v>0</v>
      </c>
      <c r="I259" s="13">
        <f>I249*$I222*2/MAIN!$Q$1</f>
        <v>0</v>
      </c>
      <c r="J259" s="13">
        <f>J249*$I222*2/MAIN!$Q$1</f>
        <v>0</v>
      </c>
      <c r="K259" s="13">
        <f>K249*$I222*2/MAIN!$Q$1</f>
        <v>0</v>
      </c>
      <c r="L259" s="13">
        <f>L249*$I222*2/MAIN!$Q$1</f>
        <v>0</v>
      </c>
      <c r="M259" s="13">
        <f>M249*$I222*2/MAIN!$Q$1</f>
        <v>0</v>
      </c>
      <c r="N259" s="13">
        <f>N249*$I222*2/MAIN!$Q$1</f>
        <v>0</v>
      </c>
      <c r="O259" s="13">
        <f>O249*$I222*2/MAIN!$Q$1</f>
        <v>0</v>
      </c>
      <c r="P259" s="13">
        <f>P249*$I222*2/MAIN!$Q$1</f>
        <v>0</v>
      </c>
      <c r="Q259" s="13">
        <f>Q249*$I222*2/MAIN!$Q$1</f>
        <v>0</v>
      </c>
      <c r="R259" s="13">
        <f>R249*$I222*2/MAIN!$Q$1</f>
        <v>0</v>
      </c>
      <c r="S259" s="13">
        <f>S249*$I222*2/MAIN!$Q$1</f>
        <v>0</v>
      </c>
      <c r="T259" s="13">
        <f>T249*$I222*2/MAIN!$Q$1</f>
        <v>0</v>
      </c>
      <c r="U259" s="13">
        <f>U249*$I222*2/MAIN!$Q$1</f>
        <v>0</v>
      </c>
      <c r="V259" s="13">
        <f>V249*$I222*2/MAIN!$Q$1</f>
        <v>0</v>
      </c>
      <c r="W259" s="13">
        <f>W249*$I222*2/MAIN!$Q$1</f>
        <v>0</v>
      </c>
      <c r="X259" s="13">
        <f>X249*$I222*2/MAIN!$Q$1</f>
        <v>0</v>
      </c>
      <c r="Y259" s="13">
        <f>Y249*$I222*2/MAIN!$Q$1</f>
        <v>0</v>
      </c>
      <c r="Z259" s="13">
        <f>Z249*$I222*2/MAIN!$Q$1</f>
        <v>0</v>
      </c>
      <c r="AA259" s="13">
        <f>AA249*$I222*2/MAIN!$Q$1</f>
        <v>0</v>
      </c>
      <c r="AB259" s="13">
        <f>AB249*$I222*2/MAIN!$Q$1</f>
        <v>0</v>
      </c>
      <c r="AC259" s="13">
        <f>AC249*$I222*2/MAIN!$Q$1</f>
        <v>0</v>
      </c>
      <c r="AD259" s="13">
        <f>AD249*$I222*2/MAIN!$Q$1</f>
        <v>0</v>
      </c>
      <c r="AE259" s="13">
        <f>AE249*$I222*2/MAIN!$Q$1</f>
        <v>0</v>
      </c>
      <c r="AF259" s="13">
        <f>AF249*$I222*2/MAIN!$Q$1</f>
        <v>0</v>
      </c>
      <c r="AG259" s="13">
        <f>AG249*$I222*2/MAIN!$Q$1</f>
        <v>0</v>
      </c>
      <c r="AH259" s="13">
        <f>AH249*$I222*2/MAIN!$Q$1</f>
        <v>0</v>
      </c>
      <c r="AI259" s="13">
        <f>AI249*$I222*2/MAIN!$Q$1</f>
        <v>0</v>
      </c>
      <c r="AJ259" s="13">
        <f>AJ249*$I222*2/MAIN!$Q$1</f>
        <v>0</v>
      </c>
      <c r="AK259" s="13">
        <f>AK249*$I222*2/MAIN!$Q$1</f>
        <v>0</v>
      </c>
      <c r="AL259" s="13">
        <f>AL249*$I222*2/MAIN!$Q$1</f>
        <v>0</v>
      </c>
      <c r="AM259" s="13">
        <f>AM249*$I222*2/MAIN!$Q$1</f>
        <v>0</v>
      </c>
      <c r="AN259" s="13">
        <f>AN249*$I222*2/MAIN!$Q$1</f>
        <v>0</v>
      </c>
      <c r="AO259" s="13">
        <f>AO249*$I222*2/MAIN!$Q$1</f>
        <v>0</v>
      </c>
      <c r="AP259" s="13">
        <f>AP249*$I222*2/MAIN!$Q$1</f>
        <v>0</v>
      </c>
      <c r="AQ259" s="13">
        <f>AQ249*$I222*2/MAIN!$Q$1</f>
        <v>0</v>
      </c>
      <c r="AR259" s="59">
        <f>AR249*$I222*2/MAIN!$Q$1</f>
        <v>0</v>
      </c>
      <c r="AS259" s="13">
        <f>AS249*$I222*2/MAIN!$Q$1</f>
        <v>0</v>
      </c>
      <c r="AT259" s="13">
        <f>AT249*$I222*2/MAIN!$Q$1</f>
        <v>0</v>
      </c>
      <c r="AU259" s="13">
        <f>AU249*$I222*2/MAIN!$Q$1</f>
        <v>0</v>
      </c>
      <c r="AV259" s="13">
        <f>AV249*$I222*2/MAIN!$Q$1</f>
        <v>0</v>
      </c>
      <c r="AW259" s="13">
        <f>AW249*$I222*2/MAIN!$Q$1</f>
        <v>0</v>
      </c>
      <c r="AX259" s="13">
        <f>AX249*$I222*2/MAIN!$Q$1</f>
        <v>0</v>
      </c>
      <c r="AY259" s="13">
        <f>AY249*$I222*2/MAIN!$Q$1</f>
        <v>0</v>
      </c>
      <c r="AZ259" s="13">
        <f>AZ249*$I222*2/MAIN!$Q$1</f>
        <v>0</v>
      </c>
      <c r="BA259" s="13">
        <f>BA249*$I222*2/MAIN!$Q$1</f>
        <v>0</v>
      </c>
      <c r="BB259" s="13">
        <f>BB249*$I222*2/MAIN!$Q$1</f>
        <v>0</v>
      </c>
      <c r="BC259" s="13">
        <f>BC249*$I222*2/MAIN!$Q$1</f>
        <v>0</v>
      </c>
      <c r="BD259" s="13">
        <f>BD249*$I222*2/MAIN!$Q$1</f>
        <v>0</v>
      </c>
      <c r="BE259" s="13">
        <f>BE249*$I222*2/MAIN!$Q$1</f>
        <v>0</v>
      </c>
      <c r="BF259" s="13">
        <f>BF249*$I222*2/MAIN!$Q$1</f>
        <v>0</v>
      </c>
      <c r="BG259" s="13">
        <f>BG249*$I222*2/MAIN!$Q$1</f>
        <v>0</v>
      </c>
      <c r="BH259" s="13">
        <f>BH249*$I222*2/MAIN!$Q$1</f>
        <v>0</v>
      </c>
      <c r="BI259" s="13">
        <f>BI249*$I222*2/MAIN!$Q$1</f>
        <v>0</v>
      </c>
      <c r="BJ259" s="13">
        <f>BJ249*$I222*2/MAIN!$Q$1</f>
        <v>0</v>
      </c>
      <c r="BK259" s="13">
        <f>BK249*$I222*2/MAIN!$Q$1</f>
        <v>0</v>
      </c>
      <c r="BL259" s="13">
        <f>BL249*$I222*2/MAIN!$Q$1</f>
        <v>0</v>
      </c>
      <c r="BM259" s="13">
        <f>BM249*$I222*2/MAIN!$Q$1</f>
        <v>0</v>
      </c>
      <c r="BN259" s="13">
        <f>BN249*$I222*2/MAIN!$Q$1</f>
        <v>0</v>
      </c>
      <c r="BO259" s="3">
        <f>BO249*$I222*2/MAIN!$Q$1</f>
        <v>0</v>
      </c>
      <c r="BP259" s="43"/>
      <c r="BQ259" s="43"/>
      <c r="BR259" s="42"/>
    </row>
    <row r="260" spans="1:70" ht="16.5">
      <c r="A260" s="41"/>
      <c r="B260" s="14">
        <f t="shared" si="197"/>
        <v>5</v>
      </c>
      <c r="C260" s="298" t="s">
        <v>66</v>
      </c>
      <c r="D260" s="3">
        <f>D250*$I222*2/MAIN!$Q$1</f>
        <v>0</v>
      </c>
      <c r="E260" s="13">
        <f>E250*$I222*2/MAIN!$Q$1</f>
        <v>0</v>
      </c>
      <c r="F260" s="13">
        <f>F250*$I222*2/MAIN!$Q$1</f>
        <v>0</v>
      </c>
      <c r="G260" s="13">
        <f>G250*$I222*2/MAIN!$Q$1</f>
        <v>0</v>
      </c>
      <c r="H260" s="13">
        <f>H250*$I222*2/MAIN!$Q$1</f>
        <v>0</v>
      </c>
      <c r="I260" s="13">
        <f>I250*$I222*2/MAIN!$Q$1</f>
        <v>0</v>
      </c>
      <c r="J260" s="13">
        <f>J250*$I222*2/MAIN!$Q$1</f>
        <v>0</v>
      </c>
      <c r="K260" s="13">
        <f>K250*$I222*2/MAIN!$Q$1</f>
        <v>0</v>
      </c>
      <c r="L260" s="13">
        <f>L250*$I222*2/MAIN!$Q$1</f>
        <v>0</v>
      </c>
      <c r="M260" s="13">
        <f>M250*$I222*2/MAIN!$Q$1</f>
        <v>0</v>
      </c>
      <c r="N260" s="13">
        <f>N250*$I222*2/MAIN!$Q$1</f>
        <v>0</v>
      </c>
      <c r="O260" s="13">
        <f>O250*$I222*2/MAIN!$Q$1</f>
        <v>0</v>
      </c>
      <c r="P260" s="13">
        <f>P250*$I222*2/MAIN!$Q$1</f>
        <v>0</v>
      </c>
      <c r="Q260" s="13">
        <f>Q250*$I222*2/MAIN!$Q$1</f>
        <v>0</v>
      </c>
      <c r="R260" s="13">
        <f>R250*$I222*2/MAIN!$Q$1</f>
        <v>0</v>
      </c>
      <c r="S260" s="13">
        <f>S250*$I222*2/MAIN!$Q$1</f>
        <v>0</v>
      </c>
      <c r="T260" s="13">
        <f>T250*$I222*2/MAIN!$Q$1</f>
        <v>0</v>
      </c>
      <c r="U260" s="13">
        <f>U250*$I222*2/MAIN!$Q$1</f>
        <v>0</v>
      </c>
      <c r="V260" s="13">
        <f>V250*$I222*2/MAIN!$Q$1</f>
        <v>0</v>
      </c>
      <c r="W260" s="13">
        <f>W250*$I222*2/MAIN!$Q$1</f>
        <v>0</v>
      </c>
      <c r="X260" s="13">
        <f>X250*$I222*2/MAIN!$Q$1</f>
        <v>0</v>
      </c>
      <c r="Y260" s="13">
        <f>Y250*$I222*2/MAIN!$Q$1</f>
        <v>0</v>
      </c>
      <c r="Z260" s="13">
        <f>Z250*$I222*2/MAIN!$Q$1</f>
        <v>0</v>
      </c>
      <c r="AA260" s="13">
        <f>AA250*$I222*2/MAIN!$Q$1</f>
        <v>0</v>
      </c>
      <c r="AB260" s="13">
        <f>AB250*$I222*2/MAIN!$Q$1</f>
        <v>0</v>
      </c>
      <c r="AC260" s="13">
        <f>AC250*$I222*2/MAIN!$Q$1</f>
        <v>0</v>
      </c>
      <c r="AD260" s="13">
        <f>AD250*$I222*2/MAIN!$Q$1</f>
        <v>0</v>
      </c>
      <c r="AE260" s="13">
        <f>AE250*$I222*2/MAIN!$Q$1</f>
        <v>0</v>
      </c>
      <c r="AF260" s="13">
        <f>AF250*$I222*2/MAIN!$Q$1</f>
        <v>0</v>
      </c>
      <c r="AG260" s="13">
        <f>AG250*$I222*2/MAIN!$Q$1</f>
        <v>0</v>
      </c>
      <c r="AH260" s="13">
        <f>AH250*$I222*2/MAIN!$Q$1</f>
        <v>0</v>
      </c>
      <c r="AI260" s="13">
        <f>AI250*$I222*2/MAIN!$Q$1</f>
        <v>0</v>
      </c>
      <c r="AJ260" s="13">
        <f>AJ250*$I222*2/MAIN!$Q$1</f>
        <v>0</v>
      </c>
      <c r="AK260" s="13">
        <f>AK250*$I222*2/MAIN!$Q$1</f>
        <v>0</v>
      </c>
      <c r="AL260" s="13">
        <f>AL250*$I222*2/MAIN!$Q$1</f>
        <v>0</v>
      </c>
      <c r="AM260" s="13">
        <f>AM250*$I222*2/MAIN!$Q$1</f>
        <v>0</v>
      </c>
      <c r="AN260" s="13">
        <f>AN250*$I222*2/MAIN!$Q$1</f>
        <v>0</v>
      </c>
      <c r="AO260" s="13">
        <f>AO250*$I222*2/MAIN!$Q$1</f>
        <v>0</v>
      </c>
      <c r="AP260" s="13">
        <f>AP250*$I222*2/MAIN!$Q$1</f>
        <v>0</v>
      </c>
      <c r="AQ260" s="13">
        <f>AQ250*$I222*2/MAIN!$Q$1</f>
        <v>0</v>
      </c>
      <c r="AR260" s="59">
        <f>AR250*$I222*2/MAIN!$Q$1</f>
        <v>0</v>
      </c>
      <c r="AS260" s="13">
        <f>AS250*$I222*2/MAIN!$Q$1</f>
        <v>0</v>
      </c>
      <c r="AT260" s="13">
        <f>AT250*$I222*2/MAIN!$Q$1</f>
        <v>0</v>
      </c>
      <c r="AU260" s="13">
        <f>AU250*$I222*2/MAIN!$Q$1</f>
        <v>0</v>
      </c>
      <c r="AV260" s="13">
        <f>AV250*$I222*2/MAIN!$Q$1</f>
        <v>0</v>
      </c>
      <c r="AW260" s="13">
        <f>AW250*$I222*2/MAIN!$Q$1</f>
        <v>0</v>
      </c>
      <c r="AX260" s="13">
        <f>AX250*$I222*2/MAIN!$Q$1</f>
        <v>0</v>
      </c>
      <c r="AY260" s="13">
        <f>AY250*$I222*2/MAIN!$Q$1</f>
        <v>0</v>
      </c>
      <c r="AZ260" s="13">
        <f>AZ250*$I222*2/MAIN!$Q$1</f>
        <v>0</v>
      </c>
      <c r="BA260" s="13">
        <f>BA250*$I222*2/MAIN!$Q$1</f>
        <v>0</v>
      </c>
      <c r="BB260" s="13">
        <f>BB250*$I222*2/MAIN!$Q$1</f>
        <v>0</v>
      </c>
      <c r="BC260" s="13">
        <f>BC250*$I222*2/MAIN!$Q$1</f>
        <v>0</v>
      </c>
      <c r="BD260" s="13">
        <f>BD250*$I222*2/MAIN!$Q$1</f>
        <v>0</v>
      </c>
      <c r="BE260" s="13">
        <f>BE250*$I222*2/MAIN!$Q$1</f>
        <v>0</v>
      </c>
      <c r="BF260" s="13">
        <f>BF250*$I222*2/MAIN!$Q$1</f>
        <v>0</v>
      </c>
      <c r="BG260" s="13">
        <f>BG250*$I222*2/MAIN!$Q$1</f>
        <v>0</v>
      </c>
      <c r="BH260" s="13">
        <f>BH250*$I222*2/MAIN!$Q$1</f>
        <v>0</v>
      </c>
      <c r="BI260" s="13">
        <f>BI250*$I222*2/MAIN!$Q$1</f>
        <v>0</v>
      </c>
      <c r="BJ260" s="13">
        <f>BJ250*$I222*2/MAIN!$Q$1</f>
        <v>0</v>
      </c>
      <c r="BK260" s="13">
        <f>BK250*$I222*2/MAIN!$Q$1</f>
        <v>0</v>
      </c>
      <c r="BL260" s="13">
        <f>BL250*$I222*2/MAIN!$Q$1</f>
        <v>0</v>
      </c>
      <c r="BM260" s="13">
        <f>BM250*$I222*2/MAIN!$Q$1</f>
        <v>0</v>
      </c>
      <c r="BN260" s="13">
        <f>BN250*$I222*2/MAIN!$Q$1</f>
        <v>0</v>
      </c>
      <c r="BO260" s="3">
        <f>BO250*$I222*2/MAIN!$Q$1</f>
        <v>0</v>
      </c>
      <c r="BP260" s="43"/>
      <c r="BQ260" s="43"/>
      <c r="BR260" s="42"/>
    </row>
    <row r="261" spans="1:70" ht="16.5">
      <c r="A261" s="41"/>
      <c r="B261" s="14">
        <f t="shared" si="197"/>
        <v>6</v>
      </c>
      <c r="C261" s="298" t="s">
        <v>66</v>
      </c>
      <c r="D261" s="3">
        <f>D251*$I222*2/MAIN!$Q$1</f>
        <v>0</v>
      </c>
      <c r="E261" s="13">
        <f>E251*$I222*2/MAIN!$Q$1</f>
        <v>0</v>
      </c>
      <c r="F261" s="13">
        <f>F251*$I222*2/MAIN!$Q$1</f>
        <v>0</v>
      </c>
      <c r="G261" s="13">
        <f>G251*$I222*2/MAIN!$Q$1</f>
        <v>0</v>
      </c>
      <c r="H261" s="13">
        <f>H251*$I222*2/MAIN!$Q$1</f>
        <v>0</v>
      </c>
      <c r="I261" s="13">
        <f>I251*$I222*2/MAIN!$Q$1</f>
        <v>0</v>
      </c>
      <c r="J261" s="13">
        <f>J251*$I222*2/MAIN!$Q$1</f>
        <v>0</v>
      </c>
      <c r="K261" s="13">
        <f>K251*$I222*2/MAIN!$Q$1</f>
        <v>0</v>
      </c>
      <c r="L261" s="13">
        <f>L251*$I222*2/MAIN!$Q$1</f>
        <v>0</v>
      </c>
      <c r="M261" s="13">
        <f>M251*$I222*2/MAIN!$Q$1</f>
        <v>0</v>
      </c>
      <c r="N261" s="13">
        <f>N251*$I222*2/MAIN!$Q$1</f>
        <v>0</v>
      </c>
      <c r="O261" s="13">
        <f>O251*$I222*2/MAIN!$Q$1</f>
        <v>0</v>
      </c>
      <c r="P261" s="13">
        <f>P251*$I222*2/MAIN!$Q$1</f>
        <v>0</v>
      </c>
      <c r="Q261" s="13">
        <f>Q251*$I222*2/MAIN!$Q$1</f>
        <v>0</v>
      </c>
      <c r="R261" s="13">
        <f>R251*$I222*2/MAIN!$Q$1</f>
        <v>0</v>
      </c>
      <c r="S261" s="13">
        <f>S251*$I222*2/MAIN!$Q$1</f>
        <v>0</v>
      </c>
      <c r="T261" s="13">
        <f>T251*$I222*2/MAIN!$Q$1</f>
        <v>0</v>
      </c>
      <c r="U261" s="13">
        <f>U251*$I222*2/MAIN!$Q$1</f>
        <v>0</v>
      </c>
      <c r="V261" s="13">
        <f>V251*$I222*2/MAIN!$Q$1</f>
        <v>0</v>
      </c>
      <c r="W261" s="13">
        <f>W251*$I222*2/MAIN!$Q$1</f>
        <v>0</v>
      </c>
      <c r="X261" s="13">
        <f>X251*$I222*2/MAIN!$Q$1</f>
        <v>0</v>
      </c>
      <c r="Y261" s="13">
        <f>Y251*$I222*2/MAIN!$Q$1</f>
        <v>0</v>
      </c>
      <c r="Z261" s="13">
        <f>Z251*$I222*2/MAIN!$Q$1</f>
        <v>0</v>
      </c>
      <c r="AA261" s="13">
        <f>AA251*$I222*2/MAIN!$Q$1</f>
        <v>0</v>
      </c>
      <c r="AB261" s="13">
        <f>AB251*$I222*2/MAIN!$Q$1</f>
        <v>0</v>
      </c>
      <c r="AC261" s="13">
        <f>AC251*$I222*2/MAIN!$Q$1</f>
        <v>0</v>
      </c>
      <c r="AD261" s="13">
        <f>AD251*$I222*2/MAIN!$Q$1</f>
        <v>0</v>
      </c>
      <c r="AE261" s="13">
        <f>AE251*$I222*2/MAIN!$Q$1</f>
        <v>0</v>
      </c>
      <c r="AF261" s="13">
        <f>AF251*$I222*2/MAIN!$Q$1</f>
        <v>0</v>
      </c>
      <c r="AG261" s="13">
        <f>AG251*$I222*2/MAIN!$Q$1</f>
        <v>0</v>
      </c>
      <c r="AH261" s="13">
        <f>AH251*$I222*2/MAIN!$Q$1</f>
        <v>0</v>
      </c>
      <c r="AI261" s="13">
        <f>AI251*$I222*2/MAIN!$Q$1</f>
        <v>0</v>
      </c>
      <c r="AJ261" s="13">
        <f>AJ251*$I222*2/MAIN!$Q$1</f>
        <v>0</v>
      </c>
      <c r="AK261" s="13">
        <f>AK251*$I222*2/MAIN!$Q$1</f>
        <v>0</v>
      </c>
      <c r="AL261" s="13">
        <f>AL251*$I222*2/MAIN!$Q$1</f>
        <v>0</v>
      </c>
      <c r="AM261" s="13">
        <f>AM251*$I222*2/MAIN!$Q$1</f>
        <v>0</v>
      </c>
      <c r="AN261" s="13">
        <f>AN251*$I222*2/MAIN!$Q$1</f>
        <v>0</v>
      </c>
      <c r="AO261" s="13">
        <f>AO251*$I222*2/MAIN!$Q$1</f>
        <v>0</v>
      </c>
      <c r="AP261" s="13">
        <f>AP251*$I222*2/MAIN!$Q$1</f>
        <v>0</v>
      </c>
      <c r="AQ261" s="13">
        <f>AQ251*$I222*2/MAIN!$Q$1</f>
        <v>0</v>
      </c>
      <c r="AR261" s="59">
        <f>AR251*$I222*2/MAIN!$Q$1</f>
        <v>0</v>
      </c>
      <c r="AS261" s="13">
        <f>AS251*$I222*2/MAIN!$Q$1</f>
        <v>0</v>
      </c>
      <c r="AT261" s="13">
        <f>AT251*$I222*2/MAIN!$Q$1</f>
        <v>0</v>
      </c>
      <c r="AU261" s="13">
        <f>AU251*$I222*2/MAIN!$Q$1</f>
        <v>0</v>
      </c>
      <c r="AV261" s="13">
        <f>AV251*$I222*2/MAIN!$Q$1</f>
        <v>0</v>
      </c>
      <c r="AW261" s="13">
        <f>AW251*$I222*2/MAIN!$Q$1</f>
        <v>0</v>
      </c>
      <c r="AX261" s="13">
        <f>AX251*$I222*2/MAIN!$Q$1</f>
        <v>0</v>
      </c>
      <c r="AY261" s="13">
        <f>AY251*$I222*2/MAIN!$Q$1</f>
        <v>0</v>
      </c>
      <c r="AZ261" s="13">
        <f>AZ251*$I222*2/MAIN!$Q$1</f>
        <v>0</v>
      </c>
      <c r="BA261" s="13">
        <f>BA251*$I222*2/MAIN!$Q$1</f>
        <v>0</v>
      </c>
      <c r="BB261" s="13">
        <f>BB251*$I222*2/MAIN!$Q$1</f>
        <v>0</v>
      </c>
      <c r="BC261" s="13">
        <f>BC251*$I222*2/MAIN!$Q$1</f>
        <v>0</v>
      </c>
      <c r="BD261" s="13">
        <f>BD251*$I222*2/MAIN!$Q$1</f>
        <v>0</v>
      </c>
      <c r="BE261" s="13">
        <f>BE251*$I222*2/MAIN!$Q$1</f>
        <v>0</v>
      </c>
      <c r="BF261" s="13">
        <f>BF251*$I222*2/MAIN!$Q$1</f>
        <v>0</v>
      </c>
      <c r="BG261" s="13">
        <f>BG251*$I222*2/MAIN!$Q$1</f>
        <v>0</v>
      </c>
      <c r="BH261" s="13">
        <f>BH251*$I222*2/MAIN!$Q$1</f>
        <v>0</v>
      </c>
      <c r="BI261" s="13">
        <f>BI251*$I222*2/MAIN!$Q$1</f>
        <v>0</v>
      </c>
      <c r="BJ261" s="13">
        <f>BJ251*$I222*2/MAIN!$Q$1</f>
        <v>0</v>
      </c>
      <c r="BK261" s="13">
        <f>BK251*$I222*2/MAIN!$Q$1</f>
        <v>0</v>
      </c>
      <c r="BL261" s="13">
        <f>BL251*$I222*2/MAIN!$Q$1</f>
        <v>0</v>
      </c>
      <c r="BM261" s="13">
        <f>BM251*$I222*2/MAIN!$Q$1</f>
        <v>0</v>
      </c>
      <c r="BN261" s="13">
        <f>BN251*$I222*2/MAIN!$Q$1</f>
        <v>0</v>
      </c>
      <c r="BO261" s="3">
        <f>BO251*$I222*2/MAIN!$Q$1</f>
        <v>0</v>
      </c>
      <c r="BP261" s="43"/>
      <c r="BQ261" s="43"/>
      <c r="BR261" s="42"/>
    </row>
    <row r="262" spans="1:70" ht="16.5">
      <c r="A262" s="41"/>
      <c r="B262" s="14">
        <f t="shared" si="197"/>
        <v>7</v>
      </c>
      <c r="C262" s="298" t="s">
        <v>66</v>
      </c>
      <c r="D262" s="3">
        <f>D252*$I222*2/MAIN!$Q$1</f>
        <v>0</v>
      </c>
      <c r="E262" s="13">
        <f>E252*$I222*2/MAIN!$Q$1</f>
        <v>0</v>
      </c>
      <c r="F262" s="13">
        <f>F252*$I222*2/MAIN!$Q$1</f>
        <v>0</v>
      </c>
      <c r="G262" s="13">
        <f>G252*$I222*2/MAIN!$Q$1</f>
        <v>0</v>
      </c>
      <c r="H262" s="13">
        <f>H252*$I222*2/MAIN!$Q$1</f>
        <v>0</v>
      </c>
      <c r="I262" s="13">
        <f>I252*$I222*2/MAIN!$Q$1</f>
        <v>0</v>
      </c>
      <c r="J262" s="13">
        <f>J252*$I222*2/MAIN!$Q$1</f>
        <v>0</v>
      </c>
      <c r="K262" s="13">
        <f>K252*$I222*2/MAIN!$Q$1</f>
        <v>0</v>
      </c>
      <c r="L262" s="13">
        <f>L252*$I222*2/MAIN!$Q$1</f>
        <v>0</v>
      </c>
      <c r="M262" s="13">
        <f>M252*$I222*2/MAIN!$Q$1</f>
        <v>0</v>
      </c>
      <c r="N262" s="13">
        <f>N252*$I222*2/MAIN!$Q$1</f>
        <v>0</v>
      </c>
      <c r="O262" s="13">
        <f>O252*$I222*2/MAIN!$Q$1</f>
        <v>0</v>
      </c>
      <c r="P262" s="13">
        <f>P252*$I222*2/MAIN!$Q$1</f>
        <v>0</v>
      </c>
      <c r="Q262" s="13">
        <f>Q252*$I222*2/MAIN!$Q$1</f>
        <v>0</v>
      </c>
      <c r="R262" s="13">
        <f>R252*$I222*2/MAIN!$Q$1</f>
        <v>0</v>
      </c>
      <c r="S262" s="13">
        <f>S252*$I222*2/MAIN!$Q$1</f>
        <v>0</v>
      </c>
      <c r="T262" s="13">
        <f>T252*$I222*2/MAIN!$Q$1</f>
        <v>0</v>
      </c>
      <c r="U262" s="13">
        <f>U252*$I222*2/MAIN!$Q$1</f>
        <v>0</v>
      </c>
      <c r="V262" s="13">
        <f>V252*$I222*2/MAIN!$Q$1</f>
        <v>0</v>
      </c>
      <c r="W262" s="13">
        <f>W252*$I222*2/MAIN!$Q$1</f>
        <v>0</v>
      </c>
      <c r="X262" s="13">
        <f>X252*$I222*2/MAIN!$Q$1</f>
        <v>0</v>
      </c>
      <c r="Y262" s="13">
        <f>Y252*$I222*2/MAIN!$Q$1</f>
        <v>0</v>
      </c>
      <c r="Z262" s="13">
        <f>Z252*$I222*2/MAIN!$Q$1</f>
        <v>0</v>
      </c>
      <c r="AA262" s="13">
        <f>AA252*$I222*2/MAIN!$Q$1</f>
        <v>0</v>
      </c>
      <c r="AB262" s="13">
        <f>AB252*$I222*2/MAIN!$Q$1</f>
        <v>0</v>
      </c>
      <c r="AC262" s="13">
        <f>AC252*$I222*2/MAIN!$Q$1</f>
        <v>0</v>
      </c>
      <c r="AD262" s="13">
        <f>AD252*$I222*2/MAIN!$Q$1</f>
        <v>0</v>
      </c>
      <c r="AE262" s="13">
        <f>AE252*$I222*2/MAIN!$Q$1</f>
        <v>0</v>
      </c>
      <c r="AF262" s="13">
        <f>AF252*$I222*2/MAIN!$Q$1</f>
        <v>0</v>
      </c>
      <c r="AG262" s="13">
        <f>AG252*$I222*2/MAIN!$Q$1</f>
        <v>0</v>
      </c>
      <c r="AH262" s="13">
        <f>AH252*$I222*2/MAIN!$Q$1</f>
        <v>0</v>
      </c>
      <c r="AI262" s="13">
        <f>AI252*$I222*2/MAIN!$Q$1</f>
        <v>0</v>
      </c>
      <c r="AJ262" s="13">
        <f>AJ252*$I222*2/MAIN!$Q$1</f>
        <v>0</v>
      </c>
      <c r="AK262" s="13">
        <f>AK252*$I222*2/MAIN!$Q$1</f>
        <v>0</v>
      </c>
      <c r="AL262" s="13">
        <f>AL252*$I222*2/MAIN!$Q$1</f>
        <v>0</v>
      </c>
      <c r="AM262" s="13">
        <f>AM252*$I222*2/MAIN!$Q$1</f>
        <v>0</v>
      </c>
      <c r="AN262" s="13">
        <f>AN252*$I222*2/MAIN!$Q$1</f>
        <v>0</v>
      </c>
      <c r="AO262" s="13">
        <f>AO252*$I222*2/MAIN!$Q$1</f>
        <v>0</v>
      </c>
      <c r="AP262" s="13">
        <f>AP252*$I222*2/MAIN!$Q$1</f>
        <v>0</v>
      </c>
      <c r="AQ262" s="13">
        <f>AQ252*$I222*2/MAIN!$Q$1</f>
        <v>0</v>
      </c>
      <c r="AR262" s="59">
        <f>AR252*$I222*2/MAIN!$Q$1</f>
        <v>0</v>
      </c>
      <c r="AS262" s="13">
        <f>AS252*$I222*2/MAIN!$Q$1</f>
        <v>0</v>
      </c>
      <c r="AT262" s="13">
        <f>AT252*$I222*2/MAIN!$Q$1</f>
        <v>0</v>
      </c>
      <c r="AU262" s="13">
        <f>AU252*$I222*2/MAIN!$Q$1</f>
        <v>0</v>
      </c>
      <c r="AV262" s="13">
        <f>AV252*$I222*2/MAIN!$Q$1</f>
        <v>0</v>
      </c>
      <c r="AW262" s="13">
        <f>AW252*$I222*2/MAIN!$Q$1</f>
        <v>0</v>
      </c>
      <c r="AX262" s="13">
        <f>AX252*$I222*2/MAIN!$Q$1</f>
        <v>0</v>
      </c>
      <c r="AY262" s="13">
        <f>AY252*$I222*2/MAIN!$Q$1</f>
        <v>0</v>
      </c>
      <c r="AZ262" s="13">
        <f>AZ252*$I222*2/MAIN!$Q$1</f>
        <v>0</v>
      </c>
      <c r="BA262" s="13">
        <f>BA252*$I222*2/MAIN!$Q$1</f>
        <v>0</v>
      </c>
      <c r="BB262" s="13">
        <f>BB252*$I222*2/MAIN!$Q$1</f>
        <v>0</v>
      </c>
      <c r="BC262" s="13">
        <f>BC252*$I222*2/MAIN!$Q$1</f>
        <v>0</v>
      </c>
      <c r="BD262" s="13">
        <f>BD252*$I222*2/MAIN!$Q$1</f>
        <v>0</v>
      </c>
      <c r="BE262" s="13">
        <f>BE252*$I222*2/MAIN!$Q$1</f>
        <v>0</v>
      </c>
      <c r="BF262" s="13">
        <f>BF252*$I222*2/MAIN!$Q$1</f>
        <v>0</v>
      </c>
      <c r="BG262" s="13">
        <f>BG252*$I222*2/MAIN!$Q$1</f>
        <v>0</v>
      </c>
      <c r="BH262" s="13">
        <f>BH252*$I222*2/MAIN!$Q$1</f>
        <v>0</v>
      </c>
      <c r="BI262" s="13">
        <f>BI252*$I222*2/MAIN!$Q$1</f>
        <v>0</v>
      </c>
      <c r="BJ262" s="13">
        <f>BJ252*$I222*2/MAIN!$Q$1</f>
        <v>0</v>
      </c>
      <c r="BK262" s="13">
        <f>BK252*$I222*2/MAIN!$Q$1</f>
        <v>0</v>
      </c>
      <c r="BL262" s="13">
        <f>BL252*$I222*2/MAIN!$Q$1</f>
        <v>0</v>
      </c>
      <c r="BM262" s="13">
        <f>BM252*$I222*2/MAIN!$Q$1</f>
        <v>0</v>
      </c>
      <c r="BN262" s="13">
        <f>BN252*$I222*2/MAIN!$Q$1</f>
        <v>0</v>
      </c>
      <c r="BO262" s="3">
        <f>BO252*$I222*2/MAIN!$Q$1</f>
        <v>0</v>
      </c>
      <c r="BP262" s="43"/>
      <c r="BQ262" s="43"/>
      <c r="BR262" s="42"/>
    </row>
    <row r="263" spans="1:70" ht="16.5">
      <c r="A263" s="41"/>
      <c r="B263" s="14">
        <f t="shared" si="197"/>
        <v>8</v>
      </c>
      <c r="C263" s="298" t="s">
        <v>66</v>
      </c>
      <c r="D263" s="3">
        <f>D253*$I222*2/MAIN!$Q$1</f>
        <v>0</v>
      </c>
      <c r="E263" s="13">
        <f>E253*$I222*2/MAIN!$Q$1</f>
        <v>0</v>
      </c>
      <c r="F263" s="13">
        <f>F253*$I222*2/MAIN!$Q$1</f>
        <v>0</v>
      </c>
      <c r="G263" s="13">
        <f>G253*$I222*2/MAIN!$Q$1</f>
        <v>0</v>
      </c>
      <c r="H263" s="13">
        <f>H253*$I222*2/MAIN!$Q$1</f>
        <v>0</v>
      </c>
      <c r="I263" s="13">
        <f>I253*$I222*2/MAIN!$Q$1</f>
        <v>0</v>
      </c>
      <c r="J263" s="13">
        <f>J253*$I222*2/MAIN!$Q$1</f>
        <v>0</v>
      </c>
      <c r="K263" s="13">
        <f>K253*$I222*2/MAIN!$Q$1</f>
        <v>0</v>
      </c>
      <c r="L263" s="13">
        <f>L253*$I222*2/MAIN!$Q$1</f>
        <v>0</v>
      </c>
      <c r="M263" s="13">
        <f>M253*$I222*2/MAIN!$Q$1</f>
        <v>0</v>
      </c>
      <c r="N263" s="13">
        <f>N253*$I222*2/MAIN!$Q$1</f>
        <v>0</v>
      </c>
      <c r="O263" s="13">
        <f>O253*$I222*2/MAIN!$Q$1</f>
        <v>0</v>
      </c>
      <c r="P263" s="13">
        <f>P253*$I222*2/MAIN!$Q$1</f>
        <v>0</v>
      </c>
      <c r="Q263" s="13">
        <f>Q253*$I222*2/MAIN!$Q$1</f>
        <v>0</v>
      </c>
      <c r="R263" s="13">
        <f>R253*$I222*2/MAIN!$Q$1</f>
        <v>0</v>
      </c>
      <c r="S263" s="13">
        <f>S253*$I222*2/MAIN!$Q$1</f>
        <v>0</v>
      </c>
      <c r="T263" s="13">
        <f>T253*$I222*2/MAIN!$Q$1</f>
        <v>0</v>
      </c>
      <c r="U263" s="13">
        <f>U253*$I222*2/MAIN!$Q$1</f>
        <v>0</v>
      </c>
      <c r="V263" s="13">
        <f>V253*$I222*2/MAIN!$Q$1</f>
        <v>0</v>
      </c>
      <c r="W263" s="13">
        <f>W253*$I222*2/MAIN!$Q$1</f>
        <v>0</v>
      </c>
      <c r="X263" s="13">
        <f>X253*$I222*2/MAIN!$Q$1</f>
        <v>0</v>
      </c>
      <c r="Y263" s="13">
        <f>Y253*$I222*2/MAIN!$Q$1</f>
        <v>0</v>
      </c>
      <c r="Z263" s="13">
        <f>Z253*$I222*2/MAIN!$Q$1</f>
        <v>0</v>
      </c>
      <c r="AA263" s="13">
        <f>AA253*$I222*2/MAIN!$Q$1</f>
        <v>0</v>
      </c>
      <c r="AB263" s="13">
        <f>AB253*$I222*2/MAIN!$Q$1</f>
        <v>0</v>
      </c>
      <c r="AC263" s="13">
        <f>AC253*$I222*2/MAIN!$Q$1</f>
        <v>0</v>
      </c>
      <c r="AD263" s="13">
        <f>AD253*$I222*2/MAIN!$Q$1</f>
        <v>0</v>
      </c>
      <c r="AE263" s="13">
        <f>AE253*$I222*2/MAIN!$Q$1</f>
        <v>0</v>
      </c>
      <c r="AF263" s="13">
        <f>AF253*$I222*2/MAIN!$Q$1</f>
        <v>0</v>
      </c>
      <c r="AG263" s="13">
        <f>AG253*$I222*2/MAIN!$Q$1</f>
        <v>0</v>
      </c>
      <c r="AH263" s="13">
        <f>AH253*$I222*2/MAIN!$Q$1</f>
        <v>0</v>
      </c>
      <c r="AI263" s="13">
        <f>AI253*$I222*2/MAIN!$Q$1</f>
        <v>0</v>
      </c>
      <c r="AJ263" s="13">
        <f>AJ253*$I222*2/MAIN!$Q$1</f>
        <v>0</v>
      </c>
      <c r="AK263" s="13">
        <f>AK253*$I222*2/MAIN!$Q$1</f>
        <v>0</v>
      </c>
      <c r="AL263" s="13">
        <f>AL253*$I222*2/MAIN!$Q$1</f>
        <v>0</v>
      </c>
      <c r="AM263" s="13">
        <f>AM253*$I222*2/MAIN!$Q$1</f>
        <v>0</v>
      </c>
      <c r="AN263" s="13">
        <f>AN253*$I222*2/MAIN!$Q$1</f>
        <v>0</v>
      </c>
      <c r="AO263" s="13">
        <f>AO253*$I222*2/MAIN!$Q$1</f>
        <v>0</v>
      </c>
      <c r="AP263" s="13">
        <f>AP253*$I222*2/MAIN!$Q$1</f>
        <v>0</v>
      </c>
      <c r="AQ263" s="13">
        <f>AQ253*$I222*2/MAIN!$Q$1</f>
        <v>0</v>
      </c>
      <c r="AR263" s="59">
        <f>AR253*$I222*2/MAIN!$Q$1</f>
        <v>0</v>
      </c>
      <c r="AS263" s="13">
        <f>AS253*$I222*2/MAIN!$Q$1</f>
        <v>0</v>
      </c>
      <c r="AT263" s="13">
        <f>AT253*$I222*2/MAIN!$Q$1</f>
        <v>0</v>
      </c>
      <c r="AU263" s="13">
        <f>AU253*$I222*2/MAIN!$Q$1</f>
        <v>0</v>
      </c>
      <c r="AV263" s="13">
        <f>AV253*$I222*2/MAIN!$Q$1</f>
        <v>0</v>
      </c>
      <c r="AW263" s="13">
        <f>AW253*$I222*2/MAIN!$Q$1</f>
        <v>0</v>
      </c>
      <c r="AX263" s="13">
        <f>AX253*$I222*2/MAIN!$Q$1</f>
        <v>0</v>
      </c>
      <c r="AY263" s="13">
        <f>AY253*$I222*2/MAIN!$Q$1</f>
        <v>0</v>
      </c>
      <c r="AZ263" s="13">
        <f>AZ253*$I222*2/MAIN!$Q$1</f>
        <v>0</v>
      </c>
      <c r="BA263" s="13">
        <f>BA253*$I222*2/MAIN!$Q$1</f>
        <v>0</v>
      </c>
      <c r="BB263" s="13">
        <f>BB253*$I222*2/MAIN!$Q$1</f>
        <v>0</v>
      </c>
      <c r="BC263" s="13">
        <f>BC253*$I222*2/MAIN!$Q$1</f>
        <v>0</v>
      </c>
      <c r="BD263" s="13">
        <f>BD253*$I222*2/MAIN!$Q$1</f>
        <v>0</v>
      </c>
      <c r="BE263" s="13">
        <f>BE253*$I222*2/MAIN!$Q$1</f>
        <v>0</v>
      </c>
      <c r="BF263" s="13">
        <f>BF253*$I222*2/MAIN!$Q$1</f>
        <v>0</v>
      </c>
      <c r="BG263" s="13">
        <f>BG253*$I222*2/MAIN!$Q$1</f>
        <v>0</v>
      </c>
      <c r="BH263" s="13">
        <f>BH253*$I222*2/MAIN!$Q$1</f>
        <v>0</v>
      </c>
      <c r="BI263" s="13">
        <f>BI253*$I222*2/MAIN!$Q$1</f>
        <v>0</v>
      </c>
      <c r="BJ263" s="13">
        <f>BJ253*$I222*2/MAIN!$Q$1</f>
        <v>0</v>
      </c>
      <c r="BK263" s="13">
        <f>BK253*$I222*2/MAIN!$Q$1</f>
        <v>0</v>
      </c>
      <c r="BL263" s="13">
        <f>BL253*$I222*2/MAIN!$Q$1</f>
        <v>0</v>
      </c>
      <c r="BM263" s="13">
        <f>BM253*$I222*2/MAIN!$Q$1</f>
        <v>0</v>
      </c>
      <c r="BN263" s="13">
        <f>BN253*$I222*2/MAIN!$Q$1</f>
        <v>0</v>
      </c>
      <c r="BO263" s="3">
        <f>BO253*$I222*2/MAIN!$Q$1</f>
        <v>0</v>
      </c>
      <c r="BP263" s="43"/>
      <c r="BQ263" s="43"/>
      <c r="BR263" s="42"/>
    </row>
    <row r="264" spans="1:70" ht="16.5">
      <c r="A264" s="41"/>
      <c r="B264" s="14">
        <f t="shared" si="197"/>
        <v>9</v>
      </c>
      <c r="C264" s="298" t="s">
        <v>66</v>
      </c>
      <c r="D264" s="3">
        <f>D254*$I222*2/MAIN!$Q$1</f>
        <v>0</v>
      </c>
      <c r="E264" s="13">
        <f>E254*$I222*2/MAIN!$Q$1</f>
        <v>0</v>
      </c>
      <c r="F264" s="13">
        <f>F254*$I222*2/MAIN!$Q$1</f>
        <v>0</v>
      </c>
      <c r="G264" s="13">
        <f>G254*$I222*2/MAIN!$Q$1</f>
        <v>0</v>
      </c>
      <c r="H264" s="13">
        <f>H254*$I222*2/MAIN!$Q$1</f>
        <v>0</v>
      </c>
      <c r="I264" s="13">
        <f>I254*$I222*2/MAIN!$Q$1</f>
        <v>0</v>
      </c>
      <c r="J264" s="13">
        <f>J254*$I222*2/MAIN!$Q$1</f>
        <v>0</v>
      </c>
      <c r="K264" s="13">
        <f>K254*$I222*2/MAIN!$Q$1</f>
        <v>0</v>
      </c>
      <c r="L264" s="13">
        <f>L254*$I222*2/MAIN!$Q$1</f>
        <v>0</v>
      </c>
      <c r="M264" s="13">
        <f>M254*$I222*2/MAIN!$Q$1</f>
        <v>0</v>
      </c>
      <c r="N264" s="13">
        <f>N254*$I222*2/MAIN!$Q$1</f>
        <v>0</v>
      </c>
      <c r="O264" s="13">
        <f>O254*$I222*2/MAIN!$Q$1</f>
        <v>0</v>
      </c>
      <c r="P264" s="13">
        <f>P254*$I222*2/MAIN!$Q$1</f>
        <v>0</v>
      </c>
      <c r="Q264" s="13">
        <f>Q254*$I222*2/MAIN!$Q$1</f>
        <v>0</v>
      </c>
      <c r="R264" s="13">
        <f>R254*$I222*2/MAIN!$Q$1</f>
        <v>0</v>
      </c>
      <c r="S264" s="13">
        <f>S254*$I222*2/MAIN!$Q$1</f>
        <v>0</v>
      </c>
      <c r="T264" s="13">
        <f>T254*$I222*2/MAIN!$Q$1</f>
        <v>0</v>
      </c>
      <c r="U264" s="13">
        <f>U254*$I222*2/MAIN!$Q$1</f>
        <v>0</v>
      </c>
      <c r="V264" s="13">
        <f>V254*$I222*2/MAIN!$Q$1</f>
        <v>0</v>
      </c>
      <c r="W264" s="13">
        <f>W254*$I222*2/MAIN!$Q$1</f>
        <v>0</v>
      </c>
      <c r="X264" s="13">
        <f>X254*$I222*2/MAIN!$Q$1</f>
        <v>0</v>
      </c>
      <c r="Y264" s="13">
        <f>Y254*$I222*2/MAIN!$Q$1</f>
        <v>0</v>
      </c>
      <c r="Z264" s="13">
        <f>Z254*$I222*2/MAIN!$Q$1</f>
        <v>0</v>
      </c>
      <c r="AA264" s="13">
        <f>AA254*$I222*2/MAIN!$Q$1</f>
        <v>0</v>
      </c>
      <c r="AB264" s="13">
        <f>AB254*$I222*2/MAIN!$Q$1</f>
        <v>0</v>
      </c>
      <c r="AC264" s="13">
        <f>AC254*$I222*2/MAIN!$Q$1</f>
        <v>0</v>
      </c>
      <c r="AD264" s="13">
        <f>AD254*$I222*2/MAIN!$Q$1</f>
        <v>0</v>
      </c>
      <c r="AE264" s="13">
        <f>AE254*$I222*2/MAIN!$Q$1</f>
        <v>0</v>
      </c>
      <c r="AF264" s="13">
        <f>AF254*$I222*2/MAIN!$Q$1</f>
        <v>0</v>
      </c>
      <c r="AG264" s="13">
        <f>AG254*$I222*2/MAIN!$Q$1</f>
        <v>0</v>
      </c>
      <c r="AH264" s="13">
        <f>AH254*$I222*2/MAIN!$Q$1</f>
        <v>0</v>
      </c>
      <c r="AI264" s="13">
        <f>AI254*$I222*2/MAIN!$Q$1</f>
        <v>0</v>
      </c>
      <c r="AJ264" s="13">
        <f>AJ254*$I222*2/MAIN!$Q$1</f>
        <v>0</v>
      </c>
      <c r="AK264" s="13">
        <f>AK254*$I222*2/MAIN!$Q$1</f>
        <v>0</v>
      </c>
      <c r="AL264" s="13">
        <f>AL254*$I222*2/MAIN!$Q$1</f>
        <v>0</v>
      </c>
      <c r="AM264" s="13">
        <f>AM254*$I222*2/MAIN!$Q$1</f>
        <v>0</v>
      </c>
      <c r="AN264" s="13">
        <f>AN254*$I222*2/MAIN!$Q$1</f>
        <v>0</v>
      </c>
      <c r="AO264" s="13">
        <f>AO254*$I222*2/MAIN!$Q$1</f>
        <v>0</v>
      </c>
      <c r="AP264" s="13">
        <f>AP254*$I222*2/MAIN!$Q$1</f>
        <v>0</v>
      </c>
      <c r="AQ264" s="13">
        <f>AQ254*$I222*2/MAIN!$Q$1</f>
        <v>0</v>
      </c>
      <c r="AR264" s="59">
        <f>AR254*$I222*2/MAIN!$Q$1</f>
        <v>0</v>
      </c>
      <c r="AS264" s="13">
        <f>AS254*$I222*2/MAIN!$Q$1</f>
        <v>0</v>
      </c>
      <c r="AT264" s="13">
        <f>AT254*$I222*2/MAIN!$Q$1</f>
        <v>0</v>
      </c>
      <c r="AU264" s="13">
        <f>AU254*$I222*2/MAIN!$Q$1</f>
        <v>0</v>
      </c>
      <c r="AV264" s="13">
        <f>AV254*$I222*2/MAIN!$Q$1</f>
        <v>0</v>
      </c>
      <c r="AW264" s="13">
        <f>AW254*$I222*2/MAIN!$Q$1</f>
        <v>0</v>
      </c>
      <c r="AX264" s="13">
        <f>AX254*$I222*2/MAIN!$Q$1</f>
        <v>0</v>
      </c>
      <c r="AY264" s="13">
        <f>AY254*$I222*2/MAIN!$Q$1</f>
        <v>0</v>
      </c>
      <c r="AZ264" s="13">
        <f>AZ254*$I222*2/MAIN!$Q$1</f>
        <v>0</v>
      </c>
      <c r="BA264" s="13">
        <f>BA254*$I222*2/MAIN!$Q$1</f>
        <v>0</v>
      </c>
      <c r="BB264" s="13">
        <f>BB254*$I222*2/MAIN!$Q$1</f>
        <v>0</v>
      </c>
      <c r="BC264" s="13">
        <f>BC254*$I222*2/MAIN!$Q$1</f>
        <v>0</v>
      </c>
      <c r="BD264" s="13">
        <f>BD254*$I222*2/MAIN!$Q$1</f>
        <v>0</v>
      </c>
      <c r="BE264" s="13">
        <f>BE254*$I222*2/MAIN!$Q$1</f>
        <v>0</v>
      </c>
      <c r="BF264" s="13">
        <f>BF254*$I222*2/MAIN!$Q$1</f>
        <v>0</v>
      </c>
      <c r="BG264" s="13">
        <f>BG254*$I222*2/MAIN!$Q$1</f>
        <v>0</v>
      </c>
      <c r="BH264" s="13">
        <f>BH254*$I222*2/MAIN!$Q$1</f>
        <v>0</v>
      </c>
      <c r="BI264" s="13">
        <f>BI254*$I222*2/MAIN!$Q$1</f>
        <v>0</v>
      </c>
      <c r="BJ264" s="13">
        <f>BJ254*$I222*2/MAIN!$Q$1</f>
        <v>0</v>
      </c>
      <c r="BK264" s="13">
        <f>BK254*$I222*2/MAIN!$Q$1</f>
        <v>0</v>
      </c>
      <c r="BL264" s="13">
        <f>BL254*$I222*2/MAIN!$Q$1</f>
        <v>0</v>
      </c>
      <c r="BM264" s="13">
        <f>BM254*$I222*2/MAIN!$Q$1</f>
        <v>0</v>
      </c>
      <c r="BN264" s="13">
        <f>BN254*$I222*2/MAIN!$Q$1</f>
        <v>0</v>
      </c>
      <c r="BO264" s="3">
        <f>BO254*$I222*2/MAIN!$Q$1</f>
        <v>0</v>
      </c>
      <c r="BP264" s="43"/>
      <c r="BQ264" s="43"/>
      <c r="BR264" s="42"/>
    </row>
    <row r="265" spans="1:70" ht="16.5">
      <c r="A265" s="41"/>
      <c r="B265" s="290" t="s">
        <v>67</v>
      </c>
      <c r="C265" s="298" t="s">
        <v>68</v>
      </c>
      <c r="D265" s="3">
        <f>D255*$I222*MAIN!$C$15/MAIN!$Q$1</f>
        <v>-174836.46072151899</v>
      </c>
      <c r="E265" s="13">
        <f>E255*$I222*MAIN!$C$15/MAIN!$Q$1</f>
        <v>-174836.46072151899</v>
      </c>
      <c r="F265" s="13">
        <f>F255*$I222*MAIN!$C$15/MAIN!$Q$1</f>
        <v>-174836.46072151899</v>
      </c>
      <c r="G265" s="13">
        <f>G255*$I222*MAIN!$C$15/MAIN!$Q$1</f>
        <v>-174836.46072151899</v>
      </c>
      <c r="H265" s="13">
        <f>H255*$I222*MAIN!$C$15/MAIN!$Q$1</f>
        <v>-174836.46072151899</v>
      </c>
      <c r="I265" s="13">
        <f>I255*$I222*MAIN!$C$15/MAIN!$Q$1</f>
        <v>-174836.46072151899</v>
      </c>
      <c r="J265" s="13">
        <f>J255*$I222*MAIN!$C$15/MAIN!$Q$1</f>
        <v>-174836.46072151899</v>
      </c>
      <c r="K265" s="13">
        <f>K255*$I222*MAIN!$C$15/MAIN!$Q$1</f>
        <v>-174836.46072151899</v>
      </c>
      <c r="L265" s="13">
        <f>L255*$I222*MAIN!$C$15/MAIN!$Q$1</f>
        <v>-174836.46072151899</v>
      </c>
      <c r="M265" s="13">
        <f>M255*$I222*MAIN!$C$15/MAIN!$Q$1</f>
        <v>-174836.46072151899</v>
      </c>
      <c r="N265" s="13">
        <f>N255*$I222*MAIN!$C$15/MAIN!$Q$1</f>
        <v>-174836.46072151899</v>
      </c>
      <c r="O265" s="13">
        <f>O255*$I222*MAIN!$C$15/MAIN!$Q$1</f>
        <v>-174836.46072151899</v>
      </c>
      <c r="P265" s="13">
        <f>P255*$I222*MAIN!$C$15/MAIN!$Q$1</f>
        <v>-174836.46072151899</v>
      </c>
      <c r="Q265" s="13">
        <f>Q255*$I222*MAIN!$C$15/MAIN!$Q$1</f>
        <v>-174836.46072151899</v>
      </c>
      <c r="R265" s="13">
        <f>R255*$I222*MAIN!$C$15/MAIN!$Q$1</f>
        <v>-174836.46072151899</v>
      </c>
      <c r="S265" s="13">
        <f>S255*$I222*MAIN!$C$15/MAIN!$Q$1</f>
        <v>-174836.46072151899</v>
      </c>
      <c r="T265" s="13">
        <f>T255*$I222*MAIN!$C$15/MAIN!$Q$1</f>
        <v>-174836.46072151899</v>
      </c>
      <c r="U265" s="13">
        <f>U255*$I222*MAIN!$C$15/MAIN!$Q$1</f>
        <v>-174836.46072151899</v>
      </c>
      <c r="V265" s="13">
        <f>V255*$I222*MAIN!$C$15/MAIN!$Q$1</f>
        <v>-174836.46072151899</v>
      </c>
      <c r="W265" s="13">
        <f>W255*$I222*MAIN!$C$15/MAIN!$Q$1</f>
        <v>-174836.46072151899</v>
      </c>
      <c r="X265" s="13">
        <f>X255*$I222*MAIN!$C$15/MAIN!$Q$1</f>
        <v>-174836.46072151899</v>
      </c>
      <c r="Y265" s="13">
        <f>Y255*$I222*MAIN!$C$15/MAIN!$Q$1</f>
        <v>-174836.46072151899</v>
      </c>
      <c r="Z265" s="13">
        <f>Z255*$I222*MAIN!$C$15/MAIN!$Q$1</f>
        <v>-174836.46072151899</v>
      </c>
      <c r="AA265" s="13">
        <f>AA255*$I222*MAIN!$C$15/MAIN!$Q$1</f>
        <v>-174836.46072151899</v>
      </c>
      <c r="AB265" s="13">
        <f>AB255*$I222*MAIN!$C$15/MAIN!$Q$1</f>
        <v>-174836.46072151899</v>
      </c>
      <c r="AC265" s="13">
        <f>AC255*$I222*MAIN!$C$15/MAIN!$Q$1</f>
        <v>-174836.46072151899</v>
      </c>
      <c r="AD265" s="13">
        <f>AD255*$I222*MAIN!$C$15/MAIN!$Q$1</f>
        <v>-174836.46072151899</v>
      </c>
      <c r="AE265" s="13">
        <f>AE255*$I222*MAIN!$C$15/MAIN!$Q$1</f>
        <v>-174836.46072151899</v>
      </c>
      <c r="AF265" s="13">
        <f>AF255*$I222*MAIN!$C$15/MAIN!$Q$1</f>
        <v>-174836.46072151899</v>
      </c>
      <c r="AG265" s="13">
        <f>AG255*$I222*MAIN!$C$15/MAIN!$Q$1</f>
        <v>-174836.46072151899</v>
      </c>
      <c r="AH265" s="13">
        <f>AH255*$I222*MAIN!$C$15/MAIN!$Q$1</f>
        <v>-174836.46072151899</v>
      </c>
      <c r="AI265" s="13">
        <f>AI255*$I222*MAIN!$C$15/MAIN!$Q$1</f>
        <v>-174836.46072151899</v>
      </c>
      <c r="AJ265" s="13">
        <f>AJ255*$I222*MAIN!$C$15/MAIN!$Q$1</f>
        <v>-174836.46072151899</v>
      </c>
      <c r="AK265" s="13">
        <f>AK255*$I222*MAIN!$C$15/MAIN!$Q$1</f>
        <v>-174836.46072151899</v>
      </c>
      <c r="AL265" s="13">
        <f>AL255*$I222*MAIN!$C$15/MAIN!$Q$1</f>
        <v>-174836.46072151899</v>
      </c>
      <c r="AM265" s="13">
        <f>AM255*$I222*MAIN!$C$15/MAIN!$Q$1</f>
        <v>-174836.46072151899</v>
      </c>
      <c r="AN265" s="13">
        <f>AN255*$I222*MAIN!$C$15/MAIN!$Q$1</f>
        <v>-174836.46072151899</v>
      </c>
      <c r="AO265" s="13">
        <f>AO255*$I222*MAIN!$C$15/MAIN!$Q$1</f>
        <v>-174836.46072151899</v>
      </c>
      <c r="AP265" s="13">
        <f>AP255*$I222*MAIN!$C$15/MAIN!$Q$1</f>
        <v>-174836.46072151899</v>
      </c>
      <c r="AQ265" s="13">
        <f>AQ255*$I222*MAIN!$C$15/MAIN!$Q$1</f>
        <v>-174836.46072151899</v>
      </c>
      <c r="AR265" s="59">
        <f>AR255*$I222*MAIN!$C$15/MAIN!$Q$1</f>
        <v>-174836.46072151899</v>
      </c>
      <c r="AS265" s="13">
        <f>AS255*$I222*MAIN!$C$15/MAIN!$Q$1</f>
        <v>-149709.68373239273</v>
      </c>
      <c r="AT265" s="13">
        <f>AT255*$I222*MAIN!$C$15/MAIN!$Q$1</f>
        <v>-127205.62977259456</v>
      </c>
      <c r="AU265" s="13">
        <f>AU255*$I222*MAIN!$C$15/MAIN!$Q$1</f>
        <v>-106934.02877332315</v>
      </c>
      <c r="AV265" s="13">
        <f>AV255*$I222*MAIN!$C$15/MAIN!$Q$1</f>
        <v>-88578.382827179943</v>
      </c>
      <c r="AW265" s="13">
        <f>AW255*$I222*MAIN!$C$15/MAIN!$Q$1</f>
        <v>-71879.321469428163</v>
      </c>
      <c r="AX265" s="13">
        <f>AX255*$I222*MAIN!$C$15/MAIN!$Q$1</f>
        <v>-56622.268907747573</v>
      </c>
      <c r="AY265" s="13">
        <f>AY255*$I222*MAIN!$C$15/MAIN!$Q$1</f>
        <v>-42628.173920653287</v>
      </c>
      <c r="AZ265" s="13">
        <f>AZ255*$I222*MAIN!$C$15/MAIN!$Q$1</f>
        <v>-29746.450358912494</v>
      </c>
      <c r="BA265" s="13">
        <f>BA255*$I222*MAIN!$C$15/MAIN!$Q$1</f>
        <v>-17849.536746550068</v>
      </c>
      <c r="BB265" s="13">
        <f>BB255*$I222*MAIN!$C$15/MAIN!$Q$1</f>
        <v>-6828.657700509918</v>
      </c>
      <c r="BC265" s="13">
        <f>BC255*$I222*MAIN!$C$15/MAIN!$Q$1</f>
        <v>3409.5115697428505</v>
      </c>
      <c r="BD265" s="13">
        <f>BD255*$I222*MAIN!$C$15/MAIN!$Q$1</f>
        <v>12843.241965585188</v>
      </c>
      <c r="BE265" s="13">
        <f>BE255*$I222*MAIN!$C$15/MAIN!$Q$1</f>
        <v>20991.562800565513</v>
      </c>
      <c r="BF265" s="13">
        <f>BF255*$I222*MAIN!$C$15/MAIN!$Q$1</f>
        <v>28163.832202219124</v>
      </c>
      <c r="BG265" s="13">
        <f>BG255*$I222*MAIN!$C$15/MAIN!$Q$1</f>
        <v>34525.515346382061</v>
      </c>
      <c r="BH265" s="13">
        <f>BH255*$I222*MAIN!$C$15/MAIN!$Q$1</f>
        <v>40206.677160568317</v>
      </c>
      <c r="BI265" s="13">
        <f>BI255*$I222*MAIN!$C$15/MAIN!$Q$1</f>
        <v>45310.968755651331</v>
      </c>
      <c r="BJ265" s="13">
        <f>BJ255*$I222*MAIN!$C$15/MAIN!$Q$1</f>
        <v>40807.201168490588</v>
      </c>
      <c r="BK265" s="13">
        <f>BK255*$I222*MAIN!$C$15/MAIN!$Q$1</f>
        <v>44993.191853012235</v>
      </c>
      <c r="BL265" s="13">
        <f>BL255*$I222*MAIN!$C$15/MAIN!$Q$1</f>
        <v>82896.15815272271</v>
      </c>
      <c r="BM265" s="13">
        <f>BM255*$I222*MAIN!$C$15/MAIN!$Q$1</f>
        <v>97727.753661305062</v>
      </c>
      <c r="BN265" s="13">
        <f>BN255*$I222*MAIN!$C$15/MAIN!$Q$1</f>
        <v>105637.93793254894</v>
      </c>
      <c r="BO265" s="3">
        <f>BO255*$I222*MAIN!$C$15/MAIN!$Q$1</f>
        <v>131628.54339520758</v>
      </c>
      <c r="BP265" s="41"/>
      <c r="BQ265" s="41"/>
      <c r="BR265" s="41"/>
    </row>
    <row r="266" spans="1:70" ht="16.5">
      <c r="A266" s="41"/>
      <c r="B266" s="290" t="s">
        <v>69</v>
      </c>
      <c r="C266" s="298" t="s">
        <v>70</v>
      </c>
      <c r="D266" s="3">
        <f>MAX($F222-$C$8/2*D225,$F222-MAIN!$C$13/2)</f>
        <v>1140.9953233064023</v>
      </c>
      <c r="E266" s="304">
        <f>MAX($F222-$C$8/2*E225,$F222-MAIN!$C$13/2)</f>
        <v>1134.2018961624394</v>
      </c>
      <c r="F266" s="304">
        <f>MAX($F222-$C$8/2*F225,$F222-MAIN!$C$13/2)</f>
        <v>1127.4084690184768</v>
      </c>
      <c r="G266" s="304">
        <f>MAX($F222-$C$8/2*G225,$F222-MAIN!$C$13/2)</f>
        <v>1120.615041874514</v>
      </c>
      <c r="H266" s="304">
        <f>MAX($F222-$C$8/2*H225,$F222-MAIN!$C$13/2)</f>
        <v>1113.8216147305511</v>
      </c>
      <c r="I266" s="304">
        <f>MAX($F222-$C$8/2*I225,$F222-MAIN!$C$13/2)</f>
        <v>1107.0281875865885</v>
      </c>
      <c r="J266" s="304">
        <f>MAX($F222-$C$8/2*J225,$F222-MAIN!$C$13/2)</f>
        <v>1100.2347604426257</v>
      </c>
      <c r="K266" s="304">
        <f>MAX($F222-$C$8/2*K225,$F222-MAIN!$C$13/2)</f>
        <v>1093.441333298663</v>
      </c>
      <c r="L266" s="304">
        <f>MAX($F222-$C$8/2*L225,$F222-MAIN!$C$13/2)</f>
        <v>1086.6479061547002</v>
      </c>
      <c r="M266" s="304">
        <f>MAX($F222-$C$8/2*M225,$F222-MAIN!$C$13/2)</f>
        <v>1079.8544790107376</v>
      </c>
      <c r="N266" s="304">
        <f>MAX($F222-$C$8/2*N225,$F222-MAIN!$C$13/2)</f>
        <v>1073.0610518667747</v>
      </c>
      <c r="O266" s="304">
        <f>MAX($F222-$C$8/2*O225,$F222-MAIN!$C$13/2)</f>
        <v>1066.2676247228121</v>
      </c>
      <c r="P266" s="304">
        <f>MAX($F222-$C$8/2*P225,$F222-MAIN!$C$13/2)</f>
        <v>1059.4741975788493</v>
      </c>
      <c r="Q266" s="304">
        <f>MAX($F222-$C$8/2*Q225,$F222-MAIN!$C$13/2)</f>
        <v>1052.6807704348867</v>
      </c>
      <c r="R266" s="304">
        <f>MAX($F222-$C$8/2*R225,$F222-MAIN!$C$13/2)</f>
        <v>1045.8873432909238</v>
      </c>
      <c r="S266" s="304">
        <f>MAX($F222-$C$8/2*S225,$F222-MAIN!$C$13/2)</f>
        <v>1039.0939161469612</v>
      </c>
      <c r="T266" s="304">
        <f>MAX($F222-$C$8/2*T225,$F222-MAIN!$C$13/2)</f>
        <v>1032.3004890029983</v>
      </c>
      <c r="U266" s="304">
        <f>MAX($F222-$C$8/2*U225,$F222-MAIN!$C$13/2)</f>
        <v>1025.5070618590357</v>
      </c>
      <c r="V266" s="304">
        <f>MAX($F222-$C$8/2*V225,$F222-MAIN!$C$13/2)</f>
        <v>1018.713634715073</v>
      </c>
      <c r="W266" s="304">
        <f>MAX($F222-$C$8/2*W225,$F222-MAIN!$C$13/2)</f>
        <v>1011.9202075711103</v>
      </c>
      <c r="X266" s="304">
        <f>MAX($F222-$C$8/2*X225,$F222-MAIN!$C$13/2)</f>
        <v>1005.1267804271475</v>
      </c>
      <c r="Y266" s="304">
        <f>MAX($F222-$C$8/2*Y225,$F222-MAIN!$C$13/2)</f>
        <v>998.33335328318481</v>
      </c>
      <c r="Z266" s="304">
        <f>MAX($F222-$C$8/2*Z225,$F222-MAIN!$C$13/2)</f>
        <v>991.53992613922208</v>
      </c>
      <c r="AA266" s="304">
        <f>MAX($F222-$C$8/2*AA225,$F222-MAIN!$C$13/2)</f>
        <v>984.74649899525934</v>
      </c>
      <c r="AB266" s="304">
        <f>MAX($F222-$C$8/2*AB225,$F222-MAIN!$C$13/2)</f>
        <v>977.95307185129661</v>
      </c>
      <c r="AC266" s="304">
        <f>MAX($F222-$C$8/2*AC225,$F222-MAIN!$C$13/2)</f>
        <v>971.15964470733388</v>
      </c>
      <c r="AD266" s="304">
        <f>MAX($F222-$C$8/2*AD225,$F222-MAIN!$C$13/2)</f>
        <v>964.36621756337115</v>
      </c>
      <c r="AE266" s="304">
        <f>MAX($F222-$C$8/2*AE225,$F222-MAIN!$C$13/2)</f>
        <v>957.57279041940842</v>
      </c>
      <c r="AF266" s="304">
        <f>MAX($F222-$C$8/2*AF225,$F222-MAIN!$C$13/2)</f>
        <v>950.77936327544569</v>
      </c>
      <c r="AG266" s="304">
        <f>MAX($F222-$C$8/2*AG225,$F222-MAIN!$C$13/2)</f>
        <v>943.98593613148296</v>
      </c>
      <c r="AH266" s="304">
        <f>MAX($F222-$C$8/2*AH225,$F222-MAIN!$C$13/2)</f>
        <v>937.19250898752011</v>
      </c>
      <c r="AI266" s="304">
        <f>MAX($F222-$C$8/2*AI225,$F222-MAIN!$C$13/2)</f>
        <v>930.39908184355738</v>
      </c>
      <c r="AJ266" s="304">
        <f>MAX($F222-$C$8/2*AJ225,$F222-MAIN!$C$13/2)</f>
        <v>923.60565469959465</v>
      </c>
      <c r="AK266" s="304">
        <f>MAX($F222-$C$8/2*AK225,$F222-MAIN!$C$13/2)</f>
        <v>916.81222755563192</v>
      </c>
      <c r="AL266" s="304">
        <f>MAX($F222-$C$8/2*AL225,$F222-MAIN!$C$13/2)</f>
        <v>910.01880041166919</v>
      </c>
      <c r="AM266" s="304">
        <f>MAX($F222-$C$8/2*AM225,$F222-MAIN!$C$13/2)</f>
        <v>903.22537326770635</v>
      </c>
      <c r="AN266" s="304">
        <f>MAX($F222-$C$8/2*AN225,$F222-MAIN!$C$13/2)</f>
        <v>896.43194612374361</v>
      </c>
      <c r="AO266" s="304">
        <f>MAX($F222-$C$8/2*AO225,$F222-MAIN!$C$13/2)</f>
        <v>889.63851897978088</v>
      </c>
      <c r="AP266" s="304">
        <f>MAX($F222-$C$8/2*AP225,$F222-MAIN!$C$13/2)</f>
        <v>882.84509183581804</v>
      </c>
      <c r="AQ266" s="304">
        <f>MAX($F222-$C$8/2*AQ225,$F222-MAIN!$C$13/2)</f>
        <v>876.05166469185542</v>
      </c>
      <c r="AR266" s="56">
        <f>MAX($F222-$C$8/2*AR225,$F222-MAIN!$C$13/2)</f>
        <v>869.25823754789269</v>
      </c>
      <c r="AS266" s="304">
        <f>MAX($F222-$C$8/2*AS225,$F222-MAIN!$C$13/2)</f>
        <v>852.66569872958257</v>
      </c>
      <c r="AT266" s="304">
        <f>MAX($F222-$C$8/2*AT225,$F222-MAIN!$C$13/2)</f>
        <v>836.07315991127234</v>
      </c>
      <c r="AU266" s="304">
        <f>MAX($F222-$C$8/2*AU225,$F222-MAIN!$C$13/2)</f>
        <v>819.48062109296234</v>
      </c>
      <c r="AV266" s="304">
        <f>MAX($F222-$C$8/2*AV225,$F222-MAIN!$C$13/2)</f>
        <v>802.88808227465211</v>
      </c>
      <c r="AW266" s="304">
        <f>MAX($F222-$C$8/2*AW225,$F222-MAIN!$C$13/2)</f>
        <v>786.29554345634199</v>
      </c>
      <c r="AX266" s="304">
        <f>MAX($F222-$C$8/2*AX225,$F222-MAIN!$C$13/2)</f>
        <v>769.70300463803187</v>
      </c>
      <c r="AY266" s="304">
        <f>MAX($F222-$C$8/2*AY225,$F222-MAIN!$C$13/2)</f>
        <v>753.11046581972164</v>
      </c>
      <c r="AZ266" s="304">
        <f>MAX($F222-$C$8/2*AZ225,$F222-MAIN!$C$13/2)</f>
        <v>736.51792700141164</v>
      </c>
      <c r="BA266" s="304">
        <f>MAX($F222-$C$8/2*BA225,$F222-MAIN!$C$13/2)</f>
        <v>719.9253881831014</v>
      </c>
      <c r="BB266" s="304">
        <f>MAX($F222-$C$8/2*BB225,$F222-MAIN!$C$13/2)</f>
        <v>703.33284936479117</v>
      </c>
      <c r="BC266" s="304">
        <f>MAX($F222-$C$8/2*BC225,$F222-MAIN!$C$13/2)</f>
        <v>686.74031054648094</v>
      </c>
      <c r="BD266" s="304">
        <f>MAX($F222-$C$8/2*BD225,$F222-MAIN!$C$13/2)</f>
        <v>670.14777172817082</v>
      </c>
      <c r="BE266" s="304">
        <f>MAX($F222-$C$8/2*BE225,$F222-MAIN!$C$13/2)</f>
        <v>653.55523290986071</v>
      </c>
      <c r="BF266" s="304">
        <f>MAX($F222-$C$8/2*BF225,$F222-MAIN!$C$13/2)</f>
        <v>636.96269409155047</v>
      </c>
      <c r="BG266" s="304">
        <f>MAX($F222-$C$8/2*BG225,$F222-MAIN!$C$13/2)</f>
        <v>620.37015527324024</v>
      </c>
      <c r="BH266" s="304">
        <f>MAX($F222-$C$8/2*BH225,$F222-MAIN!$C$13/2)</f>
        <v>603.77761645493013</v>
      </c>
      <c r="BI266" s="304">
        <f>MAX($F222-$C$8/2*BI225,$F222-MAIN!$C$13/2)</f>
        <v>587.18507763661989</v>
      </c>
      <c r="BJ266" s="304">
        <f>MAX($F222-$C$8/2*BJ225,$F222-MAIN!$C$13/2)</f>
        <v>570.59253881830966</v>
      </c>
      <c r="BK266" s="304">
        <f>MAX($F222-$C$8/2*BK225,$F222-MAIN!$C$13/2)</f>
        <v>554</v>
      </c>
      <c r="BL266" s="304">
        <f>MAX($F222-$C$8/2*BL225,$F222-MAIN!$C$13/2)</f>
        <v>554</v>
      </c>
      <c r="BM266" s="304">
        <f>MAX($F222-$C$8/2*BM225,$F222-MAIN!$C$13/2)</f>
        <v>554</v>
      </c>
      <c r="BN266" s="304">
        <f>MAX($F222-$C$8/2*BN225,$F222-MAIN!$C$13/2)</f>
        <v>554</v>
      </c>
      <c r="BO266" s="3">
        <f>$F222-MAIN!$C$13/2</f>
        <v>554</v>
      </c>
      <c r="BP266" s="41"/>
      <c r="BQ266" s="41"/>
      <c r="BR266" s="41"/>
    </row>
    <row r="267" spans="1:70" ht="16.5">
      <c r="A267" s="227">
        <f>IF(I222=0,0,1)</f>
        <v>1</v>
      </c>
      <c r="B267" s="295" t="s">
        <v>31</v>
      </c>
      <c r="C267" s="298" t="s">
        <v>71</v>
      </c>
      <c r="D267" s="3">
        <f>$A267*(D226+SUM(D256:D265))/1000</f>
        <v>-464.42774905207392</v>
      </c>
      <c r="E267" s="304">
        <f t="shared" ref="E267:BO267" si="198">$A267*(E226+SUM(E256:E265))/1000</f>
        <v>-235.37712300599333</v>
      </c>
      <c r="F267" s="304">
        <f t="shared" si="198"/>
        <v>-85.267285421779036</v>
      </c>
      <c r="G267" s="304">
        <f t="shared" si="198"/>
        <v>46.75755595213856</v>
      </c>
      <c r="H267" s="304">
        <f t="shared" si="198"/>
        <v>165.379555615979</v>
      </c>
      <c r="I267" s="304">
        <f t="shared" si="198"/>
        <v>276.41398174875809</v>
      </c>
      <c r="J267" s="304">
        <f t="shared" si="198"/>
        <v>372.41952905163657</v>
      </c>
      <c r="K267" s="304">
        <f t="shared" si="198"/>
        <v>464.8101382095299</v>
      </c>
      <c r="L267" s="304">
        <f t="shared" si="198"/>
        <v>557.20074736742299</v>
      </c>
      <c r="M267" s="304">
        <f t="shared" si="198"/>
        <v>649.5913565253162</v>
      </c>
      <c r="N267" s="304">
        <f t="shared" si="198"/>
        <v>741.98196568320941</v>
      </c>
      <c r="O267" s="304">
        <f t="shared" si="198"/>
        <v>834.37257484110251</v>
      </c>
      <c r="P267" s="304">
        <f t="shared" si="198"/>
        <v>926.7631839989956</v>
      </c>
      <c r="Q267" s="304">
        <f t="shared" si="198"/>
        <v>1019.1537931568887</v>
      </c>
      <c r="R267" s="304">
        <f t="shared" si="198"/>
        <v>1135.3157667368953</v>
      </c>
      <c r="S267" s="304">
        <f t="shared" si="198"/>
        <v>1253.2795137790808</v>
      </c>
      <c r="T267" s="304">
        <f t="shared" si="198"/>
        <v>1368.388208280197</v>
      </c>
      <c r="U267" s="304">
        <f t="shared" si="198"/>
        <v>1481.0946904907012</v>
      </c>
      <c r="V267" s="304">
        <f t="shared" si="198"/>
        <v>1591.760842869619</v>
      </c>
      <c r="W267" s="304">
        <f t="shared" si="198"/>
        <v>1700.6793354403965</v>
      </c>
      <c r="X267" s="304">
        <f t="shared" si="198"/>
        <v>1808.0894174033906</v>
      </c>
      <c r="Y267" s="304">
        <f t="shared" si="198"/>
        <v>1914.188573790557</v>
      </c>
      <c r="Z267" s="304">
        <f t="shared" si="198"/>
        <v>2019.1412575135357</v>
      </c>
      <c r="AA267" s="304">
        <f t="shared" si="198"/>
        <v>2123.0855185116866</v>
      </c>
      <c r="AB267" s="304">
        <f t="shared" si="198"/>
        <v>2226.1380980377567</v>
      </c>
      <c r="AC267" s="304">
        <f t="shared" si="198"/>
        <v>2328.3983872754879</v>
      </c>
      <c r="AD267" s="304">
        <f t="shared" si="198"/>
        <v>2429.951535077817</v>
      </c>
      <c r="AE267" s="304">
        <f t="shared" si="198"/>
        <v>2537.412737093437</v>
      </c>
      <c r="AF267" s="304">
        <f t="shared" si="198"/>
        <v>2652.7975612104228</v>
      </c>
      <c r="AG267" s="304">
        <f t="shared" si="198"/>
        <v>2757.5799677153118</v>
      </c>
      <c r="AH267" s="304">
        <f t="shared" si="198"/>
        <v>2870.1294095198832</v>
      </c>
      <c r="AI267" s="304">
        <f t="shared" si="198"/>
        <v>2981.4539228937338</v>
      </c>
      <c r="AJ267" s="304">
        <f t="shared" si="198"/>
        <v>3091.6618628666674</v>
      </c>
      <c r="AK267" s="304">
        <f t="shared" si="198"/>
        <v>3200.8491706413702</v>
      </c>
      <c r="AL267" s="304">
        <f t="shared" si="198"/>
        <v>3309.1011018501331</v>
      </c>
      <c r="AM267" s="304">
        <f t="shared" si="198"/>
        <v>3416.4936739031182</v>
      </c>
      <c r="AN267" s="304">
        <f t="shared" si="198"/>
        <v>3523.0948842914063</v>
      </c>
      <c r="AO267" s="304">
        <f t="shared" si="198"/>
        <v>3628.9657410460395</v>
      </c>
      <c r="AP267" s="304">
        <f t="shared" si="198"/>
        <v>3734.1611382963556</v>
      </c>
      <c r="AQ267" s="304">
        <f t="shared" si="198"/>
        <v>3838.7306034294429</v>
      </c>
      <c r="AR267" s="61">
        <f t="shared" si="198"/>
        <v>3942.7189372943099</v>
      </c>
      <c r="AS267" s="304">
        <f t="shared" si="198"/>
        <v>4219.6326064992409</v>
      </c>
      <c r="AT267" s="304">
        <f t="shared" si="198"/>
        <v>4491.1962843601186</v>
      </c>
      <c r="AU267" s="304">
        <f t="shared" si="198"/>
        <v>4758.2060677070585</v>
      </c>
      <c r="AV267" s="304">
        <f t="shared" si="198"/>
        <v>5021.307568389303</v>
      </c>
      <c r="AW267" s="304">
        <f t="shared" si="198"/>
        <v>5281.029866193664</v>
      </c>
      <c r="AX267" s="304">
        <f t="shared" si="198"/>
        <v>5537.8106659859386</v>
      </c>
      <c r="AY267" s="304">
        <f t="shared" si="198"/>
        <v>5782.9003999472097</v>
      </c>
      <c r="AZ267" s="304">
        <f t="shared" si="198"/>
        <v>6034.835857914647</v>
      </c>
      <c r="BA267" s="304">
        <f t="shared" si="198"/>
        <v>6284.7624401274625</v>
      </c>
      <c r="BB267" s="304">
        <f t="shared" si="198"/>
        <v>6530.0186720518777</v>
      </c>
      <c r="BC267" s="304">
        <f t="shared" si="198"/>
        <v>6772.8768511870758</v>
      </c>
      <c r="BD267" s="304">
        <f t="shared" si="198"/>
        <v>7013.6720266910643</v>
      </c>
      <c r="BE267" s="304">
        <f t="shared" si="198"/>
        <v>7250.1949824000567</v>
      </c>
      <c r="BF267" s="304">
        <f t="shared" si="198"/>
        <v>7485.4165361979476</v>
      </c>
      <c r="BG267" s="304">
        <f t="shared" si="198"/>
        <v>7719.5573083191839</v>
      </c>
      <c r="BH267" s="304">
        <f t="shared" si="198"/>
        <v>7952.2098333998374</v>
      </c>
      <c r="BI267" s="304">
        <f t="shared" si="198"/>
        <v>8182.9726529239406</v>
      </c>
      <c r="BJ267" s="304">
        <f t="shared" si="198"/>
        <v>8404.1274132657982</v>
      </c>
      <c r="BK267" s="304">
        <f t="shared" si="198"/>
        <v>8633.9719318793304</v>
      </c>
      <c r="BL267" s="304">
        <f>$A267*(BL226+SUM(BL256:BL265))/1000</f>
        <v>8671.8748981790413</v>
      </c>
      <c r="BM267" s="304">
        <f>$A267*(BM226+SUM(BM256:BM265))/1000</f>
        <v>8686.5141735808302</v>
      </c>
      <c r="BN267" s="304">
        <f>$A267*(BN226+SUM(BN256:BN265))/1000</f>
        <v>8686.5141735808302</v>
      </c>
      <c r="BO267" s="3">
        <f t="shared" si="198"/>
        <v>8686.5141735808302</v>
      </c>
      <c r="BP267" s="41"/>
      <c r="BQ267" s="41"/>
      <c r="BR267" s="41"/>
    </row>
    <row r="268" spans="1:70" ht="16.5">
      <c r="A268" s="41"/>
      <c r="B268" s="295" t="s">
        <v>72</v>
      </c>
      <c r="C268" s="298" t="s">
        <v>73</v>
      </c>
      <c r="D268" s="3">
        <f>$A267*IF(D267+E267=0,0,IF(D267=0,2*E268-F268,(D226*D266+D256*($F222-$C222)+D257*($F222-$D227)+D258*($F222-$D228)+D259*($F222-$D229)+D260*($F222-$D230)+D261*($F222-$D231)+D262*($F222-$D232)+D263*($F222-$D233)+D264*($F222-$D234))/1000000-D267*($F222-MAIN!$C$13/2)/1000))</f>
        <v>135.98029574724376</v>
      </c>
      <c r="E268" s="304">
        <f>$A267*IF(E267+F267=0,0,IF(E267=0,2*F268-G268,(E226*E266+E256*($F222-$C222)+E257*($F222-$D227)+E258*($F222-$D228)+E259*($F222-$D229)+E260*($F222-$D230)+E261*($F222-$D231)+E262*($F222-$D232)+E263*($F222-$D233)+E264*($F222-$D234))/1000000-E267*($F222-MAIN!$C$13/2)/1000))</f>
        <v>264.09364172268914</v>
      </c>
      <c r="F268" s="304">
        <f>$A267*IF(F267+G267=0,0,IF(F267=0,2*G268-H268,(F226*F266+F256*($F222-$C222)+F257*($F222-$D227)+F258*($F222-$D228)+F259*($F222-$D229)+F260*($F222-$D230)+F261*($F222-$D231)+F262*($F222-$D232)+F263*($F222-$D233)+F264*($F222-$D234))/1000000-F267*($F222-MAIN!$C$13/2)/1000))</f>
        <v>347.21849314605964</v>
      </c>
      <c r="G268" s="304">
        <f>$A267*IF(G267+H267=0,0,IF(G267=0,2*H268-I268,(G226*G266+G256*($F222-$C222)+G257*($F222-$D227)+G258*($F222-$D228)+G259*($F222-$D229)+G260*($F222-$D230)+G261*($F222-$D231)+G262*($F222-$D232)+G263*($F222-$D233)+G264*($F222-$D234))/1000000-G267*($F222-MAIN!$C$13/2)/1000))</f>
        <v>419.06895892472471</v>
      </c>
      <c r="H268" s="304">
        <f>$A267*IF(H267+I267=0,0,IF(H267=0,2*I268-J268,(H226*H266+H256*($F222-$C222)+H257*($F222-$D227)+H258*($F222-$D228)+H259*($F222-$D229)+H260*($F222-$D230)+H261*($F222-$D231)+H262*($F222-$D232)+H263*($F222-$D233)+H264*($F222-$D234))/1000000-H267*($F222-MAIN!$C$13/2)/1000))</f>
        <v>482.23895265180602</v>
      </c>
      <c r="I268" s="304">
        <f>$A267*IF(I267+J267=0,0,IF(I267=0,2*J268-K268,(I226*I266+I256*($F222-$C222)+I257*($F222-$D227)+I258*($F222-$D228)+I259*($F222-$D229)+I260*($F222-$D230)+I261*($F222-$D231)+I262*($F222-$D232)+I263*($F222-$D233)+I264*($F222-$D234))/1000000-I267*($F222-MAIN!$C$13/2)/1000))</f>
        <v>539.95013289847861</v>
      </c>
      <c r="J268" s="304">
        <f>$A267*IF(J267+K267=0,0,IF(J267=0,2*K268-L268,(J226*J266+J256*($F222-$C222)+J257*($F222-$D227)+J258*($F222-$D228)+J259*($F222-$D229)+J260*($F222-$D230)+J261*($F222-$D231)+J262*($F222-$D232)+J263*($F222-$D233)+J264*($F222-$D234))/1000000-J267*($F222-MAIN!$C$13/2)/1000))</f>
        <v>588.08001652918506</v>
      </c>
      <c r="K268" s="304">
        <f>$A267*IF(K267+L267=0,0,IF(K267=0,2*L268-M268,(K226*K266+K256*($F222-$C222)+K257*($F222-$D227)+K258*($F222-$D228)+K259*($F222-$D229)+K260*($F222-$D230)+K261*($F222-$D231)+K262*($F222-$D232)+K263*($F222-$D233)+K264*($F222-$D234))/1000000-K267*($F222-MAIN!$C$13/2)/1000))</f>
        <v>632.95192668336881</v>
      </c>
      <c r="L268" s="304">
        <f>$A267*IF(L267+M267=0,0,IF(L267=0,2*M268-N268,(L226*L266+L256*($F222-$C222)+L257*($F222-$D227)+L258*($F222-$D228)+L259*($F222-$D229)+L260*($F222-$D230)+L261*($F222-$D231)+L262*($F222-$D232)+L263*($F222-$D233)+L264*($F222-$D234))/1000000-L267*($F222-MAIN!$C$13/2)/1000))</f>
        <v>676.56853909335132</v>
      </c>
      <c r="M268" s="304">
        <f>$A267*IF(M267+N267=0,0,IF(M267=0,2*N268-O268,(M226*M266+M256*($F222-$C222)+M257*($F222-$D227)+M258*($F222-$D228)+M259*($F222-$D229)+M260*($F222-$D230)+M261*($F222-$D231)+M262*($F222-$D232)+M263*($F222-$D233)+M264*($F222-$D234))/1000000-M267*($F222-MAIN!$C$13/2)/1000))</f>
        <v>718.92985375913327</v>
      </c>
      <c r="N268" s="304">
        <f>$A267*IF(N267+O267=0,0,IF(N267=0,2*O268-P268,(N226*N266+N256*($F222-$C222)+N257*($F222-$D227)+N258*($F222-$D228)+N259*($F222-$D229)+N260*($F222-$D230)+N261*($F222-$D231)+N262*($F222-$D232)+N263*($F222-$D233)+N264*($F222-$D234))/1000000-N267*($F222-MAIN!$C$13/2)/1000))</f>
        <v>760.03587068071397</v>
      </c>
      <c r="O268" s="304">
        <f>$A267*IF(O267+P267=0,0,IF(O267=0,2*P268-Q268,(O226*O266+O256*($F222-$C222)+O257*($F222-$D227)+O258*($F222-$D228)+O259*($F222-$D229)+O260*($F222-$D230)+O261*($F222-$D231)+O262*($F222-$D232)+O263*($F222-$D233)+O264*($F222-$D234))/1000000-O267*($F222-MAIN!$C$13/2)/1000))</f>
        <v>799.88658985809377</v>
      </c>
      <c r="P268" s="304">
        <f>$A267*IF(P267+Q267=0,0,IF(P267=0,2*Q268-R268,(P226*P266+P256*($F222-$C222)+P257*($F222-$D227)+P258*($F222-$D228)+P259*($F222-$D229)+P260*($F222-$D230)+P261*($F222-$D231)+P262*($F222-$D232)+P263*($F222-$D233)+P264*($F222-$D234))/1000000-P267*($F222-MAIN!$C$13/2)/1000))</f>
        <v>838.48201129127256</v>
      </c>
      <c r="Q268" s="304">
        <f>$A267*IF(Q267+R267=0,0,IF(Q267=0,2*R268-S268,(Q226*Q266+Q256*($F222-$C222)+Q257*($F222-$D227)+Q258*($F222-$D228)+Q259*($F222-$D229)+Q260*($F222-$D230)+Q261*($F222-$D231)+Q262*($F222-$D232)+Q263*($F222-$D233)+Q264*($F222-$D234))/1000000-Q267*($F222-MAIN!$C$13/2)/1000))</f>
        <v>875.82213498025055</v>
      </c>
      <c r="R268" s="304">
        <f>$A267*IF(R267+S267=0,0,IF(R267=0,2*S268-T268,(R226*R266+R256*($F222-$C222)+R257*($F222-$D227)+R258*($F222-$D228)+R259*($F222-$D229)+R260*($F222-$D230)+R261*($F222-$D231)+R262*($F222-$D232)+R263*($F222-$D233)+R264*($F222-$D234))/1000000-R267*($F222-MAIN!$C$13/2)/1000))</f>
        <v>916.29673955497765</v>
      </c>
      <c r="S268" s="304">
        <f>$A267*IF(S267+T267=0,0,IF(S267=0,2*T268-U268,(S226*S266+S256*($F222-$C222)+S257*($F222-$D227)+S258*($F222-$D228)+S259*($F222-$D229)+S260*($F222-$D230)+S261*($F222-$D231)+S262*($F222-$D232)+S263*($F222-$D233)+S264*($F222-$D234))/1000000-S267*($F222-MAIN!$C$13/2)/1000))</f>
        <v>955.84877388485302</v>
      </c>
      <c r="T268" s="304">
        <f>$A267*IF(T267+U267=0,0,IF(T267=0,2*U268-V268,(T226*T266+T256*($F222-$C222)+T257*($F222-$D227)+T258*($F222-$D228)+T259*($F222-$D229)+T260*($F222-$D230)+T261*($F222-$D231)+T262*($F222-$D232)+T263*($F222-$D233)+T264*($F222-$D234))/1000000-T267*($F222-MAIN!$C$13/2)/1000))</f>
        <v>993.61827743460958</v>
      </c>
      <c r="U268" s="304">
        <f>$A267*IF(U267+V267=0,0,IF(U267=0,2*V268-W268,(U226*U266+U256*($F222-$C222)+U257*($F222-$D227)+U258*($F222-$D228)+U259*($F222-$D229)+U260*($F222-$D230)+U261*($F222-$D231)+U262*($F222-$D232)+U263*($F222-$D233)+U264*($F222-$D234))/1000000-U267*($F222-MAIN!$C$13/2)/1000))</f>
        <v>1029.6888747038329</v>
      </c>
      <c r="V268" s="304">
        <f>$A267*IF(V267+W267=0,0,IF(V267=0,2*W268-X268,(V226*V266+V256*($F222-$C222)+V257*($F222-$D227)+V258*($F222-$D228)+V259*($F222-$D229)+V260*($F222-$D230)+V261*($F222-$D231)+V262*($F222-$D232)+V263*($F222-$D233)+V264*($F222-$D234))/1000000-V267*($F222-MAIN!$C$13/2)/1000))</f>
        <v>1064.127393319955</v>
      </c>
      <c r="W268" s="304">
        <f>$A267*IF(W267+X267=0,0,IF(W267=0,2*X268-Y268,(W226*W266+W256*($F222-$C222)+W257*($F222-$D227)+W258*($F222-$D228)+W259*($F222-$D229)+W260*($F222-$D230)+W261*($F222-$D231)+W262*($F222-$D232)+W263*($F222-$D233)+W264*($F222-$D234))/1000000-W267*($F222-MAIN!$C$13/2)/1000))</f>
        <v>1096.9878796806399</v>
      </c>
      <c r="X268" s="304">
        <f>$A267*IF(X267+Y267=0,0,IF(X267=0,2*Y268-Z268,(X226*X266+X256*($F222-$C222)+X257*($F222-$D227)+X258*($F222-$D228)+X259*($F222-$D229)+X260*($F222-$D230)+X261*($F222-$D231)+X262*($F222-$D232)+X263*($F222-$D233)+X264*($F222-$D234))/1000000-X267*($F222-MAIN!$C$13/2)/1000))</f>
        <v>1128.3145151382198</v>
      </c>
      <c r="Y268" s="304">
        <f>$A267*IF(Y267+Z267=0,0,IF(Y267=0,2*Z268-AA268,(Y226*Y266+Y256*($F222-$C222)+Y257*($F222-$D227)+Y258*($F222-$D228)+Y259*($F222-$D229)+Y260*($F222-$D230)+Y261*($F222-$D231)+Y262*($F222-$D232)+Y263*($F222-$D233)+Y264*($F222-$D234))/1000000-Y267*($F222-MAIN!$C$13/2)/1000))</f>
        <v>1158.1437685952624</v>
      </c>
      <c r="Z268" s="304">
        <f>$A267*IF(Z267+AA267=0,0,IF(Z267=0,2*AA268-AB268,(Z226*Z266+Z256*($F222-$C222)+Z257*($F222-$D227)+Z258*($F222-$D228)+Z259*($F222-$D229)+Z260*($F222-$D230)+Z261*($F222-$D231)+Z262*($F222-$D232)+Z263*($F222-$D233)+Z264*($F222-$D234))/1000000-Z267*($F222-MAIN!$C$13/2)/1000))</f>
        <v>1186.5060090227835</v>
      </c>
      <c r="AA268" s="304">
        <f>$A267*IF(AA267+AB267=0,0,IF(AA267=0,2*AB268-AC268,(AA226*AA266+AA256*($F222-$C222)+AA257*($F222-$D227)+AA258*($F222-$D228)+AA259*($F222-$D229)+AA260*($F222-$D230)+AA261*($F222-$D231)+AA262*($F222-$D232)+AA263*($F222-$D233)+AA264*($F222-$D234))/1000000-AA267*($F222-MAIN!$C$13/2)/1000))</f>
        <v>1213.4267296429198</v>
      </c>
      <c r="AB268" s="304">
        <f>$A267*IF(AB267+AC267=0,0,IF(AB267=0,2*AC268-AD268,(AB226*AB266+AB256*($F222-$C222)+AB257*($F222-$D227)+AB258*($F222-$D228)+AB259*($F222-$D229)+AB260*($F222-$D230)+AB261*($F222-$D231)+AB262*($F222-$D232)+AB263*($F222-$D233)+AB264*($F222-$D234))/1000000-AB267*($F222-MAIN!$C$13/2)/1000))</f>
        <v>1238.9274886736771</v>
      </c>
      <c r="AC268" s="304">
        <f>$A267*IF(AC267+AD267=0,0,IF(AC267=0,2*AD268-AE268,(AC226*AC266+AC256*($F222-$C222)+AC257*($F222-$D227)+AC258*($F222-$D228)+AC259*($F222-$D229)+AC260*($F222-$D230)+AC261*($F222-$D231)+AC262*($F222-$D232)+AC263*($F222-$D233)+AC264*($F222-$D234))/1000000-AC267*($F222-MAIN!$C$13/2)/1000))</f>
        <v>1263.0266403536536</v>
      </c>
      <c r="AD268" s="304">
        <f>$A267*IF(AD267+AE267=0,0,IF(AD267=0,2*AE268-AF268,(AD226*AD266+AD256*($F222-$C222)+AD257*($F222-$D227)+AD258*($F222-$D228)+AD259*($F222-$D229)+AD260*($F222-$D230)+AD261*($F222-$D231)+AD262*($F222-$D232)+AD263*($F222-$D233)+AD264*($F222-$D234))/1000000-AD267*($F222-MAIN!$C$13/2)/1000))</f>
        <v>1285.7399088376915</v>
      </c>
      <c r="AE268" s="304">
        <f>$A267*IF(AE267+AF267=0,0,IF(AE267=0,2*AF268-AG268,(AE226*AE266+AE256*($F222-$C222)+AE257*($F222-$D227)+AE258*($F222-$D228)+AE259*($F222-$D229)+AE260*($F222-$D230)+AE261*($F222-$D231)+AE262*($F222-$D232)+AE263*($F222-$D233)+AE264*($F222-$D234))/1000000-AE267*($F222-MAIN!$C$13/2)/1000))</f>
        <v>1305.8727857515792</v>
      </c>
      <c r="AF268" s="304">
        <f>$A267*IF(AF267+AG267=0,0,IF(AF267=0,2*AG268-AH268,(AF226*AF266+AF256*($F222-$C222)+AF257*($F222-$D227)+AF258*($F222-$D228)+AF259*($F222-$D229)+AF260*($F222-$D230)+AF261*($F222-$D231)+AF262*($F222-$D232)+AF263*($F222-$D233)+AF264*($F222-$D234))/1000000-AF267*($F222-MAIN!$C$13/2)/1000))</f>
        <v>1323.0765372630262</v>
      </c>
      <c r="AG268" s="304">
        <f>$A267*IF(AG267+AH267=0,0,IF(AG267=0,2*AH268-AI268,(AG226*AG266+AG256*($F222-$C222)+AG257*($F222-$D227)+AG258*($F222-$D228)+AG259*($F222-$D229)+AG260*($F222-$D230)+AG261*($F222-$D231)+AG262*($F222-$D232)+AG263*($F222-$D233)+AG264*($F222-$D234))/1000000-AG267*($F222-MAIN!$C$13/2)/1000))</f>
        <v>1337.4263401645183</v>
      </c>
      <c r="AH268" s="304">
        <f>$A267*IF(AH267+AI267=0,0,IF(AH267=0,2*AI268-AJ268,(AH226*AH266+AH256*($F222-$C222)+AH257*($F222-$D227)+AH258*($F222-$D228)+AH259*($F222-$D229)+AH260*($F222-$D230)+AH261*($F222-$D231)+AH262*($F222-$D232)+AH263*($F222-$D233)+AH264*($F222-$D234))/1000000-AH267*($F222-MAIN!$C$13/2)/1000))</f>
        <v>1352.2806488167862</v>
      </c>
      <c r="AI268" s="304">
        <f>$A267*IF(AI267+AJ267=0,0,IF(AI267=0,2*AJ268-AK268,(AI226*AI266+AI256*($F222-$C222)+AI257*($F222-$D227)+AI258*($F222-$D228)+AI259*($F222-$D229)+AI260*($F222-$D230)+AI261*($F222-$D231)+AI262*($F222-$D232)+AI263*($F222-$D233)+AI264*($F222-$D234))/1000000-AI267*($F222-MAIN!$C$13/2)/1000))</f>
        <v>1365.9492801200824</v>
      </c>
      <c r="AJ268" s="304">
        <f>$A267*IF(AJ267+AK267=0,0,IF(AJ267=0,2*AK268-AL268,(AJ226*AJ266+AJ256*($F222-$C222)+AJ257*($F222-$D227)+AJ258*($F222-$D228)+AJ259*($F222-$D229)+AJ260*($F222-$D230)+AJ261*($F222-$D231)+AJ262*($F222-$D232)+AJ263*($F222-$D233)+AJ264*($F222-$D234))/1000000-AJ267*($F222-MAIN!$C$13/2)/1000))</f>
        <v>1378.4260755758296</v>
      </c>
      <c r="AK268" s="304">
        <f>$A267*IF(AK267+AL267=0,0,IF(AK267=0,2*AL268-AM268,(AK226*AK266+AK256*($F222-$C222)+AK257*($F222-$D227)+AK258*($F222-$D228)+AK259*($F222-$D229)+AK260*($F222-$D230)+AK261*($F222-$D231)+AK262*($F222-$D232)+AK263*($F222-$D233)+AK264*($F222-$D234))/1000000-AK267*($F222-MAIN!$C$13/2)/1000))</f>
        <v>1389.7055822414034</v>
      </c>
      <c r="AL268" s="304">
        <f>$A267*IF(AL267+AM267=0,0,IF(AL267=0,2*AM268-AN268,(AL226*AL266+AL256*($F222-$C222)+AL257*($F222-$D227)+AL258*($F222-$D228)+AL259*($F222-$D229)+AL260*($F222-$D230)+AL261*($F222-$D231)+AL262*($F222-$D232)+AL263*($F222-$D233)+AL264*($F222-$D234))/1000000-AL267*($F222-MAIN!$C$13/2)/1000))</f>
        <v>1399.7829545024274</v>
      </c>
      <c r="AM268" s="304">
        <f>$A267*IF(AM267+AN267=0,0,IF(AM267=0,2*AN268-AO268,(AM226*AM266+AM256*($F222-$C222)+AM257*($F222-$D227)+AM258*($F222-$D228)+AM259*($F222-$D229)+AM260*($F222-$D230)+AM261*($F222-$D231)+AM262*($F222-$D232)+AM263*($F222-$D233)+AM264*($F222-$D234))/1000000-AM267*($F222-MAIN!$C$13/2)/1000))</f>
        <v>1408.653871810852</v>
      </c>
      <c r="AN268" s="304">
        <f>$A267*IF(AN267+AO267=0,0,IF(AN267=0,2*AO268-AP268,(AN226*AN266+AN256*($F222-$C222)+AN257*($F222-$D227)+AN258*($F222-$D228)+AN259*($F222-$D229)+AN260*($F222-$D230)+AN261*($F222-$D231)+AN262*($F222-$D232)+AN263*($F222-$D233)+AN264*($F222-$D234))/1000000-AN267*($F222-MAIN!$C$13/2)/1000))</f>
        <v>1416.314469441128</v>
      </c>
      <c r="AO268" s="304">
        <f>$A267*IF(AO267+AP267=0,0,IF(AO267=0,2*AP268-AQ268,(AO226*AO266+AO256*($F222-$C222)+AO257*($F222-$D227)+AO258*($F222-$D228)+AO259*($F222-$D229)+AO260*($F222-$D230)+AO261*($F222-$D231)+AO262*($F222-$D232)+AO263*($F222-$D233)+AO264*($F222-$D234))/1000000-AO267*($F222-MAIN!$C$13/2)/1000))</f>
        <v>1422.7612799227272</v>
      </c>
      <c r="AP268" s="304">
        <f>$A267*IF(AP267+AQ267=0,0,IF(AP267=0,2*AQ268-AR268,(AP226*AP266+AP256*($F222-$C222)+AP257*($F222-$D227)+AP258*($F222-$D228)+AP259*($F222-$D229)+AP260*($F222-$D230)+AP261*($F222-$D231)+AP262*($F222-$D232)+AP263*($F222-$D233)+AP264*($F222-$D234))/1000000-AP267*($F222-MAIN!$C$13/2)/1000))</f>
        <v>1427.9911832766488</v>
      </c>
      <c r="AQ268" s="304">
        <f>$A267*IF(AQ267+AR267=0,0,IF(AQ267=0,2*AR268-AS268,(AQ226*AQ266+AQ256*($F222-$C222)+AQ257*($F222-$D227)+AQ258*($F222-$D228)+AQ259*($F222-$D229)+AQ260*($F222-$D230)+AQ261*($F222-$D231)+AQ262*($F222-$D232)+AQ263*($F222-$D233)+AQ264*($F222-$D234))/1000000-AQ267*($F222-MAIN!$C$13/2)/1000))</f>
        <v>1432.001364549646</v>
      </c>
      <c r="AR268" s="56">
        <f>$A267*IF(AR267+AS267=0,0,IF(AR267=0,2*AS268-AT268,(AR226*AR266+AR256*($F222-$C222)+AR257*($F222-$D227)+AR258*($F222-$D228)+AR259*($F222-$D229)+AR260*($F222-$D230)+AR261*($F222-$D231)+AR262*($F222-$D232)+AR263*($F222-$D233)+AR264*($F222-$D234))/1000000-AR267*($F222-MAIN!$C$13/2)/1000))</f>
        <v>1434.7892774273887</v>
      </c>
      <c r="AS268" s="304">
        <f>$A267*IF(AS267+AT267=0,0,IF(AS267=0,2*AT268-AU268,(AS226*AS266+AS256*($F222-$C222)+AS257*($F222-$D227)+AS258*($F222-$D228)+AS259*($F222-$D229)+AS260*($F222-$D230)+AS261*($F222-$D231)+AS262*($F222-$D232)+AS263*($F222-$D233)+AS264*($F222-$D234))/1000000-AS267*($F222-MAIN!$C$13/2)/1000))</f>
        <v>1422.5260584844241</v>
      </c>
      <c r="AT268" s="304">
        <f>$A267*IF(AT267+AU267=0,0,IF(AT267=0,2*AU268-AV268,(AT226*AT266+AT256*($F222-$C222)+AT257*($F222-$D227)+AT258*($F222-$D228)+AT259*($F222-$D229)+AT260*($F222-$D230)+AT261*($F222-$D231)+AT262*($F222-$D232)+AT263*($F222-$D233)+AT264*($F222-$D234))/1000000-AT267*($F222-MAIN!$C$13/2)/1000))</f>
        <v>1404.3823401610321</v>
      </c>
      <c r="AU268" s="304">
        <f>$A267*IF(AU267+AV267=0,0,IF(AU267=0,2*AV268-AW268,(AU226*AU266+AU256*($F222-$C222)+AU257*($F222-$D227)+AU258*($F222-$D228)+AU259*($F222-$D229)+AU260*($F222-$D230)+AU261*($F222-$D231)+AU262*($F222-$D232)+AU263*($F222-$D233)+AU264*($F222-$D234))/1000000-AU267*($F222-MAIN!$C$13/2)/1000))</f>
        <v>1380.1188471490473</v>
      </c>
      <c r="AV268" s="304">
        <f>$A267*IF(AV267+AW267=0,0,IF(AV267=0,2*AW268-AX268,(AV226*AV266+AV256*($F222-$C222)+AV257*($F222-$D227)+AV258*($F222-$D228)+AV259*($F222-$D229)+AV260*($F222-$D230)+AV261*($F222-$D231)+AV262*($F222-$D232)+AV263*($F222-$D233)+AV264*($F222-$D234))/1000000-AV267*($F222-MAIN!$C$13/2)/1000))</f>
        <v>1349.5415339902543</v>
      </c>
      <c r="AW268" s="304">
        <f>$A267*IF(AW267+AX267=0,0,IF(AW267=0,2*AX268-AY268,(AW226*AW266+AW256*($F222-$C222)+AW257*($F222-$D227)+AW258*($F222-$D228)+AW259*($F222-$D229)+AW260*($F222-$D230)+AW261*($F222-$D231)+AW262*($F222-$D232)+AW263*($F222-$D233)+AW264*($F222-$D234))/1000000-AW267*($F222-MAIN!$C$13/2)/1000))</f>
        <v>1312.4913801682487</v>
      </c>
      <c r="AX268" s="304">
        <f>$A267*IF(AX267+AY267=0,0,IF(AX267=0,2*AY268-AZ268,(AX226*AX266+AX256*($F222-$C222)+AX257*($F222-$D227)+AX258*($F222-$D228)+AX259*($F222-$D229)+AX260*($F222-$D230)+AX261*($F222-$D231)+AX262*($F222-$D232)+AX263*($F222-$D233)+AX264*($F222-$D234))/1000000-AX267*($F222-MAIN!$C$13/2)/1000))</f>
        <v>1268.8368288639499</v>
      </c>
      <c r="AY268" s="304">
        <f>$A267*IF(AY267+AZ267=0,0,IF(AY267=0,2*AZ268-BA268,(AY226*AY266+AY256*($F222-$C222)+AY257*($F222-$D227)+AY258*($F222-$D228)+AY259*($F222-$D229)+AY260*($F222-$D230)+AY261*($F222-$D231)+AY262*($F222-$D232)+AY263*($F222-$D233)+AY264*($F222-$D234))/1000000-AY267*($F222-MAIN!$C$13/2)/1000))</f>
        <v>1220.1513045546949</v>
      </c>
      <c r="AZ268" s="304">
        <f>$A267*IF(AZ267+BA267=0,0,IF(AZ267=0,2*BA268-BB268,(AZ226*AZ266+AZ256*($F222-$C222)+AZ257*($F222-$D227)+AZ258*($F222-$D228)+AZ259*($F222-$D229)+AZ260*($F222-$D230)+AZ261*($F222-$D231)+AZ262*($F222-$D232)+AZ263*($F222-$D233)+AZ264*($F222-$D234))/1000000-AZ267*($F222-MAIN!$C$13/2)/1000))</f>
        <v>1162.9760803597555</v>
      </c>
      <c r="BA268" s="304">
        <f>$A267*IF(BA267+BB267=0,0,IF(BA267=0,2*BB268-BC268,(BA226*BA266+BA256*($F222-$C222)+BA257*($F222-$D227)+BA258*($F222-$D228)+BA259*($F222-$D229)+BA260*($F222-$D230)+BA261*($F222-$D231)+BA262*($F222-$D232)+BA263*($F222-$D233)+BA264*($F222-$D234))/1000000-BA267*($F222-MAIN!$C$13/2)/1000))</f>
        <v>1098.9161492156145</v>
      </c>
      <c r="BB268" s="304">
        <f>$A267*IF(BB267+BC267=0,0,IF(BB267=0,2*BC268-BD268,(BB226*BB266+BB256*($F222-$C222)+BB257*($F222-$D227)+BB258*($F222-$D228)+BB259*($F222-$D229)+BB260*($F222-$D230)+BB261*($F222-$D231)+BB262*($F222-$D232)+BB263*($F222-$D233)+BB264*($F222-$D234))/1000000-BB267*($F222-MAIN!$C$13/2)/1000))</f>
        <v>1027.3723600239173</v>
      </c>
      <c r="BC268" s="304">
        <f>$A267*IF(BC267+BD267=0,0,IF(BC267=0,2*BD268-BE268,(BC226*BC266+BC256*($F222-$C222)+BC257*($F222-$D227)+BC258*($F222-$D228)+BC259*($F222-$D229)+BC260*($F222-$D230)+BC261*($F222-$D231)+BC262*($F222-$D232)+BC263*($F222-$D233)+BC264*($F222-$D234))/1000000-BC267*($F222-MAIN!$C$13/2)/1000))</f>
        <v>948.67195786048296</v>
      </c>
      <c r="BD268" s="304">
        <f>$A267*IF(BD267+BE267=0,0,IF(BD267=0,2*BE268-BF268,(BD226*BD266+BD256*($F222-$C222)+BD257*($F222-$D227)+BD258*($F222-$D228)+BD259*($F222-$D229)+BD260*($F222-$D230)+BD261*($F222-$D231)+BD262*($F222-$D232)+BD263*($F222-$D233)+BD264*($F222-$D234))/1000000-BD267*($F222-MAIN!$C$13/2)/1000))</f>
        <v>863.16113402320389</v>
      </c>
      <c r="BE268" s="304">
        <f>$A267*IF(BE267+BF267=0,0,IF(BE267=0,2*BF268-BG268,(BE226*BE266+BE256*($F222-$C222)+BE257*($F222-$D227)+BE258*($F222-$D228)+BE259*($F222-$D229)+BE260*($F222-$D230)+BE261*($F222-$D231)+BE262*($F222-$D232)+BE263*($F222-$D233)+BE264*($F222-$D234))/1000000-BE267*($F222-MAIN!$C$13/2)/1000))</f>
        <v>771.42549560385578</v>
      </c>
      <c r="BF268" s="304">
        <f>$A267*IF(BF267+BG267=0,0,IF(BF267=0,2*BG268-BH268,(BF226*BF266+BF256*($F222-$C222)+BF257*($F222-$D227)+BF258*($F222-$D228)+BF259*($F222-$D229)+BF260*($F222-$D230)+BF261*($F222-$D231)+BF262*($F222-$D232)+BF263*($F222-$D233)+BF264*($F222-$D234))/1000000-BF267*($F222-MAIN!$C$13/2)/1000))</f>
        <v>672.80217529811125</v>
      </c>
      <c r="BG268" s="304">
        <f>$A267*IF(BG267+BH267=0,0,IF(BG267=0,2*BH268-BI268,(BG226*BG266+BG256*($F222-$C222)+BG257*($F222-$D227)+BG258*($F222-$D228)+BG259*($F222-$D229)+BG260*($F222-$D230)+BG261*($F222-$D231)+BG262*($F222-$D232)+BG263*($F222-$D233)+BG264*($F222-$D234))/1000000-BG267*($F222-MAIN!$C$13/2)/1000))</f>
        <v>567.18932009772834</v>
      </c>
      <c r="BH268" s="304">
        <f>$A267*IF(BH267+BI267=0,0,IF(BH267=0,2*BI268-BJ268,(BH226*BH266+BH256*($F222-$C222)+BH257*($F222-$D227)+BH258*($F222-$D228)+BH259*($F222-$D229)+BH260*($F222-$D230)+BH261*($F222-$D231)+BH262*($F222-$D232)+BH263*($F222-$D233)+BH264*($F222-$D234))/1000000-BH267*($F222-MAIN!$C$13/2)/1000))</f>
        <v>454.39959766797801</v>
      </c>
      <c r="BI268" s="304">
        <f>$A267*IF(BI267+BJ267=0,0,IF(BI267=0,2*BJ268-BK268,(BI226*BI266+BI256*($F222-$C222)+BI257*($F222-$D227)+BI258*($F222-$D228)+BI259*($F222-$D229)+BI260*($F222-$D230)+BI261*($F222-$D231)+BI262*($F222-$D232)+BI263*($F222-$D233)+BI264*($F222-$D234))/1000000-BI267*($F222-MAIN!$C$13/2)/1000))</f>
        <v>334.26954777890751</v>
      </c>
      <c r="BJ268" s="304">
        <f>$A267*IF(BJ267+BK267=0,0,IF(BJ267=0,2*BK268-BO268,(BJ226*BJ266+BJ256*($F222-$C222)+BJ257*($F222-$D227)+BJ258*($F222-$D228)+BJ259*($F222-$D229)+BJ260*($F222-$D230)+BJ261*($F222-$D231)+BJ262*($F222-$D232)+BJ263*($F222-$D233)+BJ264*($F222-$D234))/1000000-BJ267*($F222-MAIN!$C$13/2)/1000))</f>
        <v>212.03459167254186</v>
      </c>
      <c r="BK268" s="304">
        <f>$A267*IF(BK267+BO267=0,0,IF(BK267=0,2*BO268-BP268,(BK226*BK266+BK256*($F222-$C222)+BK257*($F222-$D227)+BK258*($F222-$D228)+BK259*($F222-$D229)+BK260*($F222-$D230)+BK261*($F222-$D231)+BK262*($F222-$D232)+BK263*($F222-$D233)+BK264*($F222-$D234))/1000000-BK267*($F222-MAIN!$C$13/2)/1000))</f>
        <v>77.549341995983923</v>
      </c>
      <c r="BL268" s="304">
        <f>$A267*IF(BL267+BP267=0,0,IF(BL267=0,2*BP268-BQ268,(BL226*BL266+BL256*($F222-$C222)+BL257*($F222-$D227)+BL258*($F222-$D228)+BL259*($F222-$D229)+BL260*($F222-$D230)+BL261*($F222-$D231)+BL262*($F222-$D232)+BL263*($F222-$D233)+BL264*($F222-$D234))/1000000-BL267*($F222-MAIN!$C$13/2)/1000))</f>
        <v>51.884822370379879</v>
      </c>
      <c r="BM268" s="304">
        <f>$A267*IF(BM267+BQ267=0,0,IF(BM267=0,2*BQ268-BR268,(BM226*BM266+BM256*($F222-$C222)+BM257*($F222-$D227)+BM258*($F222-$D228)+BM259*($F222-$D229)+BM260*($F222-$D230)+BM261*($F222-$D231)+BM262*($F222-$D232)+BM263*($F222-$D233)+BM264*($F222-$D234))/1000000-BM267*($F222-MAIN!$C$13/2)/1000))</f>
        <v>41.735638916848984</v>
      </c>
      <c r="BN268" s="304">
        <f>$A267*IF(BN267+BR267=0,0,IF(BN267=0,2*BR268-BS268,(BN226*BN266+BN256*($F222-$C222)+BN257*($F222-$D227)+BN258*($F222-$D228)+BN259*($F222-$D229)+BN260*($F222-$D230)+BN261*($F222-$D231)+BN262*($F222-$D232)+BN263*($F222-$D233)+BN264*($F222-$D234))/1000000-BN267*($F222-MAIN!$C$13/2)/1000))</f>
        <v>31.997323169584888</v>
      </c>
      <c r="BO268" s="3">
        <v>0</v>
      </c>
      <c r="BP268" s="41"/>
      <c r="BQ268" s="41"/>
      <c r="BR268" s="41"/>
    </row>
    <row r="269" spans="1:70" ht="16.5">
      <c r="A269" s="41"/>
      <c r="B269" s="296" t="s">
        <v>74</v>
      </c>
      <c r="C269" s="303" t="s">
        <v>75</v>
      </c>
      <c r="D269" s="15"/>
      <c r="E269" s="308"/>
      <c r="F269" s="308"/>
      <c r="G269" s="308"/>
      <c r="H269" s="308"/>
      <c r="I269" s="308"/>
      <c r="J269" s="308"/>
      <c r="K269" s="308"/>
      <c r="L269" s="308"/>
      <c r="M269" s="308"/>
      <c r="N269" s="308"/>
      <c r="O269" s="308"/>
      <c r="P269" s="308"/>
      <c r="Q269" s="308"/>
      <c r="R269" s="308"/>
      <c r="S269" s="308"/>
      <c r="T269" s="308"/>
      <c r="U269" s="308"/>
      <c r="V269" s="308"/>
      <c r="W269" s="308"/>
      <c r="X269" s="308"/>
      <c r="Y269" s="308"/>
      <c r="Z269" s="308"/>
      <c r="AA269" s="308"/>
      <c r="AB269" s="308"/>
      <c r="AC269" s="308"/>
      <c r="AD269" s="308"/>
      <c r="AE269" s="309" t="str">
        <f>FIXED(MAIN!$Q$1,0)&amp;MAIN!R$1&amp;FIXED(B221,0)</f>
        <v>8H16</v>
      </c>
      <c r="AF269" s="308"/>
      <c r="AG269" s="308"/>
      <c r="AH269" s="308"/>
      <c r="AI269" s="308"/>
      <c r="AJ269" s="308"/>
      <c r="AK269" s="308"/>
      <c r="AL269" s="308"/>
      <c r="AM269" s="308"/>
      <c r="AN269" s="308"/>
      <c r="AO269" s="308"/>
      <c r="AP269" s="308"/>
      <c r="AQ269" s="308"/>
      <c r="AR269" s="60"/>
      <c r="AS269" s="308"/>
      <c r="AT269" s="308"/>
      <c r="AU269" s="308"/>
      <c r="AV269" s="308"/>
      <c r="AW269" s="308"/>
      <c r="AX269" s="308"/>
      <c r="AY269" s="308"/>
      <c r="AZ269" s="308"/>
      <c r="BA269" s="308"/>
      <c r="BB269" s="308"/>
      <c r="BC269" s="308"/>
      <c r="BD269" s="308"/>
      <c r="BE269" s="308"/>
      <c r="BF269" s="308"/>
      <c r="BG269" s="308"/>
      <c r="BH269" s="308"/>
      <c r="BI269" s="308"/>
      <c r="BJ269" s="308"/>
      <c r="BK269" s="308"/>
      <c r="BL269" s="621"/>
      <c r="BM269" s="621"/>
      <c r="BN269" s="621"/>
      <c r="BO269" s="15"/>
      <c r="BP269" s="41"/>
      <c r="BQ269" s="41"/>
      <c r="BR269" s="41"/>
    </row>
    <row r="270" spans="1:70">
      <c r="A270" s="41"/>
      <c r="B270" s="67"/>
      <c r="C270" s="65" t="s">
        <v>135</v>
      </c>
      <c r="D270" s="66">
        <f t="shared" ref="D270:AI270" si="199">E267-D267</f>
        <v>229.05062604608059</v>
      </c>
      <c r="E270" s="66">
        <f t="shared" si="199"/>
        <v>150.10983758421429</v>
      </c>
      <c r="F270" s="66">
        <f t="shared" si="199"/>
        <v>132.02484137391758</v>
      </c>
      <c r="G270" s="66">
        <f t="shared" si="199"/>
        <v>118.62199966384044</v>
      </c>
      <c r="H270" s="66">
        <f t="shared" si="199"/>
        <v>111.03442613277909</v>
      </c>
      <c r="I270" s="66">
        <f t="shared" si="199"/>
        <v>96.005547302878483</v>
      </c>
      <c r="J270" s="66">
        <f t="shared" si="199"/>
        <v>92.390609157893323</v>
      </c>
      <c r="K270" s="66">
        <f t="shared" si="199"/>
        <v>92.390609157893095</v>
      </c>
      <c r="L270" s="66">
        <f t="shared" si="199"/>
        <v>92.390609157893209</v>
      </c>
      <c r="M270" s="66">
        <f t="shared" si="199"/>
        <v>92.390609157893209</v>
      </c>
      <c r="N270" s="66">
        <f t="shared" si="199"/>
        <v>92.390609157893095</v>
      </c>
      <c r="O270" s="66">
        <f t="shared" si="199"/>
        <v>92.390609157893095</v>
      </c>
      <c r="P270" s="66">
        <f t="shared" si="199"/>
        <v>92.390609157893095</v>
      </c>
      <c r="Q270" s="66">
        <f t="shared" si="199"/>
        <v>116.16197358000659</v>
      </c>
      <c r="R270" s="66">
        <f t="shared" si="199"/>
        <v>117.96374704218556</v>
      </c>
      <c r="S270" s="66">
        <f t="shared" si="199"/>
        <v>115.10869450111613</v>
      </c>
      <c r="T270" s="66">
        <f t="shared" si="199"/>
        <v>112.70648221050419</v>
      </c>
      <c r="U270" s="66">
        <f t="shared" si="199"/>
        <v>110.66615237891779</v>
      </c>
      <c r="V270" s="66">
        <f t="shared" si="199"/>
        <v>108.91849257077752</v>
      </c>
      <c r="W270" s="66">
        <f t="shared" si="199"/>
        <v>107.41008196299413</v>
      </c>
      <c r="X270" s="66">
        <f t="shared" si="199"/>
        <v>106.09915638716643</v>
      </c>
      <c r="Y270" s="66">
        <f t="shared" si="199"/>
        <v>104.95268372297869</v>
      </c>
      <c r="Z270" s="66">
        <f t="shared" si="199"/>
        <v>103.94426099815087</v>
      </c>
      <c r="AA270" s="66">
        <f t="shared" si="199"/>
        <v>103.05257952607008</v>
      </c>
      <c r="AB270" s="66">
        <f t="shared" si="199"/>
        <v>102.26028923773129</v>
      </c>
      <c r="AC270" s="66">
        <f t="shared" si="199"/>
        <v>101.55314780232902</v>
      </c>
      <c r="AD270" s="66">
        <f t="shared" si="199"/>
        <v>107.46120201562007</v>
      </c>
      <c r="AE270" s="66">
        <f t="shared" si="199"/>
        <v>115.38482411698578</v>
      </c>
      <c r="AF270" s="66">
        <f t="shared" si="199"/>
        <v>104.78240650488897</v>
      </c>
      <c r="AG270" s="66">
        <f t="shared" si="199"/>
        <v>112.54944180457142</v>
      </c>
      <c r="AH270" s="66">
        <f t="shared" si="199"/>
        <v>111.32451337385055</v>
      </c>
      <c r="AI270" s="66">
        <f t="shared" si="199"/>
        <v>110.20793997293367</v>
      </c>
      <c r="AJ270" s="66">
        <f t="shared" ref="AJ270:BJ270" si="200">AK267-AJ267</f>
        <v>109.18730777470273</v>
      </c>
      <c r="AK270" s="66">
        <f t="shared" si="200"/>
        <v>108.25193120876293</v>
      </c>
      <c r="AL270" s="66">
        <f t="shared" si="200"/>
        <v>107.39257205298509</v>
      </c>
      <c r="AM270" s="66">
        <f t="shared" si="200"/>
        <v>106.60121038828811</v>
      </c>
      <c r="AN270" s="66">
        <f t="shared" si="200"/>
        <v>105.87085675463322</v>
      </c>
      <c r="AO270" s="66">
        <f t="shared" si="200"/>
        <v>105.19539725031609</v>
      </c>
      <c r="AP270" s="66">
        <f t="shared" si="200"/>
        <v>104.56946513308731</v>
      </c>
      <c r="AQ270" s="66">
        <f t="shared" si="200"/>
        <v>103.98833386486695</v>
      </c>
      <c r="AR270" s="66">
        <f t="shared" si="200"/>
        <v>276.91366920493101</v>
      </c>
      <c r="AS270" s="66">
        <f t="shared" si="200"/>
        <v>271.56367786087776</v>
      </c>
      <c r="AT270" s="66">
        <f t="shared" si="200"/>
        <v>267.00978334693991</v>
      </c>
      <c r="AU270" s="66">
        <f t="shared" si="200"/>
        <v>263.10150068224448</v>
      </c>
      <c r="AV270" s="66">
        <f t="shared" si="200"/>
        <v>259.72229780436101</v>
      </c>
      <c r="AW270" s="66">
        <f t="shared" si="200"/>
        <v>256.78079979227459</v>
      </c>
      <c r="AX270" s="66">
        <f t="shared" si="200"/>
        <v>245.08973396127112</v>
      </c>
      <c r="AY270" s="66">
        <f t="shared" si="200"/>
        <v>251.93545796743729</v>
      </c>
      <c r="AZ270" s="66">
        <f t="shared" si="200"/>
        <v>249.92658221281545</v>
      </c>
      <c r="BA270" s="66">
        <f t="shared" si="200"/>
        <v>245.25623192441526</v>
      </c>
      <c r="BB270" s="66">
        <f t="shared" si="200"/>
        <v>242.85817913519804</v>
      </c>
      <c r="BC270" s="66">
        <f t="shared" si="200"/>
        <v>240.7951755039885</v>
      </c>
      <c r="BD270" s="66">
        <f t="shared" si="200"/>
        <v>236.52295570899241</v>
      </c>
      <c r="BE270" s="66">
        <f t="shared" si="200"/>
        <v>235.22155379789092</v>
      </c>
      <c r="BF270" s="66">
        <f t="shared" si="200"/>
        <v>234.1407721212363</v>
      </c>
      <c r="BG270" s="66">
        <f t="shared" si="200"/>
        <v>232.6525250806535</v>
      </c>
      <c r="BH270" s="66">
        <f t="shared" si="200"/>
        <v>230.76281952410318</v>
      </c>
      <c r="BI270" s="66">
        <f t="shared" si="200"/>
        <v>221.15476034185758</v>
      </c>
      <c r="BJ270" s="66">
        <f t="shared" si="200"/>
        <v>229.84451861353227</v>
      </c>
      <c r="BK270" s="66">
        <f t="shared" ref="BK270:BN271" si="201">BL267-BK267</f>
        <v>37.902966299710897</v>
      </c>
      <c r="BL270" s="66">
        <f t="shared" si="201"/>
        <v>14.639275401788836</v>
      </c>
      <c r="BM270" s="66">
        <f t="shared" si="201"/>
        <v>0</v>
      </c>
      <c r="BN270" s="66">
        <f t="shared" si="201"/>
        <v>0</v>
      </c>
      <c r="BO270" s="65">
        <v>0</v>
      </c>
      <c r="BP270" s="41"/>
      <c r="BQ270" s="43"/>
      <c r="BR270" s="42"/>
    </row>
    <row r="271" spans="1:70">
      <c r="A271" s="41"/>
      <c r="B271" s="67"/>
      <c r="C271" s="65" t="s">
        <v>136</v>
      </c>
      <c r="D271" s="66">
        <f t="shared" ref="D271:AI271" si="202">E268-D268</f>
        <v>128.11334597544538</v>
      </c>
      <c r="E271" s="66">
        <f t="shared" si="202"/>
        <v>83.124851423370501</v>
      </c>
      <c r="F271" s="66">
        <f t="shared" si="202"/>
        <v>71.850465778665068</v>
      </c>
      <c r="G271" s="66">
        <f t="shared" si="202"/>
        <v>63.169993727081305</v>
      </c>
      <c r="H271" s="66">
        <f t="shared" si="202"/>
        <v>57.711180246672598</v>
      </c>
      <c r="I271" s="66">
        <f t="shared" si="202"/>
        <v>48.129883630706445</v>
      </c>
      <c r="J271" s="66">
        <f t="shared" si="202"/>
        <v>44.871910154183752</v>
      </c>
      <c r="K271" s="66">
        <f t="shared" si="202"/>
        <v>43.616612409982508</v>
      </c>
      <c r="L271" s="66">
        <f t="shared" si="202"/>
        <v>42.361314665781947</v>
      </c>
      <c r="M271" s="66">
        <f t="shared" si="202"/>
        <v>41.106016921580704</v>
      </c>
      <c r="N271" s="66">
        <f t="shared" si="202"/>
        <v>39.850719177379801</v>
      </c>
      <c r="O271" s="66">
        <f t="shared" si="202"/>
        <v>38.595421433178785</v>
      </c>
      <c r="P271" s="66">
        <f t="shared" si="202"/>
        <v>37.340123688977997</v>
      </c>
      <c r="Q271" s="66">
        <f t="shared" si="202"/>
        <v>40.474604574727095</v>
      </c>
      <c r="R271" s="66">
        <f t="shared" si="202"/>
        <v>39.552034329875369</v>
      </c>
      <c r="S271" s="66">
        <f t="shared" si="202"/>
        <v>37.769503549756564</v>
      </c>
      <c r="T271" s="66">
        <f t="shared" si="202"/>
        <v>36.070597269223299</v>
      </c>
      <c r="U271" s="66">
        <f t="shared" si="202"/>
        <v>34.43851861612211</v>
      </c>
      <c r="V271" s="66">
        <f t="shared" si="202"/>
        <v>32.860486360684945</v>
      </c>
      <c r="W271" s="66">
        <f t="shared" si="202"/>
        <v>31.326635457579869</v>
      </c>
      <c r="X271" s="66">
        <f t="shared" si="202"/>
        <v>29.829253457042569</v>
      </c>
      <c r="Y271" s="66">
        <f t="shared" si="202"/>
        <v>28.362240427521101</v>
      </c>
      <c r="Z271" s="66">
        <f t="shared" si="202"/>
        <v>26.920720620136308</v>
      </c>
      <c r="AA271" s="66">
        <f t="shared" si="202"/>
        <v>25.500759030757308</v>
      </c>
      <c r="AB271" s="66">
        <f t="shared" si="202"/>
        <v>24.099151679976558</v>
      </c>
      <c r="AC271" s="66">
        <f t="shared" si="202"/>
        <v>22.713268484037826</v>
      </c>
      <c r="AD271" s="66">
        <f t="shared" si="202"/>
        <v>20.132876913887685</v>
      </c>
      <c r="AE271" s="66">
        <f t="shared" si="202"/>
        <v>17.203751511447081</v>
      </c>
      <c r="AF271" s="66">
        <f t="shared" si="202"/>
        <v>14.349802901492012</v>
      </c>
      <c r="AG271" s="66">
        <f t="shared" si="202"/>
        <v>14.854308652267946</v>
      </c>
      <c r="AH271" s="66">
        <f t="shared" si="202"/>
        <v>13.668631303296252</v>
      </c>
      <c r="AI271" s="66">
        <f t="shared" si="202"/>
        <v>12.476795455747151</v>
      </c>
      <c r="AJ271" s="66">
        <f t="shared" ref="AJ271:BJ271" si="203">AK268-AJ268</f>
        <v>11.279506665573763</v>
      </c>
      <c r="AK271" s="66">
        <f t="shared" si="203"/>
        <v>10.077372261024038</v>
      </c>
      <c r="AL271" s="66">
        <f t="shared" si="203"/>
        <v>8.8709173084246231</v>
      </c>
      <c r="AM271" s="66">
        <f t="shared" si="203"/>
        <v>7.6605976302760155</v>
      </c>
      <c r="AN271" s="66">
        <f t="shared" si="203"/>
        <v>6.4468104815991865</v>
      </c>
      <c r="AO271" s="66">
        <f t="shared" si="203"/>
        <v>5.2299033539215998</v>
      </c>
      <c r="AP271" s="66">
        <f t="shared" si="203"/>
        <v>4.0101812729972153</v>
      </c>
      <c r="AQ271" s="66">
        <f t="shared" si="203"/>
        <v>2.7879128777426558</v>
      </c>
      <c r="AR271" s="66">
        <f t="shared" si="203"/>
        <v>-12.263218942964613</v>
      </c>
      <c r="AS271" s="66">
        <f t="shared" si="203"/>
        <v>-18.143718323392022</v>
      </c>
      <c r="AT271" s="66">
        <f t="shared" si="203"/>
        <v>-24.263493011984792</v>
      </c>
      <c r="AU271" s="66">
        <f t="shared" si="203"/>
        <v>-30.577313158793004</v>
      </c>
      <c r="AV271" s="66">
        <f t="shared" si="203"/>
        <v>-37.050153822005541</v>
      </c>
      <c r="AW271" s="66">
        <f t="shared" si="203"/>
        <v>-43.65455130429882</v>
      </c>
      <c r="AX271" s="66">
        <f t="shared" si="203"/>
        <v>-48.685524309255015</v>
      </c>
      <c r="AY271" s="66">
        <f t="shared" si="203"/>
        <v>-57.175224194939346</v>
      </c>
      <c r="AZ271" s="66">
        <f t="shared" si="203"/>
        <v>-64.059931144141046</v>
      </c>
      <c r="BA271" s="66">
        <f t="shared" si="203"/>
        <v>-71.543789191697215</v>
      </c>
      <c r="BB271" s="66">
        <f t="shared" si="203"/>
        <v>-78.700402163434319</v>
      </c>
      <c r="BC271" s="66">
        <f t="shared" si="203"/>
        <v>-85.510823837279077</v>
      </c>
      <c r="BD271" s="66">
        <f t="shared" si="203"/>
        <v>-91.735638419348106</v>
      </c>
      <c r="BE271" s="66">
        <f t="shared" si="203"/>
        <v>-98.623320305744528</v>
      </c>
      <c r="BF271" s="66">
        <f t="shared" si="203"/>
        <v>-105.61285520038291</v>
      </c>
      <c r="BG271" s="66">
        <f t="shared" si="203"/>
        <v>-112.78972242975033</v>
      </c>
      <c r="BH271" s="66">
        <f t="shared" si="203"/>
        <v>-120.13004988907051</v>
      </c>
      <c r="BI271" s="66">
        <f t="shared" si="203"/>
        <v>-122.23495610636564</v>
      </c>
      <c r="BJ271" s="66">
        <f t="shared" si="203"/>
        <v>-134.48524967655794</v>
      </c>
      <c r="BK271" s="66">
        <f t="shared" si="201"/>
        <v>-25.664519625604044</v>
      </c>
      <c r="BL271" s="66">
        <f t="shared" si="201"/>
        <v>-10.149183453530895</v>
      </c>
      <c r="BM271" s="66">
        <f t="shared" si="201"/>
        <v>-9.738315747264096</v>
      </c>
      <c r="BN271" s="66">
        <f t="shared" si="201"/>
        <v>-31.997323169584888</v>
      </c>
      <c r="BO271" s="65">
        <v>0</v>
      </c>
      <c r="BP271" s="41"/>
      <c r="BQ271" s="43"/>
      <c r="BR271" s="42"/>
    </row>
    <row r="272" spans="1:70" ht="25.5">
      <c r="A272" s="41"/>
      <c r="B272" s="40"/>
      <c r="C272" s="2"/>
      <c r="D272" s="2"/>
      <c r="E272" s="2"/>
      <c r="F272" s="2"/>
      <c r="G272" s="2"/>
      <c r="H272" s="2"/>
      <c r="I272" s="2"/>
      <c r="J272" s="2"/>
      <c r="K272" s="2"/>
      <c r="L272" s="2"/>
      <c r="M272" s="2"/>
      <c r="N272" s="43"/>
      <c r="O272" s="47"/>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c r="AX272" s="2"/>
      <c r="AY272" s="2"/>
      <c r="AZ272" s="2"/>
      <c r="BA272" s="2"/>
      <c r="BB272" s="2"/>
      <c r="BC272" s="2"/>
      <c r="BD272" s="2"/>
      <c r="BE272" s="2"/>
      <c r="BF272" s="2"/>
      <c r="BG272" s="2"/>
      <c r="BH272" s="2"/>
      <c r="BI272" s="2"/>
      <c r="BJ272" s="2"/>
      <c r="BK272" s="2"/>
      <c r="BL272" s="2"/>
      <c r="BM272" s="2"/>
      <c r="BN272" s="2"/>
      <c r="BO272" s="16"/>
      <c r="BP272" s="41"/>
      <c r="BQ272" s="43"/>
      <c r="BR272" s="42"/>
    </row>
    <row r="273" spans="1:69" ht="18.75">
      <c r="A273" s="41"/>
      <c r="B273" s="275">
        <f>MAIN!C$38</f>
        <v>16</v>
      </c>
      <c r="C273" s="276" t="s">
        <v>43</v>
      </c>
      <c r="D273" s="258"/>
      <c r="E273" s="259"/>
      <c r="F273" s="259"/>
      <c r="G273" s="259"/>
      <c r="H273" s="259"/>
      <c r="I273" s="259"/>
      <c r="J273" s="259"/>
      <c r="K273" s="277"/>
      <c r="L273" s="259"/>
      <c r="M273" s="259"/>
      <c r="N273" s="278" t="s">
        <v>93</v>
      </c>
      <c r="O273" s="279">
        <f>$C$8*$C$9*MAIN!C$14</f>
        <v>5440.0000000000009</v>
      </c>
      <c r="P273" s="73"/>
      <c r="Q273" s="73"/>
      <c r="R273" s="73"/>
      <c r="S273" s="73"/>
      <c r="T273" s="73"/>
      <c r="U273" s="73"/>
      <c r="V273" s="73"/>
      <c r="W273" s="73"/>
      <c r="X273" s="73"/>
      <c r="Y273" s="73"/>
      <c r="Z273" s="73"/>
      <c r="AA273" s="73"/>
      <c r="AB273" s="73"/>
      <c r="AC273" s="73"/>
      <c r="AD273" s="73"/>
      <c r="AE273" s="73"/>
      <c r="AF273" s="73"/>
      <c r="AG273" s="73"/>
      <c r="AH273" s="73"/>
      <c r="AI273" s="73"/>
      <c r="AJ273" s="73"/>
      <c r="AK273" s="73"/>
      <c r="AL273" s="73"/>
      <c r="AM273" s="73"/>
      <c r="AN273" s="73"/>
      <c r="AO273" s="73"/>
      <c r="AP273" s="73"/>
      <c r="AQ273" s="73"/>
      <c r="AR273" s="41"/>
      <c r="AS273" s="73"/>
      <c r="AT273" s="41"/>
      <c r="AU273" s="41"/>
      <c r="AV273" s="41"/>
      <c r="AW273" s="41"/>
      <c r="AX273" s="41"/>
      <c r="AY273" s="41"/>
      <c r="AZ273" s="41"/>
      <c r="BA273" s="41"/>
      <c r="BB273" s="41"/>
      <c r="BC273" s="41"/>
      <c r="BD273" s="41"/>
      <c r="BE273" s="41"/>
      <c r="BF273" s="41"/>
      <c r="BG273" s="41"/>
      <c r="BH273" s="41"/>
      <c r="BI273" s="41"/>
      <c r="BJ273" s="41"/>
      <c r="BK273" s="41"/>
      <c r="BL273" s="41"/>
      <c r="BM273" s="41"/>
      <c r="BN273" s="41"/>
      <c r="BO273" s="41"/>
      <c r="BP273" s="41"/>
      <c r="BQ273" s="41"/>
    </row>
    <row r="274" spans="1:69" ht="18.75">
      <c r="A274" s="41"/>
      <c r="B274" s="260" t="str">
        <f>B222</f>
        <v>d' =</v>
      </c>
      <c r="C274" s="261">
        <f>MAIN!I$8+MAIN!E38+MAIN!C38/2</f>
        <v>46</v>
      </c>
      <c r="D274" s="262"/>
      <c r="E274" s="263" t="str">
        <f>E222</f>
        <v>d =</v>
      </c>
      <c r="F274" s="261">
        <f>IF(I274=0,0,MAIN!C$13-C274)</f>
        <v>1154</v>
      </c>
      <c r="G274" s="262" t="str">
        <f>G222</f>
        <v>mm</v>
      </c>
      <c r="H274" s="263" t="s">
        <v>76</v>
      </c>
      <c r="I274" s="264">
        <f>IF(MAIN!I38="ok",MAIN!C$13*MAIN!C$14*MAIN!D38/100,0)</f>
        <v>1608.4954386379745</v>
      </c>
      <c r="J274" s="262" t="str">
        <f>J222</f>
        <v>mm²</v>
      </c>
      <c r="K274" s="263" t="s">
        <v>48</v>
      </c>
      <c r="L274" s="261">
        <f>(F274-C274)/(MAIN!C$16-1)</f>
        <v>369.33333333333331</v>
      </c>
      <c r="M274" s="262" t="s">
        <v>14</v>
      </c>
      <c r="N274" s="263" t="s">
        <v>17</v>
      </c>
      <c r="O274" s="280">
        <f>I274*MAIN!C$15/MAIN!Q$1*(200000*F$8-C$9-C$10)</f>
        <v>97535.433554511386</v>
      </c>
      <c r="P274" s="45"/>
      <c r="Q274" s="45"/>
      <c r="R274" s="45"/>
      <c r="S274" s="45"/>
      <c r="T274" s="45"/>
      <c r="U274" s="45"/>
      <c r="V274" s="45"/>
      <c r="W274" s="45"/>
      <c r="X274" s="45"/>
      <c r="Y274" s="45"/>
      <c r="Z274" s="45"/>
      <c r="AA274" s="45"/>
      <c r="AB274" s="45"/>
      <c r="AC274" s="45"/>
      <c r="AD274" s="45"/>
      <c r="AE274" s="45"/>
      <c r="AF274" s="45"/>
      <c r="AG274" s="45"/>
      <c r="AH274" s="45"/>
      <c r="AI274" s="289" t="str">
        <f>B273&amp;" Bar diameter continued"</f>
        <v>16 Bar diameter continued</v>
      </c>
      <c r="AJ274" s="45"/>
      <c r="AK274" s="45"/>
      <c r="AL274" s="45"/>
      <c r="AM274" s="45"/>
      <c r="AN274" s="45"/>
      <c r="AO274" s="45"/>
      <c r="AP274" s="45"/>
      <c r="AQ274" s="45"/>
      <c r="AR274" s="41"/>
      <c r="AS274" s="45"/>
      <c r="AT274" s="41"/>
      <c r="AU274" s="41"/>
      <c r="AV274" s="41"/>
      <c r="AW274" s="41"/>
      <c r="AX274" s="41"/>
      <c r="AY274" s="41"/>
      <c r="AZ274" s="41"/>
      <c r="BA274" s="41"/>
      <c r="BB274" s="41"/>
      <c r="BC274" s="41"/>
      <c r="BD274" s="41"/>
      <c r="BE274" s="41"/>
      <c r="BF274" s="41"/>
      <c r="BG274" s="41"/>
      <c r="BH274" s="41"/>
      <c r="BI274" s="41"/>
      <c r="BJ274" s="41"/>
      <c r="BK274" s="41"/>
      <c r="BL274" s="41"/>
      <c r="BM274" s="41"/>
      <c r="BN274" s="41"/>
      <c r="BO274" s="41"/>
      <c r="BP274" s="41"/>
      <c r="BQ274" s="41"/>
    </row>
    <row r="275" spans="1:69" ht="18.75">
      <c r="A275" s="41"/>
      <c r="B275" s="265"/>
      <c r="C275" s="266"/>
      <c r="D275" s="267"/>
      <c r="E275" s="268" t="s">
        <v>49</v>
      </c>
      <c r="F275" s="269">
        <f>(AR277-D277)/40</f>
        <v>16.983567859906842</v>
      </c>
      <c r="G275" s="270" t="s">
        <v>50</v>
      </c>
      <c r="H275" s="281"/>
      <c r="I275" s="281"/>
      <c r="J275" s="281"/>
      <c r="K275" s="281"/>
      <c r="L275" s="281"/>
      <c r="M275" s="281"/>
      <c r="N275" s="282" t="s">
        <v>120</v>
      </c>
      <c r="O275" s="283">
        <f>-100000*F$8*C274*I274*MAIN!C$15/MAIN!Q$1*2</f>
        <v>-12948388.281035695</v>
      </c>
      <c r="P275" s="49"/>
      <c r="Q275" s="49"/>
      <c r="R275" s="49"/>
      <c r="S275" s="49"/>
      <c r="T275" s="49"/>
      <c r="U275" s="49"/>
      <c r="V275" s="49"/>
      <c r="W275" s="49"/>
      <c r="X275" s="49"/>
      <c r="Y275" s="49"/>
      <c r="Z275" s="49"/>
      <c r="AA275" s="49"/>
      <c r="AB275" s="49"/>
      <c r="AC275" s="49"/>
      <c r="AD275" s="49"/>
      <c r="AE275" s="49"/>
      <c r="AF275" s="49"/>
      <c r="AG275" s="289"/>
      <c r="AH275" s="49"/>
      <c r="AI275" s="310"/>
      <c r="AJ275" s="49"/>
      <c r="AK275" s="49"/>
      <c r="AL275" s="49"/>
      <c r="AM275" s="49"/>
      <c r="AN275" s="49"/>
      <c r="AO275" s="49"/>
      <c r="AP275" s="49"/>
      <c r="AQ275" s="49"/>
      <c r="AR275" s="49" t="s">
        <v>49</v>
      </c>
      <c r="AS275" s="50">
        <f>IF(I274=0,0,(BK277-AR277)/19)</f>
        <v>41.481347045775358</v>
      </c>
      <c r="AT275" s="46" t="s">
        <v>121</v>
      </c>
      <c r="AU275" s="41"/>
      <c r="AV275" s="41"/>
      <c r="AW275" s="41"/>
      <c r="AX275" s="41"/>
      <c r="AY275" s="41"/>
      <c r="AZ275" s="41"/>
      <c r="BA275" s="41"/>
      <c r="BB275" s="41"/>
      <c r="BC275" s="41"/>
      <c r="BD275" s="41"/>
      <c r="BE275" s="41"/>
      <c r="BF275" s="41"/>
      <c r="BG275" s="41"/>
      <c r="BH275" s="41"/>
      <c r="BI275" s="41"/>
      <c r="BJ275" s="41"/>
      <c r="BK275" s="41"/>
      <c r="BL275" s="41"/>
      <c r="BM275" s="41"/>
      <c r="BN275" s="41"/>
      <c r="BO275" s="41"/>
      <c r="BP275" s="41"/>
      <c r="BQ275" s="41"/>
    </row>
    <row r="276" spans="1:69" ht="15.75">
      <c r="A276" s="41"/>
      <c r="B276" s="41"/>
      <c r="C276" s="51"/>
      <c r="D276" s="52"/>
      <c r="E276" s="52"/>
      <c r="F276" s="52"/>
      <c r="G276" s="52"/>
      <c r="H276" s="52"/>
      <c r="I276" s="52"/>
      <c r="J276" s="52"/>
      <c r="K276" s="52"/>
      <c r="L276" s="52"/>
      <c r="M276" s="52"/>
      <c r="N276" s="45"/>
      <c r="O276" s="52"/>
      <c r="P276" s="52"/>
      <c r="Q276" s="52"/>
      <c r="R276" s="52"/>
      <c r="S276" s="52"/>
      <c r="T276" s="52"/>
      <c r="U276" s="52"/>
      <c r="V276" s="52"/>
      <c r="W276" s="52"/>
      <c r="X276" s="52"/>
      <c r="Y276" s="52"/>
      <c r="Z276" s="52"/>
      <c r="AA276" s="52"/>
      <c r="AB276" s="52"/>
      <c r="AC276" s="52"/>
      <c r="AD276" s="52"/>
      <c r="AE276" s="52"/>
      <c r="AF276" s="52"/>
      <c r="AG276" s="52"/>
      <c r="AH276" s="52"/>
      <c r="AI276" s="52"/>
      <c r="AJ276" s="52"/>
      <c r="AK276" s="52"/>
      <c r="AL276" s="52"/>
      <c r="AM276" s="52"/>
      <c r="AN276" s="52"/>
      <c r="AO276" s="52"/>
      <c r="AP276" s="52"/>
      <c r="AQ276" s="52"/>
      <c r="AR276" s="52"/>
      <c r="AS276" s="52"/>
      <c r="AT276" s="41"/>
      <c r="AU276" s="41"/>
      <c r="AV276" s="41"/>
      <c r="AW276" s="41"/>
      <c r="AX276" s="41"/>
      <c r="AY276" s="41"/>
      <c r="AZ276" s="41"/>
      <c r="BA276" s="41"/>
      <c r="BB276" s="41"/>
      <c r="BC276" s="41"/>
      <c r="BD276" s="41"/>
      <c r="BE276" s="41"/>
      <c r="BF276" s="41"/>
      <c r="BG276" s="41"/>
      <c r="BH276" s="41"/>
      <c r="BI276" s="41"/>
      <c r="BJ276" s="41"/>
      <c r="BK276" s="53"/>
      <c r="BL276" s="53"/>
      <c r="BM276" s="53"/>
      <c r="BN276" s="53"/>
      <c r="BO276" s="288" t="s">
        <v>51</v>
      </c>
      <c r="BP276" s="41"/>
      <c r="BQ276" s="41"/>
    </row>
    <row r="277" spans="1:69" ht="16.5">
      <c r="A277" s="41"/>
      <c r="B277" s="284" t="s">
        <v>115</v>
      </c>
      <c r="C277" s="297" t="s">
        <v>52</v>
      </c>
      <c r="D277" s="285">
        <f>0.8*(-O274+SQRT(O274^2-4*O273*O275))/2/O273</f>
        <v>32.51169173399456</v>
      </c>
      <c r="E277" s="286">
        <f t="shared" ref="E277:AQ277" si="204">D277+$F275</f>
        <v>49.495259593901402</v>
      </c>
      <c r="F277" s="286">
        <f t="shared" si="204"/>
        <v>66.478827453808236</v>
      </c>
      <c r="G277" s="286">
        <f t="shared" si="204"/>
        <v>83.462395313715078</v>
      </c>
      <c r="H277" s="286">
        <f t="shared" si="204"/>
        <v>100.44596317362192</v>
      </c>
      <c r="I277" s="286">
        <f t="shared" si="204"/>
        <v>117.42953103352876</v>
      </c>
      <c r="J277" s="286">
        <f t="shared" si="204"/>
        <v>134.4130988934356</v>
      </c>
      <c r="K277" s="286">
        <f t="shared" si="204"/>
        <v>151.39666675334246</v>
      </c>
      <c r="L277" s="286">
        <f t="shared" si="204"/>
        <v>168.38023461324929</v>
      </c>
      <c r="M277" s="286">
        <f t="shared" si="204"/>
        <v>185.36380247315611</v>
      </c>
      <c r="N277" s="286">
        <f t="shared" si="204"/>
        <v>202.34737033306294</v>
      </c>
      <c r="O277" s="286">
        <f t="shared" si="204"/>
        <v>219.33093819296977</v>
      </c>
      <c r="P277" s="286">
        <f t="shared" si="204"/>
        <v>236.3145060528766</v>
      </c>
      <c r="Q277" s="286">
        <f t="shared" si="204"/>
        <v>253.29807391278342</v>
      </c>
      <c r="R277" s="286">
        <f t="shared" si="204"/>
        <v>270.28164177269025</v>
      </c>
      <c r="S277" s="286">
        <f t="shared" si="204"/>
        <v>287.26520963259708</v>
      </c>
      <c r="T277" s="286">
        <f t="shared" si="204"/>
        <v>304.2487774925039</v>
      </c>
      <c r="U277" s="286">
        <f t="shared" si="204"/>
        <v>321.23234535241073</v>
      </c>
      <c r="V277" s="286">
        <f t="shared" si="204"/>
        <v>338.21591321231756</v>
      </c>
      <c r="W277" s="286">
        <f t="shared" si="204"/>
        <v>355.19948107222439</v>
      </c>
      <c r="X277" s="286">
        <f t="shared" si="204"/>
        <v>372.18304893213121</v>
      </c>
      <c r="Y277" s="286">
        <f t="shared" si="204"/>
        <v>389.16661679203804</v>
      </c>
      <c r="Z277" s="286">
        <f t="shared" si="204"/>
        <v>406.15018465194487</v>
      </c>
      <c r="AA277" s="286">
        <f t="shared" si="204"/>
        <v>423.1337525118517</v>
      </c>
      <c r="AB277" s="286">
        <f t="shared" si="204"/>
        <v>440.11732037175852</v>
      </c>
      <c r="AC277" s="286">
        <f t="shared" si="204"/>
        <v>457.10088823166535</v>
      </c>
      <c r="AD277" s="286">
        <f t="shared" si="204"/>
        <v>474.08445609157218</v>
      </c>
      <c r="AE277" s="286">
        <f t="shared" si="204"/>
        <v>491.06802395147901</v>
      </c>
      <c r="AF277" s="286">
        <f t="shared" si="204"/>
        <v>508.05159181138583</v>
      </c>
      <c r="AG277" s="286">
        <f t="shared" si="204"/>
        <v>525.03515967129272</v>
      </c>
      <c r="AH277" s="286">
        <f t="shared" si="204"/>
        <v>542.0187275311996</v>
      </c>
      <c r="AI277" s="286">
        <f t="shared" si="204"/>
        <v>559.00229539110649</v>
      </c>
      <c r="AJ277" s="286">
        <f t="shared" si="204"/>
        <v>575.98586325101337</v>
      </c>
      <c r="AK277" s="286">
        <f t="shared" si="204"/>
        <v>592.96943111092025</v>
      </c>
      <c r="AL277" s="286">
        <f t="shared" si="204"/>
        <v>609.95299897082714</v>
      </c>
      <c r="AM277" s="286">
        <f t="shared" si="204"/>
        <v>626.93656683073402</v>
      </c>
      <c r="AN277" s="286">
        <f t="shared" si="204"/>
        <v>643.92013469064091</v>
      </c>
      <c r="AO277" s="286">
        <f t="shared" si="204"/>
        <v>660.90370255054779</v>
      </c>
      <c r="AP277" s="286">
        <f t="shared" si="204"/>
        <v>677.88727041045468</v>
      </c>
      <c r="AQ277" s="286">
        <f t="shared" si="204"/>
        <v>694.87083827036156</v>
      </c>
      <c r="AR277" s="62">
        <f>200000*F$8/C$10*F274/(1+200000*F$8/C$10)</f>
        <v>711.85440613026822</v>
      </c>
      <c r="AS277" s="286">
        <f t="shared" ref="AS277:BJ277" si="205">AR277+$AS275</f>
        <v>753.33575317604357</v>
      </c>
      <c r="AT277" s="286">
        <f t="shared" si="205"/>
        <v>794.81710022181892</v>
      </c>
      <c r="AU277" s="286">
        <f t="shared" si="205"/>
        <v>836.29844726759427</v>
      </c>
      <c r="AV277" s="286">
        <f t="shared" si="205"/>
        <v>877.77979431336962</v>
      </c>
      <c r="AW277" s="286">
        <f t="shared" si="205"/>
        <v>919.26114135914497</v>
      </c>
      <c r="AX277" s="286">
        <f t="shared" si="205"/>
        <v>960.74248840492032</v>
      </c>
      <c r="AY277" s="286">
        <f t="shared" si="205"/>
        <v>1002.2238354506957</v>
      </c>
      <c r="AZ277" s="286">
        <f t="shared" si="205"/>
        <v>1043.705182496471</v>
      </c>
      <c r="BA277" s="286">
        <f t="shared" si="205"/>
        <v>1085.1865295422465</v>
      </c>
      <c r="BB277" s="286">
        <f t="shared" si="205"/>
        <v>1126.667876588022</v>
      </c>
      <c r="BC277" s="286">
        <f t="shared" si="205"/>
        <v>1168.1492236337974</v>
      </c>
      <c r="BD277" s="286">
        <f t="shared" si="205"/>
        <v>1209.6305706795729</v>
      </c>
      <c r="BE277" s="286">
        <f t="shared" si="205"/>
        <v>1251.1119177253483</v>
      </c>
      <c r="BF277" s="286">
        <f t="shared" si="205"/>
        <v>1292.5932647711238</v>
      </c>
      <c r="BG277" s="286">
        <f t="shared" si="205"/>
        <v>1334.0746118168993</v>
      </c>
      <c r="BH277" s="286">
        <f t="shared" si="205"/>
        <v>1375.5559588626747</v>
      </c>
      <c r="BI277" s="286">
        <f t="shared" si="205"/>
        <v>1417.0373059084502</v>
      </c>
      <c r="BJ277" s="286">
        <f t="shared" si="205"/>
        <v>1458.5186529542257</v>
      </c>
      <c r="BK277" s="286">
        <f>BK17</f>
        <v>1500</v>
      </c>
      <c r="BL277" s="286">
        <f>BL17</f>
        <v>2200</v>
      </c>
      <c r="BM277" s="286">
        <f>BM17</f>
        <v>2900</v>
      </c>
      <c r="BN277" s="286">
        <f>BN17</f>
        <v>3600</v>
      </c>
      <c r="BO277" s="287"/>
      <c r="BP277" s="41"/>
      <c r="BQ277" s="41"/>
    </row>
    <row r="278" spans="1:69" ht="16.5">
      <c r="A278" s="41"/>
      <c r="B278" s="290" t="s">
        <v>53</v>
      </c>
      <c r="C278" s="298" t="s">
        <v>54</v>
      </c>
      <c r="D278" s="3">
        <f>MIN($C$8*D277,MAIN!$C$13)*MAIN!$C$14*$C$9</f>
        <v>176863.6030329304</v>
      </c>
      <c r="E278" s="304">
        <f>MIN($C$8*E277,MAIN!$C$13)*MAIN!$C$14*$C$9</f>
        <v>269254.21219082363</v>
      </c>
      <c r="F278" s="304">
        <f>MIN($C$8*F277,MAIN!$C$13)*MAIN!$C$14*$C$9</f>
        <v>361644.82134871685</v>
      </c>
      <c r="G278" s="304">
        <f>MIN($C$8*G277,MAIN!$C$13)*MAIN!$C$14*$C$9</f>
        <v>454035.43050661002</v>
      </c>
      <c r="H278" s="304">
        <f>MIN($C$8*H277,MAIN!$C$13)*MAIN!$C$14*$C$9</f>
        <v>546426.0396645033</v>
      </c>
      <c r="I278" s="304">
        <f>MIN($C$8*I277,MAIN!$C$13)*MAIN!$C$14*$C$9</f>
        <v>638816.64882239653</v>
      </c>
      <c r="J278" s="304">
        <f>MIN($C$8*J277,MAIN!$C$13)*MAIN!$C$14*$C$9</f>
        <v>731207.25798028975</v>
      </c>
      <c r="K278" s="304">
        <f>MIN($C$8*K277,MAIN!$C$13)*MAIN!$C$14*$C$9</f>
        <v>823597.86713818309</v>
      </c>
      <c r="L278" s="304">
        <f>MIN($C$8*L277,MAIN!$C$13)*MAIN!$C$14*$C$9</f>
        <v>915988.4762960762</v>
      </c>
      <c r="M278" s="304">
        <f>MIN($C$8*M277,MAIN!$C$13)*MAIN!$C$14*$C$9</f>
        <v>1008379.0854539694</v>
      </c>
      <c r="N278" s="304">
        <f>MIN($C$8*N277,MAIN!$C$13)*MAIN!$C$14*$C$9</f>
        <v>1100769.6946118625</v>
      </c>
      <c r="O278" s="304">
        <f>MIN($C$8*O277,MAIN!$C$13)*MAIN!$C$14*$C$9</f>
        <v>1193160.3037697556</v>
      </c>
      <c r="P278" s="304">
        <f>MIN($C$8*P277,MAIN!$C$13)*MAIN!$C$14*$C$9</f>
        <v>1285550.9129276488</v>
      </c>
      <c r="Q278" s="304">
        <f>MIN($C$8*Q277,MAIN!$C$13)*MAIN!$C$14*$C$9</f>
        <v>1377941.5220855419</v>
      </c>
      <c r="R278" s="304">
        <f>MIN($C$8*R277,MAIN!$C$13)*MAIN!$C$14*$C$9</f>
        <v>1470332.1312434352</v>
      </c>
      <c r="S278" s="304">
        <f>MIN($C$8*S277,MAIN!$C$13)*MAIN!$C$14*$C$9</f>
        <v>1562722.7404013283</v>
      </c>
      <c r="T278" s="304">
        <f>MIN($C$8*T277,MAIN!$C$13)*MAIN!$C$14*$C$9</f>
        <v>1655113.3495592214</v>
      </c>
      <c r="U278" s="304">
        <f>MIN($C$8*U277,MAIN!$C$13)*MAIN!$C$14*$C$9</f>
        <v>1747503.9587171145</v>
      </c>
      <c r="V278" s="304">
        <f>MIN($C$8*V277,MAIN!$C$13)*MAIN!$C$14*$C$9</f>
        <v>1839894.5678750079</v>
      </c>
      <c r="W278" s="304">
        <f>MIN($C$8*W277,MAIN!$C$13)*MAIN!$C$14*$C$9</f>
        <v>1932285.1770329007</v>
      </c>
      <c r="X278" s="304">
        <f>MIN($C$8*X277,MAIN!$C$13)*MAIN!$C$14*$C$9</f>
        <v>2024675.7861907941</v>
      </c>
      <c r="Y278" s="304">
        <f>MIN($C$8*Y277,MAIN!$C$13)*MAIN!$C$14*$C$9</f>
        <v>2117066.3953486872</v>
      </c>
      <c r="Z278" s="304">
        <f>MIN($C$8*Z277,MAIN!$C$13)*MAIN!$C$14*$C$9</f>
        <v>2209457.0045065801</v>
      </c>
      <c r="AA278" s="304">
        <f>MIN($C$8*AA277,MAIN!$C$13)*MAIN!$C$14*$C$9</f>
        <v>2301847.6136644734</v>
      </c>
      <c r="AB278" s="304">
        <f>MIN($C$8*AB277,MAIN!$C$13)*MAIN!$C$14*$C$9</f>
        <v>2394238.2228223667</v>
      </c>
      <c r="AC278" s="304">
        <f>MIN($C$8*AC277,MAIN!$C$13)*MAIN!$C$14*$C$9</f>
        <v>2486628.8319802596</v>
      </c>
      <c r="AD278" s="304">
        <f>MIN($C$8*AD277,MAIN!$C$13)*MAIN!$C$14*$C$9</f>
        <v>2579019.441138153</v>
      </c>
      <c r="AE278" s="304">
        <f>MIN($C$8*AE277,MAIN!$C$13)*MAIN!$C$14*$C$9</f>
        <v>2671410.0502960463</v>
      </c>
      <c r="AF278" s="304">
        <f>MIN($C$8*AF277,MAIN!$C$13)*MAIN!$C$14*$C$9</f>
        <v>2763800.6594539392</v>
      </c>
      <c r="AG278" s="304">
        <f>MIN($C$8*AG277,MAIN!$C$13)*MAIN!$C$14*$C$9</f>
        <v>2856191.2686118325</v>
      </c>
      <c r="AH278" s="304">
        <f>MIN($C$8*AH277,MAIN!$C$13)*MAIN!$C$14*$C$9</f>
        <v>2948581.8777697263</v>
      </c>
      <c r="AI278" s="304">
        <f>MIN($C$8*AI277,MAIN!$C$13)*MAIN!$C$14*$C$9</f>
        <v>3040972.4869276201</v>
      </c>
      <c r="AJ278" s="304">
        <f>MIN($C$8*AJ277,MAIN!$C$13)*MAIN!$C$14*$C$9</f>
        <v>3133363.096085513</v>
      </c>
      <c r="AK278" s="304">
        <f>MIN($C$8*AK277,MAIN!$C$13)*MAIN!$C$14*$C$9</f>
        <v>3225753.7052434064</v>
      </c>
      <c r="AL278" s="304">
        <f>MIN($C$8*AL277,MAIN!$C$13)*MAIN!$C$14*$C$9</f>
        <v>3318144.3144013002</v>
      </c>
      <c r="AM278" s="304">
        <f>MIN($C$8*AM277,MAIN!$C$13)*MAIN!$C$14*$C$9</f>
        <v>3410534.9235591935</v>
      </c>
      <c r="AN278" s="304">
        <f>MIN($C$8*AN277,MAIN!$C$13)*MAIN!$C$14*$C$9</f>
        <v>3502925.5327170873</v>
      </c>
      <c r="AO278" s="304">
        <f>MIN($C$8*AO277,MAIN!$C$13)*MAIN!$C$14*$C$9</f>
        <v>3595316.1418749802</v>
      </c>
      <c r="AP278" s="304">
        <f>MIN($C$8*AP277,MAIN!$C$13)*MAIN!$C$14*$C$9</f>
        <v>3687706.751032874</v>
      </c>
      <c r="AQ278" s="304">
        <f>MIN($C$8*AQ277,MAIN!$C$13)*MAIN!$C$14*$C$9</f>
        <v>3780097.3601907673</v>
      </c>
      <c r="AR278" s="56">
        <f>MIN($C$8*AR277,MAIN!$C$13)*MAIN!$C$14*$C$9</f>
        <v>3872487.9693486597</v>
      </c>
      <c r="AS278" s="304">
        <f>MIN($C$8*AS277,MAIN!$C$13)*MAIN!$C$14*$C$9</f>
        <v>4098146.4972776775</v>
      </c>
      <c r="AT278" s="304">
        <f>MIN($C$8*AT277,MAIN!$C$13)*MAIN!$C$14*$C$9</f>
        <v>4323805.0252066962</v>
      </c>
      <c r="AU278" s="304">
        <f>MIN($C$8*AU277,MAIN!$C$13)*MAIN!$C$14*$C$9</f>
        <v>4549463.5531357126</v>
      </c>
      <c r="AV278" s="304">
        <f>MIN($C$8*AV277,MAIN!$C$13)*MAIN!$C$14*$C$9</f>
        <v>4775122.0810647318</v>
      </c>
      <c r="AW278" s="304">
        <f>MIN($C$8*AW277,MAIN!$C$13)*MAIN!$C$14*$C$9</f>
        <v>5000780.6089937491</v>
      </c>
      <c r="AX278" s="304">
        <f>MIN($C$8*AX277,MAIN!$C$13)*MAIN!$C$14*$C$9</f>
        <v>5226439.1369227674</v>
      </c>
      <c r="AY278" s="304">
        <f>MIN($C$8*AY277,MAIN!$C$13)*MAIN!$C$14*$C$9</f>
        <v>5452097.6648517856</v>
      </c>
      <c r="AZ278" s="304">
        <f>MIN($C$8*AZ277,MAIN!$C$13)*MAIN!$C$14*$C$9</f>
        <v>5677756.192780803</v>
      </c>
      <c r="BA278" s="304">
        <f>MIN($C$8*BA277,MAIN!$C$13)*MAIN!$C$14*$C$9</f>
        <v>5903414.7207098212</v>
      </c>
      <c r="BB278" s="304">
        <f>MIN($C$8*BB277,MAIN!$C$13)*MAIN!$C$14*$C$9</f>
        <v>6129073.2486388404</v>
      </c>
      <c r="BC278" s="304">
        <f>MIN($C$8*BC277,MAIN!$C$13)*MAIN!$C$14*$C$9</f>
        <v>6354731.7765678596</v>
      </c>
      <c r="BD278" s="304">
        <f>MIN($C$8*BD277,MAIN!$C$13)*MAIN!$C$14*$C$9</f>
        <v>6580390.3044968769</v>
      </c>
      <c r="BE278" s="304">
        <f>MIN($C$8*BE277,MAIN!$C$13)*MAIN!$C$14*$C$9</f>
        <v>6806048.8324258951</v>
      </c>
      <c r="BF278" s="304">
        <f>MIN($C$8*BF277,MAIN!$C$13)*MAIN!$C$14*$C$9</f>
        <v>7031707.3603549143</v>
      </c>
      <c r="BG278" s="304">
        <f>MIN($C$8*BG277,MAIN!$C$13)*MAIN!$C$14*$C$9</f>
        <v>7257365.8882839335</v>
      </c>
      <c r="BH278" s="304">
        <f>MIN($C$8*BH277,MAIN!$C$13)*MAIN!$C$14*$C$9</f>
        <v>7483024.4162129508</v>
      </c>
      <c r="BI278" s="304">
        <f>MIN($C$8*BI277,MAIN!$C$13)*MAIN!$C$14*$C$9</f>
        <v>7708682.94414197</v>
      </c>
      <c r="BJ278" s="304">
        <f>MIN($C$8*BJ277,MAIN!$C$13)*MAIN!$C$14*$C$9</f>
        <v>7934341.4720709892</v>
      </c>
      <c r="BK278" s="304">
        <f>MIN($C$8*BK277,MAIN!$C$13)*MAIN!$C$14*$C$9</f>
        <v>8160000</v>
      </c>
      <c r="BL278" s="304">
        <f>MIN($C$8*BL277,MAIN!$C$13)*MAIN!$C$14*$C$9</f>
        <v>8160000</v>
      </c>
      <c r="BM278" s="304">
        <f>MIN($C$8*BM277,MAIN!$C$13)*MAIN!$C$14*$C$9</f>
        <v>8160000</v>
      </c>
      <c r="BN278" s="304">
        <f>MIN($C$8*BN277,MAIN!$C$13)*MAIN!$C$14*$C$9</f>
        <v>8160000</v>
      </c>
      <c r="BO278" s="3">
        <f>MAIN!$C$13*MAIN!$C$14*$C$9</f>
        <v>8160000</v>
      </c>
      <c r="BP278" s="41"/>
      <c r="BQ278" s="41"/>
    </row>
    <row r="279" spans="1:69" ht="16.5">
      <c r="A279" s="41"/>
      <c r="B279" s="4">
        <v>2</v>
      </c>
      <c r="C279" s="299" t="s">
        <v>55</v>
      </c>
      <c r="D279" s="5">
        <f>IF(C274+L274&gt;=F274,0,C274+L274)</f>
        <v>415.33333333333331</v>
      </c>
      <c r="E279" s="6"/>
      <c r="F279" s="6"/>
      <c r="G279" s="6"/>
      <c r="H279" s="6"/>
      <c r="I279" s="6"/>
      <c r="J279" s="6"/>
      <c r="K279" s="6"/>
      <c r="L279" s="6"/>
      <c r="M279" s="6"/>
      <c r="N279" s="6"/>
      <c r="O279" s="6"/>
      <c r="P279" s="6"/>
      <c r="Q279" s="6"/>
      <c r="R279" s="6"/>
      <c r="S279" s="6"/>
      <c r="T279" s="6"/>
      <c r="U279" s="6"/>
      <c r="V279" s="6"/>
      <c r="W279" s="6"/>
      <c r="X279" s="6"/>
      <c r="Y279" s="6"/>
      <c r="Z279" s="6"/>
      <c r="AA279" s="6"/>
      <c r="AB279" s="6"/>
      <c r="AC279" s="6"/>
      <c r="AD279" s="6"/>
      <c r="AE279" s="6"/>
      <c r="AF279" s="6"/>
      <c r="AG279" s="6"/>
      <c r="AH279" s="6"/>
      <c r="AI279" s="6"/>
      <c r="AJ279" s="6"/>
      <c r="AK279" s="6"/>
      <c r="AL279" s="6"/>
      <c r="AM279" s="6"/>
      <c r="AN279" s="6"/>
      <c r="AO279" s="6"/>
      <c r="AP279" s="6"/>
      <c r="AQ279" s="6"/>
      <c r="AR279" s="57"/>
      <c r="AS279" s="6"/>
      <c r="AT279" s="6"/>
      <c r="AU279" s="6"/>
      <c r="AV279" s="6"/>
      <c r="AW279" s="6"/>
      <c r="AX279" s="6"/>
      <c r="AY279" s="6"/>
      <c r="AZ279" s="6"/>
      <c r="BA279" s="6"/>
      <c r="BB279" s="6"/>
      <c r="BC279" s="6"/>
      <c r="BD279" s="6"/>
      <c r="BE279" s="6"/>
      <c r="BF279" s="6"/>
      <c r="BG279" s="6"/>
      <c r="BH279" s="6"/>
      <c r="BI279" s="6"/>
      <c r="BJ279" s="6"/>
      <c r="BK279" s="6"/>
      <c r="BL279" s="6"/>
      <c r="BM279" s="6"/>
      <c r="BN279" s="6"/>
      <c r="BO279" s="7"/>
      <c r="BP279" s="43"/>
      <c r="BQ279" s="41"/>
    </row>
    <row r="280" spans="1:69" ht="16.5">
      <c r="A280" s="41"/>
      <c r="B280" s="4">
        <f t="shared" ref="B280:B286" si="206">1+B279</f>
        <v>3</v>
      </c>
      <c r="C280" s="299" t="s">
        <v>55</v>
      </c>
      <c r="D280" s="5">
        <f>IF(C274+B279*L274&gt;=F274,0,C274+B279*L274)</f>
        <v>784.66666666666663</v>
      </c>
      <c r="E280" s="6"/>
      <c r="F280" s="6"/>
      <c r="G280" s="6"/>
      <c r="H280" s="6"/>
      <c r="I280" s="6"/>
      <c r="J280" s="6"/>
      <c r="K280" s="6"/>
      <c r="L280" s="6"/>
      <c r="M280" s="6"/>
      <c r="N280" s="6"/>
      <c r="O280" s="6"/>
      <c r="P280" s="6"/>
      <c r="Q280" s="6"/>
      <c r="R280" s="6"/>
      <c r="S280" s="6"/>
      <c r="T280" s="6"/>
      <c r="U280" s="6"/>
      <c r="V280" s="6"/>
      <c r="W280" s="6"/>
      <c r="X280" s="6"/>
      <c r="Y280" s="6"/>
      <c r="Z280" s="6"/>
      <c r="AA280" s="6"/>
      <c r="AB280" s="6"/>
      <c r="AC280" s="6"/>
      <c r="AD280" s="6"/>
      <c r="AE280" s="6"/>
      <c r="AF280" s="6"/>
      <c r="AG280" s="6"/>
      <c r="AH280" s="6"/>
      <c r="AI280" s="6"/>
      <c r="AJ280" s="6"/>
      <c r="AK280" s="6"/>
      <c r="AL280" s="6"/>
      <c r="AM280" s="6"/>
      <c r="AN280" s="6"/>
      <c r="AO280" s="6"/>
      <c r="AP280" s="6"/>
      <c r="AQ280" s="6"/>
      <c r="AR280" s="57"/>
      <c r="AS280" s="6"/>
      <c r="AT280" s="6"/>
      <c r="AU280" s="6"/>
      <c r="AV280" s="6"/>
      <c r="AW280" s="6"/>
      <c r="AX280" s="6"/>
      <c r="AY280" s="6"/>
      <c r="AZ280" s="6"/>
      <c r="BA280" s="6"/>
      <c r="BB280" s="6"/>
      <c r="BC280" s="6"/>
      <c r="BD280" s="6"/>
      <c r="BE280" s="6"/>
      <c r="BF280" s="6"/>
      <c r="BG280" s="6"/>
      <c r="BH280" s="6"/>
      <c r="BI280" s="6"/>
      <c r="BJ280" s="6"/>
      <c r="BK280" s="6"/>
      <c r="BL280" s="6"/>
      <c r="BM280" s="6"/>
      <c r="BN280" s="6"/>
      <c r="BO280" s="7"/>
      <c r="BP280" s="43"/>
      <c r="BQ280" s="41"/>
    </row>
    <row r="281" spans="1:69" ht="16.5">
      <c r="A281" s="41"/>
      <c r="B281" s="4">
        <f t="shared" si="206"/>
        <v>4</v>
      </c>
      <c r="C281" s="299" t="s">
        <v>55</v>
      </c>
      <c r="D281" s="5">
        <f>IF(C274+B280*L274&gt;=F274,0,C274+B280*L274)</f>
        <v>0</v>
      </c>
      <c r="E281" s="6"/>
      <c r="F281" s="6"/>
      <c r="G281" s="6"/>
      <c r="H281" s="6"/>
      <c r="I281" s="6"/>
      <c r="J281" s="6"/>
      <c r="K281" s="6"/>
      <c r="L281" s="6"/>
      <c r="M281" s="6"/>
      <c r="N281" s="6"/>
      <c r="O281" s="6"/>
      <c r="P281" s="6"/>
      <c r="Q281" s="6"/>
      <c r="R281" s="6"/>
      <c r="S281" s="6"/>
      <c r="T281" s="6"/>
      <c r="U281" s="6"/>
      <c r="V281" s="6"/>
      <c r="W281" s="6"/>
      <c r="X281" s="6"/>
      <c r="Y281" s="6"/>
      <c r="Z281" s="6"/>
      <c r="AA281" s="6"/>
      <c r="AB281" s="6"/>
      <c r="AC281" s="6"/>
      <c r="AD281" s="6"/>
      <c r="AE281" s="6"/>
      <c r="AF281" s="6"/>
      <c r="AG281" s="6"/>
      <c r="AH281" s="6"/>
      <c r="AI281" s="6"/>
      <c r="AJ281" s="6"/>
      <c r="AK281" s="6"/>
      <c r="AL281" s="6"/>
      <c r="AM281" s="6"/>
      <c r="AN281" s="6"/>
      <c r="AO281" s="6"/>
      <c r="AP281" s="6"/>
      <c r="AQ281" s="6"/>
      <c r="AR281" s="57"/>
      <c r="AS281" s="6"/>
      <c r="AT281" s="6"/>
      <c r="AU281" s="6"/>
      <c r="AV281" s="6"/>
      <c r="AW281" s="6"/>
      <c r="AX281" s="6"/>
      <c r="AY281" s="6"/>
      <c r="AZ281" s="6"/>
      <c r="BA281" s="6"/>
      <c r="BB281" s="6"/>
      <c r="BC281" s="6"/>
      <c r="BD281" s="6"/>
      <c r="BE281" s="6"/>
      <c r="BF281" s="6"/>
      <c r="BG281" s="6"/>
      <c r="BH281" s="6"/>
      <c r="BI281" s="6"/>
      <c r="BJ281" s="6"/>
      <c r="BK281" s="6"/>
      <c r="BL281" s="6"/>
      <c r="BM281" s="6"/>
      <c r="BN281" s="6"/>
      <c r="BO281" s="7"/>
      <c r="BP281" s="43"/>
      <c r="BQ281" s="41"/>
    </row>
    <row r="282" spans="1:69" ht="16.5">
      <c r="A282" s="41"/>
      <c r="B282" s="4">
        <f t="shared" si="206"/>
        <v>5</v>
      </c>
      <c r="C282" s="299" t="s">
        <v>55</v>
      </c>
      <c r="D282" s="5">
        <f>IF(C274+B281*L274&gt;=F274,0,C274+B281*L274)</f>
        <v>0</v>
      </c>
      <c r="E282" s="6"/>
      <c r="F282" s="6"/>
      <c r="G282" s="6"/>
      <c r="H282" s="6"/>
      <c r="I282" s="6"/>
      <c r="J282" s="6"/>
      <c r="K282" s="6"/>
      <c r="L282" s="6"/>
      <c r="M282" s="6"/>
      <c r="N282" s="6"/>
      <c r="O282" s="6"/>
      <c r="P282" s="6"/>
      <c r="Q282" s="6"/>
      <c r="R282" s="6"/>
      <c r="S282" s="6"/>
      <c r="T282" s="6"/>
      <c r="U282" s="6"/>
      <c r="V282" s="6"/>
      <c r="W282" s="6"/>
      <c r="X282" s="6"/>
      <c r="Y282" s="6"/>
      <c r="Z282" s="6"/>
      <c r="AA282" s="6"/>
      <c r="AB282" s="6"/>
      <c r="AC282" s="6"/>
      <c r="AD282" s="6"/>
      <c r="AE282" s="6"/>
      <c r="AF282" s="6"/>
      <c r="AG282" s="6"/>
      <c r="AH282" s="6"/>
      <c r="AI282" s="6"/>
      <c r="AJ282" s="6"/>
      <c r="AK282" s="6"/>
      <c r="AL282" s="6"/>
      <c r="AM282" s="6"/>
      <c r="AN282" s="6"/>
      <c r="AO282" s="6"/>
      <c r="AP282" s="6"/>
      <c r="AQ282" s="6"/>
      <c r="AR282" s="57"/>
      <c r="AS282" s="6"/>
      <c r="AT282" s="6"/>
      <c r="AU282" s="6"/>
      <c r="AV282" s="6"/>
      <c r="AW282" s="6"/>
      <c r="AX282" s="6"/>
      <c r="AY282" s="6"/>
      <c r="AZ282" s="6"/>
      <c r="BA282" s="6"/>
      <c r="BB282" s="6"/>
      <c r="BC282" s="6"/>
      <c r="BD282" s="6"/>
      <c r="BE282" s="6"/>
      <c r="BF282" s="6"/>
      <c r="BG282" s="6"/>
      <c r="BH282" s="6"/>
      <c r="BI282" s="6"/>
      <c r="BJ282" s="6"/>
      <c r="BK282" s="6"/>
      <c r="BL282" s="6"/>
      <c r="BM282" s="6"/>
      <c r="BN282" s="6"/>
      <c r="BO282" s="7"/>
      <c r="BP282" s="43"/>
      <c r="BQ282" s="41"/>
    </row>
    <row r="283" spans="1:69" ht="16.5">
      <c r="A283" s="41"/>
      <c r="B283" s="4">
        <f t="shared" si="206"/>
        <v>6</v>
      </c>
      <c r="C283" s="299" t="s">
        <v>55</v>
      </c>
      <c r="D283" s="5">
        <f>IF(C274+B282*L274&gt;=F274,0,C274+B282*L274)</f>
        <v>0</v>
      </c>
      <c r="E283" s="6"/>
      <c r="F283" s="6"/>
      <c r="G283" s="6"/>
      <c r="H283" s="6"/>
      <c r="I283" s="6"/>
      <c r="J283" s="6"/>
      <c r="K283" s="6"/>
      <c r="L283" s="6"/>
      <c r="M283" s="6"/>
      <c r="N283" s="6"/>
      <c r="O283" s="6"/>
      <c r="P283" s="6"/>
      <c r="Q283" s="6"/>
      <c r="R283" s="6"/>
      <c r="S283" s="6"/>
      <c r="T283" s="6"/>
      <c r="U283" s="6"/>
      <c r="V283" s="6"/>
      <c r="W283" s="6"/>
      <c r="X283" s="6"/>
      <c r="Y283" s="6"/>
      <c r="Z283" s="6"/>
      <c r="AA283" s="6"/>
      <c r="AB283" s="6"/>
      <c r="AC283" s="6"/>
      <c r="AD283" s="6"/>
      <c r="AE283" s="6"/>
      <c r="AF283" s="6"/>
      <c r="AG283" s="6"/>
      <c r="AH283" s="6"/>
      <c r="AI283" s="6"/>
      <c r="AJ283" s="6"/>
      <c r="AK283" s="6"/>
      <c r="AL283" s="6"/>
      <c r="AM283" s="6"/>
      <c r="AN283" s="6"/>
      <c r="AO283" s="6"/>
      <c r="AP283" s="6"/>
      <c r="AQ283" s="6"/>
      <c r="AR283" s="57"/>
      <c r="AS283" s="6"/>
      <c r="AT283" s="6"/>
      <c r="AU283" s="6"/>
      <c r="AV283" s="6"/>
      <c r="AW283" s="6"/>
      <c r="AX283" s="6"/>
      <c r="AY283" s="6"/>
      <c r="AZ283" s="6"/>
      <c r="BA283" s="6"/>
      <c r="BB283" s="6"/>
      <c r="BC283" s="6"/>
      <c r="BD283" s="6"/>
      <c r="BE283" s="6"/>
      <c r="BF283" s="6"/>
      <c r="BG283" s="6"/>
      <c r="BH283" s="6"/>
      <c r="BI283" s="6"/>
      <c r="BJ283" s="6"/>
      <c r="BK283" s="6"/>
      <c r="BL283" s="6"/>
      <c r="BM283" s="6"/>
      <c r="BN283" s="6"/>
      <c r="BO283" s="7"/>
      <c r="BP283" s="43"/>
      <c r="BQ283" s="41"/>
    </row>
    <row r="284" spans="1:69" ht="16.5">
      <c r="A284" s="41"/>
      <c r="B284" s="4">
        <f t="shared" si="206"/>
        <v>7</v>
      </c>
      <c r="C284" s="299" t="s">
        <v>55</v>
      </c>
      <c r="D284" s="5">
        <f>IF(C274+B283*L274&gt;=F274,0,C274+B283*L274)</f>
        <v>0</v>
      </c>
      <c r="E284" s="6"/>
      <c r="F284" s="6"/>
      <c r="G284" s="6"/>
      <c r="H284" s="6"/>
      <c r="I284" s="6"/>
      <c r="J284" s="6"/>
      <c r="K284" s="6"/>
      <c r="L284" s="6"/>
      <c r="M284" s="6"/>
      <c r="N284" s="6"/>
      <c r="O284" s="6"/>
      <c r="P284" s="6"/>
      <c r="Q284" s="6"/>
      <c r="R284" s="6"/>
      <c r="S284" s="6"/>
      <c r="T284" s="6"/>
      <c r="U284" s="6"/>
      <c r="V284" s="6"/>
      <c r="W284" s="6"/>
      <c r="X284" s="6"/>
      <c r="Y284" s="6"/>
      <c r="Z284" s="6"/>
      <c r="AA284" s="6"/>
      <c r="AB284" s="6"/>
      <c r="AC284" s="6"/>
      <c r="AD284" s="6"/>
      <c r="AE284" s="6"/>
      <c r="AF284" s="6"/>
      <c r="AG284" s="6"/>
      <c r="AH284" s="6"/>
      <c r="AI284" s="6"/>
      <c r="AJ284" s="6"/>
      <c r="AK284" s="6"/>
      <c r="AL284" s="6"/>
      <c r="AM284" s="6"/>
      <c r="AN284" s="6"/>
      <c r="AO284" s="6"/>
      <c r="AP284" s="6"/>
      <c r="AQ284" s="6"/>
      <c r="AR284" s="57"/>
      <c r="AS284" s="6"/>
      <c r="AT284" s="6"/>
      <c r="AU284" s="6"/>
      <c r="AV284" s="6"/>
      <c r="AW284" s="6"/>
      <c r="AX284" s="6"/>
      <c r="AY284" s="6"/>
      <c r="AZ284" s="6"/>
      <c r="BA284" s="6"/>
      <c r="BB284" s="6"/>
      <c r="BC284" s="6"/>
      <c r="BD284" s="6"/>
      <c r="BE284" s="6"/>
      <c r="BF284" s="6"/>
      <c r="BG284" s="6"/>
      <c r="BH284" s="6"/>
      <c r="BI284" s="6"/>
      <c r="BJ284" s="6"/>
      <c r="BK284" s="6"/>
      <c r="BL284" s="6"/>
      <c r="BM284" s="6"/>
      <c r="BN284" s="6"/>
      <c r="BO284" s="7"/>
      <c r="BP284" s="43"/>
      <c r="BQ284" s="41"/>
    </row>
    <row r="285" spans="1:69" ht="16.5">
      <c r="A285" s="41"/>
      <c r="B285" s="4">
        <f t="shared" si="206"/>
        <v>8</v>
      </c>
      <c r="C285" s="299" t="s">
        <v>55</v>
      </c>
      <c r="D285" s="5">
        <f>IF(C274+B284*L274&gt;=F274,0,C274+B284*L274)</f>
        <v>0</v>
      </c>
      <c r="E285" s="6"/>
      <c r="F285" s="6"/>
      <c r="G285" s="6"/>
      <c r="H285" s="6"/>
      <c r="I285" s="6"/>
      <c r="J285" s="6"/>
      <c r="K285" s="6"/>
      <c r="L285" s="6"/>
      <c r="M285" s="6"/>
      <c r="N285" s="6"/>
      <c r="O285" s="6"/>
      <c r="P285" s="6"/>
      <c r="Q285" s="6"/>
      <c r="R285" s="6"/>
      <c r="S285" s="6"/>
      <c r="T285" s="6"/>
      <c r="U285" s="6"/>
      <c r="V285" s="6"/>
      <c r="W285" s="6"/>
      <c r="X285" s="6"/>
      <c r="Y285" s="6"/>
      <c r="Z285" s="6"/>
      <c r="AA285" s="6"/>
      <c r="AB285" s="6"/>
      <c r="AC285" s="6"/>
      <c r="AD285" s="6"/>
      <c r="AE285" s="6"/>
      <c r="AF285" s="6"/>
      <c r="AG285" s="6"/>
      <c r="AH285" s="6"/>
      <c r="AI285" s="6"/>
      <c r="AJ285" s="6"/>
      <c r="AK285" s="6"/>
      <c r="AL285" s="6"/>
      <c r="AM285" s="6"/>
      <c r="AN285" s="6"/>
      <c r="AO285" s="6"/>
      <c r="AP285" s="6"/>
      <c r="AQ285" s="6"/>
      <c r="AR285" s="57"/>
      <c r="AS285" s="6"/>
      <c r="AT285" s="6"/>
      <c r="AU285" s="6"/>
      <c r="AV285" s="6"/>
      <c r="AW285" s="6"/>
      <c r="AX285" s="6"/>
      <c r="AY285" s="6"/>
      <c r="AZ285" s="6"/>
      <c r="BA285" s="6"/>
      <c r="BB285" s="6"/>
      <c r="BC285" s="6"/>
      <c r="BD285" s="6"/>
      <c r="BE285" s="6"/>
      <c r="BF285" s="6"/>
      <c r="BG285" s="6"/>
      <c r="BH285" s="6"/>
      <c r="BI285" s="6"/>
      <c r="BJ285" s="6"/>
      <c r="BK285" s="6"/>
      <c r="BL285" s="6"/>
      <c r="BM285" s="6"/>
      <c r="BN285" s="6"/>
      <c r="BO285" s="7"/>
      <c r="BP285" s="43"/>
      <c r="BQ285" s="41"/>
    </row>
    <row r="286" spans="1:69" ht="16.5">
      <c r="A286" s="41"/>
      <c r="B286" s="4">
        <f t="shared" si="206"/>
        <v>9</v>
      </c>
      <c r="C286" s="299" t="s">
        <v>55</v>
      </c>
      <c r="D286" s="5">
        <f>IF(C274+B285*L274&gt;=F274,0,C274+B285*L274)</f>
        <v>0</v>
      </c>
      <c r="E286" s="6"/>
      <c r="F286" s="6"/>
      <c r="G286" s="6"/>
      <c r="H286" s="6"/>
      <c r="I286" s="6"/>
      <c r="J286" s="6"/>
      <c r="K286" s="6"/>
      <c r="L286" s="6"/>
      <c r="M286" s="6"/>
      <c r="N286" s="6"/>
      <c r="O286" s="6"/>
      <c r="P286" s="6"/>
      <c r="Q286" s="6"/>
      <c r="R286" s="6"/>
      <c r="S286" s="6"/>
      <c r="T286" s="6"/>
      <c r="U286" s="6"/>
      <c r="V286" s="6"/>
      <c r="W286" s="6"/>
      <c r="X286" s="6"/>
      <c r="Y286" s="6"/>
      <c r="Z286" s="6"/>
      <c r="AA286" s="6"/>
      <c r="AB286" s="6"/>
      <c r="AC286" s="6"/>
      <c r="AD286" s="6"/>
      <c r="AE286" s="6"/>
      <c r="AF286" s="6"/>
      <c r="AG286" s="6"/>
      <c r="AH286" s="6"/>
      <c r="AI286" s="6"/>
      <c r="AJ286" s="6"/>
      <c r="AK286" s="6"/>
      <c r="AL286" s="6"/>
      <c r="AM286" s="6"/>
      <c r="AN286" s="6"/>
      <c r="AO286" s="6"/>
      <c r="AP286" s="6"/>
      <c r="AQ286" s="6"/>
      <c r="AR286" s="57"/>
      <c r="AS286" s="6"/>
      <c r="AT286" s="6"/>
      <c r="AU286" s="6"/>
      <c r="AV286" s="6"/>
      <c r="AW286" s="6"/>
      <c r="AX286" s="6"/>
      <c r="AY286" s="6"/>
      <c r="AZ286" s="6"/>
      <c r="BA286" s="6"/>
      <c r="BB286" s="6"/>
      <c r="BC286" s="6"/>
      <c r="BD286" s="6"/>
      <c r="BE286" s="6"/>
      <c r="BF286" s="6"/>
      <c r="BG286" s="6"/>
      <c r="BH286" s="6"/>
      <c r="BI286" s="6"/>
      <c r="BJ286" s="6"/>
      <c r="BK286" s="6"/>
      <c r="BL286" s="6"/>
      <c r="BM286" s="6"/>
      <c r="BN286" s="6"/>
      <c r="BO286" s="7"/>
      <c r="BP286" s="43"/>
      <c r="BQ286" s="41"/>
    </row>
    <row r="287" spans="1:69" ht="16.5">
      <c r="A287" s="41"/>
      <c r="B287" s="291" t="s">
        <v>116</v>
      </c>
      <c r="C287" s="298" t="s">
        <v>117</v>
      </c>
      <c r="D287" s="3">
        <f>IF(D277&gt;MAIN!$C$13,MAX($F$9,$F$9*D277/(D277-$F$10)),$F$8)</f>
        <v>3.5000000000000001E-3</v>
      </c>
      <c r="E287" s="304">
        <f>IF(E277&gt;MAIN!$C$13,MAX($F$9,$F$9*E277/(E277-$F$10)),$F$8)</f>
        <v>3.5000000000000001E-3</v>
      </c>
      <c r="F287" s="304">
        <f>IF(F277&gt;MAIN!$C$13,MAX($F$9,$F$9*F277/(F277-$F$10)),$F$8)</f>
        <v>3.5000000000000001E-3</v>
      </c>
      <c r="G287" s="304">
        <f>IF(G277&gt;MAIN!$C$13,MAX($F$9,$F$9*G277/(G277-$F$10)),$F$8)</f>
        <v>3.5000000000000001E-3</v>
      </c>
      <c r="H287" s="304">
        <f>IF(H277&gt;MAIN!$C$13,MAX($F$9,$F$9*H277/(H277-$F$10)),$F$8)</f>
        <v>3.5000000000000001E-3</v>
      </c>
      <c r="I287" s="304">
        <f>IF(I277&gt;MAIN!$C$13,MAX($F$9,$F$9*I277/(I277-$F$10)),$F$8)</f>
        <v>3.5000000000000001E-3</v>
      </c>
      <c r="J287" s="304">
        <f>IF(J277&gt;MAIN!$C$13,MAX($F$9,$F$9*J277/(J277-$F$10)),$F$8)</f>
        <v>3.5000000000000001E-3</v>
      </c>
      <c r="K287" s="304">
        <f>IF(K277&gt;MAIN!$C$13,MAX($F$9,$F$9*K277/(K277-$F$10)),$F$8)</f>
        <v>3.5000000000000001E-3</v>
      </c>
      <c r="L287" s="304">
        <f>IF(L277&gt;MAIN!$C$13,MAX($F$9,$F$9*L277/(L277-$F$10)),$F$8)</f>
        <v>3.5000000000000001E-3</v>
      </c>
      <c r="M287" s="304">
        <f>IF(M277&gt;MAIN!$C$13,MAX($F$9,$F$9*M277/(M277-$F$10)),$F$8)</f>
        <v>3.5000000000000001E-3</v>
      </c>
      <c r="N287" s="304">
        <f>IF(N277&gt;MAIN!$C$13,MAX($F$9,$F$9*N277/(N277-$F$10)),$F$8)</f>
        <v>3.5000000000000001E-3</v>
      </c>
      <c r="O287" s="304">
        <f>IF(O277&gt;MAIN!$C$13,MAX($F$9,$F$9*O277/(O277-$F$10)),$F$8)</f>
        <v>3.5000000000000001E-3</v>
      </c>
      <c r="P287" s="304">
        <f>IF(P277&gt;MAIN!$C$13,MAX($F$9,$F$9*P277/(P277-$F$10)),$F$8)</f>
        <v>3.5000000000000001E-3</v>
      </c>
      <c r="Q287" s="304">
        <f>IF(Q277&gt;MAIN!$C$13,MAX($F$9,$F$9*Q277/(Q277-$F$10)),$F$8)</f>
        <v>3.5000000000000001E-3</v>
      </c>
      <c r="R287" s="304">
        <f>IF(R277&gt;MAIN!$C$13,MAX($F$9,$F$9*R277/(R277-$F$10)),$F$8)</f>
        <v>3.5000000000000001E-3</v>
      </c>
      <c r="S287" s="304">
        <f>IF(S277&gt;MAIN!$C$13,MAX($F$9,$F$9*S277/(S277-$F$10)),$F$8)</f>
        <v>3.5000000000000001E-3</v>
      </c>
      <c r="T287" s="304">
        <f>IF(T277&gt;MAIN!$C$13,MAX($F$9,$F$9*T277/(T277-$F$10)),$F$8)</f>
        <v>3.5000000000000001E-3</v>
      </c>
      <c r="U287" s="304">
        <f>IF(U277&gt;MAIN!$C$13,MAX($F$9,$F$9*U277/(U277-$F$10)),$F$8)</f>
        <v>3.5000000000000001E-3</v>
      </c>
      <c r="V287" s="304">
        <f>IF(V277&gt;MAIN!$C$13,MAX($F$9,$F$9*V277/(V277-$F$10)),$F$8)</f>
        <v>3.5000000000000001E-3</v>
      </c>
      <c r="W287" s="304">
        <f>IF(W277&gt;MAIN!$C$13,MAX($F$9,$F$9*W277/(W277-$F$10)),$F$8)</f>
        <v>3.5000000000000001E-3</v>
      </c>
      <c r="X287" s="304">
        <f>IF(X277&gt;MAIN!$C$13,MAX($F$9,$F$9*X277/(X277-$F$10)),$F$8)</f>
        <v>3.5000000000000001E-3</v>
      </c>
      <c r="Y287" s="304">
        <f>IF(Y277&gt;MAIN!$C$13,MAX($F$9,$F$9*Y277/(Y277-$F$10)),$F$8)</f>
        <v>3.5000000000000001E-3</v>
      </c>
      <c r="Z287" s="304">
        <f>IF(Z277&gt;MAIN!$C$13,MAX($F$9,$F$9*Z277/(Z277-$F$10)),$F$8)</f>
        <v>3.5000000000000001E-3</v>
      </c>
      <c r="AA287" s="304">
        <f>IF(AA277&gt;MAIN!$C$13,MAX($F$9,$F$9*AA277/(AA277-$F$10)),$F$8)</f>
        <v>3.5000000000000001E-3</v>
      </c>
      <c r="AB287" s="304">
        <f>IF(AB277&gt;MAIN!$C$13,MAX($F$9,$F$9*AB277/(AB277-$F$10)),$F$8)</f>
        <v>3.5000000000000001E-3</v>
      </c>
      <c r="AC287" s="304">
        <f>IF(AC277&gt;MAIN!$C$13,MAX($F$9,$F$9*AC277/(AC277-$F$10)),$F$8)</f>
        <v>3.5000000000000001E-3</v>
      </c>
      <c r="AD287" s="304">
        <f>IF(AD277&gt;MAIN!$C$13,MAX($F$9,$F$9*AD277/(AD277-$F$10)),$F$8)</f>
        <v>3.5000000000000001E-3</v>
      </c>
      <c r="AE287" s="304">
        <f>IF(AE277&gt;MAIN!$C$13,MAX($F$9,$F$9*AE277/(AE277-$F$10)),$F$8)</f>
        <v>3.5000000000000001E-3</v>
      </c>
      <c r="AF287" s="304">
        <f>IF(AF277&gt;MAIN!$C$13,MAX($F$9,$F$9*AF277/(AF277-$F$10)),$F$8)</f>
        <v>3.5000000000000001E-3</v>
      </c>
      <c r="AG287" s="304">
        <f>IF(AG277&gt;MAIN!$C$13,MAX($F$9,$F$9*AG277/(AG277-$F$10)),$F$8)</f>
        <v>3.5000000000000001E-3</v>
      </c>
      <c r="AH287" s="304">
        <f>IF(AH277&gt;MAIN!$C$13,MAX($F$9,$F$9*AH277/(AH277-$F$10)),$F$8)</f>
        <v>3.5000000000000001E-3</v>
      </c>
      <c r="AI287" s="304">
        <f>IF(AI277&gt;MAIN!$C$13,MAX($F$9,$F$9*AI277/(AI277-$F$10)),$F$8)</f>
        <v>3.5000000000000001E-3</v>
      </c>
      <c r="AJ287" s="304">
        <f>IF(AJ277&gt;MAIN!$C$13,MAX($F$9,$F$9*AJ277/(AJ277-$F$10)),$F$8)</f>
        <v>3.5000000000000001E-3</v>
      </c>
      <c r="AK287" s="304">
        <f>IF(AK277&gt;MAIN!$C$13,MAX($F$9,$F$9*AK277/(AK277-$F$10)),$F$8)</f>
        <v>3.5000000000000001E-3</v>
      </c>
      <c r="AL287" s="304">
        <f>IF(AL277&gt;MAIN!$C$13,MAX($F$9,$F$9*AL277/(AL277-$F$10)),$F$8)</f>
        <v>3.5000000000000001E-3</v>
      </c>
      <c r="AM287" s="304">
        <f>IF(AM277&gt;MAIN!$C$13,MAX($F$9,$F$9*AM277/(AM277-$F$10)),$F$8)</f>
        <v>3.5000000000000001E-3</v>
      </c>
      <c r="AN287" s="304">
        <f>IF(AN277&gt;MAIN!$C$13,MAX($F$9,$F$9*AN277/(AN277-$F$10)),$F$8)</f>
        <v>3.5000000000000001E-3</v>
      </c>
      <c r="AO287" s="304">
        <f>IF(AO277&gt;MAIN!$C$13,MAX($F$9,$F$9*AO277/(AO277-$F$10)),$F$8)</f>
        <v>3.5000000000000001E-3</v>
      </c>
      <c r="AP287" s="304">
        <f>IF(AP277&gt;MAIN!$C$13,MAX($F$9,$F$9*AP277/(AP277-$F$10)),$F$8)</f>
        <v>3.5000000000000001E-3</v>
      </c>
      <c r="AQ287" s="304">
        <f>IF(AQ277&gt;MAIN!$C$13,MAX($F$9,$F$9*AQ277/(AQ277-$F$10)),$F$8)</f>
        <v>3.5000000000000001E-3</v>
      </c>
      <c r="AR287" s="56">
        <f>IF(AR277&gt;MAIN!$C$13,MAX($F$9,$F$9*AR277/(AR277-$F$10)),$F$8)</f>
        <v>3.5000000000000001E-3</v>
      </c>
      <c r="AS287" s="304">
        <f>IF(AS277&gt;MAIN!$C$13,MAX($F$9,$F$9*AS277/(AS277-$F$10)),$F$8)</f>
        <v>3.5000000000000001E-3</v>
      </c>
      <c r="AT287" s="304">
        <f>IF(AT277&gt;MAIN!$C$13,MAX($F$9,$F$9*AT277/(AT277-$F$10)),$F$8)</f>
        <v>3.5000000000000001E-3</v>
      </c>
      <c r="AU287" s="304">
        <f>IF(AU277&gt;MAIN!$C$13,MAX($F$9,$F$9*AU277/(AU277-$F$10)),$F$8)</f>
        <v>3.5000000000000001E-3</v>
      </c>
      <c r="AV287" s="304">
        <f>IF(AV277&gt;MAIN!$C$13,MAX($F$9,$F$9*AV277/(AV277-$F$10)),$F$8)</f>
        <v>3.5000000000000001E-3</v>
      </c>
      <c r="AW287" s="304">
        <f>IF(AW277&gt;MAIN!$C$13,MAX($F$9,$F$9*AW277/(AW277-$F$10)),$F$8)</f>
        <v>3.5000000000000001E-3</v>
      </c>
      <c r="AX287" s="304">
        <f>IF(AX277&gt;MAIN!$C$13,MAX($F$9,$F$9*AX277/(AX277-$F$10)),$F$8)</f>
        <v>3.5000000000000001E-3</v>
      </c>
      <c r="AY287" s="304">
        <f>IF(AY277&gt;MAIN!$C$13,MAX($F$9,$F$9*AY277/(AY277-$F$10)),$F$8)</f>
        <v>3.5000000000000001E-3</v>
      </c>
      <c r="AZ287" s="304">
        <f>IF(AZ277&gt;MAIN!$C$13,MAX($F$9,$F$9*AZ277/(AZ277-$F$10)),$F$8)</f>
        <v>3.5000000000000001E-3</v>
      </c>
      <c r="BA287" s="304">
        <f>IF(BA277&gt;MAIN!$C$13,MAX($F$9,$F$9*BA277/(BA277-$F$10)),$F$8)</f>
        <v>3.5000000000000001E-3</v>
      </c>
      <c r="BB287" s="304">
        <f>IF(BB277&gt;MAIN!$C$13,MAX($F$9,$F$9*BB277/(BB277-$F$10)),$F$8)</f>
        <v>3.5000000000000001E-3</v>
      </c>
      <c r="BC287" s="304">
        <f>IF(BC277&gt;MAIN!$C$13,MAX($F$9,$F$9*BC277/(BC277-$F$10)),$F$8)</f>
        <v>3.5000000000000001E-3</v>
      </c>
      <c r="BD287" s="304">
        <f>IF(BD277&gt;MAIN!$C$13,MAX($F$9,$F$9*BD277/(BD277-$F$10)),$F$8)</f>
        <v>3.4723545709486555E-3</v>
      </c>
      <c r="BE287" s="304">
        <f>IF(BE277&gt;MAIN!$C$13,MAX($F$9,$F$9*BE277/(BE277-$F$10)),$F$8)</f>
        <v>3.36262598858298E-3</v>
      </c>
      <c r="BF287" s="304">
        <f>IF(BF277&gt;MAIN!$C$13,MAX($F$9,$F$9*BF277/(BF277-$F$10)),$F$8)</f>
        <v>3.2660413093924408E-3</v>
      </c>
      <c r="BG287" s="304">
        <f>IF(BG277&gt;MAIN!$C$13,MAX($F$9,$F$9*BG277/(BG277-$F$10)),$F$8)</f>
        <v>3.180372312429056E-3</v>
      </c>
      <c r="BH287" s="304">
        <f>IF(BH277&gt;MAIN!$C$13,MAX($F$9,$F$9*BH277/(BH277-$F$10)),$F$8)</f>
        <v>3.1038674907994872E-3</v>
      </c>
      <c r="BI287" s="304">
        <f>IF(BI277&gt;MAIN!$C$13,MAX($F$9,$F$9*BI277/(BI277-$F$10)),$F$8)</f>
        <v>3.035131036743203E-3</v>
      </c>
      <c r="BJ287" s="304">
        <f>IF(BJ277&gt;MAIN!$C$13,MAX($F$9,$F$9*BJ277/(BJ277-$F$10)),$F$8)</f>
        <v>2.9730369094333282E-3</v>
      </c>
      <c r="BK287" s="304">
        <f>IF(BK277&gt;MAIN!$C$13,MAX($F$9,$F$9*BK277/(BK277-$F$10)),$F$8)</f>
        <v>2.9166666666666668E-3</v>
      </c>
      <c r="BL287" s="304">
        <f>IF(BL277&gt;MAIN!$C$13,MAX($F$9,$F$9*BL277/(BL277-$F$10)),$F$8)</f>
        <v>2.40625E-3</v>
      </c>
      <c r="BM287" s="304">
        <f>IF(BM277&gt;MAIN!$C$13,MAX($F$9,$F$9*BM277/(BM277-$F$10)),$F$8)</f>
        <v>2.2065217391304347E-3</v>
      </c>
      <c r="BN287" s="304">
        <f>IF(BN277&gt;MAIN!$C$13,MAX($F$9,$F$9*BN277/(BN277-$F$10)),$F$8)</f>
        <v>2.0999999999999999E-3</v>
      </c>
      <c r="BO287" s="3">
        <f>$F$9</f>
        <v>1.75E-3</v>
      </c>
      <c r="BP287" s="43"/>
      <c r="BQ287" s="41"/>
    </row>
    <row r="288" spans="1:69" ht="16.5">
      <c r="A288" s="41"/>
      <c r="B288" s="292" t="s">
        <v>118</v>
      </c>
      <c r="C288" s="300" t="s">
        <v>56</v>
      </c>
      <c r="D288" s="8">
        <f t="shared" ref="D288:AI288" si="207">D287*(D277-$C274)/D277</f>
        <v>-1.4520646700662686E-3</v>
      </c>
      <c r="E288" s="305">
        <f t="shared" si="207"/>
        <v>2.4716323702567784E-4</v>
      </c>
      <c r="F288" s="305">
        <f t="shared" si="207"/>
        <v>1.0781762981323896E-3</v>
      </c>
      <c r="G288" s="305">
        <f t="shared" si="207"/>
        <v>1.5709875460099159E-3</v>
      </c>
      <c r="H288" s="305">
        <f t="shared" si="207"/>
        <v>1.8971481290720486E-3</v>
      </c>
      <c r="I288" s="305">
        <f t="shared" si="207"/>
        <v>2.128964975138742E-3</v>
      </c>
      <c r="J288" s="305">
        <f t="shared" si="207"/>
        <v>2.3022000733154526E-3</v>
      </c>
      <c r="K288" s="305">
        <f t="shared" si="207"/>
        <v>2.4365683970948748E-3</v>
      </c>
      <c r="L288" s="305">
        <f t="shared" si="207"/>
        <v>2.5438307657083439E-3</v>
      </c>
      <c r="M288" s="305">
        <f t="shared" si="207"/>
        <v>2.6314377572540593E-3</v>
      </c>
      <c r="N288" s="305">
        <f t="shared" si="207"/>
        <v>2.7043385602936445E-3</v>
      </c>
      <c r="O288" s="305">
        <f t="shared" si="207"/>
        <v>2.7659494309081449E-3</v>
      </c>
      <c r="P288" s="305">
        <f t="shared" si="207"/>
        <v>2.8187045404484165E-3</v>
      </c>
      <c r="Q288" s="305">
        <f t="shared" si="207"/>
        <v>2.8643852181227556E-3</v>
      </c>
      <c r="R288" s="305">
        <f t="shared" si="207"/>
        <v>2.9043250627602641E-3</v>
      </c>
      <c r="S288" s="305">
        <f t="shared" si="207"/>
        <v>2.9395422954073911E-3</v>
      </c>
      <c r="T288" s="305">
        <f t="shared" si="207"/>
        <v>2.9708277833459273E-3</v>
      </c>
      <c r="U288" s="305">
        <f t="shared" si="207"/>
        <v>2.9988051411093939E-3</v>
      </c>
      <c r="V288" s="305">
        <f t="shared" si="207"/>
        <v>3.0239727236047258E-3</v>
      </c>
      <c r="W288" s="305">
        <f t="shared" si="207"/>
        <v>3.0467335720367702E-3</v>
      </c>
      <c r="X288" s="305">
        <f t="shared" si="207"/>
        <v>3.067417160824649E-3</v>
      </c>
      <c r="Y288" s="305">
        <f t="shared" si="207"/>
        <v>3.086295450192649E-3</v>
      </c>
      <c r="Z288" s="305">
        <f t="shared" si="207"/>
        <v>3.103594911232231E-3</v>
      </c>
      <c r="AA288" s="305">
        <f t="shared" si="207"/>
        <v>3.1195056550221895E-3</v>
      </c>
      <c r="AB288" s="305">
        <f t="shared" si="207"/>
        <v>3.1341884480619703E-3</v>
      </c>
      <c r="AC288" s="305">
        <f t="shared" si="207"/>
        <v>3.1477801637558775E-3</v>
      </c>
      <c r="AD288" s="305">
        <f t="shared" si="207"/>
        <v>3.1603980621357857E-3</v>
      </c>
      <c r="AE288" s="305">
        <f t="shared" si="207"/>
        <v>3.172143181499621E-3</v>
      </c>
      <c r="AF288" s="305">
        <f t="shared" si="207"/>
        <v>3.1831030497789063E-3</v>
      </c>
      <c r="AG288" s="305">
        <f t="shared" si="207"/>
        <v>3.1933538696707537E-3</v>
      </c>
      <c r="AH288" s="305">
        <f t="shared" si="207"/>
        <v>3.2029622929574285E-3</v>
      </c>
      <c r="AI288" s="305">
        <f t="shared" si="207"/>
        <v>3.211986871382422E-3</v>
      </c>
      <c r="AJ288" s="305">
        <f t="shared" ref="AJ288:BK288" si="208">AJ287*(AJ277-$C274)/AJ277</f>
        <v>3.2204792508425915E-3</v>
      </c>
      <c r="AK288" s="305">
        <f t="shared" si="208"/>
        <v>3.2284851603591627E-3</v>
      </c>
      <c r="AL288" s="305">
        <f t="shared" si="208"/>
        <v>3.2360452358269325E-3</v>
      </c>
      <c r="AM288" s="305">
        <f t="shared" si="208"/>
        <v>3.2431957098724021E-3</v>
      </c>
      <c r="AN288" s="305">
        <f t="shared" si="208"/>
        <v>3.2499689925407456E-3</v>
      </c>
      <c r="AO288" s="305">
        <f t="shared" si="208"/>
        <v>3.2563941624495795E-3</v>
      </c>
      <c r="AP288" s="305">
        <f t="shared" si="208"/>
        <v>3.262497384111497E-3</v>
      </c>
      <c r="AQ288" s="305">
        <f t="shared" si="208"/>
        <v>3.2683022640570825E-3</v>
      </c>
      <c r="AR288" s="58">
        <f t="shared" si="208"/>
        <v>3.2738301559792028E-3</v>
      </c>
      <c r="AS288" s="305">
        <f t="shared" si="208"/>
        <v>3.2862838723355047E-3</v>
      </c>
      <c r="AT288" s="305">
        <f t="shared" si="208"/>
        <v>3.2974376747114927E-3</v>
      </c>
      <c r="AU288" s="305">
        <f t="shared" si="208"/>
        <v>3.307484994709689E-3</v>
      </c>
      <c r="AV288" s="305">
        <f t="shared" si="208"/>
        <v>3.3165826998490665E-3</v>
      </c>
      <c r="AW288" s="305">
        <f t="shared" si="208"/>
        <v>3.3248593432743624E-3</v>
      </c>
      <c r="AX288" s="305">
        <f t="shared" si="208"/>
        <v>3.3324212763117186E-3</v>
      </c>
      <c r="AY288" s="305">
        <f t="shared" si="208"/>
        <v>3.3393572430577855E-3</v>
      </c>
      <c r="AZ288" s="305">
        <f t="shared" si="208"/>
        <v>3.3457418793160542E-3</v>
      </c>
      <c r="BA288" s="305">
        <f t="shared" si="208"/>
        <v>3.3516384090503662E-3</v>
      </c>
      <c r="BB288" s="305">
        <f t="shared" si="208"/>
        <v>3.3571007451747279E-3</v>
      </c>
      <c r="BC288" s="305">
        <f t="shared" si="208"/>
        <v>3.3621751427448865E-3</v>
      </c>
      <c r="BD288" s="305">
        <f t="shared" si="208"/>
        <v>3.3403073871759248E-3</v>
      </c>
      <c r="BE288" s="305">
        <f t="shared" si="208"/>
        <v>3.238991329458285E-3</v>
      </c>
      <c r="BF288" s="305">
        <f t="shared" si="208"/>
        <v>3.1498114756723541E-3</v>
      </c>
      <c r="BG288" s="305">
        <f t="shared" si="208"/>
        <v>3.0707104351428284E-3</v>
      </c>
      <c r="BH288" s="305">
        <f t="shared" si="208"/>
        <v>3.0000709831715265E-3</v>
      </c>
      <c r="BI288" s="305">
        <f t="shared" si="208"/>
        <v>2.9366043239262242E-3</v>
      </c>
      <c r="BJ288" s="305">
        <f t="shared" si="208"/>
        <v>2.8792707463767731E-3</v>
      </c>
      <c r="BK288" s="305">
        <f t="shared" si="208"/>
        <v>2.8272222222222223E-3</v>
      </c>
      <c r="BL288" s="305">
        <f>BL287*(BL277-$C274)/BL277</f>
        <v>2.3559375E-3</v>
      </c>
      <c r="BM288" s="305">
        <f>BM287*(BM277-$C274)/BM277</f>
        <v>2.1715217391304348E-3</v>
      </c>
      <c r="BN288" s="305">
        <f>BN287*(BN277-$C274)/BN277</f>
        <v>2.0731666666666663E-3</v>
      </c>
      <c r="BO288" s="8">
        <f>BO287</f>
        <v>1.75E-3</v>
      </c>
      <c r="BP288" s="41"/>
      <c r="BQ288" s="41"/>
    </row>
    <row r="289" spans="1:69" ht="16.5">
      <c r="A289" s="41"/>
      <c r="B289" s="9">
        <v>2</v>
      </c>
      <c r="C289" s="300" t="s">
        <v>57</v>
      </c>
      <c r="D289" s="8">
        <f>IF($D279=0,0,D287*(D277-$D279)/D277)</f>
        <v>-4.1212120136975151E-2</v>
      </c>
      <c r="E289" s="305">
        <f t="shared" ref="E289:BK289" si="209">IF($D279=0,0,E287*(E277-$D279)/E277)</f>
        <v>-2.5869815990333372E-2</v>
      </c>
      <c r="F289" s="305">
        <f t="shared" si="209"/>
        <v>-1.836661110526842E-2</v>
      </c>
      <c r="G289" s="305">
        <f t="shared" si="209"/>
        <v>-1.3917025490374236E-2</v>
      </c>
      <c r="H289" s="305">
        <f t="shared" si="209"/>
        <v>-1.0972126312871214E-2</v>
      </c>
      <c r="I289" s="305">
        <f t="shared" si="209"/>
        <v>-8.8790553693994766E-3</v>
      </c>
      <c r="J289" s="305">
        <f t="shared" si="209"/>
        <v>-7.3149181786155522E-3</v>
      </c>
      <c r="K289" s="305">
        <f t="shared" si="209"/>
        <v>-6.101708530578156E-3</v>
      </c>
      <c r="L289" s="305">
        <f t="shared" si="209"/>
        <v>-5.1332381588942285E-3</v>
      </c>
      <c r="M289" s="305">
        <f t="shared" si="209"/>
        <v>-4.3422359018945068E-3</v>
      </c>
      <c r="N289" s="305">
        <f t="shared" si="209"/>
        <v>-3.6840156077834725E-3</v>
      </c>
      <c r="O289" s="305">
        <f t="shared" si="209"/>
        <v>-3.1277319499163165E-3</v>
      </c>
      <c r="P289" s="305">
        <f t="shared" si="209"/>
        <v>-2.6514068304440068E-3</v>
      </c>
      <c r="Q289" s="305">
        <f t="shared" si="209"/>
        <v>-2.2389566537612078E-3</v>
      </c>
      <c r="R289" s="305">
        <f t="shared" si="209"/>
        <v>-1.8783403753674689E-3</v>
      </c>
      <c r="S289" s="305">
        <f t="shared" si="209"/>
        <v>-1.5603644921912379E-3</v>
      </c>
      <c r="T289" s="305">
        <f t="shared" si="209"/>
        <v>-1.277888275007061E-3</v>
      </c>
      <c r="U289" s="305">
        <f t="shared" si="209"/>
        <v>-1.0252811172296768E-3</v>
      </c>
      <c r="V289" s="305">
        <f t="shared" si="209"/>
        <v>-7.9804337962689688E-4</v>
      </c>
      <c r="W289" s="305">
        <f t="shared" si="209"/>
        <v>-5.9253600900133555E-4</v>
      </c>
      <c r="X289" s="305">
        <f t="shared" si="209"/>
        <v>-4.0578418559773647E-4</v>
      </c>
      <c r="Y289" s="305">
        <f t="shared" si="209"/>
        <v>-2.3533238449245929E-4</v>
      </c>
      <c r="Z289" s="305">
        <f t="shared" si="209"/>
        <v>-7.9135801482900183E-5</v>
      </c>
      <c r="AA289" s="305">
        <f t="shared" si="209"/>
        <v>6.4522073606145718E-5</v>
      </c>
      <c r="AB289" s="305">
        <f t="shared" si="209"/>
        <v>1.9709279916822476E-4</v>
      </c>
      <c r="AC289" s="305">
        <f t="shared" si="209"/>
        <v>3.1981220318712819E-4</v>
      </c>
      <c r="AD289" s="305">
        <f t="shared" si="209"/>
        <v>4.3373902479122326E-4</v>
      </c>
      <c r="AE289" s="305">
        <f t="shared" si="209"/>
        <v>5.3978553730816897E-4</v>
      </c>
      <c r="AF289" s="305">
        <f t="shared" si="209"/>
        <v>6.3874202916317131E-4</v>
      </c>
      <c r="AG289" s="305">
        <f t="shared" si="209"/>
        <v>7.3129653340404943E-4</v>
      </c>
      <c r="AH289" s="305">
        <f t="shared" si="209"/>
        <v>8.1805084800692452E-4</v>
      </c>
      <c r="AI289" s="305">
        <f t="shared" si="209"/>
        <v>8.9953363581520289E-4</v>
      </c>
      <c r="AJ289" s="305">
        <f t="shared" si="209"/>
        <v>9.7621120688310748E-4</v>
      </c>
      <c r="AK289" s="305">
        <f t="shared" si="209"/>
        <v>1.0484964478805565E-3</v>
      </c>
      <c r="AL289" s="305">
        <f t="shared" si="209"/>
        <v>1.1167562597127379E-3</v>
      </c>
      <c r="AM289" s="305">
        <f t="shared" si="209"/>
        <v>1.1813177862392246E-3</v>
      </c>
      <c r="AN289" s="305">
        <f t="shared" si="209"/>
        <v>1.2424736572881777E-3</v>
      </c>
      <c r="AO289" s="305">
        <f t="shared" si="209"/>
        <v>1.3004864232766407E-3</v>
      </c>
      <c r="AP289" s="305">
        <f t="shared" si="209"/>
        <v>1.3555923232096033E-3</v>
      </c>
      <c r="AQ289" s="305">
        <f t="shared" si="209"/>
        <v>1.4080045001095996E-3</v>
      </c>
      <c r="AR289" s="58">
        <f t="shared" si="209"/>
        <v>1.4579157561600484E-3</v>
      </c>
      <c r="AS289" s="305">
        <f t="shared" si="209"/>
        <v>1.5703601806524563E-3</v>
      </c>
      <c r="AT289" s="305">
        <f t="shared" si="209"/>
        <v>1.6710677006559437E-3</v>
      </c>
      <c r="AU289" s="305">
        <f t="shared" si="209"/>
        <v>1.7617848073063201E-3</v>
      </c>
      <c r="AV289" s="305">
        <f t="shared" si="209"/>
        <v>1.8439278551589627E-3</v>
      </c>
      <c r="AW289" s="305">
        <f t="shared" si="209"/>
        <v>1.9186575486946039E-3</v>
      </c>
      <c r="AX289" s="305">
        <f t="shared" si="209"/>
        <v>1.986934132495663E-3</v>
      </c>
      <c r="AY289" s="305">
        <f t="shared" si="209"/>
        <v>2.0495588757246433E-3</v>
      </c>
      <c r="AZ289" s="305">
        <f t="shared" si="209"/>
        <v>2.1072056639695937E-3</v>
      </c>
      <c r="BA289" s="305">
        <f t="shared" si="209"/>
        <v>2.1604453454837371E-3</v>
      </c>
      <c r="BB289" s="305">
        <f t="shared" si="209"/>
        <v>2.2097646991863116E-3</v>
      </c>
      <c r="BC289" s="305">
        <f t="shared" si="209"/>
        <v>2.2555813613052782E-3</v>
      </c>
      <c r="BD289" s="305">
        <f t="shared" si="209"/>
        <v>2.280102462391975E-3</v>
      </c>
      <c r="BE289" s="305">
        <f t="shared" si="209"/>
        <v>2.2463304431527618E-3</v>
      </c>
      <c r="BF289" s="305">
        <f t="shared" si="209"/>
        <v>2.2166038252241179E-3</v>
      </c>
      <c r="BG289" s="305">
        <f t="shared" si="209"/>
        <v>2.1902368117142764E-3</v>
      </c>
      <c r="BH289" s="305">
        <f t="shared" si="209"/>
        <v>2.1666903277238422E-3</v>
      </c>
      <c r="BI289" s="305">
        <f t="shared" si="209"/>
        <v>2.145534774642075E-3</v>
      </c>
      <c r="BJ289" s="305">
        <f t="shared" si="209"/>
        <v>2.1264235821255913E-3</v>
      </c>
      <c r="BK289" s="305">
        <f t="shared" si="209"/>
        <v>2.1090740740740744E-3</v>
      </c>
      <c r="BL289" s="305">
        <f>IF($D279=0,0,BL287*(BL277-$D279)/BL277)</f>
        <v>1.9519791666666665E-3</v>
      </c>
      <c r="BM289" s="305">
        <f>IF($D279=0,0,BM287*(BM277-$D279)/BM277)</f>
        <v>1.8905072463768114E-3</v>
      </c>
      <c r="BN289" s="305">
        <f>IF($D279=0,0,BN287*(BN277-$D279)/BN277)</f>
        <v>1.857722222222222E-3</v>
      </c>
      <c r="BO289" s="8">
        <f>IF(D289=0,0,BO288)</f>
        <v>1.75E-3</v>
      </c>
      <c r="BP289" s="43"/>
      <c r="BQ289" s="41"/>
    </row>
    <row r="290" spans="1:69" ht="16.5">
      <c r="A290" s="41"/>
      <c r="B290" s="9">
        <f t="shared" ref="B290:B296" si="210">1+B289</f>
        <v>3</v>
      </c>
      <c r="C290" s="300" t="s">
        <v>57</v>
      </c>
      <c r="D290" s="8">
        <f>IF($D280=0,0,D287*(D277-$D280)/D277)</f>
        <v>-8.0972175603884033E-2</v>
      </c>
      <c r="E290" s="305">
        <f t="shared" ref="E290:BK290" si="211">IF($D280=0,0,E287*(E277-$D280)/E277)</f>
        <v>-5.1986795217692422E-2</v>
      </c>
      <c r="F290" s="305">
        <f t="shared" si="211"/>
        <v>-3.7811398508669242E-2</v>
      </c>
      <c r="G290" s="305">
        <f t="shared" si="211"/>
        <v>-2.9405038526758385E-2</v>
      </c>
      <c r="H290" s="305">
        <f t="shared" si="211"/>
        <v>-2.3841400754814474E-2</v>
      </c>
      <c r="I290" s="305">
        <f t="shared" si="211"/>
        <v>-1.9887075713937694E-2</v>
      </c>
      <c r="J290" s="305">
        <f t="shared" si="211"/>
        <v>-1.6932036430546558E-2</v>
      </c>
      <c r="K290" s="305">
        <f t="shared" si="211"/>
        <v>-1.463998545825119E-2</v>
      </c>
      <c r="L290" s="305">
        <f t="shared" si="211"/>
        <v>-1.2810307083496801E-2</v>
      </c>
      <c r="M290" s="305">
        <f t="shared" si="211"/>
        <v>-1.131590956104307E-2</v>
      </c>
      <c r="N290" s="305">
        <f t="shared" si="211"/>
        <v>-1.0072369775860589E-2</v>
      </c>
      <c r="O290" s="305">
        <f t="shared" si="211"/>
        <v>-9.0214133307407792E-3</v>
      </c>
      <c r="P290" s="305">
        <f t="shared" si="211"/>
        <v>-8.1215182013364296E-3</v>
      </c>
      <c r="Q290" s="305">
        <f t="shared" si="211"/>
        <v>-7.3422985256451703E-3</v>
      </c>
      <c r="R290" s="305">
        <f t="shared" si="211"/>
        <v>-6.661005813495202E-3</v>
      </c>
      <c r="S290" s="305">
        <f t="shared" si="211"/>
        <v>-6.0602712797898665E-3</v>
      </c>
      <c r="T290" s="305">
        <f t="shared" si="211"/>
        <v>-5.5266043333600488E-3</v>
      </c>
      <c r="U290" s="305">
        <f t="shared" si="211"/>
        <v>-5.0493673755687479E-3</v>
      </c>
      <c r="V290" s="305">
        <f t="shared" si="211"/>
        <v>-4.6200594828585198E-3</v>
      </c>
      <c r="W290" s="305">
        <f t="shared" si="211"/>
        <v>-4.2318055900394409E-3</v>
      </c>
      <c r="X290" s="305">
        <f t="shared" si="211"/>
        <v>-3.8789855320201213E-3</v>
      </c>
      <c r="Y290" s="305">
        <f t="shared" si="211"/>
        <v>-3.5569602191775677E-3</v>
      </c>
      <c r="Z290" s="305">
        <f t="shared" si="211"/>
        <v>-3.2618665141980314E-3</v>
      </c>
      <c r="AA290" s="305">
        <f t="shared" si="211"/>
        <v>-2.9904615078098981E-3</v>
      </c>
      <c r="AB290" s="305">
        <f t="shared" si="211"/>
        <v>-2.7400028497255209E-3</v>
      </c>
      <c r="AC290" s="305">
        <f t="shared" si="211"/>
        <v>-2.5081557573816216E-3</v>
      </c>
      <c r="AD290" s="305">
        <f t="shared" si="211"/>
        <v>-2.292920012553339E-3</v>
      </c>
      <c r="AE290" s="305">
        <f t="shared" si="211"/>
        <v>-2.0925721068832826E-3</v>
      </c>
      <c r="AF290" s="305">
        <f t="shared" si="211"/>
        <v>-1.9056189914525639E-3</v>
      </c>
      <c r="AG290" s="305">
        <f t="shared" si="211"/>
        <v>-1.7307608028626546E-3</v>
      </c>
      <c r="AH290" s="305">
        <f t="shared" si="211"/>
        <v>-1.5668605969435792E-3</v>
      </c>
      <c r="AI290" s="305">
        <f t="shared" si="211"/>
        <v>-1.4129195997520164E-3</v>
      </c>
      <c r="AJ290" s="305">
        <f t="shared" si="211"/>
        <v>-1.2680568370763766E-3</v>
      </c>
      <c r="AK290" s="305">
        <f t="shared" si="211"/>
        <v>-1.1314922645980496E-3</v>
      </c>
      <c r="AL290" s="305">
        <f t="shared" si="211"/>
        <v>-1.0025327164014566E-3</v>
      </c>
      <c r="AM290" s="305">
        <f t="shared" si="211"/>
        <v>-8.8056013739395273E-4</v>
      </c>
      <c r="AN290" s="305">
        <f t="shared" si="211"/>
        <v>-7.6502167796438988E-4</v>
      </c>
      <c r="AO290" s="305">
        <f t="shared" si="211"/>
        <v>-6.5542131589629859E-4</v>
      </c>
      <c r="AP290" s="305">
        <f t="shared" si="211"/>
        <v>-5.5131273769229059E-4</v>
      </c>
      <c r="AQ290" s="305">
        <f t="shared" si="211"/>
        <v>-4.5229326383788322E-4</v>
      </c>
      <c r="AR290" s="58">
        <f t="shared" si="211"/>
        <v>-3.5799864365910605E-4</v>
      </c>
      <c r="AS290" s="305">
        <f t="shared" si="211"/>
        <v>-1.4556351103059249E-4</v>
      </c>
      <c r="AT290" s="305">
        <f t="shared" si="211"/>
        <v>4.4697726600394241E-5</v>
      </c>
      <c r="AU290" s="305">
        <f t="shared" si="211"/>
        <v>2.1608461990295163E-4</v>
      </c>
      <c r="AV290" s="305">
        <f t="shared" si="211"/>
        <v>3.7127301046885883E-4</v>
      </c>
      <c r="AW290" s="305">
        <f t="shared" si="211"/>
        <v>5.1245575411484553E-4</v>
      </c>
      <c r="AX290" s="305">
        <f t="shared" si="211"/>
        <v>6.4144698867960655E-4</v>
      </c>
      <c r="AY290" s="305">
        <f t="shared" si="211"/>
        <v>7.5976050839150202E-4</v>
      </c>
      <c r="AZ290" s="305">
        <f t="shared" si="211"/>
        <v>8.6866944862313254E-4</v>
      </c>
      <c r="BA290" s="305">
        <f t="shared" si="211"/>
        <v>9.6925228191710791E-4</v>
      </c>
      <c r="BB290" s="305">
        <f t="shared" si="211"/>
        <v>1.0624286531978942E-3</v>
      </c>
      <c r="BC290" s="305">
        <f t="shared" si="211"/>
        <v>1.1489875798656696E-3</v>
      </c>
      <c r="BD290" s="305">
        <f t="shared" si="211"/>
        <v>1.2198975376080247E-3</v>
      </c>
      <c r="BE290" s="305">
        <f t="shared" si="211"/>
        <v>1.2536695568472382E-3</v>
      </c>
      <c r="BF290" s="305">
        <f t="shared" si="211"/>
        <v>1.2833961747758822E-3</v>
      </c>
      <c r="BG290" s="305">
        <f t="shared" si="211"/>
        <v>1.3097631882857238E-3</v>
      </c>
      <c r="BH290" s="305">
        <f t="shared" si="211"/>
        <v>1.3333096722761577E-3</v>
      </c>
      <c r="BI290" s="305">
        <f t="shared" si="211"/>
        <v>1.3544652253579255E-3</v>
      </c>
      <c r="BJ290" s="305">
        <f t="shared" si="211"/>
        <v>1.3735764178744094E-3</v>
      </c>
      <c r="BK290" s="305">
        <f t="shared" si="211"/>
        <v>1.3909259259259261E-3</v>
      </c>
      <c r="BL290" s="305">
        <f>IF($D280=0,0,BL287*(BL277-$D280)/BL277)</f>
        <v>1.5480208333333335E-3</v>
      </c>
      <c r="BM290" s="305">
        <f>IF($D280=0,0,BM287*(BM277-$D280)/BM277)</f>
        <v>1.6094927536231885E-3</v>
      </c>
      <c r="BN290" s="305">
        <f>IF($D280=0,0,BN287*(BN277-$D280)/BN277)</f>
        <v>1.6422777777777779E-3</v>
      </c>
      <c r="BO290" s="8">
        <f>IF(D290=0,0,BO288)</f>
        <v>1.75E-3</v>
      </c>
      <c r="BP290" s="43"/>
      <c r="BQ290" s="41"/>
    </row>
    <row r="291" spans="1:69" ht="16.5">
      <c r="A291" s="41"/>
      <c r="B291" s="9">
        <f t="shared" si="210"/>
        <v>4</v>
      </c>
      <c r="C291" s="300" t="s">
        <v>57</v>
      </c>
      <c r="D291" s="8">
        <f>IF($D281=0,0,D287*(D277-$D281)/D277)</f>
        <v>0</v>
      </c>
      <c r="E291" s="305">
        <f t="shared" ref="E291:BK291" si="212">IF($D281=0,0,E287*(E277-$D281)/E277)</f>
        <v>0</v>
      </c>
      <c r="F291" s="305">
        <f t="shared" si="212"/>
        <v>0</v>
      </c>
      <c r="G291" s="305">
        <f t="shared" si="212"/>
        <v>0</v>
      </c>
      <c r="H291" s="305">
        <f t="shared" si="212"/>
        <v>0</v>
      </c>
      <c r="I291" s="305">
        <f t="shared" si="212"/>
        <v>0</v>
      </c>
      <c r="J291" s="305">
        <f t="shared" si="212"/>
        <v>0</v>
      </c>
      <c r="K291" s="305">
        <f t="shared" si="212"/>
        <v>0</v>
      </c>
      <c r="L291" s="305">
        <f t="shared" si="212"/>
        <v>0</v>
      </c>
      <c r="M291" s="305">
        <f t="shared" si="212"/>
        <v>0</v>
      </c>
      <c r="N291" s="305">
        <f t="shared" si="212"/>
        <v>0</v>
      </c>
      <c r="O291" s="305">
        <f t="shared" si="212"/>
        <v>0</v>
      </c>
      <c r="P291" s="305">
        <f t="shared" si="212"/>
        <v>0</v>
      </c>
      <c r="Q291" s="305">
        <f t="shared" si="212"/>
        <v>0</v>
      </c>
      <c r="R291" s="305">
        <f t="shared" si="212"/>
        <v>0</v>
      </c>
      <c r="S291" s="305">
        <f t="shared" si="212"/>
        <v>0</v>
      </c>
      <c r="T291" s="305">
        <f t="shared" si="212"/>
        <v>0</v>
      </c>
      <c r="U291" s="305">
        <f t="shared" si="212"/>
        <v>0</v>
      </c>
      <c r="V291" s="305">
        <f t="shared" si="212"/>
        <v>0</v>
      </c>
      <c r="W291" s="305">
        <f t="shared" si="212"/>
        <v>0</v>
      </c>
      <c r="X291" s="305">
        <f t="shared" si="212"/>
        <v>0</v>
      </c>
      <c r="Y291" s="305">
        <f t="shared" si="212"/>
        <v>0</v>
      </c>
      <c r="Z291" s="305">
        <f t="shared" si="212"/>
        <v>0</v>
      </c>
      <c r="AA291" s="305">
        <f t="shared" si="212"/>
        <v>0</v>
      </c>
      <c r="AB291" s="305">
        <f t="shared" si="212"/>
        <v>0</v>
      </c>
      <c r="AC291" s="305">
        <f t="shared" si="212"/>
        <v>0</v>
      </c>
      <c r="AD291" s="305">
        <f t="shared" si="212"/>
        <v>0</v>
      </c>
      <c r="AE291" s="305">
        <f t="shared" si="212"/>
        <v>0</v>
      </c>
      <c r="AF291" s="305">
        <f t="shared" si="212"/>
        <v>0</v>
      </c>
      <c r="AG291" s="305">
        <f t="shared" si="212"/>
        <v>0</v>
      </c>
      <c r="AH291" s="305">
        <f t="shared" si="212"/>
        <v>0</v>
      </c>
      <c r="AI291" s="305">
        <f t="shared" si="212"/>
        <v>0</v>
      </c>
      <c r="AJ291" s="305">
        <f t="shared" si="212"/>
        <v>0</v>
      </c>
      <c r="AK291" s="305">
        <f t="shared" si="212"/>
        <v>0</v>
      </c>
      <c r="AL291" s="305">
        <f t="shared" si="212"/>
        <v>0</v>
      </c>
      <c r="AM291" s="305">
        <f t="shared" si="212"/>
        <v>0</v>
      </c>
      <c r="AN291" s="305">
        <f t="shared" si="212"/>
        <v>0</v>
      </c>
      <c r="AO291" s="305">
        <f t="shared" si="212"/>
        <v>0</v>
      </c>
      <c r="AP291" s="305">
        <f t="shared" si="212"/>
        <v>0</v>
      </c>
      <c r="AQ291" s="305">
        <f t="shared" si="212"/>
        <v>0</v>
      </c>
      <c r="AR291" s="58">
        <f t="shared" si="212"/>
        <v>0</v>
      </c>
      <c r="AS291" s="305">
        <f t="shared" si="212"/>
        <v>0</v>
      </c>
      <c r="AT291" s="305">
        <f t="shared" si="212"/>
        <v>0</v>
      </c>
      <c r="AU291" s="305">
        <f t="shared" si="212"/>
        <v>0</v>
      </c>
      <c r="AV291" s="305">
        <f t="shared" si="212"/>
        <v>0</v>
      </c>
      <c r="AW291" s="305">
        <f t="shared" si="212"/>
        <v>0</v>
      </c>
      <c r="AX291" s="305">
        <f t="shared" si="212"/>
        <v>0</v>
      </c>
      <c r="AY291" s="305">
        <f t="shared" si="212"/>
        <v>0</v>
      </c>
      <c r="AZ291" s="305">
        <f t="shared" si="212"/>
        <v>0</v>
      </c>
      <c r="BA291" s="305">
        <f t="shared" si="212"/>
        <v>0</v>
      </c>
      <c r="BB291" s="305">
        <f t="shared" si="212"/>
        <v>0</v>
      </c>
      <c r="BC291" s="305">
        <f t="shared" si="212"/>
        <v>0</v>
      </c>
      <c r="BD291" s="305">
        <f t="shared" si="212"/>
        <v>0</v>
      </c>
      <c r="BE291" s="305">
        <f t="shared" si="212"/>
        <v>0</v>
      </c>
      <c r="BF291" s="305">
        <f t="shared" si="212"/>
        <v>0</v>
      </c>
      <c r="BG291" s="305">
        <f t="shared" si="212"/>
        <v>0</v>
      </c>
      <c r="BH291" s="305">
        <f t="shared" si="212"/>
        <v>0</v>
      </c>
      <c r="BI291" s="305">
        <f t="shared" si="212"/>
        <v>0</v>
      </c>
      <c r="BJ291" s="305">
        <f t="shared" si="212"/>
        <v>0</v>
      </c>
      <c r="BK291" s="305">
        <f t="shared" si="212"/>
        <v>0</v>
      </c>
      <c r="BL291" s="305">
        <f>IF($D281=0,0,BL287*(BL277-$D281)/BL277)</f>
        <v>0</v>
      </c>
      <c r="BM291" s="305">
        <f>IF($D281=0,0,BM287*(BM277-$D281)/BM277)</f>
        <v>0</v>
      </c>
      <c r="BN291" s="305">
        <f>IF($D281=0,0,BN287*(BN277-$D281)/BN277)</f>
        <v>0</v>
      </c>
      <c r="BO291" s="8">
        <f>IF(D291=0,0,BO288)</f>
        <v>0</v>
      </c>
      <c r="BP291" s="43"/>
      <c r="BQ291" s="41"/>
    </row>
    <row r="292" spans="1:69" ht="16.5">
      <c r="A292" s="41"/>
      <c r="B292" s="9">
        <f t="shared" si="210"/>
        <v>5</v>
      </c>
      <c r="C292" s="300" t="s">
        <v>57</v>
      </c>
      <c r="D292" s="8">
        <f>IF($D282=0,0,D287*(D277-$D282)/D277)</f>
        <v>0</v>
      </c>
      <c r="E292" s="305">
        <f t="shared" ref="E292:BK292" si="213">IF($D282=0,0,E287*(E277-$D282)/E277)</f>
        <v>0</v>
      </c>
      <c r="F292" s="305">
        <f t="shared" si="213"/>
        <v>0</v>
      </c>
      <c r="G292" s="305">
        <f t="shared" si="213"/>
        <v>0</v>
      </c>
      <c r="H292" s="305">
        <f t="shared" si="213"/>
        <v>0</v>
      </c>
      <c r="I292" s="305">
        <f t="shared" si="213"/>
        <v>0</v>
      </c>
      <c r="J292" s="305">
        <f t="shared" si="213"/>
        <v>0</v>
      </c>
      <c r="K292" s="305">
        <f t="shared" si="213"/>
        <v>0</v>
      </c>
      <c r="L292" s="305">
        <f t="shared" si="213"/>
        <v>0</v>
      </c>
      <c r="M292" s="305">
        <f t="shared" si="213"/>
        <v>0</v>
      </c>
      <c r="N292" s="305">
        <f t="shared" si="213"/>
        <v>0</v>
      </c>
      <c r="O292" s="305">
        <f t="shared" si="213"/>
        <v>0</v>
      </c>
      <c r="P292" s="305">
        <f t="shared" si="213"/>
        <v>0</v>
      </c>
      <c r="Q292" s="305">
        <f t="shared" si="213"/>
        <v>0</v>
      </c>
      <c r="R292" s="305">
        <f t="shared" si="213"/>
        <v>0</v>
      </c>
      <c r="S292" s="305">
        <f t="shared" si="213"/>
        <v>0</v>
      </c>
      <c r="T292" s="305">
        <f t="shared" si="213"/>
        <v>0</v>
      </c>
      <c r="U292" s="305">
        <f t="shared" si="213"/>
        <v>0</v>
      </c>
      <c r="V292" s="305">
        <f t="shared" si="213"/>
        <v>0</v>
      </c>
      <c r="W292" s="305">
        <f t="shared" si="213"/>
        <v>0</v>
      </c>
      <c r="X292" s="305">
        <f t="shared" si="213"/>
        <v>0</v>
      </c>
      <c r="Y292" s="305">
        <f t="shared" si="213"/>
        <v>0</v>
      </c>
      <c r="Z292" s="305">
        <f t="shared" si="213"/>
        <v>0</v>
      </c>
      <c r="AA292" s="305">
        <f t="shared" si="213"/>
        <v>0</v>
      </c>
      <c r="AB292" s="305">
        <f t="shared" si="213"/>
        <v>0</v>
      </c>
      <c r="AC292" s="305">
        <f t="shared" si="213"/>
        <v>0</v>
      </c>
      <c r="AD292" s="305">
        <f t="shared" si="213"/>
        <v>0</v>
      </c>
      <c r="AE292" s="305">
        <f t="shared" si="213"/>
        <v>0</v>
      </c>
      <c r="AF292" s="305">
        <f t="shared" si="213"/>
        <v>0</v>
      </c>
      <c r="AG292" s="305">
        <f t="shared" si="213"/>
        <v>0</v>
      </c>
      <c r="AH292" s="305">
        <f t="shared" si="213"/>
        <v>0</v>
      </c>
      <c r="AI292" s="305">
        <f t="shared" si="213"/>
        <v>0</v>
      </c>
      <c r="AJ292" s="305">
        <f t="shared" si="213"/>
        <v>0</v>
      </c>
      <c r="AK292" s="305">
        <f t="shared" si="213"/>
        <v>0</v>
      </c>
      <c r="AL292" s="305">
        <f t="shared" si="213"/>
        <v>0</v>
      </c>
      <c r="AM292" s="305">
        <f t="shared" si="213"/>
        <v>0</v>
      </c>
      <c r="AN292" s="305">
        <f t="shared" si="213"/>
        <v>0</v>
      </c>
      <c r="AO292" s="305">
        <f t="shared" si="213"/>
        <v>0</v>
      </c>
      <c r="AP292" s="305">
        <f t="shared" si="213"/>
        <v>0</v>
      </c>
      <c r="AQ292" s="305">
        <f t="shared" si="213"/>
        <v>0</v>
      </c>
      <c r="AR292" s="58">
        <f t="shared" si="213"/>
        <v>0</v>
      </c>
      <c r="AS292" s="305">
        <f t="shared" si="213"/>
        <v>0</v>
      </c>
      <c r="AT292" s="305">
        <f t="shared" si="213"/>
        <v>0</v>
      </c>
      <c r="AU292" s="305">
        <f t="shared" si="213"/>
        <v>0</v>
      </c>
      <c r="AV292" s="305">
        <f t="shared" si="213"/>
        <v>0</v>
      </c>
      <c r="AW292" s="305">
        <f t="shared" si="213"/>
        <v>0</v>
      </c>
      <c r="AX292" s="305">
        <f t="shared" si="213"/>
        <v>0</v>
      </c>
      <c r="AY292" s="305">
        <f t="shared" si="213"/>
        <v>0</v>
      </c>
      <c r="AZ292" s="305">
        <f t="shared" si="213"/>
        <v>0</v>
      </c>
      <c r="BA292" s="305">
        <f t="shared" si="213"/>
        <v>0</v>
      </c>
      <c r="BB292" s="305">
        <f t="shared" si="213"/>
        <v>0</v>
      </c>
      <c r="BC292" s="305">
        <f t="shared" si="213"/>
        <v>0</v>
      </c>
      <c r="BD292" s="305">
        <f t="shared" si="213"/>
        <v>0</v>
      </c>
      <c r="BE292" s="305">
        <f t="shared" si="213"/>
        <v>0</v>
      </c>
      <c r="BF292" s="305">
        <f t="shared" si="213"/>
        <v>0</v>
      </c>
      <c r="BG292" s="305">
        <f t="shared" si="213"/>
        <v>0</v>
      </c>
      <c r="BH292" s="305">
        <f t="shared" si="213"/>
        <v>0</v>
      </c>
      <c r="BI292" s="305">
        <f t="shared" si="213"/>
        <v>0</v>
      </c>
      <c r="BJ292" s="305">
        <f t="shared" si="213"/>
        <v>0</v>
      </c>
      <c r="BK292" s="305">
        <f t="shared" si="213"/>
        <v>0</v>
      </c>
      <c r="BL292" s="305">
        <f>IF($D282=0,0,BL287*(BL277-$D282)/BL277)</f>
        <v>0</v>
      </c>
      <c r="BM292" s="305">
        <f>IF($D282=0,0,BM287*(BM277-$D282)/BM277)</f>
        <v>0</v>
      </c>
      <c r="BN292" s="305">
        <f>IF($D282=0,0,BN287*(BN277-$D282)/BN277)</f>
        <v>0</v>
      </c>
      <c r="BO292" s="8">
        <f>IF(D292=0,0,BO288)</f>
        <v>0</v>
      </c>
      <c r="BP292" s="43"/>
      <c r="BQ292" s="41"/>
    </row>
    <row r="293" spans="1:69" ht="16.5">
      <c r="A293" s="41"/>
      <c r="B293" s="9">
        <f t="shared" si="210"/>
        <v>6</v>
      </c>
      <c r="C293" s="300" t="s">
        <v>57</v>
      </c>
      <c r="D293" s="8">
        <f>IF($D283=0,0,D287*(D277-$D283)/D277)</f>
        <v>0</v>
      </c>
      <c r="E293" s="305">
        <f t="shared" ref="E293:BK293" si="214">IF($D283=0,0,E287*(E277-$D283)/E277)</f>
        <v>0</v>
      </c>
      <c r="F293" s="306">
        <f t="shared" si="214"/>
        <v>0</v>
      </c>
      <c r="G293" s="306">
        <f t="shared" si="214"/>
        <v>0</v>
      </c>
      <c r="H293" s="306">
        <f t="shared" si="214"/>
        <v>0</v>
      </c>
      <c r="I293" s="305">
        <f t="shared" si="214"/>
        <v>0</v>
      </c>
      <c r="J293" s="305">
        <f t="shared" si="214"/>
        <v>0</v>
      </c>
      <c r="K293" s="305">
        <f t="shared" si="214"/>
        <v>0</v>
      </c>
      <c r="L293" s="305">
        <f t="shared" si="214"/>
        <v>0</v>
      </c>
      <c r="M293" s="305">
        <f t="shared" si="214"/>
        <v>0</v>
      </c>
      <c r="N293" s="305">
        <f t="shared" si="214"/>
        <v>0</v>
      </c>
      <c r="O293" s="305">
        <f t="shared" si="214"/>
        <v>0</v>
      </c>
      <c r="P293" s="305">
        <f t="shared" si="214"/>
        <v>0</v>
      </c>
      <c r="Q293" s="305">
        <f t="shared" si="214"/>
        <v>0</v>
      </c>
      <c r="R293" s="305">
        <f t="shared" si="214"/>
        <v>0</v>
      </c>
      <c r="S293" s="305">
        <f t="shared" si="214"/>
        <v>0</v>
      </c>
      <c r="T293" s="305">
        <f t="shared" si="214"/>
        <v>0</v>
      </c>
      <c r="U293" s="305">
        <f t="shared" si="214"/>
        <v>0</v>
      </c>
      <c r="V293" s="305">
        <f t="shared" si="214"/>
        <v>0</v>
      </c>
      <c r="W293" s="305">
        <f t="shared" si="214"/>
        <v>0</v>
      </c>
      <c r="X293" s="305">
        <f t="shared" si="214"/>
        <v>0</v>
      </c>
      <c r="Y293" s="305">
        <f t="shared" si="214"/>
        <v>0</v>
      </c>
      <c r="Z293" s="305">
        <f t="shared" si="214"/>
        <v>0</v>
      </c>
      <c r="AA293" s="305">
        <f t="shared" si="214"/>
        <v>0</v>
      </c>
      <c r="AB293" s="305">
        <f t="shared" si="214"/>
        <v>0</v>
      </c>
      <c r="AC293" s="305">
        <f t="shared" si="214"/>
        <v>0</v>
      </c>
      <c r="AD293" s="305">
        <f t="shared" si="214"/>
        <v>0</v>
      </c>
      <c r="AE293" s="305">
        <f t="shared" si="214"/>
        <v>0</v>
      </c>
      <c r="AF293" s="305">
        <f t="shared" si="214"/>
        <v>0</v>
      </c>
      <c r="AG293" s="305">
        <f t="shared" si="214"/>
        <v>0</v>
      </c>
      <c r="AH293" s="305">
        <f t="shared" si="214"/>
        <v>0</v>
      </c>
      <c r="AI293" s="305">
        <f t="shared" si="214"/>
        <v>0</v>
      </c>
      <c r="AJ293" s="305">
        <f t="shared" si="214"/>
        <v>0</v>
      </c>
      <c r="AK293" s="305">
        <f t="shared" si="214"/>
        <v>0</v>
      </c>
      <c r="AL293" s="305">
        <f t="shared" si="214"/>
        <v>0</v>
      </c>
      <c r="AM293" s="305">
        <f t="shared" si="214"/>
        <v>0</v>
      </c>
      <c r="AN293" s="305">
        <f t="shared" si="214"/>
        <v>0</v>
      </c>
      <c r="AO293" s="305">
        <f t="shared" si="214"/>
        <v>0</v>
      </c>
      <c r="AP293" s="305">
        <f t="shared" si="214"/>
        <v>0</v>
      </c>
      <c r="AQ293" s="305">
        <f t="shared" si="214"/>
        <v>0</v>
      </c>
      <c r="AR293" s="58">
        <f t="shared" si="214"/>
        <v>0</v>
      </c>
      <c r="AS293" s="305">
        <f t="shared" si="214"/>
        <v>0</v>
      </c>
      <c r="AT293" s="305">
        <f t="shared" si="214"/>
        <v>0</v>
      </c>
      <c r="AU293" s="305">
        <f t="shared" si="214"/>
        <v>0</v>
      </c>
      <c r="AV293" s="305">
        <f t="shared" si="214"/>
        <v>0</v>
      </c>
      <c r="AW293" s="305">
        <f t="shared" si="214"/>
        <v>0</v>
      </c>
      <c r="AX293" s="305">
        <f t="shared" si="214"/>
        <v>0</v>
      </c>
      <c r="AY293" s="305">
        <f t="shared" si="214"/>
        <v>0</v>
      </c>
      <c r="AZ293" s="305">
        <f t="shared" si="214"/>
        <v>0</v>
      </c>
      <c r="BA293" s="305">
        <f t="shared" si="214"/>
        <v>0</v>
      </c>
      <c r="BB293" s="305">
        <f t="shared" si="214"/>
        <v>0</v>
      </c>
      <c r="BC293" s="305">
        <f t="shared" si="214"/>
        <v>0</v>
      </c>
      <c r="BD293" s="305">
        <f t="shared" si="214"/>
        <v>0</v>
      </c>
      <c r="BE293" s="305">
        <f t="shared" si="214"/>
        <v>0</v>
      </c>
      <c r="BF293" s="305">
        <f t="shared" si="214"/>
        <v>0</v>
      </c>
      <c r="BG293" s="305">
        <f t="shared" si="214"/>
        <v>0</v>
      </c>
      <c r="BH293" s="305">
        <f t="shared" si="214"/>
        <v>0</v>
      </c>
      <c r="BI293" s="305">
        <f t="shared" si="214"/>
        <v>0</v>
      </c>
      <c r="BJ293" s="305">
        <f t="shared" si="214"/>
        <v>0</v>
      </c>
      <c r="BK293" s="305">
        <f t="shared" si="214"/>
        <v>0</v>
      </c>
      <c r="BL293" s="305">
        <f>IF($D283=0,0,BL287*(BL277-$D283)/BL277)</f>
        <v>0</v>
      </c>
      <c r="BM293" s="305">
        <f>IF($D283=0,0,BM287*(BM277-$D283)/BM277)</f>
        <v>0</v>
      </c>
      <c r="BN293" s="305">
        <f>IF($D283=0,0,BN287*(BN277-$D283)/BN277)</f>
        <v>0</v>
      </c>
      <c r="BO293" s="8">
        <f>IF(D293=0,0,BO288)</f>
        <v>0</v>
      </c>
      <c r="BP293" s="43"/>
      <c r="BQ293" s="41"/>
    </row>
    <row r="294" spans="1:69" ht="16.5">
      <c r="A294" s="41"/>
      <c r="B294" s="9">
        <f t="shared" si="210"/>
        <v>7</v>
      </c>
      <c r="C294" s="300" t="s">
        <v>57</v>
      </c>
      <c r="D294" s="8">
        <f>IF($D284=0,0,D287*(D277-$D284)/D277)</f>
        <v>0</v>
      </c>
      <c r="E294" s="305">
        <f t="shared" ref="E294:BK294" si="215">IF($D284=0,0,E287*(E277-$D284)/E277)</f>
        <v>0</v>
      </c>
      <c r="F294" s="306">
        <f t="shared" si="215"/>
        <v>0</v>
      </c>
      <c r="G294" s="306">
        <f t="shared" si="215"/>
        <v>0</v>
      </c>
      <c r="H294" s="306">
        <f t="shared" si="215"/>
        <v>0</v>
      </c>
      <c r="I294" s="305">
        <f t="shared" si="215"/>
        <v>0</v>
      </c>
      <c r="J294" s="305">
        <f t="shared" si="215"/>
        <v>0</v>
      </c>
      <c r="K294" s="305">
        <f t="shared" si="215"/>
        <v>0</v>
      </c>
      <c r="L294" s="305">
        <f t="shared" si="215"/>
        <v>0</v>
      </c>
      <c r="M294" s="305">
        <f t="shared" si="215"/>
        <v>0</v>
      </c>
      <c r="N294" s="305">
        <f t="shared" si="215"/>
        <v>0</v>
      </c>
      <c r="O294" s="305">
        <f t="shared" si="215"/>
        <v>0</v>
      </c>
      <c r="P294" s="305">
        <f t="shared" si="215"/>
        <v>0</v>
      </c>
      <c r="Q294" s="305">
        <f t="shared" si="215"/>
        <v>0</v>
      </c>
      <c r="R294" s="305">
        <f t="shared" si="215"/>
        <v>0</v>
      </c>
      <c r="S294" s="305">
        <f t="shared" si="215"/>
        <v>0</v>
      </c>
      <c r="T294" s="305">
        <f t="shared" si="215"/>
        <v>0</v>
      </c>
      <c r="U294" s="305">
        <f t="shared" si="215"/>
        <v>0</v>
      </c>
      <c r="V294" s="305">
        <f t="shared" si="215"/>
        <v>0</v>
      </c>
      <c r="W294" s="305">
        <f t="shared" si="215"/>
        <v>0</v>
      </c>
      <c r="X294" s="305">
        <f t="shared" si="215"/>
        <v>0</v>
      </c>
      <c r="Y294" s="305">
        <f t="shared" si="215"/>
        <v>0</v>
      </c>
      <c r="Z294" s="305">
        <f t="shared" si="215"/>
        <v>0</v>
      </c>
      <c r="AA294" s="305">
        <f t="shared" si="215"/>
        <v>0</v>
      </c>
      <c r="AB294" s="305">
        <f t="shared" si="215"/>
        <v>0</v>
      </c>
      <c r="AC294" s="305">
        <f t="shared" si="215"/>
        <v>0</v>
      </c>
      <c r="AD294" s="305">
        <f t="shared" si="215"/>
        <v>0</v>
      </c>
      <c r="AE294" s="305">
        <f t="shared" si="215"/>
        <v>0</v>
      </c>
      <c r="AF294" s="305">
        <f t="shared" si="215"/>
        <v>0</v>
      </c>
      <c r="AG294" s="305">
        <f t="shared" si="215"/>
        <v>0</v>
      </c>
      <c r="AH294" s="305">
        <f t="shared" si="215"/>
        <v>0</v>
      </c>
      <c r="AI294" s="305">
        <f t="shared" si="215"/>
        <v>0</v>
      </c>
      <c r="AJ294" s="305">
        <f t="shared" si="215"/>
        <v>0</v>
      </c>
      <c r="AK294" s="305">
        <f t="shared" si="215"/>
        <v>0</v>
      </c>
      <c r="AL294" s="305">
        <f t="shared" si="215"/>
        <v>0</v>
      </c>
      <c r="AM294" s="305">
        <f t="shared" si="215"/>
        <v>0</v>
      </c>
      <c r="AN294" s="305">
        <f t="shared" si="215"/>
        <v>0</v>
      </c>
      <c r="AO294" s="305">
        <f t="shared" si="215"/>
        <v>0</v>
      </c>
      <c r="AP294" s="305">
        <f t="shared" si="215"/>
        <v>0</v>
      </c>
      <c r="AQ294" s="305">
        <f t="shared" si="215"/>
        <v>0</v>
      </c>
      <c r="AR294" s="58">
        <f t="shared" si="215"/>
        <v>0</v>
      </c>
      <c r="AS294" s="305">
        <f t="shared" si="215"/>
        <v>0</v>
      </c>
      <c r="AT294" s="305">
        <f t="shared" si="215"/>
        <v>0</v>
      </c>
      <c r="AU294" s="305">
        <f t="shared" si="215"/>
        <v>0</v>
      </c>
      <c r="AV294" s="305">
        <f t="shared" si="215"/>
        <v>0</v>
      </c>
      <c r="AW294" s="305">
        <f t="shared" si="215"/>
        <v>0</v>
      </c>
      <c r="AX294" s="305">
        <f t="shared" si="215"/>
        <v>0</v>
      </c>
      <c r="AY294" s="305">
        <f t="shared" si="215"/>
        <v>0</v>
      </c>
      <c r="AZ294" s="305">
        <f t="shared" si="215"/>
        <v>0</v>
      </c>
      <c r="BA294" s="305">
        <f t="shared" si="215"/>
        <v>0</v>
      </c>
      <c r="BB294" s="305">
        <f t="shared" si="215"/>
        <v>0</v>
      </c>
      <c r="BC294" s="305">
        <f t="shared" si="215"/>
        <v>0</v>
      </c>
      <c r="BD294" s="305">
        <f t="shared" si="215"/>
        <v>0</v>
      </c>
      <c r="BE294" s="305">
        <f t="shared" si="215"/>
        <v>0</v>
      </c>
      <c r="BF294" s="305">
        <f t="shared" si="215"/>
        <v>0</v>
      </c>
      <c r="BG294" s="305">
        <f t="shared" si="215"/>
        <v>0</v>
      </c>
      <c r="BH294" s="305">
        <f t="shared" si="215"/>
        <v>0</v>
      </c>
      <c r="BI294" s="305">
        <f t="shared" si="215"/>
        <v>0</v>
      </c>
      <c r="BJ294" s="305">
        <f t="shared" si="215"/>
        <v>0</v>
      </c>
      <c r="BK294" s="305">
        <f t="shared" si="215"/>
        <v>0</v>
      </c>
      <c r="BL294" s="305">
        <f>IF($D284=0,0,BL287*(BL277-$D284)/BL277)</f>
        <v>0</v>
      </c>
      <c r="BM294" s="305">
        <f>IF($D284=0,0,BM287*(BM277-$D284)/BM277)</f>
        <v>0</v>
      </c>
      <c r="BN294" s="305">
        <f>IF($D284=0,0,BN287*(BN277-$D284)/BN277)</f>
        <v>0</v>
      </c>
      <c r="BO294" s="8">
        <f>IF(D294=0,0,BO288)</f>
        <v>0</v>
      </c>
      <c r="BP294" s="43"/>
      <c r="BQ294" s="41"/>
    </row>
    <row r="295" spans="1:69" ht="16.5">
      <c r="A295" s="41"/>
      <c r="B295" s="9">
        <f t="shared" si="210"/>
        <v>8</v>
      </c>
      <c r="C295" s="300" t="s">
        <v>57</v>
      </c>
      <c r="D295" s="8">
        <f>IF($D285=0,0,D287*(D277-$D285)/D277)</f>
        <v>0</v>
      </c>
      <c r="E295" s="305">
        <f t="shared" ref="E295:BK295" si="216">IF($D285=0,0,E287*(E277-$D285)/E277)</f>
        <v>0</v>
      </c>
      <c r="F295" s="306">
        <f t="shared" si="216"/>
        <v>0</v>
      </c>
      <c r="G295" s="306">
        <f t="shared" si="216"/>
        <v>0</v>
      </c>
      <c r="H295" s="306">
        <f t="shared" si="216"/>
        <v>0</v>
      </c>
      <c r="I295" s="305">
        <f t="shared" si="216"/>
        <v>0</v>
      </c>
      <c r="J295" s="305">
        <f t="shared" si="216"/>
        <v>0</v>
      </c>
      <c r="K295" s="305">
        <f t="shared" si="216"/>
        <v>0</v>
      </c>
      <c r="L295" s="305">
        <f t="shared" si="216"/>
        <v>0</v>
      </c>
      <c r="M295" s="305">
        <f t="shared" si="216"/>
        <v>0</v>
      </c>
      <c r="N295" s="305">
        <f t="shared" si="216"/>
        <v>0</v>
      </c>
      <c r="O295" s="305">
        <f t="shared" si="216"/>
        <v>0</v>
      </c>
      <c r="P295" s="305">
        <f t="shared" si="216"/>
        <v>0</v>
      </c>
      <c r="Q295" s="305">
        <f t="shared" si="216"/>
        <v>0</v>
      </c>
      <c r="R295" s="305">
        <f t="shared" si="216"/>
        <v>0</v>
      </c>
      <c r="S295" s="305">
        <f t="shared" si="216"/>
        <v>0</v>
      </c>
      <c r="T295" s="305">
        <f t="shared" si="216"/>
        <v>0</v>
      </c>
      <c r="U295" s="305">
        <f t="shared" si="216"/>
        <v>0</v>
      </c>
      <c r="V295" s="305">
        <f t="shared" si="216"/>
        <v>0</v>
      </c>
      <c r="W295" s="305">
        <f t="shared" si="216"/>
        <v>0</v>
      </c>
      <c r="X295" s="305">
        <f t="shared" si="216"/>
        <v>0</v>
      </c>
      <c r="Y295" s="305">
        <f t="shared" si="216"/>
        <v>0</v>
      </c>
      <c r="Z295" s="305">
        <f t="shared" si="216"/>
        <v>0</v>
      </c>
      <c r="AA295" s="305">
        <f t="shared" si="216"/>
        <v>0</v>
      </c>
      <c r="AB295" s="305">
        <f t="shared" si="216"/>
        <v>0</v>
      </c>
      <c r="AC295" s="305">
        <f t="shared" si="216"/>
        <v>0</v>
      </c>
      <c r="AD295" s="305">
        <f t="shared" si="216"/>
        <v>0</v>
      </c>
      <c r="AE295" s="305">
        <f t="shared" si="216"/>
        <v>0</v>
      </c>
      <c r="AF295" s="305">
        <f t="shared" si="216"/>
        <v>0</v>
      </c>
      <c r="AG295" s="305">
        <f t="shared" si="216"/>
        <v>0</v>
      </c>
      <c r="AH295" s="305">
        <f t="shared" si="216"/>
        <v>0</v>
      </c>
      <c r="AI295" s="305">
        <f t="shared" si="216"/>
        <v>0</v>
      </c>
      <c r="AJ295" s="305">
        <f t="shared" si="216"/>
        <v>0</v>
      </c>
      <c r="AK295" s="305">
        <f t="shared" si="216"/>
        <v>0</v>
      </c>
      <c r="AL295" s="305">
        <f t="shared" si="216"/>
        <v>0</v>
      </c>
      <c r="AM295" s="305">
        <f t="shared" si="216"/>
        <v>0</v>
      </c>
      <c r="AN295" s="305">
        <f t="shared" si="216"/>
        <v>0</v>
      </c>
      <c r="AO295" s="305">
        <f t="shared" si="216"/>
        <v>0</v>
      </c>
      <c r="AP295" s="305">
        <f t="shared" si="216"/>
        <v>0</v>
      </c>
      <c r="AQ295" s="305">
        <f t="shared" si="216"/>
        <v>0</v>
      </c>
      <c r="AR295" s="58">
        <f t="shared" si="216"/>
        <v>0</v>
      </c>
      <c r="AS295" s="305">
        <f t="shared" si="216"/>
        <v>0</v>
      </c>
      <c r="AT295" s="305">
        <f t="shared" si="216"/>
        <v>0</v>
      </c>
      <c r="AU295" s="305">
        <f t="shared" si="216"/>
        <v>0</v>
      </c>
      <c r="AV295" s="305">
        <f t="shared" si="216"/>
        <v>0</v>
      </c>
      <c r="AW295" s="305">
        <f t="shared" si="216"/>
        <v>0</v>
      </c>
      <c r="AX295" s="305">
        <f t="shared" si="216"/>
        <v>0</v>
      </c>
      <c r="AY295" s="305">
        <f t="shared" si="216"/>
        <v>0</v>
      </c>
      <c r="AZ295" s="305">
        <f t="shared" si="216"/>
        <v>0</v>
      </c>
      <c r="BA295" s="305">
        <f t="shared" si="216"/>
        <v>0</v>
      </c>
      <c r="BB295" s="305">
        <f t="shared" si="216"/>
        <v>0</v>
      </c>
      <c r="BC295" s="305">
        <f t="shared" si="216"/>
        <v>0</v>
      </c>
      <c r="BD295" s="305">
        <f t="shared" si="216"/>
        <v>0</v>
      </c>
      <c r="BE295" s="305">
        <f t="shared" si="216"/>
        <v>0</v>
      </c>
      <c r="BF295" s="305">
        <f t="shared" si="216"/>
        <v>0</v>
      </c>
      <c r="BG295" s="305">
        <f t="shared" si="216"/>
        <v>0</v>
      </c>
      <c r="BH295" s="305">
        <f t="shared" si="216"/>
        <v>0</v>
      </c>
      <c r="BI295" s="305">
        <f t="shared" si="216"/>
        <v>0</v>
      </c>
      <c r="BJ295" s="305">
        <f t="shared" si="216"/>
        <v>0</v>
      </c>
      <c r="BK295" s="305">
        <f t="shared" si="216"/>
        <v>0</v>
      </c>
      <c r="BL295" s="305">
        <f>IF($D285=0,0,BL287*(BL277-$D285)/BL277)</f>
        <v>0</v>
      </c>
      <c r="BM295" s="305">
        <f>IF($D285=0,0,BM287*(BM277-$D285)/BM277)</f>
        <v>0</v>
      </c>
      <c r="BN295" s="305">
        <f>IF($D285=0,0,BN287*(BN277-$D285)/BN277)</f>
        <v>0</v>
      </c>
      <c r="BO295" s="8">
        <f>IF(D295=0,0,BO288)</f>
        <v>0</v>
      </c>
      <c r="BP295" s="43"/>
      <c r="BQ295" s="41"/>
    </row>
    <row r="296" spans="1:69" ht="16.5">
      <c r="A296" s="41"/>
      <c r="B296" s="9">
        <f t="shared" si="210"/>
        <v>9</v>
      </c>
      <c r="C296" s="300" t="s">
        <v>57</v>
      </c>
      <c r="D296" s="8">
        <f>IF($D286=0,0,D287*(D277-$D286)/D277)</f>
        <v>0</v>
      </c>
      <c r="E296" s="305">
        <f t="shared" ref="E296:BK296" si="217">IF($D286=0,0,E287*(E277-$D286)/E277)</f>
        <v>0</v>
      </c>
      <c r="F296" s="306">
        <f t="shared" si="217"/>
        <v>0</v>
      </c>
      <c r="G296" s="306">
        <f t="shared" si="217"/>
        <v>0</v>
      </c>
      <c r="H296" s="306">
        <f t="shared" si="217"/>
        <v>0</v>
      </c>
      <c r="I296" s="305">
        <f t="shared" si="217"/>
        <v>0</v>
      </c>
      <c r="J296" s="305">
        <f t="shared" si="217"/>
        <v>0</v>
      </c>
      <c r="K296" s="305">
        <f t="shared" si="217"/>
        <v>0</v>
      </c>
      <c r="L296" s="305">
        <f t="shared" si="217"/>
        <v>0</v>
      </c>
      <c r="M296" s="305">
        <f t="shared" si="217"/>
        <v>0</v>
      </c>
      <c r="N296" s="305">
        <f t="shared" si="217"/>
        <v>0</v>
      </c>
      <c r="O296" s="305">
        <f t="shared" si="217"/>
        <v>0</v>
      </c>
      <c r="P296" s="305">
        <f t="shared" si="217"/>
        <v>0</v>
      </c>
      <c r="Q296" s="305">
        <f t="shared" si="217"/>
        <v>0</v>
      </c>
      <c r="R296" s="305">
        <f t="shared" si="217"/>
        <v>0</v>
      </c>
      <c r="S296" s="305">
        <f t="shared" si="217"/>
        <v>0</v>
      </c>
      <c r="T296" s="305">
        <f t="shared" si="217"/>
        <v>0</v>
      </c>
      <c r="U296" s="305">
        <f t="shared" si="217"/>
        <v>0</v>
      </c>
      <c r="V296" s="305">
        <f t="shared" si="217"/>
        <v>0</v>
      </c>
      <c r="W296" s="305">
        <f t="shared" si="217"/>
        <v>0</v>
      </c>
      <c r="X296" s="305">
        <f t="shared" si="217"/>
        <v>0</v>
      </c>
      <c r="Y296" s="305">
        <f t="shared" si="217"/>
        <v>0</v>
      </c>
      <c r="Z296" s="305">
        <f t="shared" si="217"/>
        <v>0</v>
      </c>
      <c r="AA296" s="305">
        <f t="shared" si="217"/>
        <v>0</v>
      </c>
      <c r="AB296" s="305">
        <f t="shared" si="217"/>
        <v>0</v>
      </c>
      <c r="AC296" s="305">
        <f t="shared" si="217"/>
        <v>0</v>
      </c>
      <c r="AD296" s="305">
        <f t="shared" si="217"/>
        <v>0</v>
      </c>
      <c r="AE296" s="305">
        <f t="shared" si="217"/>
        <v>0</v>
      </c>
      <c r="AF296" s="305">
        <f t="shared" si="217"/>
        <v>0</v>
      </c>
      <c r="AG296" s="305">
        <f t="shared" si="217"/>
        <v>0</v>
      </c>
      <c r="AH296" s="305">
        <f t="shared" si="217"/>
        <v>0</v>
      </c>
      <c r="AI296" s="305">
        <f t="shared" si="217"/>
        <v>0</v>
      </c>
      <c r="AJ296" s="305">
        <f t="shared" si="217"/>
        <v>0</v>
      </c>
      <c r="AK296" s="305">
        <f t="shared" si="217"/>
        <v>0</v>
      </c>
      <c r="AL296" s="305">
        <f t="shared" si="217"/>
        <v>0</v>
      </c>
      <c r="AM296" s="305">
        <f t="shared" si="217"/>
        <v>0</v>
      </c>
      <c r="AN296" s="305">
        <f t="shared" si="217"/>
        <v>0</v>
      </c>
      <c r="AO296" s="305">
        <f t="shared" si="217"/>
        <v>0</v>
      </c>
      <c r="AP296" s="305">
        <f t="shared" si="217"/>
        <v>0</v>
      </c>
      <c r="AQ296" s="305">
        <f t="shared" si="217"/>
        <v>0</v>
      </c>
      <c r="AR296" s="58">
        <f t="shared" si="217"/>
        <v>0</v>
      </c>
      <c r="AS296" s="305">
        <f t="shared" si="217"/>
        <v>0</v>
      </c>
      <c r="AT296" s="305">
        <f t="shared" si="217"/>
        <v>0</v>
      </c>
      <c r="AU296" s="305">
        <f t="shared" si="217"/>
        <v>0</v>
      </c>
      <c r="AV296" s="305">
        <f t="shared" si="217"/>
        <v>0</v>
      </c>
      <c r="AW296" s="305">
        <f t="shared" si="217"/>
        <v>0</v>
      </c>
      <c r="AX296" s="305">
        <f t="shared" si="217"/>
        <v>0</v>
      </c>
      <c r="AY296" s="305">
        <f t="shared" si="217"/>
        <v>0</v>
      </c>
      <c r="AZ296" s="305">
        <f t="shared" si="217"/>
        <v>0</v>
      </c>
      <c r="BA296" s="305">
        <f t="shared" si="217"/>
        <v>0</v>
      </c>
      <c r="BB296" s="305">
        <f t="shared" si="217"/>
        <v>0</v>
      </c>
      <c r="BC296" s="305">
        <f t="shared" si="217"/>
        <v>0</v>
      </c>
      <c r="BD296" s="305">
        <f t="shared" si="217"/>
        <v>0</v>
      </c>
      <c r="BE296" s="305">
        <f t="shared" si="217"/>
        <v>0</v>
      </c>
      <c r="BF296" s="305">
        <f t="shared" si="217"/>
        <v>0</v>
      </c>
      <c r="BG296" s="305">
        <f t="shared" si="217"/>
        <v>0</v>
      </c>
      <c r="BH296" s="305">
        <f t="shared" si="217"/>
        <v>0</v>
      </c>
      <c r="BI296" s="305">
        <f t="shared" si="217"/>
        <v>0</v>
      </c>
      <c r="BJ296" s="305">
        <f t="shared" si="217"/>
        <v>0</v>
      </c>
      <c r="BK296" s="305">
        <f t="shared" si="217"/>
        <v>0</v>
      </c>
      <c r="BL296" s="305">
        <f>IF($D286=0,0,BL287*(BL277-$D286)/BL277)</f>
        <v>0</v>
      </c>
      <c r="BM296" s="305">
        <f>IF($D286=0,0,BM287*(BM277-$D286)/BM277)</f>
        <v>0</v>
      </c>
      <c r="BN296" s="305">
        <f>IF($D286=0,0,BN287*(BN277-$D286)/BN277)</f>
        <v>0</v>
      </c>
      <c r="BO296" s="8">
        <f>IF(D296=0,0,BO288)</f>
        <v>0</v>
      </c>
      <c r="BP296" s="43"/>
      <c r="BQ296" s="41"/>
    </row>
    <row r="297" spans="1:69" ht="16.5">
      <c r="A297" s="41"/>
      <c r="B297" s="292" t="s">
        <v>119</v>
      </c>
      <c r="C297" s="300" t="s">
        <v>58</v>
      </c>
      <c r="D297" s="8">
        <f>D287*(D277-$F274)/D277</f>
        <v>-0.12073223107079289</v>
      </c>
      <c r="E297" s="10">
        <f t="shared" ref="E297:BK297" si="218">E287*(E277-$F274)/E277</f>
        <v>-7.8103774445051469E-2</v>
      </c>
      <c r="F297" s="32">
        <f t="shared" si="218"/>
        <v>-5.7256185912070059E-2</v>
      </c>
      <c r="G297" s="32">
        <f t="shared" si="218"/>
        <v>-4.4893051563142543E-2</v>
      </c>
      <c r="H297" s="32">
        <f t="shared" si="218"/>
        <v>-3.6710675196757733E-2</v>
      </c>
      <c r="I297" s="10">
        <f t="shared" si="218"/>
        <v>-3.0895096058475915E-2</v>
      </c>
      <c r="J297" s="10">
        <f t="shared" si="218"/>
        <v>-2.6549154682477562E-2</v>
      </c>
      <c r="K297" s="10">
        <f t="shared" si="218"/>
        <v>-2.3178262385924218E-2</v>
      </c>
      <c r="L297" s="10">
        <f t="shared" si="218"/>
        <v>-2.0487376008099377E-2</v>
      </c>
      <c r="M297" s="10">
        <f t="shared" si="218"/>
        <v>-1.8289583220191641E-2</v>
      </c>
      <c r="N297" s="10">
        <f t="shared" si="218"/>
        <v>-1.6460723943937706E-2</v>
      </c>
      <c r="O297" s="10">
        <f t="shared" si="218"/>
        <v>-1.4915094711565238E-2</v>
      </c>
      <c r="P297" s="10">
        <f t="shared" si="218"/>
        <v>-1.3591629572228854E-2</v>
      </c>
      <c r="Q297" s="10">
        <f t="shared" si="218"/>
        <v>-1.2445640397529135E-2</v>
      </c>
      <c r="R297" s="10">
        <f t="shared" si="218"/>
        <v>-1.1443671251622937E-2</v>
      </c>
      <c r="S297" s="10">
        <f t="shared" si="218"/>
        <v>-1.0560178067388496E-2</v>
      </c>
      <c r="T297" s="10">
        <f t="shared" si="218"/>
        <v>-9.7753203917130393E-3</v>
      </c>
      <c r="U297" s="10">
        <f t="shared" si="218"/>
        <v>-9.073453633907819E-3</v>
      </c>
      <c r="V297" s="10">
        <f t="shared" si="218"/>
        <v>-8.442075586090142E-3</v>
      </c>
      <c r="W297" s="10">
        <f t="shared" si="218"/>
        <v>-7.8710751710775479E-3</v>
      </c>
      <c r="X297" s="10">
        <f t="shared" si="218"/>
        <v>-7.3521868784425081E-3</v>
      </c>
      <c r="Y297" s="10">
        <f t="shared" si="218"/>
        <v>-6.8785880538626771E-3</v>
      </c>
      <c r="Z297" s="10">
        <f t="shared" si="218"/>
        <v>-6.4445972269131634E-3</v>
      </c>
      <c r="AA297" s="10">
        <f t="shared" si="218"/>
        <v>-6.0454450892259417E-3</v>
      </c>
      <c r="AB297" s="10">
        <f t="shared" si="218"/>
        <v>-5.6770984986192667E-3</v>
      </c>
      <c r="AC297" s="10">
        <f t="shared" si="218"/>
        <v>-5.3361237179503718E-3</v>
      </c>
      <c r="AD297" s="10">
        <f t="shared" si="218"/>
        <v>-5.0195790498979015E-3</v>
      </c>
      <c r="AE297" s="10">
        <f t="shared" si="218"/>
        <v>-4.7249297510747346E-3</v>
      </c>
      <c r="AF297" s="10">
        <f t="shared" si="218"/>
        <v>-4.4499800120682996E-3</v>
      </c>
      <c r="AG297" s="10">
        <f t="shared" si="218"/>
        <v>-4.1928181391293591E-3</v>
      </c>
      <c r="AH297" s="10">
        <f t="shared" si="218"/>
        <v>-3.9517720418940829E-3</v>
      </c>
      <c r="AI297" s="10">
        <f t="shared" si="218"/>
        <v>-3.7253728353192355E-3</v>
      </c>
      <c r="AJ297" s="10">
        <f t="shared" si="218"/>
        <v>-3.5123248810358613E-3</v>
      </c>
      <c r="AK297" s="10">
        <f t="shared" si="218"/>
        <v>-3.311480977076656E-3</v>
      </c>
      <c r="AL297" s="10">
        <f t="shared" si="218"/>
        <v>-3.1218216925156515E-3</v>
      </c>
      <c r="AM297" s="10">
        <f t="shared" si="218"/>
        <v>-2.9424380610271303E-3</v>
      </c>
      <c r="AN297" s="10">
        <f t="shared" si="218"/>
        <v>-2.7725170132169579E-3</v>
      </c>
      <c r="AO297" s="10">
        <f t="shared" si="218"/>
        <v>-2.6113290550692381E-3</v>
      </c>
      <c r="AP297" s="10">
        <f t="shared" si="218"/>
        <v>-2.4582177985941847E-3</v>
      </c>
      <c r="AQ297" s="10">
        <f t="shared" si="218"/>
        <v>-2.3125910277853666E-3</v>
      </c>
      <c r="AR297" s="58">
        <f t="shared" si="218"/>
        <v>-2.1739130434782609E-3</v>
      </c>
      <c r="AS297" s="10">
        <f t="shared" si="218"/>
        <v>-1.8614872027136412E-3</v>
      </c>
      <c r="AT297" s="10">
        <f t="shared" si="218"/>
        <v>-1.5816722474551554E-3</v>
      </c>
      <c r="AU297" s="10">
        <f t="shared" si="218"/>
        <v>-1.3296155675004172E-3</v>
      </c>
      <c r="AV297" s="10">
        <f t="shared" si="218"/>
        <v>-1.1013818342212453E-3</v>
      </c>
      <c r="AW297" s="10">
        <f t="shared" si="218"/>
        <v>-8.9374604046491316E-4</v>
      </c>
      <c r="AX297" s="10">
        <f t="shared" si="218"/>
        <v>-7.0404015513644976E-4</v>
      </c>
      <c r="AY297" s="10">
        <f t="shared" si="218"/>
        <v>-5.3003785894163984E-4</v>
      </c>
      <c r="AZ297" s="10">
        <f t="shared" si="218"/>
        <v>-3.6986676672332865E-4</v>
      </c>
      <c r="BA297" s="10">
        <f t="shared" si="218"/>
        <v>-2.219407816495211E-4</v>
      </c>
      <c r="BB297" s="10">
        <f t="shared" si="218"/>
        <v>-8.4907392790522539E-5</v>
      </c>
      <c r="BC297" s="10">
        <f t="shared" si="218"/>
        <v>4.2393798426061091E-5</v>
      </c>
      <c r="BD297" s="10">
        <f t="shared" si="218"/>
        <v>1.5969261282407438E-4</v>
      </c>
      <c r="BE297" s="10">
        <f t="shared" si="218"/>
        <v>2.6100867054171489E-4</v>
      </c>
      <c r="BF297" s="10">
        <f t="shared" si="218"/>
        <v>3.5018852432764633E-4</v>
      </c>
      <c r="BG297" s="10">
        <f t="shared" si="218"/>
        <v>4.2928956485717142E-4</v>
      </c>
      <c r="BH297" s="10">
        <f t="shared" si="218"/>
        <v>4.9992901682847316E-4</v>
      </c>
      <c r="BI297" s="10">
        <f t="shared" si="218"/>
        <v>5.6339567607377602E-4</v>
      </c>
      <c r="BJ297" s="10">
        <f t="shared" si="218"/>
        <v>6.2072925362322733E-4</v>
      </c>
      <c r="BK297" s="10">
        <f t="shared" si="218"/>
        <v>6.7277777777777789E-4</v>
      </c>
      <c r="BL297" s="10">
        <f>BL287*(BL277-$F274)/BL277</f>
        <v>1.1440625000000001E-3</v>
      </c>
      <c r="BM297" s="10">
        <f>BM287*(BM277-$F274)/BM277</f>
        <v>1.3284782608695652E-3</v>
      </c>
      <c r="BN297" s="10">
        <f>BN287*(BN277-$F274)/BN277</f>
        <v>1.4268333333333331E-3</v>
      </c>
      <c r="BO297" s="8">
        <f>BO288</f>
        <v>1.75E-3</v>
      </c>
      <c r="BP297" s="41"/>
      <c r="BQ297" s="41"/>
    </row>
    <row r="298" spans="1:69" ht="16.5">
      <c r="A298" s="41"/>
      <c r="B298" s="293" t="s">
        <v>59</v>
      </c>
      <c r="C298" s="301" t="s">
        <v>60</v>
      </c>
      <c r="D298" s="12">
        <f t="shared" ref="D298:BJ298" si="219">IF(D288&lt;0,MAX(-$C$10,200000*D288),MIN(200000*D288,$C$10)-IF(AND($C274&lt;$C$8*D277,$C274&gt;0),$C$9,0))</f>
        <v>-290.41293401325373</v>
      </c>
      <c r="E298" s="307">
        <f t="shared" si="219"/>
        <v>49.432647405135569</v>
      </c>
      <c r="F298" s="307">
        <f t="shared" si="219"/>
        <v>192.96859295981125</v>
      </c>
      <c r="G298" s="307">
        <f t="shared" si="219"/>
        <v>291.53084253531648</v>
      </c>
      <c r="H298" s="307">
        <f t="shared" si="219"/>
        <v>356.76295914774306</v>
      </c>
      <c r="I298" s="307">
        <f t="shared" si="219"/>
        <v>403.12632836108173</v>
      </c>
      <c r="J298" s="307">
        <f t="shared" si="219"/>
        <v>412.1159420289855</v>
      </c>
      <c r="K298" s="307">
        <f t="shared" si="219"/>
        <v>412.1159420289855</v>
      </c>
      <c r="L298" s="307">
        <f t="shared" si="219"/>
        <v>412.1159420289855</v>
      </c>
      <c r="M298" s="307">
        <f t="shared" si="219"/>
        <v>412.1159420289855</v>
      </c>
      <c r="N298" s="307">
        <f t="shared" si="219"/>
        <v>412.1159420289855</v>
      </c>
      <c r="O298" s="307">
        <f t="shared" si="219"/>
        <v>412.1159420289855</v>
      </c>
      <c r="P298" s="307">
        <f t="shared" si="219"/>
        <v>412.1159420289855</v>
      </c>
      <c r="Q298" s="307">
        <f t="shared" si="219"/>
        <v>412.1159420289855</v>
      </c>
      <c r="R298" s="307">
        <f t="shared" si="219"/>
        <v>412.1159420289855</v>
      </c>
      <c r="S298" s="307">
        <f t="shared" si="219"/>
        <v>412.1159420289855</v>
      </c>
      <c r="T298" s="307">
        <f t="shared" si="219"/>
        <v>412.1159420289855</v>
      </c>
      <c r="U298" s="307">
        <f t="shared" si="219"/>
        <v>412.1159420289855</v>
      </c>
      <c r="V298" s="307">
        <f t="shared" si="219"/>
        <v>412.1159420289855</v>
      </c>
      <c r="W298" s="307">
        <f t="shared" si="219"/>
        <v>412.1159420289855</v>
      </c>
      <c r="X298" s="307">
        <f t="shared" si="219"/>
        <v>412.1159420289855</v>
      </c>
      <c r="Y298" s="307">
        <f t="shared" si="219"/>
        <v>412.1159420289855</v>
      </c>
      <c r="Z298" s="307">
        <f t="shared" si="219"/>
        <v>412.1159420289855</v>
      </c>
      <c r="AA298" s="307">
        <f t="shared" si="219"/>
        <v>412.1159420289855</v>
      </c>
      <c r="AB298" s="307">
        <f t="shared" si="219"/>
        <v>412.1159420289855</v>
      </c>
      <c r="AC298" s="307">
        <f t="shared" si="219"/>
        <v>412.1159420289855</v>
      </c>
      <c r="AD298" s="307">
        <f t="shared" si="219"/>
        <v>412.1159420289855</v>
      </c>
      <c r="AE298" s="307">
        <f t="shared" si="219"/>
        <v>412.1159420289855</v>
      </c>
      <c r="AF298" s="307">
        <f t="shared" si="219"/>
        <v>412.1159420289855</v>
      </c>
      <c r="AG298" s="307">
        <f t="shared" si="219"/>
        <v>412.1159420289855</v>
      </c>
      <c r="AH298" s="307">
        <f t="shared" si="219"/>
        <v>412.1159420289855</v>
      </c>
      <c r="AI298" s="307">
        <f t="shared" si="219"/>
        <v>412.1159420289855</v>
      </c>
      <c r="AJ298" s="307">
        <f t="shared" si="219"/>
        <v>412.1159420289855</v>
      </c>
      <c r="AK298" s="307">
        <f t="shared" si="219"/>
        <v>412.1159420289855</v>
      </c>
      <c r="AL298" s="307">
        <f t="shared" si="219"/>
        <v>412.1159420289855</v>
      </c>
      <c r="AM298" s="307">
        <f t="shared" si="219"/>
        <v>412.1159420289855</v>
      </c>
      <c r="AN298" s="307">
        <f t="shared" si="219"/>
        <v>412.1159420289855</v>
      </c>
      <c r="AO298" s="307">
        <f t="shared" si="219"/>
        <v>412.1159420289855</v>
      </c>
      <c r="AP298" s="307">
        <f t="shared" si="219"/>
        <v>412.1159420289855</v>
      </c>
      <c r="AQ298" s="307">
        <f t="shared" si="219"/>
        <v>412.1159420289855</v>
      </c>
      <c r="AR298" s="61">
        <f t="shared" si="219"/>
        <v>412.1159420289855</v>
      </c>
      <c r="AS298" s="307">
        <f t="shared" si="219"/>
        <v>412.1159420289855</v>
      </c>
      <c r="AT298" s="307">
        <f t="shared" si="219"/>
        <v>412.1159420289855</v>
      </c>
      <c r="AU298" s="307">
        <f t="shared" si="219"/>
        <v>412.1159420289855</v>
      </c>
      <c r="AV298" s="307">
        <f t="shared" si="219"/>
        <v>412.1159420289855</v>
      </c>
      <c r="AW298" s="307">
        <f t="shared" si="219"/>
        <v>412.1159420289855</v>
      </c>
      <c r="AX298" s="307">
        <f t="shared" si="219"/>
        <v>412.1159420289855</v>
      </c>
      <c r="AY298" s="307">
        <f t="shared" si="219"/>
        <v>412.1159420289855</v>
      </c>
      <c r="AZ298" s="307">
        <f t="shared" si="219"/>
        <v>412.1159420289855</v>
      </c>
      <c r="BA298" s="307">
        <f t="shared" si="219"/>
        <v>412.1159420289855</v>
      </c>
      <c r="BB298" s="307">
        <f t="shared" si="219"/>
        <v>412.1159420289855</v>
      </c>
      <c r="BC298" s="307">
        <f t="shared" si="219"/>
        <v>412.1159420289855</v>
      </c>
      <c r="BD298" s="307">
        <f t="shared" si="219"/>
        <v>412.1159420289855</v>
      </c>
      <c r="BE298" s="307">
        <f t="shared" si="219"/>
        <v>412.1159420289855</v>
      </c>
      <c r="BF298" s="307">
        <f t="shared" si="219"/>
        <v>412.1159420289855</v>
      </c>
      <c r="BG298" s="307">
        <f t="shared" si="219"/>
        <v>412.1159420289855</v>
      </c>
      <c r="BH298" s="307">
        <f t="shared" si="219"/>
        <v>412.1159420289855</v>
      </c>
      <c r="BI298" s="307">
        <f t="shared" si="219"/>
        <v>412.1159420289855</v>
      </c>
      <c r="BJ298" s="307">
        <f t="shared" si="219"/>
        <v>412.1159420289855</v>
      </c>
      <c r="BK298" s="307">
        <f>IF(BK288&lt;0,MAX(-$C$10,200000*BK288),MIN(200000*BK288,$C$10)-IF(AND($C274&lt;$C$8*BK277,$C274&gt;0),$C$9,0))</f>
        <v>412.1159420289855</v>
      </c>
      <c r="BL298" s="307">
        <f>IF(BL288&lt;0,MAX(-$C$10,200000*BL288),MIN(200000*BL288,$C$10)-IF(AND($C274&lt;$C$8*BL277,$C274&gt;0),$C$9,0))</f>
        <v>412.1159420289855</v>
      </c>
      <c r="BM298" s="307">
        <f>IF(BM288&lt;0,MAX(-$C$10,200000*BM288),MIN(200000*BM288,$C$10)-IF(AND($C274&lt;$C$8*BM277,$C274&gt;0),$C$9,0))</f>
        <v>411.63768115942031</v>
      </c>
      <c r="BN298" s="307">
        <f>IF(BN288&lt;0,MAX(-$C$10,200000*BN288),MIN(200000*BN288,$C$10)-IF(AND($C274&lt;$C$8*BN277,$C274&gt;0),$C$9,0))</f>
        <v>391.96666666666658</v>
      </c>
      <c r="BO298" s="12">
        <f>200000*BO288-C$9</f>
        <v>327.33333333333331</v>
      </c>
      <c r="BP298" s="41"/>
      <c r="BQ298" s="41"/>
    </row>
    <row r="299" spans="1:69" ht="16.5">
      <c r="A299" s="41"/>
      <c r="B299" s="11">
        <v>2</v>
      </c>
      <c r="C299" s="302" t="s">
        <v>61</v>
      </c>
      <c r="D299" s="12">
        <f t="shared" ref="D299:AI299" si="220">IF(D289&lt;0,MAX(-$C$10,200000*D289),MIN(200000*D289,$C$10)-IF(AND($D279&lt;$C$8*D277,$D279&gt;0),$C$9,0))</f>
        <v>-434.78260869565219</v>
      </c>
      <c r="E299" s="307">
        <f t="shared" si="220"/>
        <v>-434.78260869565219</v>
      </c>
      <c r="F299" s="307">
        <f t="shared" si="220"/>
        <v>-434.78260869565219</v>
      </c>
      <c r="G299" s="307">
        <f t="shared" si="220"/>
        <v>-434.78260869565219</v>
      </c>
      <c r="H299" s="307">
        <f t="shared" si="220"/>
        <v>-434.78260869565219</v>
      </c>
      <c r="I299" s="307">
        <f t="shared" si="220"/>
        <v>-434.78260869565219</v>
      </c>
      <c r="J299" s="307">
        <f t="shared" si="220"/>
        <v>-434.78260869565219</v>
      </c>
      <c r="K299" s="307">
        <f t="shared" si="220"/>
        <v>-434.78260869565219</v>
      </c>
      <c r="L299" s="307">
        <f t="shared" si="220"/>
        <v>-434.78260869565219</v>
      </c>
      <c r="M299" s="307">
        <f t="shared" si="220"/>
        <v>-434.78260869565219</v>
      </c>
      <c r="N299" s="307">
        <f t="shared" si="220"/>
        <v>-434.78260869565219</v>
      </c>
      <c r="O299" s="307">
        <f t="shared" si="220"/>
        <v>-434.78260869565219</v>
      </c>
      <c r="P299" s="307">
        <f t="shared" si="220"/>
        <v>-434.78260869565219</v>
      </c>
      <c r="Q299" s="307">
        <f t="shared" si="220"/>
        <v>-434.78260869565219</v>
      </c>
      <c r="R299" s="307">
        <f t="shared" si="220"/>
        <v>-375.66807507349381</v>
      </c>
      <c r="S299" s="307">
        <f t="shared" si="220"/>
        <v>-312.07289843824759</v>
      </c>
      <c r="T299" s="307">
        <f t="shared" si="220"/>
        <v>-255.57765500141221</v>
      </c>
      <c r="U299" s="307">
        <f t="shared" si="220"/>
        <v>-205.05622344593536</v>
      </c>
      <c r="V299" s="307">
        <f t="shared" si="220"/>
        <v>-159.60867592537937</v>
      </c>
      <c r="W299" s="307">
        <f t="shared" si="220"/>
        <v>-118.50720180026711</v>
      </c>
      <c r="X299" s="307">
        <f t="shared" si="220"/>
        <v>-81.156837119547291</v>
      </c>
      <c r="Y299" s="307">
        <f t="shared" si="220"/>
        <v>-47.066476898491857</v>
      </c>
      <c r="Z299" s="307">
        <f t="shared" si="220"/>
        <v>-15.827160296580036</v>
      </c>
      <c r="AA299" s="307">
        <f t="shared" si="220"/>
        <v>12.904414721229143</v>
      </c>
      <c r="AB299" s="307">
        <f t="shared" si="220"/>
        <v>39.418559833644956</v>
      </c>
      <c r="AC299" s="307">
        <f t="shared" si="220"/>
        <v>63.962440637425637</v>
      </c>
      <c r="AD299" s="307">
        <f t="shared" si="220"/>
        <v>86.747804958244657</v>
      </c>
      <c r="AE299" s="307">
        <f t="shared" si="220"/>
        <v>107.9571074616338</v>
      </c>
      <c r="AF299" s="307">
        <f t="shared" si="220"/>
        <v>127.74840583263426</v>
      </c>
      <c r="AG299" s="307">
        <f t="shared" si="220"/>
        <v>123.59264001414321</v>
      </c>
      <c r="AH299" s="307">
        <f t="shared" si="220"/>
        <v>140.94350293471825</v>
      </c>
      <c r="AI299" s="307">
        <f t="shared" si="220"/>
        <v>157.24006049637393</v>
      </c>
      <c r="AJ299" s="307">
        <f t="shared" ref="AJ299:BK299" si="221">IF(AJ289&lt;0,MAX(-$C$10,200000*AJ289),MIN(200000*AJ289,$C$10)-IF(AND($D279&lt;$C$8*AJ277,$D279&gt;0),$C$9,0))</f>
        <v>172.57557470995485</v>
      </c>
      <c r="AK299" s="307">
        <f t="shared" si="221"/>
        <v>187.03262290944465</v>
      </c>
      <c r="AL299" s="307">
        <f t="shared" si="221"/>
        <v>200.68458527588092</v>
      </c>
      <c r="AM299" s="307">
        <f t="shared" si="221"/>
        <v>213.59689058117826</v>
      </c>
      <c r="AN299" s="307">
        <f t="shared" si="221"/>
        <v>225.82806479096888</v>
      </c>
      <c r="AO299" s="307">
        <f t="shared" si="221"/>
        <v>237.43061798866151</v>
      </c>
      <c r="AP299" s="307">
        <f t="shared" si="221"/>
        <v>248.45179797525398</v>
      </c>
      <c r="AQ299" s="307">
        <f t="shared" si="221"/>
        <v>258.93423335525324</v>
      </c>
      <c r="AR299" s="61">
        <f t="shared" si="221"/>
        <v>268.91648456534301</v>
      </c>
      <c r="AS299" s="307">
        <f t="shared" si="221"/>
        <v>291.40536946382457</v>
      </c>
      <c r="AT299" s="307">
        <f t="shared" si="221"/>
        <v>311.54687346452204</v>
      </c>
      <c r="AU299" s="307">
        <f t="shared" si="221"/>
        <v>329.69029479459732</v>
      </c>
      <c r="AV299" s="307">
        <f t="shared" si="221"/>
        <v>346.11890436512584</v>
      </c>
      <c r="AW299" s="307">
        <f t="shared" si="221"/>
        <v>361.06484307225412</v>
      </c>
      <c r="AX299" s="307">
        <f t="shared" si="221"/>
        <v>374.72015983246592</v>
      </c>
      <c r="AY299" s="307">
        <f t="shared" si="221"/>
        <v>387.24510847826201</v>
      </c>
      <c r="AZ299" s="307">
        <f t="shared" si="221"/>
        <v>398.77446612725208</v>
      </c>
      <c r="BA299" s="307">
        <f t="shared" si="221"/>
        <v>409.42240243008075</v>
      </c>
      <c r="BB299" s="307">
        <f t="shared" si="221"/>
        <v>412.1159420289855</v>
      </c>
      <c r="BC299" s="307">
        <f t="shared" si="221"/>
        <v>412.1159420289855</v>
      </c>
      <c r="BD299" s="307">
        <f t="shared" si="221"/>
        <v>412.1159420289855</v>
      </c>
      <c r="BE299" s="307">
        <f t="shared" si="221"/>
        <v>412.1159420289855</v>
      </c>
      <c r="BF299" s="307">
        <f t="shared" si="221"/>
        <v>412.1159420289855</v>
      </c>
      <c r="BG299" s="307">
        <f t="shared" si="221"/>
        <v>412.1159420289855</v>
      </c>
      <c r="BH299" s="307">
        <f t="shared" si="221"/>
        <v>410.67139887810174</v>
      </c>
      <c r="BI299" s="307">
        <f t="shared" si="221"/>
        <v>406.44028826174832</v>
      </c>
      <c r="BJ299" s="307">
        <f t="shared" si="221"/>
        <v>402.6180497584516</v>
      </c>
      <c r="BK299" s="307">
        <f t="shared" si="221"/>
        <v>399.14814814814821</v>
      </c>
      <c r="BL299" s="307">
        <f>IF(BL289&lt;0,MAX(-$C$10,200000*BL289),MIN(200000*BL289,$C$10)-IF(AND($D279&lt;$C$8*BL277,$D279&gt;0),$C$9,0))</f>
        <v>367.72916666666663</v>
      </c>
      <c r="BM299" s="307">
        <f>IF(BM289&lt;0,MAX(-$C$10,200000*BM289),MIN(200000*BM289,$C$10)-IF(AND($D279&lt;$C$8*BM277,$D279&gt;0),$C$9,0))</f>
        <v>355.43478260869557</v>
      </c>
      <c r="BN299" s="307">
        <f>IF(BN289&lt;0,MAX(-$C$10,200000*BN289),MIN(200000*BN289,$C$10)-IF(AND($D279&lt;$C$8*BN277,$D279&gt;0),$C$9,0))</f>
        <v>348.87777777777774</v>
      </c>
      <c r="BO299" s="12">
        <f>IF(D299=0,0,BO298)</f>
        <v>327.33333333333331</v>
      </c>
      <c r="BP299" s="43"/>
      <c r="BQ299" s="41"/>
    </row>
    <row r="300" spans="1:69" ht="16.5">
      <c r="A300" s="41"/>
      <c r="B300" s="11">
        <f t="shared" ref="B300:B306" si="222">1+B299</f>
        <v>3</v>
      </c>
      <c r="C300" s="302" t="s">
        <v>61</v>
      </c>
      <c r="D300" s="12">
        <f t="shared" ref="D300:AI300" si="223">IF(D290&lt;0,MAX(-$C$10,200000*D290),MIN(200000*D290,$C$10)-IF(AND($D280&lt;$C$8*D277,$D280&gt;0),$C$9,0))</f>
        <v>-434.78260869565219</v>
      </c>
      <c r="E300" s="307">
        <f t="shared" si="223"/>
        <v>-434.78260869565219</v>
      </c>
      <c r="F300" s="307">
        <f t="shared" si="223"/>
        <v>-434.78260869565219</v>
      </c>
      <c r="G300" s="307">
        <f t="shared" si="223"/>
        <v>-434.78260869565219</v>
      </c>
      <c r="H300" s="307">
        <f t="shared" si="223"/>
        <v>-434.78260869565219</v>
      </c>
      <c r="I300" s="307">
        <f t="shared" si="223"/>
        <v>-434.78260869565219</v>
      </c>
      <c r="J300" s="307">
        <f t="shared" si="223"/>
        <v>-434.78260869565219</v>
      </c>
      <c r="K300" s="307">
        <f t="shared" si="223"/>
        <v>-434.78260869565219</v>
      </c>
      <c r="L300" s="307">
        <f t="shared" si="223"/>
        <v>-434.78260869565219</v>
      </c>
      <c r="M300" s="307">
        <f t="shared" si="223"/>
        <v>-434.78260869565219</v>
      </c>
      <c r="N300" s="307">
        <f t="shared" si="223"/>
        <v>-434.78260869565219</v>
      </c>
      <c r="O300" s="307">
        <f t="shared" si="223"/>
        <v>-434.78260869565219</v>
      </c>
      <c r="P300" s="307">
        <f t="shared" si="223"/>
        <v>-434.78260869565219</v>
      </c>
      <c r="Q300" s="307">
        <f t="shared" si="223"/>
        <v>-434.78260869565219</v>
      </c>
      <c r="R300" s="307">
        <f t="shared" si="223"/>
        <v>-434.78260869565219</v>
      </c>
      <c r="S300" s="307">
        <f t="shared" si="223"/>
        <v>-434.78260869565219</v>
      </c>
      <c r="T300" s="307">
        <f t="shared" si="223"/>
        <v>-434.78260869565219</v>
      </c>
      <c r="U300" s="307">
        <f t="shared" si="223"/>
        <v>-434.78260869565219</v>
      </c>
      <c r="V300" s="307">
        <f t="shared" si="223"/>
        <v>-434.78260869565219</v>
      </c>
      <c r="W300" s="307">
        <f t="shared" si="223"/>
        <v>-434.78260869565219</v>
      </c>
      <c r="X300" s="307">
        <f t="shared" si="223"/>
        <v>-434.78260869565219</v>
      </c>
      <c r="Y300" s="307">
        <f t="shared" si="223"/>
        <v>-434.78260869565219</v>
      </c>
      <c r="Z300" s="307">
        <f t="shared" si="223"/>
        <v>-434.78260869565219</v>
      </c>
      <c r="AA300" s="307">
        <f t="shared" si="223"/>
        <v>-434.78260869565219</v>
      </c>
      <c r="AB300" s="307">
        <f t="shared" si="223"/>
        <v>-434.78260869565219</v>
      </c>
      <c r="AC300" s="307">
        <f t="shared" si="223"/>
        <v>-434.78260869565219</v>
      </c>
      <c r="AD300" s="307">
        <f t="shared" si="223"/>
        <v>-434.78260869565219</v>
      </c>
      <c r="AE300" s="307">
        <f t="shared" si="223"/>
        <v>-418.51442137665651</v>
      </c>
      <c r="AF300" s="307">
        <f t="shared" si="223"/>
        <v>-381.12379829051281</v>
      </c>
      <c r="AG300" s="307">
        <f t="shared" si="223"/>
        <v>-346.15216057253093</v>
      </c>
      <c r="AH300" s="307">
        <f t="shared" si="223"/>
        <v>-313.37211938871582</v>
      </c>
      <c r="AI300" s="307">
        <f t="shared" si="223"/>
        <v>-282.5839199504033</v>
      </c>
      <c r="AJ300" s="307">
        <f t="shared" ref="AJ300:BK300" si="224">IF(AJ290&lt;0,MAX(-$C$10,200000*AJ290),MIN(200000*AJ290,$C$10)-IF(AND($D280&lt;$C$8*AJ277,$D280&gt;0),$C$9,0))</f>
        <v>-253.61136741527531</v>
      </c>
      <c r="AK300" s="307">
        <f t="shared" si="224"/>
        <v>-226.29845291960993</v>
      </c>
      <c r="AL300" s="307">
        <f t="shared" si="224"/>
        <v>-200.50654328029131</v>
      </c>
      <c r="AM300" s="307">
        <f t="shared" si="224"/>
        <v>-176.11202747879054</v>
      </c>
      <c r="AN300" s="307">
        <f t="shared" si="224"/>
        <v>-153.00433559287796</v>
      </c>
      <c r="AO300" s="307">
        <f t="shared" si="224"/>
        <v>-131.08426317925972</v>
      </c>
      <c r="AP300" s="307">
        <f t="shared" si="224"/>
        <v>-110.26254753845812</v>
      </c>
      <c r="AQ300" s="307">
        <f t="shared" si="224"/>
        <v>-90.458652767576638</v>
      </c>
      <c r="AR300" s="61">
        <f t="shared" si="224"/>
        <v>-71.599728731821216</v>
      </c>
      <c r="AS300" s="307">
        <f t="shared" si="224"/>
        <v>-29.112702206118499</v>
      </c>
      <c r="AT300" s="307">
        <f t="shared" si="224"/>
        <v>8.9395453200788477</v>
      </c>
      <c r="AU300" s="307">
        <f t="shared" si="224"/>
        <v>43.216923980590323</v>
      </c>
      <c r="AV300" s="307">
        <f t="shared" si="224"/>
        <v>74.254602093771766</v>
      </c>
      <c r="AW300" s="307">
        <f t="shared" si="224"/>
        <v>102.4911508229691</v>
      </c>
      <c r="AX300" s="307">
        <f t="shared" si="224"/>
        <v>128.28939773592131</v>
      </c>
      <c r="AY300" s="307">
        <f t="shared" si="224"/>
        <v>129.28543501163375</v>
      </c>
      <c r="AZ300" s="307">
        <f t="shared" si="224"/>
        <v>151.06722305795986</v>
      </c>
      <c r="BA300" s="307">
        <f t="shared" si="224"/>
        <v>171.18378971675492</v>
      </c>
      <c r="BB300" s="307">
        <f t="shared" si="224"/>
        <v>189.8190639729122</v>
      </c>
      <c r="BC300" s="307">
        <f t="shared" si="224"/>
        <v>207.13084930646724</v>
      </c>
      <c r="BD300" s="307">
        <f t="shared" si="224"/>
        <v>221.31284085493829</v>
      </c>
      <c r="BE300" s="307">
        <f t="shared" si="224"/>
        <v>228.06724470278098</v>
      </c>
      <c r="BF300" s="307">
        <f t="shared" si="224"/>
        <v>234.01256828850975</v>
      </c>
      <c r="BG300" s="307">
        <f t="shared" si="224"/>
        <v>239.28597099047809</v>
      </c>
      <c r="BH300" s="307">
        <f t="shared" si="224"/>
        <v>243.99526778856486</v>
      </c>
      <c r="BI300" s="307">
        <f t="shared" si="224"/>
        <v>248.22637840491845</v>
      </c>
      <c r="BJ300" s="307">
        <f t="shared" si="224"/>
        <v>252.04861690821522</v>
      </c>
      <c r="BK300" s="307">
        <f t="shared" si="224"/>
        <v>255.51851851851856</v>
      </c>
      <c r="BL300" s="307">
        <f>IF(BL290&lt;0,MAX(-$C$10,200000*BL290),MIN(200000*BL290,$C$10)-IF(AND($D280&lt;$C$8*BL277,$D280&gt;0),$C$9,0))</f>
        <v>286.9375</v>
      </c>
      <c r="BM300" s="307">
        <f>IF(BM290&lt;0,MAX(-$C$10,200000*BM290),MIN(200000*BM290,$C$10)-IF(AND($D280&lt;$C$8*BM277,$D280&gt;0),$C$9,0))</f>
        <v>299.231884057971</v>
      </c>
      <c r="BN300" s="307">
        <f>IF(BN290&lt;0,MAX(-$C$10,200000*BN290),MIN(200000*BN290,$C$10)-IF(AND($D280&lt;$C$8*BN277,$D280&gt;0),$C$9,0))</f>
        <v>305.78888888888889</v>
      </c>
      <c r="BO300" s="12">
        <f>IF(D300=0,0,BO298)</f>
        <v>327.33333333333331</v>
      </c>
      <c r="BP300" s="43"/>
      <c r="BQ300" s="41"/>
    </row>
    <row r="301" spans="1:69" ht="16.5">
      <c r="A301" s="41"/>
      <c r="B301" s="11">
        <f t="shared" si="222"/>
        <v>4</v>
      </c>
      <c r="C301" s="302" t="s">
        <v>61</v>
      </c>
      <c r="D301" s="12">
        <f t="shared" ref="D301:AI301" si="225">IF(D291&lt;0,MAX(-$C$10,200000*D291),MIN(200000*D291,$C$10)-IF(AND($D281&lt;$C$8*D277,$D281&gt;0),$C$9,0))</f>
        <v>0</v>
      </c>
      <c r="E301" s="307">
        <f t="shared" si="225"/>
        <v>0</v>
      </c>
      <c r="F301" s="307">
        <f t="shared" si="225"/>
        <v>0</v>
      </c>
      <c r="G301" s="307">
        <f t="shared" si="225"/>
        <v>0</v>
      </c>
      <c r="H301" s="307">
        <f t="shared" si="225"/>
        <v>0</v>
      </c>
      <c r="I301" s="307">
        <f t="shared" si="225"/>
        <v>0</v>
      </c>
      <c r="J301" s="307">
        <f t="shared" si="225"/>
        <v>0</v>
      </c>
      <c r="K301" s="307">
        <f t="shared" si="225"/>
        <v>0</v>
      </c>
      <c r="L301" s="307">
        <f t="shared" si="225"/>
        <v>0</v>
      </c>
      <c r="M301" s="307">
        <f t="shared" si="225"/>
        <v>0</v>
      </c>
      <c r="N301" s="307">
        <f t="shared" si="225"/>
        <v>0</v>
      </c>
      <c r="O301" s="307">
        <f t="shared" si="225"/>
        <v>0</v>
      </c>
      <c r="P301" s="307">
        <f t="shared" si="225"/>
        <v>0</v>
      </c>
      <c r="Q301" s="307">
        <f t="shared" si="225"/>
        <v>0</v>
      </c>
      <c r="R301" s="307">
        <f t="shared" si="225"/>
        <v>0</v>
      </c>
      <c r="S301" s="307">
        <f t="shared" si="225"/>
        <v>0</v>
      </c>
      <c r="T301" s="307">
        <f t="shared" si="225"/>
        <v>0</v>
      </c>
      <c r="U301" s="307">
        <f t="shared" si="225"/>
        <v>0</v>
      </c>
      <c r="V301" s="307">
        <f t="shared" si="225"/>
        <v>0</v>
      </c>
      <c r="W301" s="307">
        <f t="shared" si="225"/>
        <v>0</v>
      </c>
      <c r="X301" s="307">
        <f t="shared" si="225"/>
        <v>0</v>
      </c>
      <c r="Y301" s="307">
        <f t="shared" si="225"/>
        <v>0</v>
      </c>
      <c r="Z301" s="307">
        <f t="shared" si="225"/>
        <v>0</v>
      </c>
      <c r="AA301" s="307">
        <f t="shared" si="225"/>
        <v>0</v>
      </c>
      <c r="AB301" s="307">
        <f t="shared" si="225"/>
        <v>0</v>
      </c>
      <c r="AC301" s="307">
        <f t="shared" si="225"/>
        <v>0</v>
      </c>
      <c r="AD301" s="307">
        <f t="shared" si="225"/>
        <v>0</v>
      </c>
      <c r="AE301" s="307">
        <f t="shared" si="225"/>
        <v>0</v>
      </c>
      <c r="AF301" s="307">
        <f t="shared" si="225"/>
        <v>0</v>
      </c>
      <c r="AG301" s="307">
        <f t="shared" si="225"/>
        <v>0</v>
      </c>
      <c r="AH301" s="307">
        <f t="shared" si="225"/>
        <v>0</v>
      </c>
      <c r="AI301" s="307">
        <f t="shared" si="225"/>
        <v>0</v>
      </c>
      <c r="AJ301" s="307">
        <f t="shared" ref="AJ301:BK301" si="226">IF(AJ291&lt;0,MAX(-$C$10,200000*AJ291),MIN(200000*AJ291,$C$10)-IF(AND($D281&lt;$C$8*AJ277,$D281&gt;0),$C$9,0))</f>
        <v>0</v>
      </c>
      <c r="AK301" s="307">
        <f t="shared" si="226"/>
        <v>0</v>
      </c>
      <c r="AL301" s="307">
        <f t="shared" si="226"/>
        <v>0</v>
      </c>
      <c r="AM301" s="307">
        <f t="shared" si="226"/>
        <v>0</v>
      </c>
      <c r="AN301" s="307">
        <f t="shared" si="226"/>
        <v>0</v>
      </c>
      <c r="AO301" s="307">
        <f t="shared" si="226"/>
        <v>0</v>
      </c>
      <c r="AP301" s="307">
        <f t="shared" si="226"/>
        <v>0</v>
      </c>
      <c r="AQ301" s="307">
        <f t="shared" si="226"/>
        <v>0</v>
      </c>
      <c r="AR301" s="61">
        <f t="shared" si="226"/>
        <v>0</v>
      </c>
      <c r="AS301" s="307">
        <f t="shared" si="226"/>
        <v>0</v>
      </c>
      <c r="AT301" s="307">
        <f t="shared" si="226"/>
        <v>0</v>
      </c>
      <c r="AU301" s="307">
        <f t="shared" si="226"/>
        <v>0</v>
      </c>
      <c r="AV301" s="307">
        <f t="shared" si="226"/>
        <v>0</v>
      </c>
      <c r="AW301" s="307">
        <f t="shared" si="226"/>
        <v>0</v>
      </c>
      <c r="AX301" s="307">
        <f t="shared" si="226"/>
        <v>0</v>
      </c>
      <c r="AY301" s="307">
        <f t="shared" si="226"/>
        <v>0</v>
      </c>
      <c r="AZ301" s="307">
        <f t="shared" si="226"/>
        <v>0</v>
      </c>
      <c r="BA301" s="307">
        <f t="shared" si="226"/>
        <v>0</v>
      </c>
      <c r="BB301" s="307">
        <f t="shared" si="226"/>
        <v>0</v>
      </c>
      <c r="BC301" s="307">
        <f t="shared" si="226"/>
        <v>0</v>
      </c>
      <c r="BD301" s="307">
        <f t="shared" si="226"/>
        <v>0</v>
      </c>
      <c r="BE301" s="307">
        <f t="shared" si="226"/>
        <v>0</v>
      </c>
      <c r="BF301" s="307">
        <f t="shared" si="226"/>
        <v>0</v>
      </c>
      <c r="BG301" s="307">
        <f t="shared" si="226"/>
        <v>0</v>
      </c>
      <c r="BH301" s="307">
        <f t="shared" si="226"/>
        <v>0</v>
      </c>
      <c r="BI301" s="307">
        <f t="shared" si="226"/>
        <v>0</v>
      </c>
      <c r="BJ301" s="307">
        <f t="shared" si="226"/>
        <v>0</v>
      </c>
      <c r="BK301" s="307">
        <f t="shared" si="226"/>
        <v>0</v>
      </c>
      <c r="BL301" s="307">
        <f>IF(BL291&lt;0,MAX(-$C$10,200000*BL291),MIN(200000*BL291,$C$10)-IF(AND($D281&lt;$C$8*BL277,$D281&gt;0),$C$9,0))</f>
        <v>0</v>
      </c>
      <c r="BM301" s="307">
        <f>IF(BM291&lt;0,MAX(-$C$10,200000*BM291),MIN(200000*BM291,$C$10)-IF(AND($D281&lt;$C$8*BM277,$D281&gt;0),$C$9,0))</f>
        <v>0</v>
      </c>
      <c r="BN301" s="307">
        <f>IF(BN291&lt;0,MAX(-$C$10,200000*BN291),MIN(200000*BN291,$C$10)-IF(AND($D281&lt;$C$8*BN277,$D281&gt;0),$C$9,0))</f>
        <v>0</v>
      </c>
      <c r="BO301" s="12">
        <f>IF(D301=0,0,BO298)</f>
        <v>0</v>
      </c>
      <c r="BP301" s="43"/>
      <c r="BQ301" s="41"/>
    </row>
    <row r="302" spans="1:69" ht="16.5">
      <c r="A302" s="41"/>
      <c r="B302" s="11">
        <f t="shared" si="222"/>
        <v>5</v>
      </c>
      <c r="C302" s="302" t="s">
        <v>61</v>
      </c>
      <c r="D302" s="12">
        <f t="shared" ref="D302:AI302" si="227">IF(D292&lt;0,MAX(-$C$10,200000*D292),MIN(200000*D292,$C$10)-IF(AND($D282&lt;$C$8*D277,$D282&gt;0),$C$9,0))</f>
        <v>0</v>
      </c>
      <c r="E302" s="307">
        <f t="shared" si="227"/>
        <v>0</v>
      </c>
      <c r="F302" s="307">
        <f t="shared" si="227"/>
        <v>0</v>
      </c>
      <c r="G302" s="307">
        <f t="shared" si="227"/>
        <v>0</v>
      </c>
      <c r="H302" s="307">
        <f t="shared" si="227"/>
        <v>0</v>
      </c>
      <c r="I302" s="307">
        <f t="shared" si="227"/>
        <v>0</v>
      </c>
      <c r="J302" s="307">
        <f t="shared" si="227"/>
        <v>0</v>
      </c>
      <c r="K302" s="307">
        <f t="shared" si="227"/>
        <v>0</v>
      </c>
      <c r="L302" s="307">
        <f t="shared" si="227"/>
        <v>0</v>
      </c>
      <c r="M302" s="307">
        <f t="shared" si="227"/>
        <v>0</v>
      </c>
      <c r="N302" s="307">
        <f t="shared" si="227"/>
        <v>0</v>
      </c>
      <c r="O302" s="307">
        <f t="shared" si="227"/>
        <v>0</v>
      </c>
      <c r="P302" s="307">
        <f t="shared" si="227"/>
        <v>0</v>
      </c>
      <c r="Q302" s="307">
        <f t="shared" si="227"/>
        <v>0</v>
      </c>
      <c r="R302" s="307">
        <f t="shared" si="227"/>
        <v>0</v>
      </c>
      <c r="S302" s="307">
        <f t="shared" si="227"/>
        <v>0</v>
      </c>
      <c r="T302" s="307">
        <f t="shared" si="227"/>
        <v>0</v>
      </c>
      <c r="U302" s="307">
        <f t="shared" si="227"/>
        <v>0</v>
      </c>
      <c r="V302" s="307">
        <f t="shared" si="227"/>
        <v>0</v>
      </c>
      <c r="W302" s="307">
        <f t="shared" si="227"/>
        <v>0</v>
      </c>
      <c r="X302" s="307">
        <f t="shared" si="227"/>
        <v>0</v>
      </c>
      <c r="Y302" s="307">
        <f t="shared" si="227"/>
        <v>0</v>
      </c>
      <c r="Z302" s="307">
        <f t="shared" si="227"/>
        <v>0</v>
      </c>
      <c r="AA302" s="307">
        <f t="shared" si="227"/>
        <v>0</v>
      </c>
      <c r="AB302" s="307">
        <f t="shared" si="227"/>
        <v>0</v>
      </c>
      <c r="AC302" s="307">
        <f t="shared" si="227"/>
        <v>0</v>
      </c>
      <c r="AD302" s="307">
        <f t="shared" si="227"/>
        <v>0</v>
      </c>
      <c r="AE302" s="307">
        <f t="shared" si="227"/>
        <v>0</v>
      </c>
      <c r="AF302" s="307">
        <f t="shared" si="227"/>
        <v>0</v>
      </c>
      <c r="AG302" s="307">
        <f t="shared" si="227"/>
        <v>0</v>
      </c>
      <c r="AH302" s="307">
        <f t="shared" si="227"/>
        <v>0</v>
      </c>
      <c r="AI302" s="307">
        <f t="shared" si="227"/>
        <v>0</v>
      </c>
      <c r="AJ302" s="307">
        <f t="shared" ref="AJ302:BK302" si="228">IF(AJ292&lt;0,MAX(-$C$10,200000*AJ292),MIN(200000*AJ292,$C$10)-IF(AND($D282&lt;$C$8*AJ277,$D282&gt;0),$C$9,0))</f>
        <v>0</v>
      </c>
      <c r="AK302" s="307">
        <f t="shared" si="228"/>
        <v>0</v>
      </c>
      <c r="AL302" s="307">
        <f t="shared" si="228"/>
        <v>0</v>
      </c>
      <c r="AM302" s="307">
        <f t="shared" si="228"/>
        <v>0</v>
      </c>
      <c r="AN302" s="307">
        <f t="shared" si="228"/>
        <v>0</v>
      </c>
      <c r="AO302" s="307">
        <f t="shared" si="228"/>
        <v>0</v>
      </c>
      <c r="AP302" s="307">
        <f t="shared" si="228"/>
        <v>0</v>
      </c>
      <c r="AQ302" s="307">
        <f t="shared" si="228"/>
        <v>0</v>
      </c>
      <c r="AR302" s="61">
        <f t="shared" si="228"/>
        <v>0</v>
      </c>
      <c r="AS302" s="307">
        <f t="shared" si="228"/>
        <v>0</v>
      </c>
      <c r="AT302" s="307">
        <f t="shared" si="228"/>
        <v>0</v>
      </c>
      <c r="AU302" s="307">
        <f t="shared" si="228"/>
        <v>0</v>
      </c>
      <c r="AV302" s="307">
        <f t="shared" si="228"/>
        <v>0</v>
      </c>
      <c r="AW302" s="307">
        <f t="shared" si="228"/>
        <v>0</v>
      </c>
      <c r="AX302" s="307">
        <f t="shared" si="228"/>
        <v>0</v>
      </c>
      <c r="AY302" s="307">
        <f t="shared" si="228"/>
        <v>0</v>
      </c>
      <c r="AZ302" s="307">
        <f t="shared" si="228"/>
        <v>0</v>
      </c>
      <c r="BA302" s="307">
        <f t="shared" si="228"/>
        <v>0</v>
      </c>
      <c r="BB302" s="307">
        <f t="shared" si="228"/>
        <v>0</v>
      </c>
      <c r="BC302" s="307">
        <f t="shared" si="228"/>
        <v>0</v>
      </c>
      <c r="BD302" s="307">
        <f t="shared" si="228"/>
        <v>0</v>
      </c>
      <c r="BE302" s="307">
        <f t="shared" si="228"/>
        <v>0</v>
      </c>
      <c r="BF302" s="307">
        <f t="shared" si="228"/>
        <v>0</v>
      </c>
      <c r="BG302" s="307">
        <f t="shared" si="228"/>
        <v>0</v>
      </c>
      <c r="BH302" s="307">
        <f t="shared" si="228"/>
        <v>0</v>
      </c>
      <c r="BI302" s="307">
        <f t="shared" si="228"/>
        <v>0</v>
      </c>
      <c r="BJ302" s="307">
        <f t="shared" si="228"/>
        <v>0</v>
      </c>
      <c r="BK302" s="307">
        <f t="shared" si="228"/>
        <v>0</v>
      </c>
      <c r="BL302" s="307">
        <f>IF(BL292&lt;0,MAX(-$C$10,200000*BL292),MIN(200000*BL292,$C$10)-IF(AND($D282&lt;$C$8*BL277,$D282&gt;0),$C$9,0))</f>
        <v>0</v>
      </c>
      <c r="BM302" s="307">
        <f>IF(BM292&lt;0,MAX(-$C$10,200000*BM292),MIN(200000*BM292,$C$10)-IF(AND($D282&lt;$C$8*BM277,$D282&gt;0),$C$9,0))</f>
        <v>0</v>
      </c>
      <c r="BN302" s="307">
        <f>IF(BN292&lt;0,MAX(-$C$10,200000*BN292),MIN(200000*BN292,$C$10)-IF(AND($D282&lt;$C$8*BN277,$D282&gt;0),$C$9,0))</f>
        <v>0</v>
      </c>
      <c r="BO302" s="12">
        <f>IF(D302=0,0,BO298)</f>
        <v>0</v>
      </c>
      <c r="BP302" s="43"/>
      <c r="BQ302" s="41"/>
    </row>
    <row r="303" spans="1:69" ht="16.5">
      <c r="A303" s="41"/>
      <c r="B303" s="11">
        <f t="shared" si="222"/>
        <v>6</v>
      </c>
      <c r="C303" s="302" t="s">
        <v>61</v>
      </c>
      <c r="D303" s="12">
        <f t="shared" ref="D303:AI303" si="229">IF(D293&lt;0,MAX(-$C$10,200000*D293),MIN(200000*D293,$C$10)-IF(AND($D283&lt;$C$8*D277,$D283&gt;0),$C$9,0))</f>
        <v>0</v>
      </c>
      <c r="E303" s="307">
        <f t="shared" si="229"/>
        <v>0</v>
      </c>
      <c r="F303" s="307">
        <f t="shared" si="229"/>
        <v>0</v>
      </c>
      <c r="G303" s="307">
        <f t="shared" si="229"/>
        <v>0</v>
      </c>
      <c r="H303" s="307">
        <f t="shared" si="229"/>
        <v>0</v>
      </c>
      <c r="I303" s="307">
        <f t="shared" si="229"/>
        <v>0</v>
      </c>
      <c r="J303" s="307">
        <f t="shared" si="229"/>
        <v>0</v>
      </c>
      <c r="K303" s="307">
        <f t="shared" si="229"/>
        <v>0</v>
      </c>
      <c r="L303" s="307">
        <f t="shared" si="229"/>
        <v>0</v>
      </c>
      <c r="M303" s="307">
        <f t="shared" si="229"/>
        <v>0</v>
      </c>
      <c r="N303" s="307">
        <f t="shared" si="229"/>
        <v>0</v>
      </c>
      <c r="O303" s="307">
        <f t="shared" si="229"/>
        <v>0</v>
      </c>
      <c r="P303" s="307">
        <f t="shared" si="229"/>
        <v>0</v>
      </c>
      <c r="Q303" s="307">
        <f t="shared" si="229"/>
        <v>0</v>
      </c>
      <c r="R303" s="307">
        <f t="shared" si="229"/>
        <v>0</v>
      </c>
      <c r="S303" s="307">
        <f t="shared" si="229"/>
        <v>0</v>
      </c>
      <c r="T303" s="307">
        <f t="shared" si="229"/>
        <v>0</v>
      </c>
      <c r="U303" s="307">
        <f t="shared" si="229"/>
        <v>0</v>
      </c>
      <c r="V303" s="307">
        <f t="shared" si="229"/>
        <v>0</v>
      </c>
      <c r="W303" s="307">
        <f t="shared" si="229"/>
        <v>0</v>
      </c>
      <c r="X303" s="307">
        <f t="shared" si="229"/>
        <v>0</v>
      </c>
      <c r="Y303" s="307">
        <f t="shared" si="229"/>
        <v>0</v>
      </c>
      <c r="Z303" s="307">
        <f t="shared" si="229"/>
        <v>0</v>
      </c>
      <c r="AA303" s="307">
        <f t="shared" si="229"/>
        <v>0</v>
      </c>
      <c r="AB303" s="307">
        <f t="shared" si="229"/>
        <v>0</v>
      </c>
      <c r="AC303" s="307">
        <f t="shared" si="229"/>
        <v>0</v>
      </c>
      <c r="AD303" s="307">
        <f t="shared" si="229"/>
        <v>0</v>
      </c>
      <c r="AE303" s="307">
        <f t="shared" si="229"/>
        <v>0</v>
      </c>
      <c r="AF303" s="307">
        <f t="shared" si="229"/>
        <v>0</v>
      </c>
      <c r="AG303" s="307">
        <f t="shared" si="229"/>
        <v>0</v>
      </c>
      <c r="AH303" s="307">
        <f t="shared" si="229"/>
        <v>0</v>
      </c>
      <c r="AI303" s="307">
        <f t="shared" si="229"/>
        <v>0</v>
      </c>
      <c r="AJ303" s="307">
        <f t="shared" ref="AJ303:BK303" si="230">IF(AJ293&lt;0,MAX(-$C$10,200000*AJ293),MIN(200000*AJ293,$C$10)-IF(AND($D283&lt;$C$8*AJ277,$D283&gt;0),$C$9,0))</f>
        <v>0</v>
      </c>
      <c r="AK303" s="307">
        <f t="shared" si="230"/>
        <v>0</v>
      </c>
      <c r="AL303" s="307">
        <f t="shared" si="230"/>
        <v>0</v>
      </c>
      <c r="AM303" s="307">
        <f t="shared" si="230"/>
        <v>0</v>
      </c>
      <c r="AN303" s="307">
        <f t="shared" si="230"/>
        <v>0</v>
      </c>
      <c r="AO303" s="307">
        <f t="shared" si="230"/>
        <v>0</v>
      </c>
      <c r="AP303" s="307">
        <f t="shared" si="230"/>
        <v>0</v>
      </c>
      <c r="AQ303" s="307">
        <f t="shared" si="230"/>
        <v>0</v>
      </c>
      <c r="AR303" s="61">
        <f t="shared" si="230"/>
        <v>0</v>
      </c>
      <c r="AS303" s="307">
        <f t="shared" si="230"/>
        <v>0</v>
      </c>
      <c r="AT303" s="307">
        <f t="shared" si="230"/>
        <v>0</v>
      </c>
      <c r="AU303" s="307">
        <f t="shared" si="230"/>
        <v>0</v>
      </c>
      <c r="AV303" s="307">
        <f t="shared" si="230"/>
        <v>0</v>
      </c>
      <c r="AW303" s="307">
        <f t="shared" si="230"/>
        <v>0</v>
      </c>
      <c r="AX303" s="307">
        <f t="shared" si="230"/>
        <v>0</v>
      </c>
      <c r="AY303" s="307">
        <f t="shared" si="230"/>
        <v>0</v>
      </c>
      <c r="AZ303" s="307">
        <f t="shared" si="230"/>
        <v>0</v>
      </c>
      <c r="BA303" s="307">
        <f t="shared" si="230"/>
        <v>0</v>
      </c>
      <c r="BB303" s="307">
        <f t="shared" si="230"/>
        <v>0</v>
      </c>
      <c r="BC303" s="307">
        <f t="shared" si="230"/>
        <v>0</v>
      </c>
      <c r="BD303" s="307">
        <f t="shared" si="230"/>
        <v>0</v>
      </c>
      <c r="BE303" s="307">
        <f t="shared" si="230"/>
        <v>0</v>
      </c>
      <c r="BF303" s="307">
        <f t="shared" si="230"/>
        <v>0</v>
      </c>
      <c r="BG303" s="307">
        <f t="shared" si="230"/>
        <v>0</v>
      </c>
      <c r="BH303" s="307">
        <f t="shared" si="230"/>
        <v>0</v>
      </c>
      <c r="BI303" s="307">
        <f t="shared" si="230"/>
        <v>0</v>
      </c>
      <c r="BJ303" s="307">
        <f t="shared" si="230"/>
        <v>0</v>
      </c>
      <c r="BK303" s="307">
        <f t="shared" si="230"/>
        <v>0</v>
      </c>
      <c r="BL303" s="307">
        <f>IF(BL293&lt;0,MAX(-$C$10,200000*BL293),MIN(200000*BL293,$C$10)-IF(AND($D283&lt;$C$8*BL277,$D283&gt;0),$C$9,0))</f>
        <v>0</v>
      </c>
      <c r="BM303" s="307">
        <f>IF(BM293&lt;0,MAX(-$C$10,200000*BM293),MIN(200000*BM293,$C$10)-IF(AND($D283&lt;$C$8*BM277,$D283&gt;0),$C$9,0))</f>
        <v>0</v>
      </c>
      <c r="BN303" s="307">
        <f>IF(BN293&lt;0,MAX(-$C$10,200000*BN293),MIN(200000*BN293,$C$10)-IF(AND($D283&lt;$C$8*BN277,$D283&gt;0),$C$9,0))</f>
        <v>0</v>
      </c>
      <c r="BO303" s="12">
        <f>IF(D303=0,0,BO298)</f>
        <v>0</v>
      </c>
      <c r="BP303" s="43"/>
      <c r="BQ303" s="41"/>
    </row>
    <row r="304" spans="1:69" ht="16.5">
      <c r="A304" s="41"/>
      <c r="B304" s="11">
        <f t="shared" si="222"/>
        <v>7</v>
      </c>
      <c r="C304" s="302" t="s">
        <v>61</v>
      </c>
      <c r="D304" s="12">
        <f t="shared" ref="D304:AI304" si="231">IF(D294&lt;0,MAX(-$C$10,200000*D294),MIN(200000*D294,$C$10)-IF(AND($D284&lt;$C$8*D277,$D284&gt;0),$C$9,0))</f>
        <v>0</v>
      </c>
      <c r="E304" s="307">
        <f t="shared" si="231"/>
        <v>0</v>
      </c>
      <c r="F304" s="307">
        <f t="shared" si="231"/>
        <v>0</v>
      </c>
      <c r="G304" s="307">
        <f t="shared" si="231"/>
        <v>0</v>
      </c>
      <c r="H304" s="307">
        <f t="shared" si="231"/>
        <v>0</v>
      </c>
      <c r="I304" s="307">
        <f t="shared" si="231"/>
        <v>0</v>
      </c>
      <c r="J304" s="307">
        <f t="shared" si="231"/>
        <v>0</v>
      </c>
      <c r="K304" s="307">
        <f t="shared" si="231"/>
        <v>0</v>
      </c>
      <c r="L304" s="307">
        <f t="shared" si="231"/>
        <v>0</v>
      </c>
      <c r="M304" s="307">
        <f t="shared" si="231"/>
        <v>0</v>
      </c>
      <c r="N304" s="307">
        <f t="shared" si="231"/>
        <v>0</v>
      </c>
      <c r="O304" s="307">
        <f t="shared" si="231"/>
        <v>0</v>
      </c>
      <c r="P304" s="307">
        <f t="shared" si="231"/>
        <v>0</v>
      </c>
      <c r="Q304" s="307">
        <f t="shared" si="231"/>
        <v>0</v>
      </c>
      <c r="R304" s="307">
        <f t="shared" si="231"/>
        <v>0</v>
      </c>
      <c r="S304" s="307">
        <f t="shared" si="231"/>
        <v>0</v>
      </c>
      <c r="T304" s="307">
        <f t="shared" si="231"/>
        <v>0</v>
      </c>
      <c r="U304" s="307">
        <f t="shared" si="231"/>
        <v>0</v>
      </c>
      <c r="V304" s="307">
        <f t="shared" si="231"/>
        <v>0</v>
      </c>
      <c r="W304" s="307">
        <f t="shared" si="231"/>
        <v>0</v>
      </c>
      <c r="X304" s="307">
        <f t="shared" si="231"/>
        <v>0</v>
      </c>
      <c r="Y304" s="307">
        <f t="shared" si="231"/>
        <v>0</v>
      </c>
      <c r="Z304" s="307">
        <f t="shared" si="231"/>
        <v>0</v>
      </c>
      <c r="AA304" s="307">
        <f t="shared" si="231"/>
        <v>0</v>
      </c>
      <c r="AB304" s="307">
        <f t="shared" si="231"/>
        <v>0</v>
      </c>
      <c r="AC304" s="307">
        <f t="shared" si="231"/>
        <v>0</v>
      </c>
      <c r="AD304" s="307">
        <f t="shared" si="231"/>
        <v>0</v>
      </c>
      <c r="AE304" s="307">
        <f t="shared" si="231"/>
        <v>0</v>
      </c>
      <c r="AF304" s="307">
        <f t="shared" si="231"/>
        <v>0</v>
      </c>
      <c r="AG304" s="307">
        <f t="shared" si="231"/>
        <v>0</v>
      </c>
      <c r="AH304" s="307">
        <f t="shared" si="231"/>
        <v>0</v>
      </c>
      <c r="AI304" s="307">
        <f t="shared" si="231"/>
        <v>0</v>
      </c>
      <c r="AJ304" s="307">
        <f t="shared" ref="AJ304:BK304" si="232">IF(AJ294&lt;0,MAX(-$C$10,200000*AJ294),MIN(200000*AJ294,$C$10)-IF(AND($D284&lt;$C$8*AJ277,$D284&gt;0),$C$9,0))</f>
        <v>0</v>
      </c>
      <c r="AK304" s="307">
        <f t="shared" si="232"/>
        <v>0</v>
      </c>
      <c r="AL304" s="307">
        <f t="shared" si="232"/>
        <v>0</v>
      </c>
      <c r="AM304" s="307">
        <f t="shared" si="232"/>
        <v>0</v>
      </c>
      <c r="AN304" s="307">
        <f t="shared" si="232"/>
        <v>0</v>
      </c>
      <c r="AO304" s="307">
        <f t="shared" si="232"/>
        <v>0</v>
      </c>
      <c r="AP304" s="307">
        <f t="shared" si="232"/>
        <v>0</v>
      </c>
      <c r="AQ304" s="307">
        <f t="shared" si="232"/>
        <v>0</v>
      </c>
      <c r="AR304" s="61">
        <f t="shared" si="232"/>
        <v>0</v>
      </c>
      <c r="AS304" s="307">
        <f t="shared" si="232"/>
        <v>0</v>
      </c>
      <c r="AT304" s="307">
        <f t="shared" si="232"/>
        <v>0</v>
      </c>
      <c r="AU304" s="307">
        <f t="shared" si="232"/>
        <v>0</v>
      </c>
      <c r="AV304" s="307">
        <f t="shared" si="232"/>
        <v>0</v>
      </c>
      <c r="AW304" s="307">
        <f t="shared" si="232"/>
        <v>0</v>
      </c>
      <c r="AX304" s="307">
        <f t="shared" si="232"/>
        <v>0</v>
      </c>
      <c r="AY304" s="307">
        <f t="shared" si="232"/>
        <v>0</v>
      </c>
      <c r="AZ304" s="307">
        <f t="shared" si="232"/>
        <v>0</v>
      </c>
      <c r="BA304" s="307">
        <f t="shared" si="232"/>
        <v>0</v>
      </c>
      <c r="BB304" s="307">
        <f t="shared" si="232"/>
        <v>0</v>
      </c>
      <c r="BC304" s="307">
        <f t="shared" si="232"/>
        <v>0</v>
      </c>
      <c r="BD304" s="307">
        <f t="shared" si="232"/>
        <v>0</v>
      </c>
      <c r="BE304" s="307">
        <f t="shared" si="232"/>
        <v>0</v>
      </c>
      <c r="BF304" s="307">
        <f t="shared" si="232"/>
        <v>0</v>
      </c>
      <c r="BG304" s="307">
        <f t="shared" si="232"/>
        <v>0</v>
      </c>
      <c r="BH304" s="307">
        <f t="shared" si="232"/>
        <v>0</v>
      </c>
      <c r="BI304" s="307">
        <f t="shared" si="232"/>
        <v>0</v>
      </c>
      <c r="BJ304" s="307">
        <f t="shared" si="232"/>
        <v>0</v>
      </c>
      <c r="BK304" s="307">
        <f t="shared" si="232"/>
        <v>0</v>
      </c>
      <c r="BL304" s="307">
        <f>IF(BL294&lt;0,MAX(-$C$10,200000*BL294),MIN(200000*BL294,$C$10)-IF(AND($D284&lt;$C$8*BL277,$D284&gt;0),$C$9,0))</f>
        <v>0</v>
      </c>
      <c r="BM304" s="307">
        <f>IF(BM294&lt;0,MAX(-$C$10,200000*BM294),MIN(200000*BM294,$C$10)-IF(AND($D284&lt;$C$8*BM277,$D284&gt;0),$C$9,0))</f>
        <v>0</v>
      </c>
      <c r="BN304" s="307">
        <f>IF(BN294&lt;0,MAX(-$C$10,200000*BN294),MIN(200000*BN294,$C$10)-IF(AND($D284&lt;$C$8*BN277,$D284&gt;0),$C$9,0))</f>
        <v>0</v>
      </c>
      <c r="BO304" s="12">
        <f>IF(D304=0,0,BO298)</f>
        <v>0</v>
      </c>
      <c r="BP304" s="43"/>
      <c r="BQ304" s="41"/>
    </row>
    <row r="305" spans="1:69" ht="16.5">
      <c r="A305" s="41"/>
      <c r="B305" s="11">
        <f t="shared" si="222"/>
        <v>8</v>
      </c>
      <c r="C305" s="302" t="s">
        <v>61</v>
      </c>
      <c r="D305" s="12">
        <f t="shared" ref="D305:AI305" si="233">IF(D295&lt;0,MAX(-$C$10,200000*D295),MIN(200000*D295,$C$10)-IF(AND($D285&lt;$C$8*D277,$D285&gt;0),$C$9,0))</f>
        <v>0</v>
      </c>
      <c r="E305" s="307">
        <f t="shared" si="233"/>
        <v>0</v>
      </c>
      <c r="F305" s="307">
        <f t="shared" si="233"/>
        <v>0</v>
      </c>
      <c r="G305" s="307">
        <f t="shared" si="233"/>
        <v>0</v>
      </c>
      <c r="H305" s="307">
        <f t="shared" si="233"/>
        <v>0</v>
      </c>
      <c r="I305" s="307">
        <f t="shared" si="233"/>
        <v>0</v>
      </c>
      <c r="J305" s="307">
        <f t="shared" si="233"/>
        <v>0</v>
      </c>
      <c r="K305" s="307">
        <f t="shared" si="233"/>
        <v>0</v>
      </c>
      <c r="L305" s="307">
        <f t="shared" si="233"/>
        <v>0</v>
      </c>
      <c r="M305" s="307">
        <f t="shared" si="233"/>
        <v>0</v>
      </c>
      <c r="N305" s="307">
        <f t="shared" si="233"/>
        <v>0</v>
      </c>
      <c r="O305" s="307">
        <f t="shared" si="233"/>
        <v>0</v>
      </c>
      <c r="P305" s="307">
        <f t="shared" si="233"/>
        <v>0</v>
      </c>
      <c r="Q305" s="307">
        <f t="shared" si="233"/>
        <v>0</v>
      </c>
      <c r="R305" s="307">
        <f t="shared" si="233"/>
        <v>0</v>
      </c>
      <c r="S305" s="307">
        <f t="shared" si="233"/>
        <v>0</v>
      </c>
      <c r="T305" s="307">
        <f t="shared" si="233"/>
        <v>0</v>
      </c>
      <c r="U305" s="307">
        <f t="shared" si="233"/>
        <v>0</v>
      </c>
      <c r="V305" s="307">
        <f t="shared" si="233"/>
        <v>0</v>
      </c>
      <c r="W305" s="307">
        <f t="shared" si="233"/>
        <v>0</v>
      </c>
      <c r="X305" s="307">
        <f t="shared" si="233"/>
        <v>0</v>
      </c>
      <c r="Y305" s="307">
        <f t="shared" si="233"/>
        <v>0</v>
      </c>
      <c r="Z305" s="307">
        <f t="shared" si="233"/>
        <v>0</v>
      </c>
      <c r="AA305" s="307">
        <f t="shared" si="233"/>
        <v>0</v>
      </c>
      <c r="AB305" s="307">
        <f t="shared" si="233"/>
        <v>0</v>
      </c>
      <c r="AC305" s="307">
        <f t="shared" si="233"/>
        <v>0</v>
      </c>
      <c r="AD305" s="307">
        <f t="shared" si="233"/>
        <v>0</v>
      </c>
      <c r="AE305" s="307">
        <f t="shared" si="233"/>
        <v>0</v>
      </c>
      <c r="AF305" s="307">
        <f t="shared" si="233"/>
        <v>0</v>
      </c>
      <c r="AG305" s="307">
        <f t="shared" si="233"/>
        <v>0</v>
      </c>
      <c r="AH305" s="307">
        <f t="shared" si="233"/>
        <v>0</v>
      </c>
      <c r="AI305" s="307">
        <f t="shared" si="233"/>
        <v>0</v>
      </c>
      <c r="AJ305" s="307">
        <f t="shared" ref="AJ305:BK305" si="234">IF(AJ295&lt;0,MAX(-$C$10,200000*AJ295),MIN(200000*AJ295,$C$10)-IF(AND($D285&lt;$C$8*AJ277,$D285&gt;0),$C$9,0))</f>
        <v>0</v>
      </c>
      <c r="AK305" s="307">
        <f t="shared" si="234"/>
        <v>0</v>
      </c>
      <c r="AL305" s="307">
        <f t="shared" si="234"/>
        <v>0</v>
      </c>
      <c r="AM305" s="307">
        <f t="shared" si="234"/>
        <v>0</v>
      </c>
      <c r="AN305" s="307">
        <f t="shared" si="234"/>
        <v>0</v>
      </c>
      <c r="AO305" s="307">
        <f t="shared" si="234"/>
        <v>0</v>
      </c>
      <c r="AP305" s="307">
        <f t="shared" si="234"/>
        <v>0</v>
      </c>
      <c r="AQ305" s="307">
        <f t="shared" si="234"/>
        <v>0</v>
      </c>
      <c r="AR305" s="61">
        <f t="shared" si="234"/>
        <v>0</v>
      </c>
      <c r="AS305" s="307">
        <f t="shared" si="234"/>
        <v>0</v>
      </c>
      <c r="AT305" s="307">
        <f t="shared" si="234"/>
        <v>0</v>
      </c>
      <c r="AU305" s="307">
        <f t="shared" si="234"/>
        <v>0</v>
      </c>
      <c r="AV305" s="307">
        <f t="shared" si="234"/>
        <v>0</v>
      </c>
      <c r="AW305" s="307">
        <f t="shared" si="234"/>
        <v>0</v>
      </c>
      <c r="AX305" s="307">
        <f t="shared" si="234"/>
        <v>0</v>
      </c>
      <c r="AY305" s="307">
        <f t="shared" si="234"/>
        <v>0</v>
      </c>
      <c r="AZ305" s="307">
        <f t="shared" si="234"/>
        <v>0</v>
      </c>
      <c r="BA305" s="307">
        <f t="shared" si="234"/>
        <v>0</v>
      </c>
      <c r="BB305" s="307">
        <f t="shared" si="234"/>
        <v>0</v>
      </c>
      <c r="BC305" s="307">
        <f t="shared" si="234"/>
        <v>0</v>
      </c>
      <c r="BD305" s="307">
        <f t="shared" si="234"/>
        <v>0</v>
      </c>
      <c r="BE305" s="307">
        <f t="shared" si="234"/>
        <v>0</v>
      </c>
      <c r="BF305" s="307">
        <f t="shared" si="234"/>
        <v>0</v>
      </c>
      <c r="BG305" s="307">
        <f t="shared" si="234"/>
        <v>0</v>
      </c>
      <c r="BH305" s="307">
        <f t="shared" si="234"/>
        <v>0</v>
      </c>
      <c r="BI305" s="307">
        <f t="shared" si="234"/>
        <v>0</v>
      </c>
      <c r="BJ305" s="307">
        <f t="shared" si="234"/>
        <v>0</v>
      </c>
      <c r="BK305" s="307">
        <f t="shared" si="234"/>
        <v>0</v>
      </c>
      <c r="BL305" s="307">
        <f>IF(BL295&lt;0,MAX(-$C$10,200000*BL295),MIN(200000*BL295,$C$10)-IF(AND($D285&lt;$C$8*BL277,$D285&gt;0),$C$9,0))</f>
        <v>0</v>
      </c>
      <c r="BM305" s="307">
        <f>IF(BM295&lt;0,MAX(-$C$10,200000*BM295),MIN(200000*BM295,$C$10)-IF(AND($D285&lt;$C$8*BM277,$D285&gt;0),$C$9,0))</f>
        <v>0</v>
      </c>
      <c r="BN305" s="307">
        <f>IF(BN295&lt;0,MAX(-$C$10,200000*BN295),MIN(200000*BN295,$C$10)-IF(AND($D285&lt;$C$8*BN277,$D285&gt;0),$C$9,0))</f>
        <v>0</v>
      </c>
      <c r="BO305" s="12">
        <f>IF(D305=0,0,BO298)</f>
        <v>0</v>
      </c>
      <c r="BP305" s="43"/>
      <c r="BQ305" s="41"/>
    </row>
    <row r="306" spans="1:69" ht="16.5">
      <c r="A306" s="41"/>
      <c r="B306" s="11">
        <f t="shared" si="222"/>
        <v>9</v>
      </c>
      <c r="C306" s="302" t="s">
        <v>61</v>
      </c>
      <c r="D306" s="12">
        <f t="shared" ref="D306:AI306" si="235">IF(D296&lt;0,MAX(-$C$10,200000*D296),MIN(200000*D296,$C$10)-IF(AND($D286&lt;$C$8*D277,$D286&gt;0),$C$9,0))</f>
        <v>0</v>
      </c>
      <c r="E306" s="307">
        <f t="shared" si="235"/>
        <v>0</v>
      </c>
      <c r="F306" s="307">
        <f t="shared" si="235"/>
        <v>0</v>
      </c>
      <c r="G306" s="307">
        <f t="shared" si="235"/>
        <v>0</v>
      </c>
      <c r="H306" s="307">
        <f t="shared" si="235"/>
        <v>0</v>
      </c>
      <c r="I306" s="307">
        <f t="shared" si="235"/>
        <v>0</v>
      </c>
      <c r="J306" s="307">
        <f t="shared" si="235"/>
        <v>0</v>
      </c>
      <c r="K306" s="307">
        <f t="shared" si="235"/>
        <v>0</v>
      </c>
      <c r="L306" s="307">
        <f t="shared" si="235"/>
        <v>0</v>
      </c>
      <c r="M306" s="307">
        <f t="shared" si="235"/>
        <v>0</v>
      </c>
      <c r="N306" s="307">
        <f t="shared" si="235"/>
        <v>0</v>
      </c>
      <c r="O306" s="307">
        <f t="shared" si="235"/>
        <v>0</v>
      </c>
      <c r="P306" s="307">
        <f t="shared" si="235"/>
        <v>0</v>
      </c>
      <c r="Q306" s="307">
        <f t="shared" si="235"/>
        <v>0</v>
      </c>
      <c r="R306" s="307">
        <f t="shared" si="235"/>
        <v>0</v>
      </c>
      <c r="S306" s="307">
        <f t="shared" si="235"/>
        <v>0</v>
      </c>
      <c r="T306" s="307">
        <f t="shared" si="235"/>
        <v>0</v>
      </c>
      <c r="U306" s="307">
        <f t="shared" si="235"/>
        <v>0</v>
      </c>
      <c r="V306" s="307">
        <f t="shared" si="235"/>
        <v>0</v>
      </c>
      <c r="W306" s="307">
        <f t="shared" si="235"/>
        <v>0</v>
      </c>
      <c r="X306" s="307">
        <f t="shared" si="235"/>
        <v>0</v>
      </c>
      <c r="Y306" s="307">
        <f t="shared" si="235"/>
        <v>0</v>
      </c>
      <c r="Z306" s="307">
        <f t="shared" si="235"/>
        <v>0</v>
      </c>
      <c r="AA306" s="307">
        <f t="shared" si="235"/>
        <v>0</v>
      </c>
      <c r="AB306" s="307">
        <f t="shared" si="235"/>
        <v>0</v>
      </c>
      <c r="AC306" s="307">
        <f t="shared" si="235"/>
        <v>0</v>
      </c>
      <c r="AD306" s="307">
        <f t="shared" si="235"/>
        <v>0</v>
      </c>
      <c r="AE306" s="307">
        <f t="shared" si="235"/>
        <v>0</v>
      </c>
      <c r="AF306" s="307">
        <f t="shared" si="235"/>
        <v>0</v>
      </c>
      <c r="AG306" s="307">
        <f t="shared" si="235"/>
        <v>0</v>
      </c>
      <c r="AH306" s="307">
        <f t="shared" si="235"/>
        <v>0</v>
      </c>
      <c r="AI306" s="307">
        <f t="shared" si="235"/>
        <v>0</v>
      </c>
      <c r="AJ306" s="307">
        <f t="shared" ref="AJ306:BK306" si="236">IF(AJ296&lt;0,MAX(-$C$10,200000*AJ296),MIN(200000*AJ296,$C$10)-IF(AND($D286&lt;$C$8*AJ277,$D286&gt;0),$C$9,0))</f>
        <v>0</v>
      </c>
      <c r="AK306" s="307">
        <f t="shared" si="236"/>
        <v>0</v>
      </c>
      <c r="AL306" s="307">
        <f t="shared" si="236"/>
        <v>0</v>
      </c>
      <c r="AM306" s="307">
        <f t="shared" si="236"/>
        <v>0</v>
      </c>
      <c r="AN306" s="307">
        <f t="shared" si="236"/>
        <v>0</v>
      </c>
      <c r="AO306" s="307">
        <f t="shared" si="236"/>
        <v>0</v>
      </c>
      <c r="AP306" s="307">
        <f t="shared" si="236"/>
        <v>0</v>
      </c>
      <c r="AQ306" s="307">
        <f t="shared" si="236"/>
        <v>0</v>
      </c>
      <c r="AR306" s="61">
        <f t="shared" si="236"/>
        <v>0</v>
      </c>
      <c r="AS306" s="307">
        <f t="shared" si="236"/>
        <v>0</v>
      </c>
      <c r="AT306" s="307">
        <f t="shared" si="236"/>
        <v>0</v>
      </c>
      <c r="AU306" s="307">
        <f t="shared" si="236"/>
        <v>0</v>
      </c>
      <c r="AV306" s="307">
        <f t="shared" si="236"/>
        <v>0</v>
      </c>
      <c r="AW306" s="307">
        <f t="shared" si="236"/>
        <v>0</v>
      </c>
      <c r="AX306" s="307">
        <f t="shared" si="236"/>
        <v>0</v>
      </c>
      <c r="AY306" s="307">
        <f t="shared" si="236"/>
        <v>0</v>
      </c>
      <c r="AZ306" s="307">
        <f t="shared" si="236"/>
        <v>0</v>
      </c>
      <c r="BA306" s="307">
        <f t="shared" si="236"/>
        <v>0</v>
      </c>
      <c r="BB306" s="307">
        <f t="shared" si="236"/>
        <v>0</v>
      </c>
      <c r="BC306" s="307">
        <f t="shared" si="236"/>
        <v>0</v>
      </c>
      <c r="BD306" s="307">
        <f t="shared" si="236"/>
        <v>0</v>
      </c>
      <c r="BE306" s="307">
        <f t="shared" si="236"/>
        <v>0</v>
      </c>
      <c r="BF306" s="307">
        <f t="shared" si="236"/>
        <v>0</v>
      </c>
      <c r="BG306" s="307">
        <f t="shared" si="236"/>
        <v>0</v>
      </c>
      <c r="BH306" s="307">
        <f t="shared" si="236"/>
        <v>0</v>
      </c>
      <c r="BI306" s="307">
        <f t="shared" si="236"/>
        <v>0</v>
      </c>
      <c r="BJ306" s="307">
        <f t="shared" si="236"/>
        <v>0</v>
      </c>
      <c r="BK306" s="307">
        <f t="shared" si="236"/>
        <v>0</v>
      </c>
      <c r="BL306" s="307">
        <f>IF(BL296&lt;0,MAX(-$C$10,200000*BL296),MIN(200000*BL296,$C$10)-IF(AND($D286&lt;$C$8*BL277,$D286&gt;0),$C$9,0))</f>
        <v>0</v>
      </c>
      <c r="BM306" s="307">
        <f>IF(BM296&lt;0,MAX(-$C$10,200000*BM296),MIN(200000*BM296,$C$10)-IF(AND($D286&lt;$C$8*BM277,$D286&gt;0),$C$9,0))</f>
        <v>0</v>
      </c>
      <c r="BN306" s="307">
        <f>IF(BN296&lt;0,MAX(-$C$10,200000*BN296),MIN(200000*BN296,$C$10)-IF(AND($D286&lt;$C$8*BN277,$D286&gt;0),$C$9,0))</f>
        <v>0</v>
      </c>
      <c r="BO306" s="12">
        <f>IF(D306=0,0,BO298)</f>
        <v>0</v>
      </c>
      <c r="BP306" s="43"/>
      <c r="BQ306" s="41"/>
    </row>
    <row r="307" spans="1:69" ht="16.5">
      <c r="A307" s="41"/>
      <c r="B307" s="294" t="s">
        <v>62</v>
      </c>
      <c r="C307" s="302" t="s">
        <v>63</v>
      </c>
      <c r="D307" s="12">
        <f t="shared" ref="D307:BJ307" si="237">IF(D297&lt;0,MAX(-$C$10,200000*D297),MIN(200000*D297,$C$10)-IF(AND($F274&lt;$C$8*D277,$D287&gt;0),$C$9,0))</f>
        <v>-434.78260869565219</v>
      </c>
      <c r="E307" s="307">
        <f t="shared" si="237"/>
        <v>-434.78260869565219</v>
      </c>
      <c r="F307" s="307">
        <f t="shared" si="237"/>
        <v>-434.78260869565219</v>
      </c>
      <c r="G307" s="307">
        <f t="shared" si="237"/>
        <v>-434.78260869565219</v>
      </c>
      <c r="H307" s="307">
        <f t="shared" si="237"/>
        <v>-434.78260869565219</v>
      </c>
      <c r="I307" s="307">
        <f t="shared" si="237"/>
        <v>-434.78260869565219</v>
      </c>
      <c r="J307" s="307">
        <f t="shared" si="237"/>
        <v>-434.78260869565219</v>
      </c>
      <c r="K307" s="307">
        <f t="shared" si="237"/>
        <v>-434.78260869565219</v>
      </c>
      <c r="L307" s="307">
        <f t="shared" si="237"/>
        <v>-434.78260869565219</v>
      </c>
      <c r="M307" s="307">
        <f t="shared" si="237"/>
        <v>-434.78260869565219</v>
      </c>
      <c r="N307" s="307">
        <f t="shared" si="237"/>
        <v>-434.78260869565219</v>
      </c>
      <c r="O307" s="307">
        <f t="shared" si="237"/>
        <v>-434.78260869565219</v>
      </c>
      <c r="P307" s="307">
        <f t="shared" si="237"/>
        <v>-434.78260869565219</v>
      </c>
      <c r="Q307" s="307">
        <f t="shared" si="237"/>
        <v>-434.78260869565219</v>
      </c>
      <c r="R307" s="307">
        <f t="shared" si="237"/>
        <v>-434.78260869565219</v>
      </c>
      <c r="S307" s="307">
        <f t="shared" si="237"/>
        <v>-434.78260869565219</v>
      </c>
      <c r="T307" s="307">
        <f t="shared" si="237"/>
        <v>-434.78260869565219</v>
      </c>
      <c r="U307" s="307">
        <f t="shared" si="237"/>
        <v>-434.78260869565219</v>
      </c>
      <c r="V307" s="307">
        <f t="shared" si="237"/>
        <v>-434.78260869565219</v>
      </c>
      <c r="W307" s="307">
        <f t="shared" si="237"/>
        <v>-434.78260869565219</v>
      </c>
      <c r="X307" s="307">
        <f t="shared" si="237"/>
        <v>-434.78260869565219</v>
      </c>
      <c r="Y307" s="307">
        <f t="shared" si="237"/>
        <v>-434.78260869565219</v>
      </c>
      <c r="Z307" s="307">
        <f t="shared" si="237"/>
        <v>-434.78260869565219</v>
      </c>
      <c r="AA307" s="307">
        <f t="shared" si="237"/>
        <v>-434.78260869565219</v>
      </c>
      <c r="AB307" s="307">
        <f t="shared" si="237"/>
        <v>-434.78260869565219</v>
      </c>
      <c r="AC307" s="307">
        <f t="shared" si="237"/>
        <v>-434.78260869565219</v>
      </c>
      <c r="AD307" s="307">
        <f t="shared" si="237"/>
        <v>-434.78260869565219</v>
      </c>
      <c r="AE307" s="307">
        <f t="shared" si="237"/>
        <v>-434.78260869565219</v>
      </c>
      <c r="AF307" s="307">
        <f t="shared" si="237"/>
        <v>-434.78260869565219</v>
      </c>
      <c r="AG307" s="307">
        <f t="shared" si="237"/>
        <v>-434.78260869565219</v>
      </c>
      <c r="AH307" s="307">
        <f t="shared" si="237"/>
        <v>-434.78260869565219</v>
      </c>
      <c r="AI307" s="307">
        <f t="shared" si="237"/>
        <v>-434.78260869565219</v>
      </c>
      <c r="AJ307" s="307">
        <f t="shared" si="237"/>
        <v>-434.78260869565219</v>
      </c>
      <c r="AK307" s="307">
        <f t="shared" si="237"/>
        <v>-434.78260869565219</v>
      </c>
      <c r="AL307" s="307">
        <f t="shared" si="237"/>
        <v>-434.78260869565219</v>
      </c>
      <c r="AM307" s="307">
        <f t="shared" si="237"/>
        <v>-434.78260869565219</v>
      </c>
      <c r="AN307" s="307">
        <f t="shared" si="237"/>
        <v>-434.78260869565219</v>
      </c>
      <c r="AO307" s="307">
        <f t="shared" si="237"/>
        <v>-434.78260869565219</v>
      </c>
      <c r="AP307" s="307">
        <f t="shared" si="237"/>
        <v>-434.78260869565219</v>
      </c>
      <c r="AQ307" s="307">
        <f t="shared" si="237"/>
        <v>-434.78260869565219</v>
      </c>
      <c r="AR307" s="61">
        <f t="shared" si="237"/>
        <v>-434.78260869565219</v>
      </c>
      <c r="AS307" s="307">
        <f t="shared" si="237"/>
        <v>-372.29744054272822</v>
      </c>
      <c r="AT307" s="307">
        <f t="shared" si="237"/>
        <v>-316.33444949103108</v>
      </c>
      <c r="AU307" s="307">
        <f t="shared" si="237"/>
        <v>-265.92311350008345</v>
      </c>
      <c r="AV307" s="307">
        <f t="shared" si="237"/>
        <v>-220.27636684424905</v>
      </c>
      <c r="AW307" s="307">
        <f t="shared" si="237"/>
        <v>-178.74920809298263</v>
      </c>
      <c r="AX307" s="307">
        <f t="shared" si="237"/>
        <v>-140.80803102728996</v>
      </c>
      <c r="AY307" s="307">
        <f t="shared" si="237"/>
        <v>-106.00757178832797</v>
      </c>
      <c r="AZ307" s="307">
        <f t="shared" si="237"/>
        <v>-73.973353344665725</v>
      </c>
      <c r="BA307" s="307">
        <f t="shared" si="237"/>
        <v>-44.38815632990422</v>
      </c>
      <c r="BB307" s="307">
        <f t="shared" si="237"/>
        <v>-16.981478558104509</v>
      </c>
      <c r="BC307" s="307">
        <f t="shared" si="237"/>
        <v>8.4787596852122178</v>
      </c>
      <c r="BD307" s="307">
        <f t="shared" si="237"/>
        <v>31.938522564814875</v>
      </c>
      <c r="BE307" s="307">
        <f t="shared" si="237"/>
        <v>52.201734108342976</v>
      </c>
      <c r="BF307" s="307">
        <f t="shared" si="237"/>
        <v>70.037704865529264</v>
      </c>
      <c r="BG307" s="307">
        <f t="shared" si="237"/>
        <v>85.857912971434288</v>
      </c>
      <c r="BH307" s="307">
        <f t="shared" si="237"/>
        <v>99.985803365694636</v>
      </c>
      <c r="BI307" s="307">
        <f t="shared" si="237"/>
        <v>112.67913521475521</v>
      </c>
      <c r="BJ307" s="307">
        <f t="shared" si="237"/>
        <v>101.4791840579788</v>
      </c>
      <c r="BK307" s="307">
        <f>IF(BK297&lt;0,MAX(-$C$10,200000*BK297),MIN(200000*BK297,$C$10)-IF(AND($F274&lt;$C$8*BK277,$D287&gt;0),$C$9,0))</f>
        <v>111.8888888888889</v>
      </c>
      <c r="BL307" s="307">
        <f>IF(BL297&lt;0,MAX(-$C$10,200000*BL297),MIN(200000*BL297,$C$10)-IF(AND($F274&lt;$C$8*BL277,$D287&gt;0),$C$9,0))</f>
        <v>206.14583333333337</v>
      </c>
      <c r="BM307" s="307">
        <f>IF(BM297&lt;0,MAX(-$C$10,200000*BM297),MIN(200000*BM297,$C$10)-IF(AND($F274&lt;$C$8*BM277,$D287&gt;0),$C$9,0))</f>
        <v>243.0289855072464</v>
      </c>
      <c r="BN307" s="307">
        <f>IF(BN297&lt;0,MAX(-$C$10,200000*BN297),MIN(200000*BN297,$C$10)-IF(AND($F274&lt;$C$8*BN277,$D287&gt;0),$C$9,0))</f>
        <v>262.69999999999993</v>
      </c>
      <c r="BO307" s="12">
        <f>BO298</f>
        <v>327.33333333333331</v>
      </c>
      <c r="BP307" s="41"/>
      <c r="BQ307" s="41"/>
    </row>
    <row r="308" spans="1:69" ht="16.5">
      <c r="A308" s="41"/>
      <c r="B308" s="290" t="s">
        <v>64</v>
      </c>
      <c r="C308" s="298" t="s">
        <v>65</v>
      </c>
      <c r="D308" s="3">
        <f>D298*$I274*MAIN!$C$15/MAIN!$Q$1</f>
        <v>-116781.96992044743</v>
      </c>
      <c r="E308" s="13">
        <f>E298*$I274*MAIN!$C$15/MAIN!$Q$1</f>
        <v>19878.046967739967</v>
      </c>
      <c r="F308" s="13">
        <f>F298*$I274*MAIN!$C$15/MAIN!$Q$1</f>
        <v>77597.275394061086</v>
      </c>
      <c r="G308" s="13">
        <f>G298*$I274*MAIN!$C$15/MAIN!$Q$1</f>
        <v>117231.50761008554</v>
      </c>
      <c r="H308" s="13">
        <f>H298*$I274*MAIN!$C$15/MAIN!$Q$1</f>
        <v>143462.89811603268</v>
      </c>
      <c r="I308" s="13">
        <f>I298*$I274*MAIN!$C$15/MAIN!$Q$1</f>
        <v>162106.71509091859</v>
      </c>
      <c r="J308" s="13">
        <f>J298*$I274*MAIN!$C$15/MAIN!$Q$1</f>
        <v>165721.65323590377</v>
      </c>
      <c r="K308" s="13">
        <f>K298*$I274*MAIN!$C$15/MAIN!$Q$1</f>
        <v>165721.65323590377</v>
      </c>
      <c r="L308" s="13">
        <f>L298*$I274*MAIN!$C$15/MAIN!$Q$1</f>
        <v>165721.65323590377</v>
      </c>
      <c r="M308" s="13">
        <f>M298*$I274*MAIN!$C$15/MAIN!$Q$1</f>
        <v>165721.65323590377</v>
      </c>
      <c r="N308" s="13">
        <f>N298*$I274*MAIN!$C$15/MAIN!$Q$1</f>
        <v>165721.65323590377</v>
      </c>
      <c r="O308" s="13">
        <f>O298*$I274*MAIN!$C$15/MAIN!$Q$1</f>
        <v>165721.65323590377</v>
      </c>
      <c r="P308" s="13">
        <f>P298*$I274*MAIN!$C$15/MAIN!$Q$1</f>
        <v>165721.65323590377</v>
      </c>
      <c r="Q308" s="13">
        <f>Q298*$I274*MAIN!$C$15/MAIN!$Q$1</f>
        <v>165721.65323590377</v>
      </c>
      <c r="R308" s="13">
        <f>R298*$I274*MAIN!$C$15/MAIN!$Q$1</f>
        <v>165721.65323590377</v>
      </c>
      <c r="S308" s="13">
        <f>S298*$I274*MAIN!$C$15/MAIN!$Q$1</f>
        <v>165721.65323590377</v>
      </c>
      <c r="T308" s="13">
        <f>T298*$I274*MAIN!$C$15/MAIN!$Q$1</f>
        <v>165721.65323590377</v>
      </c>
      <c r="U308" s="13">
        <f>U298*$I274*MAIN!$C$15/MAIN!$Q$1</f>
        <v>165721.65323590377</v>
      </c>
      <c r="V308" s="13">
        <f>V298*$I274*MAIN!$C$15/MAIN!$Q$1</f>
        <v>165721.65323590377</v>
      </c>
      <c r="W308" s="13">
        <f>W298*$I274*MAIN!$C$15/MAIN!$Q$1</f>
        <v>165721.65323590377</v>
      </c>
      <c r="X308" s="13">
        <f>X298*$I274*MAIN!$C$15/MAIN!$Q$1</f>
        <v>165721.65323590377</v>
      </c>
      <c r="Y308" s="13">
        <f>Y298*$I274*MAIN!$C$15/MAIN!$Q$1</f>
        <v>165721.65323590377</v>
      </c>
      <c r="Z308" s="13">
        <f>Z298*$I274*MAIN!$C$15/MAIN!$Q$1</f>
        <v>165721.65323590377</v>
      </c>
      <c r="AA308" s="13">
        <f>AA298*$I274*MAIN!$C$15/MAIN!$Q$1</f>
        <v>165721.65323590377</v>
      </c>
      <c r="AB308" s="13">
        <f>AB298*$I274*MAIN!$C$15/MAIN!$Q$1</f>
        <v>165721.65323590377</v>
      </c>
      <c r="AC308" s="13">
        <f>AC298*$I274*MAIN!$C$15/MAIN!$Q$1</f>
        <v>165721.65323590377</v>
      </c>
      <c r="AD308" s="13">
        <f>AD298*$I274*MAIN!$C$15/MAIN!$Q$1</f>
        <v>165721.65323590377</v>
      </c>
      <c r="AE308" s="13">
        <f>AE298*$I274*MAIN!$C$15/MAIN!$Q$1</f>
        <v>165721.65323590377</v>
      </c>
      <c r="AF308" s="13">
        <f>AF298*$I274*MAIN!$C$15/MAIN!$Q$1</f>
        <v>165721.65323590377</v>
      </c>
      <c r="AG308" s="13">
        <f>AG298*$I274*MAIN!$C$15/MAIN!$Q$1</f>
        <v>165721.65323590377</v>
      </c>
      <c r="AH308" s="13">
        <f>AH298*$I274*MAIN!$C$15/MAIN!$Q$1</f>
        <v>165721.65323590377</v>
      </c>
      <c r="AI308" s="13">
        <f>AI298*$I274*MAIN!$C$15/MAIN!$Q$1</f>
        <v>165721.65323590377</v>
      </c>
      <c r="AJ308" s="13">
        <f>AJ298*$I274*MAIN!$C$15/MAIN!$Q$1</f>
        <v>165721.65323590377</v>
      </c>
      <c r="AK308" s="13">
        <f>AK298*$I274*MAIN!$C$15/MAIN!$Q$1</f>
        <v>165721.65323590377</v>
      </c>
      <c r="AL308" s="13">
        <f>AL298*$I274*MAIN!$C$15/MAIN!$Q$1</f>
        <v>165721.65323590377</v>
      </c>
      <c r="AM308" s="13">
        <f>AM298*$I274*MAIN!$C$15/MAIN!$Q$1</f>
        <v>165721.65323590377</v>
      </c>
      <c r="AN308" s="13">
        <f>AN298*$I274*MAIN!$C$15/MAIN!$Q$1</f>
        <v>165721.65323590377</v>
      </c>
      <c r="AO308" s="13">
        <f>AO298*$I274*MAIN!$C$15/MAIN!$Q$1</f>
        <v>165721.65323590377</v>
      </c>
      <c r="AP308" s="13">
        <f>AP298*$I274*MAIN!$C$15/MAIN!$Q$1</f>
        <v>165721.65323590377</v>
      </c>
      <c r="AQ308" s="13">
        <f>AQ298*$I274*MAIN!$C$15/MAIN!$Q$1</f>
        <v>165721.65323590377</v>
      </c>
      <c r="AR308" s="56">
        <f>AR298*$I274*MAIN!$C$15/MAIN!$Q$1</f>
        <v>165721.65323590377</v>
      </c>
      <c r="AS308" s="13">
        <f>AS298*$I274*MAIN!$C$15/MAIN!$Q$1</f>
        <v>165721.65323590377</v>
      </c>
      <c r="AT308" s="13">
        <f>AT298*$I274*MAIN!$C$15/MAIN!$Q$1</f>
        <v>165721.65323590377</v>
      </c>
      <c r="AU308" s="13">
        <f>AU298*$I274*MAIN!$C$15/MAIN!$Q$1</f>
        <v>165721.65323590377</v>
      </c>
      <c r="AV308" s="13">
        <f>AV298*$I274*MAIN!$C$15/MAIN!$Q$1</f>
        <v>165721.65323590377</v>
      </c>
      <c r="AW308" s="13">
        <f>AW298*$I274*MAIN!$C$15/MAIN!$Q$1</f>
        <v>165721.65323590377</v>
      </c>
      <c r="AX308" s="13">
        <f>AX298*$I274*MAIN!$C$15/MAIN!$Q$1</f>
        <v>165721.65323590377</v>
      </c>
      <c r="AY308" s="13">
        <f>AY298*$I274*MAIN!$C$15/MAIN!$Q$1</f>
        <v>165721.65323590377</v>
      </c>
      <c r="AZ308" s="13">
        <f>AZ298*$I274*MAIN!$C$15/MAIN!$Q$1</f>
        <v>165721.65323590377</v>
      </c>
      <c r="BA308" s="13">
        <f>BA298*$I274*MAIN!$C$15/MAIN!$Q$1</f>
        <v>165721.65323590377</v>
      </c>
      <c r="BB308" s="13">
        <f>BB298*$I274*MAIN!$C$15/MAIN!$Q$1</f>
        <v>165721.65323590377</v>
      </c>
      <c r="BC308" s="13">
        <f>BC298*$I274*MAIN!$C$15/MAIN!$Q$1</f>
        <v>165721.65323590377</v>
      </c>
      <c r="BD308" s="13">
        <f>BD298*$I274*MAIN!$C$15/MAIN!$Q$1</f>
        <v>165721.65323590377</v>
      </c>
      <c r="BE308" s="13">
        <f>BE298*$I274*MAIN!$C$15/MAIN!$Q$1</f>
        <v>165721.65323590377</v>
      </c>
      <c r="BF308" s="13">
        <f>BF298*$I274*MAIN!$C$15/MAIN!$Q$1</f>
        <v>165721.65323590377</v>
      </c>
      <c r="BG308" s="13">
        <f>BG298*$I274*MAIN!$C$15/MAIN!$Q$1</f>
        <v>165721.65323590377</v>
      </c>
      <c r="BH308" s="13">
        <f>BH298*$I274*MAIN!$C$15/MAIN!$Q$1</f>
        <v>165721.65323590377</v>
      </c>
      <c r="BI308" s="13">
        <f>BI298*$I274*MAIN!$C$15/MAIN!$Q$1</f>
        <v>165721.65323590377</v>
      </c>
      <c r="BJ308" s="13">
        <f>BJ298*$I274*MAIN!$C$15/MAIN!$Q$1</f>
        <v>165721.65323590377</v>
      </c>
      <c r="BK308" s="13">
        <f>BK298*$I274*MAIN!$C$15/MAIN!$Q$1</f>
        <v>165721.65323590377</v>
      </c>
      <c r="BL308" s="13">
        <f>BL298*$I274*MAIN!$C$15/MAIN!$Q$1</f>
        <v>165721.65323590377</v>
      </c>
      <c r="BM308" s="13">
        <f>BM298*$I274*MAIN!$C$15/MAIN!$Q$1</f>
        <v>165529.33312911011</v>
      </c>
      <c r="BN308" s="13">
        <f>BN298*$I274*MAIN!$C$15/MAIN!$Q$1</f>
        <v>157619.14885786615</v>
      </c>
      <c r="BO308" s="3">
        <f>BO298*$I274*MAIN!$C$15/MAIN!$Q$1</f>
        <v>131628.54339520758</v>
      </c>
      <c r="BP308" s="41"/>
      <c r="BQ308" s="41"/>
    </row>
    <row r="309" spans="1:69" ht="16.5">
      <c r="A309" s="41"/>
      <c r="B309" s="14">
        <v>2</v>
      </c>
      <c r="C309" s="298" t="s">
        <v>66</v>
      </c>
      <c r="D309" s="3">
        <f>D299*$I274*2/MAIN!$Q$1</f>
        <v>-174836.46072151899</v>
      </c>
      <c r="E309" s="13">
        <f>E299*$I274*2/MAIN!$Q$1</f>
        <v>-174836.46072151899</v>
      </c>
      <c r="F309" s="13">
        <f>F299*$I274*2/MAIN!$Q$1</f>
        <v>-174836.46072151899</v>
      </c>
      <c r="G309" s="13">
        <f>G299*$I274*2/MAIN!$Q$1</f>
        <v>-174836.46072151899</v>
      </c>
      <c r="H309" s="13">
        <f>H299*$I274*2/MAIN!$Q$1</f>
        <v>-174836.46072151899</v>
      </c>
      <c r="I309" s="13">
        <f>I299*$I274*2/MAIN!$Q$1</f>
        <v>-174836.46072151899</v>
      </c>
      <c r="J309" s="13">
        <f>J299*$I274*2/MAIN!$Q$1</f>
        <v>-174836.46072151899</v>
      </c>
      <c r="K309" s="13">
        <f>K299*$I274*2/MAIN!$Q$1</f>
        <v>-174836.46072151899</v>
      </c>
      <c r="L309" s="13">
        <f>L299*$I274*2/MAIN!$Q$1</f>
        <v>-174836.46072151899</v>
      </c>
      <c r="M309" s="13">
        <f>M299*$I274*2/MAIN!$Q$1</f>
        <v>-174836.46072151899</v>
      </c>
      <c r="N309" s="13">
        <f>N299*$I274*2/MAIN!$Q$1</f>
        <v>-174836.46072151899</v>
      </c>
      <c r="O309" s="13">
        <f>O299*$I274*2/MAIN!$Q$1</f>
        <v>-174836.46072151899</v>
      </c>
      <c r="P309" s="13">
        <f>P299*$I274*2/MAIN!$Q$1</f>
        <v>-174836.46072151899</v>
      </c>
      <c r="Q309" s="13">
        <f>Q299*$I274*2/MAIN!$Q$1</f>
        <v>-174836.46072151899</v>
      </c>
      <c r="R309" s="13">
        <f>R299*$I274*2/MAIN!$Q$1</f>
        <v>-151065.09629940573</v>
      </c>
      <c r="S309" s="13">
        <f>S299*$I274*2/MAIN!$Q$1</f>
        <v>-125491.95841511329</v>
      </c>
      <c r="T309" s="13">
        <f>T299*$I274*2/MAIN!$Q$1</f>
        <v>-102773.87307189037</v>
      </c>
      <c r="U309" s="13">
        <f>U299*$I274*2/MAIN!$Q$1</f>
        <v>-82458.000019279076</v>
      </c>
      <c r="V309" s="13">
        <f>V299*$I274*2/MAIN!$Q$1</f>
        <v>-64182.456798254854</v>
      </c>
      <c r="W309" s="13">
        <f>W299*$I274*2/MAIN!$Q$1</f>
        <v>-47654.573385369906</v>
      </c>
      <c r="X309" s="13">
        <f>X299*$I274*2/MAIN!$Q$1</f>
        <v>-32635.10058026922</v>
      </c>
      <c r="Y309" s="13">
        <f>Y299*$I274*2/MAIN!$Q$1</f>
        <v>-18926.553350995939</v>
      </c>
      <c r="Z309" s="13">
        <f>Z299*$I274*2/MAIN!$Q$1</f>
        <v>-6364.4787859102598</v>
      </c>
      <c r="AA309" s="13">
        <f>AA299*$I274*2/MAIN!$Q$1</f>
        <v>5189.1730543474514</v>
      </c>
      <c r="AB309" s="13">
        <f>AB299*$I274*2/MAIN!$Q$1</f>
        <v>15851.143422523997</v>
      </c>
      <c r="AC309" s="13">
        <f>AC299*$I274*2/MAIN!$Q$1</f>
        <v>25720.82350236284</v>
      </c>
      <c r="AD309" s="13">
        <f>AD299*$I274*2/MAIN!$Q$1</f>
        <v>34883.362146798303</v>
      </c>
      <c r="AE309" s="13">
        <f>AE299*$I274*2/MAIN!$Q$1</f>
        <v>43412.128730146898</v>
      </c>
      <c r="AF309" s="13">
        <f>AF299*$I274*2/MAIN!$Q$1</f>
        <v>51370.68201876626</v>
      </c>
      <c r="AG309" s="13">
        <f>AG299*$I274*2/MAIN!$Q$1</f>
        <v>49699.549427993647</v>
      </c>
      <c r="AH309" s="13">
        <f>AH299*$I274*2/MAIN!$Q$1</f>
        <v>56676.745394038073</v>
      </c>
      <c r="AI309" s="13">
        <f>AI299*$I274*2/MAIN!$Q$1</f>
        <v>63229.980019894159</v>
      </c>
      <c r="AJ309" s="13">
        <f>AJ299*$I274*2/MAIN!$Q$1</f>
        <v>69396.756185322345</v>
      </c>
      <c r="AK309" s="13">
        <f>AK299*$I274*2/MAIN!$Q$1</f>
        <v>75210.280206584517</v>
      </c>
      <c r="AL309" s="13">
        <f>AL299*$I274*2/MAIN!$Q$1</f>
        <v>80700.060005302017</v>
      </c>
      <c r="AM309" s="13">
        <f>AM299*$I274*2/MAIN!$Q$1</f>
        <v>85892.40605176994</v>
      </c>
      <c r="AN309" s="13">
        <f>AN299*$I274*2/MAIN!$Q$1</f>
        <v>90810.853033178602</v>
      </c>
      <c r="AO309" s="13">
        <f>AO299*$I274*2/MAIN!$Q$1</f>
        <v>95476.51650693937</v>
      </c>
      <c r="AP309" s="13">
        <f>AP299*$I274*2/MAIN!$Q$1</f>
        <v>99908.395941149894</v>
      </c>
      <c r="AQ309" s="13">
        <f>AQ299*$I274*2/MAIN!$Q$1</f>
        <v>104123.63331478644</v>
      </c>
      <c r="AR309" s="56">
        <f>AR299*$I274*2/MAIN!$Q$1</f>
        <v>108137.73469947837</v>
      </c>
      <c r="AS309" s="13">
        <f>AS299*$I274*2/MAIN!$Q$1</f>
        <v>117181.05189429388</v>
      </c>
      <c r="AT309" s="13">
        <f>AT299*$I274*2/MAIN!$Q$1</f>
        <v>125280.43122240149</v>
      </c>
      <c r="AU309" s="13">
        <f>AU299*$I274*2/MAIN!$Q$1</f>
        <v>132576.33383507974</v>
      </c>
      <c r="AV309" s="13">
        <f>AV299*$I274*2/MAIN!$Q$1</f>
        <v>139182.66972441957</v>
      </c>
      <c r="AW309" s="13">
        <f>AW299*$I274*2/MAIN!$Q$1</f>
        <v>145192.78828356421</v>
      </c>
      <c r="AX309" s="13">
        <f>AX299*$I274*2/MAIN!$Q$1</f>
        <v>150683.91696405355</v>
      </c>
      <c r="AY309" s="13">
        <f>AY299*$I274*2/MAIN!$Q$1</f>
        <v>155720.49765553803</v>
      </c>
      <c r="AZ309" s="13">
        <f>AZ299*$I274*2/MAIN!$Q$1</f>
        <v>160356.72745274461</v>
      </c>
      <c r="BA309" s="13">
        <f>BA299*$I274*2/MAIN!$Q$1</f>
        <v>164638.51669624652</v>
      </c>
      <c r="BB309" s="13">
        <f>BB299*$I274*2/MAIN!$Q$1</f>
        <v>165721.65323590377</v>
      </c>
      <c r="BC309" s="13">
        <f>BC299*$I274*2/MAIN!$Q$1</f>
        <v>165721.65323590377</v>
      </c>
      <c r="BD309" s="13">
        <f>BD299*$I274*2/MAIN!$Q$1</f>
        <v>165721.65323590377</v>
      </c>
      <c r="BE309" s="13">
        <f>BE299*$I274*2/MAIN!$Q$1</f>
        <v>165721.65323590377</v>
      </c>
      <c r="BF309" s="13">
        <f>BF299*$I274*2/MAIN!$Q$1</f>
        <v>165721.65323590377</v>
      </c>
      <c r="BG309" s="13">
        <f>BG299*$I274*2/MAIN!$Q$1</f>
        <v>165721.65323590377</v>
      </c>
      <c r="BH309" s="13">
        <f>BH299*$I274*2/MAIN!$Q$1</f>
        <v>165140.7679686257</v>
      </c>
      <c r="BI309" s="13">
        <f>BI299*$I274*2/MAIN!$Q$1</f>
        <v>163439.33743693141</v>
      </c>
      <c r="BJ309" s="13">
        <f>BJ299*$I274*2/MAIN!$Q$1</f>
        <v>161902.32413744662</v>
      </c>
      <c r="BK309" s="13">
        <f>BK299*$I274*2/MAIN!$Q$1</f>
        <v>160506.99390927271</v>
      </c>
      <c r="BL309" s="13">
        <f>BL299*$I274*2/MAIN!$Q$1</f>
        <v>147872.6718093692</v>
      </c>
      <c r="BM309" s="13">
        <f>BM299*$I274*2/MAIN!$Q$1</f>
        <v>142928.80663984173</v>
      </c>
      <c r="BN309" s="13">
        <f>BN299*$I274*2/MAIN!$Q$1</f>
        <v>140292.0785494271</v>
      </c>
      <c r="BO309" s="3">
        <f>BO299*$I274*2/MAIN!$Q$1</f>
        <v>131628.54339520758</v>
      </c>
      <c r="BP309" s="43"/>
      <c r="BQ309" s="41"/>
    </row>
    <row r="310" spans="1:69" ht="16.5">
      <c r="A310" s="41"/>
      <c r="B310" s="14">
        <f t="shared" ref="B310:B316" si="238">1+B309</f>
        <v>3</v>
      </c>
      <c r="C310" s="298" t="s">
        <v>66</v>
      </c>
      <c r="D310" s="3">
        <f>D300*$I274*2/MAIN!$Q$1</f>
        <v>-174836.46072151899</v>
      </c>
      <c r="E310" s="13">
        <f>E300*$I274*2/MAIN!$Q$1</f>
        <v>-174836.46072151899</v>
      </c>
      <c r="F310" s="13">
        <f>F300*$I274*2/MAIN!$Q$1</f>
        <v>-174836.46072151899</v>
      </c>
      <c r="G310" s="13">
        <f>G300*$I274*2/MAIN!$Q$1</f>
        <v>-174836.46072151899</v>
      </c>
      <c r="H310" s="13">
        <f>H300*$I274*2/MAIN!$Q$1</f>
        <v>-174836.46072151899</v>
      </c>
      <c r="I310" s="13">
        <f>I300*$I274*2/MAIN!$Q$1</f>
        <v>-174836.46072151899</v>
      </c>
      <c r="J310" s="13">
        <f>J300*$I274*2/MAIN!$Q$1</f>
        <v>-174836.46072151899</v>
      </c>
      <c r="K310" s="13">
        <f>K300*$I274*2/MAIN!$Q$1</f>
        <v>-174836.46072151899</v>
      </c>
      <c r="L310" s="13">
        <f>L300*$I274*2/MAIN!$Q$1</f>
        <v>-174836.46072151899</v>
      </c>
      <c r="M310" s="13">
        <f>M300*$I274*2/MAIN!$Q$1</f>
        <v>-174836.46072151899</v>
      </c>
      <c r="N310" s="13">
        <f>N300*$I274*2/MAIN!$Q$1</f>
        <v>-174836.46072151899</v>
      </c>
      <c r="O310" s="13">
        <f>O300*$I274*2/MAIN!$Q$1</f>
        <v>-174836.46072151899</v>
      </c>
      <c r="P310" s="13">
        <f>P300*$I274*2/MAIN!$Q$1</f>
        <v>-174836.46072151899</v>
      </c>
      <c r="Q310" s="13">
        <f>Q300*$I274*2/MAIN!$Q$1</f>
        <v>-174836.46072151899</v>
      </c>
      <c r="R310" s="13">
        <f>R300*$I274*2/MAIN!$Q$1</f>
        <v>-174836.46072151899</v>
      </c>
      <c r="S310" s="13">
        <f>S300*$I274*2/MAIN!$Q$1</f>
        <v>-174836.46072151899</v>
      </c>
      <c r="T310" s="13">
        <f>T300*$I274*2/MAIN!$Q$1</f>
        <v>-174836.46072151899</v>
      </c>
      <c r="U310" s="13">
        <f>U300*$I274*2/MAIN!$Q$1</f>
        <v>-174836.46072151899</v>
      </c>
      <c r="V310" s="13">
        <f>V300*$I274*2/MAIN!$Q$1</f>
        <v>-174836.46072151899</v>
      </c>
      <c r="W310" s="13">
        <f>W300*$I274*2/MAIN!$Q$1</f>
        <v>-174836.46072151899</v>
      </c>
      <c r="X310" s="13">
        <f>X300*$I274*2/MAIN!$Q$1</f>
        <v>-174836.46072151899</v>
      </c>
      <c r="Y310" s="13">
        <f>Y300*$I274*2/MAIN!$Q$1</f>
        <v>-174836.46072151899</v>
      </c>
      <c r="Z310" s="13">
        <f>Z300*$I274*2/MAIN!$Q$1</f>
        <v>-174836.46072151899</v>
      </c>
      <c r="AA310" s="13">
        <f>AA300*$I274*2/MAIN!$Q$1</f>
        <v>-174836.46072151899</v>
      </c>
      <c r="AB310" s="13">
        <f>AB300*$I274*2/MAIN!$Q$1</f>
        <v>-174836.46072151899</v>
      </c>
      <c r="AC310" s="13">
        <f>AC300*$I274*2/MAIN!$Q$1</f>
        <v>-174836.46072151899</v>
      </c>
      <c r="AD310" s="13">
        <f>AD300*$I274*2/MAIN!$Q$1</f>
        <v>-174836.46072151899</v>
      </c>
      <c r="AE310" s="13">
        <f>AE300*$I274*2/MAIN!$Q$1</f>
        <v>-168294.63444714079</v>
      </c>
      <c r="AF310" s="13">
        <f>AF300*$I274*2/MAIN!$Q$1</f>
        <v>-153258.97277666733</v>
      </c>
      <c r="AG310" s="13">
        <f>AG300*$I274*2/MAIN!$Q$1</f>
        <v>-139196.04283889892</v>
      </c>
      <c r="AH310" s="13">
        <f>AH300*$I274*2/MAIN!$Q$1</f>
        <v>-126014.40615826604</v>
      </c>
      <c r="AI310" s="13">
        <f>AI300*$I274*2/MAIN!$Q$1</f>
        <v>-113633.73656816556</v>
      </c>
      <c r="AJ310" s="13">
        <f>AJ300*$I274*2/MAIN!$Q$1</f>
        <v>-101983.18191855245</v>
      </c>
      <c r="AK310" s="13">
        <f>AK300*$I274*2/MAIN!$Q$1</f>
        <v>-91000.007323005746</v>
      </c>
      <c r="AL310" s="13">
        <f>AL300*$I274*2/MAIN!$Q$1</f>
        <v>-80628.465070854043</v>
      </c>
      <c r="AM310" s="13">
        <f>AM300*$I274*2/MAIN!$Q$1</f>
        <v>-70818.848222230052</v>
      </c>
      <c r="AN310" s="13">
        <f>AN300*$I274*2/MAIN!$Q$1</f>
        <v>-61526.693973244524</v>
      </c>
      <c r="AO310" s="13">
        <f>AO300*$I274*2/MAIN!$Q$1</f>
        <v>-52712.109850264766</v>
      </c>
      <c r="AP310" s="13">
        <f>AP300*$I274*2/MAIN!$Q$1</f>
        <v>-44339.20119205318</v>
      </c>
      <c r="AQ310" s="13">
        <f>AQ300*$I274*2/MAIN!$Q$1</f>
        <v>-36375.582590495855</v>
      </c>
      <c r="AR310" s="59">
        <f>AR300*$I274*2/MAIN!$Q$1</f>
        <v>-28791.959268212689</v>
      </c>
      <c r="AS310" s="13">
        <f>AS300*$I274*2/MAIN!$Q$1</f>
        <v>-11706.912176241825</v>
      </c>
      <c r="AT310" s="13">
        <f>AT300*$I274*2/MAIN!$Q$1</f>
        <v>3594.8044677110697</v>
      </c>
      <c r="AU310" s="13">
        <f>AU300*$I274*2/MAIN!$Q$1</f>
        <v>17378.556273685906</v>
      </c>
      <c r="AV310" s="13">
        <f>AV300*$I274*2/MAIN!$Q$1</f>
        <v>29859.54719142742</v>
      </c>
      <c r="AW310" s="13">
        <f>AW300*$I274*2/MAIN!$Q$1</f>
        <v>41214.13714987562</v>
      </c>
      <c r="AX310" s="13">
        <f>AX300*$I274*2/MAIN!$Q$1</f>
        <v>51588.227770960584</v>
      </c>
      <c r="AY310" s="13">
        <f>AY300*$I274*2/MAIN!$Q$1</f>
        <v>51988.758124634798</v>
      </c>
      <c r="AZ310" s="13">
        <f>AZ300*$I274*2/MAIN!$Q$1</f>
        <v>60747.73480410847</v>
      </c>
      <c r="BA310" s="13">
        <f>BA300*$I274*2/MAIN!$Q$1</f>
        <v>68837.086232040616</v>
      </c>
      <c r="BB310" s="13">
        <f>BB300*$I274*2/MAIN!$Q$1</f>
        <v>76330.774641739787</v>
      </c>
      <c r="BC310" s="13">
        <f>BC300*$I274*2/MAIN!$Q$1</f>
        <v>83292.256577665554</v>
      </c>
      <c r="BD310" s="13">
        <f>BD300*$I274*2/MAIN!$Q$1</f>
        <v>88995.173756795048</v>
      </c>
      <c r="BE310" s="13">
        <f>BE300*$I274*2/MAIN!$Q$1</f>
        <v>91711.280701788492</v>
      </c>
      <c r="BF310" s="13">
        <f>BF300*$I274*2/MAIN!$Q$1</f>
        <v>94102.037169006362</v>
      </c>
      <c r="BG310" s="13">
        <f>BG300*$I274*2/MAIN!$Q$1</f>
        <v>96222.598217060673</v>
      </c>
      <c r="BH310" s="13">
        <f>BH300*$I274*2/MAIN!$Q$1</f>
        <v>98116.31882178942</v>
      </c>
      <c r="BI310" s="13">
        <f>BI300*$I274*2/MAIN!$Q$1</f>
        <v>99817.749353483785</v>
      </c>
      <c r="BJ310" s="13">
        <f>BJ300*$I274*2/MAIN!$Q$1</f>
        <v>101354.76265296861</v>
      </c>
      <c r="BK310" s="13">
        <f>BK300*$I274*2/MAIN!$Q$1</f>
        <v>102750.09288114248</v>
      </c>
      <c r="BL310" s="13">
        <f>BL300*$I274*2/MAIN!$Q$1</f>
        <v>115384.41498104595</v>
      </c>
      <c r="BM310" s="13">
        <f>BM300*$I274*2/MAIN!$Q$1</f>
        <v>120328.2801505734</v>
      </c>
      <c r="BN310" s="13">
        <f>BN300*$I274*2/MAIN!$Q$1</f>
        <v>122965.00824098804</v>
      </c>
      <c r="BO310" s="3">
        <f>BO300*$I274*2/MAIN!$Q$1</f>
        <v>131628.54339520758</v>
      </c>
      <c r="BP310" s="43"/>
      <c r="BQ310" s="41"/>
    </row>
    <row r="311" spans="1:69" ht="16.5">
      <c r="A311" s="41"/>
      <c r="B311" s="14">
        <f t="shared" si="238"/>
        <v>4</v>
      </c>
      <c r="C311" s="298" t="s">
        <v>66</v>
      </c>
      <c r="D311" s="3">
        <f>D301*$I274*2/MAIN!$Q$1</f>
        <v>0</v>
      </c>
      <c r="E311" s="13">
        <f>E301*$I274*2/MAIN!$Q$1</f>
        <v>0</v>
      </c>
      <c r="F311" s="13">
        <f>F301*$I274*2/MAIN!$Q$1</f>
        <v>0</v>
      </c>
      <c r="G311" s="13">
        <f>G301*$I274*2/MAIN!$Q$1</f>
        <v>0</v>
      </c>
      <c r="H311" s="13">
        <f>H301*$I274*2/MAIN!$Q$1</f>
        <v>0</v>
      </c>
      <c r="I311" s="13">
        <f>I301*$I274*2/MAIN!$Q$1</f>
        <v>0</v>
      </c>
      <c r="J311" s="13">
        <f>J301*$I274*2/MAIN!$Q$1</f>
        <v>0</v>
      </c>
      <c r="K311" s="13">
        <f>K301*$I274*2/MAIN!$Q$1</f>
        <v>0</v>
      </c>
      <c r="L311" s="13">
        <f>L301*$I274*2/MAIN!$Q$1</f>
        <v>0</v>
      </c>
      <c r="M311" s="13">
        <f>M301*$I274*2/MAIN!$Q$1</f>
        <v>0</v>
      </c>
      <c r="N311" s="13">
        <f>N301*$I274*2/MAIN!$Q$1</f>
        <v>0</v>
      </c>
      <c r="O311" s="13">
        <f>O301*$I274*2/MAIN!$Q$1</f>
        <v>0</v>
      </c>
      <c r="P311" s="13">
        <f>P301*$I274*2/MAIN!$Q$1</f>
        <v>0</v>
      </c>
      <c r="Q311" s="13">
        <f>Q301*$I274*2/MAIN!$Q$1</f>
        <v>0</v>
      </c>
      <c r="R311" s="13">
        <f>R301*$I274*2/MAIN!$Q$1</f>
        <v>0</v>
      </c>
      <c r="S311" s="13">
        <f>S301*$I274*2/MAIN!$Q$1</f>
        <v>0</v>
      </c>
      <c r="T311" s="13">
        <f>T301*$I274*2/MAIN!$Q$1</f>
        <v>0</v>
      </c>
      <c r="U311" s="13">
        <f>U301*$I274*2/MAIN!$Q$1</f>
        <v>0</v>
      </c>
      <c r="V311" s="13">
        <f>V301*$I274*2/MAIN!$Q$1</f>
        <v>0</v>
      </c>
      <c r="W311" s="13">
        <f>W301*$I274*2/MAIN!$Q$1</f>
        <v>0</v>
      </c>
      <c r="X311" s="13">
        <f>X301*$I274*2/MAIN!$Q$1</f>
        <v>0</v>
      </c>
      <c r="Y311" s="13">
        <f>Y301*$I274*2/MAIN!$Q$1</f>
        <v>0</v>
      </c>
      <c r="Z311" s="13">
        <f>Z301*$I274*2/MAIN!$Q$1</f>
        <v>0</v>
      </c>
      <c r="AA311" s="13">
        <f>AA301*$I274*2/MAIN!$Q$1</f>
        <v>0</v>
      </c>
      <c r="AB311" s="13">
        <f>AB301*$I274*2/MAIN!$Q$1</f>
        <v>0</v>
      </c>
      <c r="AC311" s="13">
        <f>AC301*$I274*2/MAIN!$Q$1</f>
        <v>0</v>
      </c>
      <c r="AD311" s="13">
        <f>AD301*$I274*2/MAIN!$Q$1</f>
        <v>0</v>
      </c>
      <c r="AE311" s="13">
        <f>AE301*$I274*2/MAIN!$Q$1</f>
        <v>0</v>
      </c>
      <c r="AF311" s="13">
        <f>AF301*$I274*2/MAIN!$Q$1</f>
        <v>0</v>
      </c>
      <c r="AG311" s="13">
        <f>AG301*$I274*2/MAIN!$Q$1</f>
        <v>0</v>
      </c>
      <c r="AH311" s="13">
        <f>AH301*$I274*2/MAIN!$Q$1</f>
        <v>0</v>
      </c>
      <c r="AI311" s="13">
        <f>AI301*$I274*2/MAIN!$Q$1</f>
        <v>0</v>
      </c>
      <c r="AJ311" s="13">
        <f>AJ301*$I274*2/MAIN!$Q$1</f>
        <v>0</v>
      </c>
      <c r="AK311" s="13">
        <f>AK301*$I274*2/MAIN!$Q$1</f>
        <v>0</v>
      </c>
      <c r="AL311" s="13">
        <f>AL301*$I274*2/MAIN!$Q$1</f>
        <v>0</v>
      </c>
      <c r="AM311" s="13">
        <f>AM301*$I274*2/MAIN!$Q$1</f>
        <v>0</v>
      </c>
      <c r="AN311" s="13">
        <f>AN301*$I274*2/MAIN!$Q$1</f>
        <v>0</v>
      </c>
      <c r="AO311" s="13">
        <f>AO301*$I274*2/MAIN!$Q$1</f>
        <v>0</v>
      </c>
      <c r="AP311" s="13">
        <f>AP301*$I274*2/MAIN!$Q$1</f>
        <v>0</v>
      </c>
      <c r="AQ311" s="13">
        <f>AQ301*$I274*2/MAIN!$Q$1</f>
        <v>0</v>
      </c>
      <c r="AR311" s="59">
        <f>AR301*$I274*2/MAIN!$Q$1</f>
        <v>0</v>
      </c>
      <c r="AS311" s="13">
        <f>AS301*$I274*2/MAIN!$Q$1</f>
        <v>0</v>
      </c>
      <c r="AT311" s="13">
        <f>AT301*$I274*2/MAIN!$Q$1</f>
        <v>0</v>
      </c>
      <c r="AU311" s="13">
        <f>AU301*$I274*2/MAIN!$Q$1</f>
        <v>0</v>
      </c>
      <c r="AV311" s="13">
        <f>AV301*$I274*2/MAIN!$Q$1</f>
        <v>0</v>
      </c>
      <c r="AW311" s="13">
        <f>AW301*$I274*2/MAIN!$Q$1</f>
        <v>0</v>
      </c>
      <c r="AX311" s="13">
        <f>AX301*$I274*2/MAIN!$Q$1</f>
        <v>0</v>
      </c>
      <c r="AY311" s="13">
        <f>AY301*$I274*2/MAIN!$Q$1</f>
        <v>0</v>
      </c>
      <c r="AZ311" s="13">
        <f>AZ301*$I274*2/MAIN!$Q$1</f>
        <v>0</v>
      </c>
      <c r="BA311" s="13">
        <f>BA301*$I274*2/MAIN!$Q$1</f>
        <v>0</v>
      </c>
      <c r="BB311" s="13">
        <f>BB301*$I274*2/MAIN!$Q$1</f>
        <v>0</v>
      </c>
      <c r="BC311" s="13">
        <f>BC301*$I274*2/MAIN!$Q$1</f>
        <v>0</v>
      </c>
      <c r="BD311" s="13">
        <f>BD301*$I274*2/MAIN!$Q$1</f>
        <v>0</v>
      </c>
      <c r="BE311" s="13">
        <f>BE301*$I274*2/MAIN!$Q$1</f>
        <v>0</v>
      </c>
      <c r="BF311" s="13">
        <f>BF301*$I274*2/MAIN!$Q$1</f>
        <v>0</v>
      </c>
      <c r="BG311" s="13">
        <f>BG301*$I274*2/MAIN!$Q$1</f>
        <v>0</v>
      </c>
      <c r="BH311" s="13">
        <f>BH301*$I274*2/MAIN!$Q$1</f>
        <v>0</v>
      </c>
      <c r="BI311" s="13">
        <f>BI301*$I274*2/MAIN!$Q$1</f>
        <v>0</v>
      </c>
      <c r="BJ311" s="13">
        <f>BJ301*$I274*2/MAIN!$Q$1</f>
        <v>0</v>
      </c>
      <c r="BK311" s="13">
        <f>BK301*$I274*2/MAIN!$Q$1</f>
        <v>0</v>
      </c>
      <c r="BL311" s="13">
        <f>BL301*$I274*2/MAIN!$Q$1</f>
        <v>0</v>
      </c>
      <c r="BM311" s="13">
        <f>BM301*$I274*2/MAIN!$Q$1</f>
        <v>0</v>
      </c>
      <c r="BN311" s="13">
        <f>BN301*$I274*2/MAIN!$Q$1</f>
        <v>0</v>
      </c>
      <c r="BO311" s="3">
        <f>BO301*$I274*2/MAIN!$Q$1</f>
        <v>0</v>
      </c>
      <c r="BP311" s="43"/>
      <c r="BQ311" s="41"/>
    </row>
    <row r="312" spans="1:69" ht="16.5">
      <c r="A312" s="41"/>
      <c r="B312" s="14">
        <f t="shared" si="238"/>
        <v>5</v>
      </c>
      <c r="C312" s="298" t="s">
        <v>66</v>
      </c>
      <c r="D312" s="3">
        <f>D302*$I274*2/MAIN!$Q$1</f>
        <v>0</v>
      </c>
      <c r="E312" s="13">
        <f>E302*$I274*2/MAIN!$Q$1</f>
        <v>0</v>
      </c>
      <c r="F312" s="13">
        <f>F302*$I274*2/MAIN!$Q$1</f>
        <v>0</v>
      </c>
      <c r="G312" s="13">
        <f>G302*$I274*2/MAIN!$Q$1</f>
        <v>0</v>
      </c>
      <c r="H312" s="13">
        <f>H302*$I274*2/MAIN!$Q$1</f>
        <v>0</v>
      </c>
      <c r="I312" s="13">
        <f>I302*$I274*2/MAIN!$Q$1</f>
        <v>0</v>
      </c>
      <c r="J312" s="13">
        <f>J302*$I274*2/MAIN!$Q$1</f>
        <v>0</v>
      </c>
      <c r="K312" s="13">
        <f>K302*$I274*2/MAIN!$Q$1</f>
        <v>0</v>
      </c>
      <c r="L312" s="13">
        <f>L302*$I274*2/MAIN!$Q$1</f>
        <v>0</v>
      </c>
      <c r="M312" s="13">
        <f>M302*$I274*2/MAIN!$Q$1</f>
        <v>0</v>
      </c>
      <c r="N312" s="13">
        <f>N302*$I274*2/MAIN!$Q$1</f>
        <v>0</v>
      </c>
      <c r="O312" s="13">
        <f>O302*$I274*2/MAIN!$Q$1</f>
        <v>0</v>
      </c>
      <c r="P312" s="13">
        <f>P302*$I274*2/MAIN!$Q$1</f>
        <v>0</v>
      </c>
      <c r="Q312" s="13">
        <f>Q302*$I274*2/MAIN!$Q$1</f>
        <v>0</v>
      </c>
      <c r="R312" s="13">
        <f>R302*$I274*2/MAIN!$Q$1</f>
        <v>0</v>
      </c>
      <c r="S312" s="13">
        <f>S302*$I274*2/MAIN!$Q$1</f>
        <v>0</v>
      </c>
      <c r="T312" s="13">
        <f>T302*$I274*2/MAIN!$Q$1</f>
        <v>0</v>
      </c>
      <c r="U312" s="13">
        <f>U302*$I274*2/MAIN!$Q$1</f>
        <v>0</v>
      </c>
      <c r="V312" s="13">
        <f>V302*$I274*2/MAIN!$Q$1</f>
        <v>0</v>
      </c>
      <c r="W312" s="13">
        <f>W302*$I274*2/MAIN!$Q$1</f>
        <v>0</v>
      </c>
      <c r="X312" s="13">
        <f>X302*$I274*2/MAIN!$Q$1</f>
        <v>0</v>
      </c>
      <c r="Y312" s="13">
        <f>Y302*$I274*2/MAIN!$Q$1</f>
        <v>0</v>
      </c>
      <c r="Z312" s="13">
        <f>Z302*$I274*2/MAIN!$Q$1</f>
        <v>0</v>
      </c>
      <c r="AA312" s="13">
        <f>AA302*$I274*2/MAIN!$Q$1</f>
        <v>0</v>
      </c>
      <c r="AB312" s="13">
        <f>AB302*$I274*2/MAIN!$Q$1</f>
        <v>0</v>
      </c>
      <c r="AC312" s="13">
        <f>AC302*$I274*2/MAIN!$Q$1</f>
        <v>0</v>
      </c>
      <c r="AD312" s="13">
        <f>AD302*$I274*2/MAIN!$Q$1</f>
        <v>0</v>
      </c>
      <c r="AE312" s="13">
        <f>AE302*$I274*2/MAIN!$Q$1</f>
        <v>0</v>
      </c>
      <c r="AF312" s="13">
        <f>AF302*$I274*2/MAIN!$Q$1</f>
        <v>0</v>
      </c>
      <c r="AG312" s="13">
        <f>AG302*$I274*2/MAIN!$Q$1</f>
        <v>0</v>
      </c>
      <c r="AH312" s="13">
        <f>AH302*$I274*2/MAIN!$Q$1</f>
        <v>0</v>
      </c>
      <c r="AI312" s="13">
        <f>AI302*$I274*2/MAIN!$Q$1</f>
        <v>0</v>
      </c>
      <c r="AJ312" s="13">
        <f>AJ302*$I274*2/MAIN!$Q$1</f>
        <v>0</v>
      </c>
      <c r="AK312" s="13">
        <f>AK302*$I274*2/MAIN!$Q$1</f>
        <v>0</v>
      </c>
      <c r="AL312" s="13">
        <f>AL302*$I274*2/MAIN!$Q$1</f>
        <v>0</v>
      </c>
      <c r="AM312" s="13">
        <f>AM302*$I274*2/MAIN!$Q$1</f>
        <v>0</v>
      </c>
      <c r="AN312" s="13">
        <f>AN302*$I274*2/MAIN!$Q$1</f>
        <v>0</v>
      </c>
      <c r="AO312" s="13">
        <f>AO302*$I274*2/MAIN!$Q$1</f>
        <v>0</v>
      </c>
      <c r="AP312" s="13">
        <f>AP302*$I274*2/MAIN!$Q$1</f>
        <v>0</v>
      </c>
      <c r="AQ312" s="13">
        <f>AQ302*$I274*2/MAIN!$Q$1</f>
        <v>0</v>
      </c>
      <c r="AR312" s="59">
        <f>AR302*$I274*2/MAIN!$Q$1</f>
        <v>0</v>
      </c>
      <c r="AS312" s="13">
        <f>AS302*$I274*2/MAIN!$Q$1</f>
        <v>0</v>
      </c>
      <c r="AT312" s="13">
        <f>AT302*$I274*2/MAIN!$Q$1</f>
        <v>0</v>
      </c>
      <c r="AU312" s="13">
        <f>AU302*$I274*2/MAIN!$Q$1</f>
        <v>0</v>
      </c>
      <c r="AV312" s="13">
        <f>AV302*$I274*2/MAIN!$Q$1</f>
        <v>0</v>
      </c>
      <c r="AW312" s="13">
        <f>AW302*$I274*2/MAIN!$Q$1</f>
        <v>0</v>
      </c>
      <c r="AX312" s="13">
        <f>AX302*$I274*2/MAIN!$Q$1</f>
        <v>0</v>
      </c>
      <c r="AY312" s="13">
        <f>AY302*$I274*2/MAIN!$Q$1</f>
        <v>0</v>
      </c>
      <c r="AZ312" s="13">
        <f>AZ302*$I274*2/MAIN!$Q$1</f>
        <v>0</v>
      </c>
      <c r="BA312" s="13">
        <f>BA302*$I274*2/MAIN!$Q$1</f>
        <v>0</v>
      </c>
      <c r="BB312" s="13">
        <f>BB302*$I274*2/MAIN!$Q$1</f>
        <v>0</v>
      </c>
      <c r="BC312" s="13">
        <f>BC302*$I274*2/MAIN!$Q$1</f>
        <v>0</v>
      </c>
      <c r="BD312" s="13">
        <f>BD302*$I274*2/MAIN!$Q$1</f>
        <v>0</v>
      </c>
      <c r="BE312" s="13">
        <f>BE302*$I274*2/MAIN!$Q$1</f>
        <v>0</v>
      </c>
      <c r="BF312" s="13">
        <f>BF302*$I274*2/MAIN!$Q$1</f>
        <v>0</v>
      </c>
      <c r="BG312" s="13">
        <f>BG302*$I274*2/MAIN!$Q$1</f>
        <v>0</v>
      </c>
      <c r="BH312" s="13">
        <f>BH302*$I274*2/MAIN!$Q$1</f>
        <v>0</v>
      </c>
      <c r="BI312" s="13">
        <f>BI302*$I274*2/MAIN!$Q$1</f>
        <v>0</v>
      </c>
      <c r="BJ312" s="13">
        <f>BJ302*$I274*2/MAIN!$Q$1</f>
        <v>0</v>
      </c>
      <c r="BK312" s="13">
        <f>BK302*$I274*2/MAIN!$Q$1</f>
        <v>0</v>
      </c>
      <c r="BL312" s="13">
        <f>BL302*$I274*2/MAIN!$Q$1</f>
        <v>0</v>
      </c>
      <c r="BM312" s="13">
        <f>BM302*$I274*2/MAIN!$Q$1</f>
        <v>0</v>
      </c>
      <c r="BN312" s="13">
        <f>BN302*$I274*2/MAIN!$Q$1</f>
        <v>0</v>
      </c>
      <c r="BO312" s="3">
        <f>BO302*$I274*2/MAIN!$Q$1</f>
        <v>0</v>
      </c>
      <c r="BP312" s="43"/>
      <c r="BQ312" s="41"/>
    </row>
    <row r="313" spans="1:69" ht="16.5">
      <c r="A313" s="41"/>
      <c r="B313" s="14">
        <f t="shared" si="238"/>
        <v>6</v>
      </c>
      <c r="C313" s="298" t="s">
        <v>66</v>
      </c>
      <c r="D313" s="3">
        <f>D303*$I274*2/MAIN!$Q$1</f>
        <v>0</v>
      </c>
      <c r="E313" s="13">
        <f>E303*$I274*2/MAIN!$Q$1</f>
        <v>0</v>
      </c>
      <c r="F313" s="13">
        <f>F303*$I274*2/MAIN!$Q$1</f>
        <v>0</v>
      </c>
      <c r="G313" s="13">
        <f>G303*$I274*2/MAIN!$Q$1</f>
        <v>0</v>
      </c>
      <c r="H313" s="13">
        <f>H303*$I274*2/MAIN!$Q$1</f>
        <v>0</v>
      </c>
      <c r="I313" s="13">
        <f>I303*$I274*2/MAIN!$Q$1</f>
        <v>0</v>
      </c>
      <c r="J313" s="13">
        <f>J303*$I274*2/MAIN!$Q$1</f>
        <v>0</v>
      </c>
      <c r="K313" s="13">
        <f>K303*$I274*2/MAIN!$Q$1</f>
        <v>0</v>
      </c>
      <c r="L313" s="13">
        <f>L303*$I274*2/MAIN!$Q$1</f>
        <v>0</v>
      </c>
      <c r="M313" s="13">
        <f>M303*$I274*2/MAIN!$Q$1</f>
        <v>0</v>
      </c>
      <c r="N313" s="13">
        <f>N303*$I274*2/MAIN!$Q$1</f>
        <v>0</v>
      </c>
      <c r="O313" s="13">
        <f>O303*$I274*2/MAIN!$Q$1</f>
        <v>0</v>
      </c>
      <c r="P313" s="13">
        <f>P303*$I274*2/MAIN!$Q$1</f>
        <v>0</v>
      </c>
      <c r="Q313" s="13">
        <f>Q303*$I274*2/MAIN!$Q$1</f>
        <v>0</v>
      </c>
      <c r="R313" s="13">
        <f>R303*$I274*2/MAIN!$Q$1</f>
        <v>0</v>
      </c>
      <c r="S313" s="13">
        <f>S303*$I274*2/MAIN!$Q$1</f>
        <v>0</v>
      </c>
      <c r="T313" s="13">
        <f>T303*$I274*2/MAIN!$Q$1</f>
        <v>0</v>
      </c>
      <c r="U313" s="13">
        <f>U303*$I274*2/MAIN!$Q$1</f>
        <v>0</v>
      </c>
      <c r="V313" s="13">
        <f>V303*$I274*2/MAIN!$Q$1</f>
        <v>0</v>
      </c>
      <c r="W313" s="13">
        <f>W303*$I274*2/MAIN!$Q$1</f>
        <v>0</v>
      </c>
      <c r="X313" s="13">
        <f>X303*$I274*2/MAIN!$Q$1</f>
        <v>0</v>
      </c>
      <c r="Y313" s="13">
        <f>Y303*$I274*2/MAIN!$Q$1</f>
        <v>0</v>
      </c>
      <c r="Z313" s="13">
        <f>Z303*$I274*2/MAIN!$Q$1</f>
        <v>0</v>
      </c>
      <c r="AA313" s="13">
        <f>AA303*$I274*2/MAIN!$Q$1</f>
        <v>0</v>
      </c>
      <c r="AB313" s="13">
        <f>AB303*$I274*2/MAIN!$Q$1</f>
        <v>0</v>
      </c>
      <c r="AC313" s="13">
        <f>AC303*$I274*2/MAIN!$Q$1</f>
        <v>0</v>
      </c>
      <c r="AD313" s="13">
        <f>AD303*$I274*2/MAIN!$Q$1</f>
        <v>0</v>
      </c>
      <c r="AE313" s="13">
        <f>AE303*$I274*2/MAIN!$Q$1</f>
        <v>0</v>
      </c>
      <c r="AF313" s="13">
        <f>AF303*$I274*2/MAIN!$Q$1</f>
        <v>0</v>
      </c>
      <c r="AG313" s="13">
        <f>AG303*$I274*2/MAIN!$Q$1</f>
        <v>0</v>
      </c>
      <c r="AH313" s="13">
        <f>AH303*$I274*2/MAIN!$Q$1</f>
        <v>0</v>
      </c>
      <c r="AI313" s="13">
        <f>AI303*$I274*2/MAIN!$Q$1</f>
        <v>0</v>
      </c>
      <c r="AJ313" s="13">
        <f>AJ303*$I274*2/MAIN!$Q$1</f>
        <v>0</v>
      </c>
      <c r="AK313" s="13">
        <f>AK303*$I274*2/MAIN!$Q$1</f>
        <v>0</v>
      </c>
      <c r="AL313" s="13">
        <f>AL303*$I274*2/MAIN!$Q$1</f>
        <v>0</v>
      </c>
      <c r="AM313" s="13">
        <f>AM303*$I274*2/MAIN!$Q$1</f>
        <v>0</v>
      </c>
      <c r="AN313" s="13">
        <f>AN303*$I274*2/MAIN!$Q$1</f>
        <v>0</v>
      </c>
      <c r="AO313" s="13">
        <f>AO303*$I274*2/MAIN!$Q$1</f>
        <v>0</v>
      </c>
      <c r="AP313" s="13">
        <f>AP303*$I274*2/MAIN!$Q$1</f>
        <v>0</v>
      </c>
      <c r="AQ313" s="13">
        <f>AQ303*$I274*2/MAIN!$Q$1</f>
        <v>0</v>
      </c>
      <c r="AR313" s="59">
        <f>AR303*$I274*2/MAIN!$Q$1</f>
        <v>0</v>
      </c>
      <c r="AS313" s="13">
        <f>AS303*$I274*2/MAIN!$Q$1</f>
        <v>0</v>
      </c>
      <c r="AT313" s="13">
        <f>AT303*$I274*2/MAIN!$Q$1</f>
        <v>0</v>
      </c>
      <c r="AU313" s="13">
        <f>AU303*$I274*2/MAIN!$Q$1</f>
        <v>0</v>
      </c>
      <c r="AV313" s="13">
        <f>AV303*$I274*2/MAIN!$Q$1</f>
        <v>0</v>
      </c>
      <c r="AW313" s="13">
        <f>AW303*$I274*2/MAIN!$Q$1</f>
        <v>0</v>
      </c>
      <c r="AX313" s="13">
        <f>AX303*$I274*2/MAIN!$Q$1</f>
        <v>0</v>
      </c>
      <c r="AY313" s="13">
        <f>AY303*$I274*2/MAIN!$Q$1</f>
        <v>0</v>
      </c>
      <c r="AZ313" s="13">
        <f>AZ303*$I274*2/MAIN!$Q$1</f>
        <v>0</v>
      </c>
      <c r="BA313" s="13">
        <f>BA303*$I274*2/MAIN!$Q$1</f>
        <v>0</v>
      </c>
      <c r="BB313" s="13">
        <f>BB303*$I274*2/MAIN!$Q$1</f>
        <v>0</v>
      </c>
      <c r="BC313" s="13">
        <f>BC303*$I274*2/MAIN!$Q$1</f>
        <v>0</v>
      </c>
      <c r="BD313" s="13">
        <f>BD303*$I274*2/MAIN!$Q$1</f>
        <v>0</v>
      </c>
      <c r="BE313" s="13">
        <f>BE303*$I274*2/MAIN!$Q$1</f>
        <v>0</v>
      </c>
      <c r="BF313" s="13">
        <f>BF303*$I274*2/MAIN!$Q$1</f>
        <v>0</v>
      </c>
      <c r="BG313" s="13">
        <f>BG303*$I274*2/MAIN!$Q$1</f>
        <v>0</v>
      </c>
      <c r="BH313" s="13">
        <f>BH303*$I274*2/MAIN!$Q$1</f>
        <v>0</v>
      </c>
      <c r="BI313" s="13">
        <f>BI303*$I274*2/MAIN!$Q$1</f>
        <v>0</v>
      </c>
      <c r="BJ313" s="13">
        <f>BJ303*$I274*2/MAIN!$Q$1</f>
        <v>0</v>
      </c>
      <c r="BK313" s="13">
        <f>BK303*$I274*2/MAIN!$Q$1</f>
        <v>0</v>
      </c>
      <c r="BL313" s="13">
        <f>BL303*$I274*2/MAIN!$Q$1</f>
        <v>0</v>
      </c>
      <c r="BM313" s="13">
        <f>BM303*$I274*2/MAIN!$Q$1</f>
        <v>0</v>
      </c>
      <c r="BN313" s="13">
        <f>BN303*$I274*2/MAIN!$Q$1</f>
        <v>0</v>
      </c>
      <c r="BO313" s="3">
        <f>BO303*$I274*2/MAIN!$Q$1</f>
        <v>0</v>
      </c>
      <c r="BP313" s="43"/>
      <c r="BQ313" s="41"/>
    </row>
    <row r="314" spans="1:69" ht="16.5">
      <c r="A314" s="41"/>
      <c r="B314" s="14">
        <f t="shared" si="238"/>
        <v>7</v>
      </c>
      <c r="C314" s="298" t="s">
        <v>66</v>
      </c>
      <c r="D314" s="3">
        <f>D304*$I274*2/MAIN!$Q$1</f>
        <v>0</v>
      </c>
      <c r="E314" s="13">
        <f>E304*$I274*2/MAIN!$Q$1</f>
        <v>0</v>
      </c>
      <c r="F314" s="13">
        <f>F304*$I274*2/MAIN!$Q$1</f>
        <v>0</v>
      </c>
      <c r="G314" s="13">
        <f>G304*$I274*2/MAIN!$Q$1</f>
        <v>0</v>
      </c>
      <c r="H314" s="13">
        <f>H304*$I274*2/MAIN!$Q$1</f>
        <v>0</v>
      </c>
      <c r="I314" s="13">
        <f>I304*$I274*2/MAIN!$Q$1</f>
        <v>0</v>
      </c>
      <c r="J314" s="13">
        <f>J304*$I274*2/MAIN!$Q$1</f>
        <v>0</v>
      </c>
      <c r="K314" s="13">
        <f>K304*$I274*2/MAIN!$Q$1</f>
        <v>0</v>
      </c>
      <c r="L314" s="13">
        <f>L304*$I274*2/MAIN!$Q$1</f>
        <v>0</v>
      </c>
      <c r="M314" s="13">
        <f>M304*$I274*2/MAIN!$Q$1</f>
        <v>0</v>
      </c>
      <c r="N314" s="13">
        <f>N304*$I274*2/MAIN!$Q$1</f>
        <v>0</v>
      </c>
      <c r="O314" s="13">
        <f>O304*$I274*2/MAIN!$Q$1</f>
        <v>0</v>
      </c>
      <c r="P314" s="13">
        <f>P304*$I274*2/MAIN!$Q$1</f>
        <v>0</v>
      </c>
      <c r="Q314" s="13">
        <f>Q304*$I274*2/MAIN!$Q$1</f>
        <v>0</v>
      </c>
      <c r="R314" s="13">
        <f>R304*$I274*2/MAIN!$Q$1</f>
        <v>0</v>
      </c>
      <c r="S314" s="13">
        <f>S304*$I274*2/MAIN!$Q$1</f>
        <v>0</v>
      </c>
      <c r="T314" s="13">
        <f>T304*$I274*2/MAIN!$Q$1</f>
        <v>0</v>
      </c>
      <c r="U314" s="13">
        <f>U304*$I274*2/MAIN!$Q$1</f>
        <v>0</v>
      </c>
      <c r="V314" s="13">
        <f>V304*$I274*2/MAIN!$Q$1</f>
        <v>0</v>
      </c>
      <c r="W314" s="13">
        <f>W304*$I274*2/MAIN!$Q$1</f>
        <v>0</v>
      </c>
      <c r="X314" s="13">
        <f>X304*$I274*2/MAIN!$Q$1</f>
        <v>0</v>
      </c>
      <c r="Y314" s="13">
        <f>Y304*$I274*2/MAIN!$Q$1</f>
        <v>0</v>
      </c>
      <c r="Z314" s="13">
        <f>Z304*$I274*2/MAIN!$Q$1</f>
        <v>0</v>
      </c>
      <c r="AA314" s="13">
        <f>AA304*$I274*2/MAIN!$Q$1</f>
        <v>0</v>
      </c>
      <c r="AB314" s="13">
        <f>AB304*$I274*2/MAIN!$Q$1</f>
        <v>0</v>
      </c>
      <c r="AC314" s="13">
        <f>AC304*$I274*2/MAIN!$Q$1</f>
        <v>0</v>
      </c>
      <c r="AD314" s="13">
        <f>AD304*$I274*2/MAIN!$Q$1</f>
        <v>0</v>
      </c>
      <c r="AE314" s="13">
        <f>AE304*$I274*2/MAIN!$Q$1</f>
        <v>0</v>
      </c>
      <c r="AF314" s="13">
        <f>AF304*$I274*2/MAIN!$Q$1</f>
        <v>0</v>
      </c>
      <c r="AG314" s="13">
        <f>AG304*$I274*2/MAIN!$Q$1</f>
        <v>0</v>
      </c>
      <c r="AH314" s="13">
        <f>AH304*$I274*2/MAIN!$Q$1</f>
        <v>0</v>
      </c>
      <c r="AI314" s="13">
        <f>AI304*$I274*2/MAIN!$Q$1</f>
        <v>0</v>
      </c>
      <c r="AJ314" s="13">
        <f>AJ304*$I274*2/MAIN!$Q$1</f>
        <v>0</v>
      </c>
      <c r="AK314" s="13">
        <f>AK304*$I274*2/MAIN!$Q$1</f>
        <v>0</v>
      </c>
      <c r="AL314" s="13">
        <f>AL304*$I274*2/MAIN!$Q$1</f>
        <v>0</v>
      </c>
      <c r="AM314" s="13">
        <f>AM304*$I274*2/MAIN!$Q$1</f>
        <v>0</v>
      </c>
      <c r="AN314" s="13">
        <f>AN304*$I274*2/MAIN!$Q$1</f>
        <v>0</v>
      </c>
      <c r="AO314" s="13">
        <f>AO304*$I274*2/MAIN!$Q$1</f>
        <v>0</v>
      </c>
      <c r="AP314" s="13">
        <f>AP304*$I274*2/MAIN!$Q$1</f>
        <v>0</v>
      </c>
      <c r="AQ314" s="13">
        <f>AQ304*$I274*2/MAIN!$Q$1</f>
        <v>0</v>
      </c>
      <c r="AR314" s="59">
        <f>AR304*$I274*2/MAIN!$Q$1</f>
        <v>0</v>
      </c>
      <c r="AS314" s="13">
        <f>AS304*$I274*2/MAIN!$Q$1</f>
        <v>0</v>
      </c>
      <c r="AT314" s="13">
        <f>AT304*$I274*2/MAIN!$Q$1</f>
        <v>0</v>
      </c>
      <c r="AU314" s="13">
        <f>AU304*$I274*2/MAIN!$Q$1</f>
        <v>0</v>
      </c>
      <c r="AV314" s="13">
        <f>AV304*$I274*2/MAIN!$Q$1</f>
        <v>0</v>
      </c>
      <c r="AW314" s="13">
        <f>AW304*$I274*2/MAIN!$Q$1</f>
        <v>0</v>
      </c>
      <c r="AX314" s="13">
        <f>AX304*$I274*2/MAIN!$Q$1</f>
        <v>0</v>
      </c>
      <c r="AY314" s="13">
        <f>AY304*$I274*2/MAIN!$Q$1</f>
        <v>0</v>
      </c>
      <c r="AZ314" s="13">
        <f>AZ304*$I274*2/MAIN!$Q$1</f>
        <v>0</v>
      </c>
      <c r="BA314" s="13">
        <f>BA304*$I274*2/MAIN!$Q$1</f>
        <v>0</v>
      </c>
      <c r="BB314" s="13">
        <f>BB304*$I274*2/MAIN!$Q$1</f>
        <v>0</v>
      </c>
      <c r="BC314" s="13">
        <f>BC304*$I274*2/MAIN!$Q$1</f>
        <v>0</v>
      </c>
      <c r="BD314" s="13">
        <f>BD304*$I274*2/MAIN!$Q$1</f>
        <v>0</v>
      </c>
      <c r="BE314" s="13">
        <f>BE304*$I274*2/MAIN!$Q$1</f>
        <v>0</v>
      </c>
      <c r="BF314" s="13">
        <f>BF304*$I274*2/MAIN!$Q$1</f>
        <v>0</v>
      </c>
      <c r="BG314" s="13">
        <f>BG304*$I274*2/MAIN!$Q$1</f>
        <v>0</v>
      </c>
      <c r="BH314" s="13">
        <f>BH304*$I274*2/MAIN!$Q$1</f>
        <v>0</v>
      </c>
      <c r="BI314" s="13">
        <f>BI304*$I274*2/MAIN!$Q$1</f>
        <v>0</v>
      </c>
      <c r="BJ314" s="13">
        <f>BJ304*$I274*2/MAIN!$Q$1</f>
        <v>0</v>
      </c>
      <c r="BK314" s="13">
        <f>BK304*$I274*2/MAIN!$Q$1</f>
        <v>0</v>
      </c>
      <c r="BL314" s="13">
        <f>BL304*$I274*2/MAIN!$Q$1</f>
        <v>0</v>
      </c>
      <c r="BM314" s="13">
        <f>BM304*$I274*2/MAIN!$Q$1</f>
        <v>0</v>
      </c>
      <c r="BN314" s="13">
        <f>BN304*$I274*2/MAIN!$Q$1</f>
        <v>0</v>
      </c>
      <c r="BO314" s="3">
        <f>BO304*$I274*2/MAIN!$Q$1</f>
        <v>0</v>
      </c>
      <c r="BP314" s="43"/>
      <c r="BQ314" s="41"/>
    </row>
    <row r="315" spans="1:69" ht="16.5">
      <c r="A315" s="41"/>
      <c r="B315" s="14">
        <f t="shared" si="238"/>
        <v>8</v>
      </c>
      <c r="C315" s="298" t="s">
        <v>66</v>
      </c>
      <c r="D315" s="3">
        <f>D305*$I274*2/MAIN!$Q$1</f>
        <v>0</v>
      </c>
      <c r="E315" s="13">
        <f>E305*$I274*2/MAIN!$Q$1</f>
        <v>0</v>
      </c>
      <c r="F315" s="13">
        <f>F305*$I274*2/MAIN!$Q$1</f>
        <v>0</v>
      </c>
      <c r="G315" s="13">
        <f>G305*$I274*2/MAIN!$Q$1</f>
        <v>0</v>
      </c>
      <c r="H315" s="13">
        <f>H305*$I274*2/MAIN!$Q$1</f>
        <v>0</v>
      </c>
      <c r="I315" s="13">
        <f>I305*$I274*2/MAIN!$Q$1</f>
        <v>0</v>
      </c>
      <c r="J315" s="13">
        <f>J305*$I274*2/MAIN!$Q$1</f>
        <v>0</v>
      </c>
      <c r="K315" s="13">
        <f>K305*$I274*2/MAIN!$Q$1</f>
        <v>0</v>
      </c>
      <c r="L315" s="13">
        <f>L305*$I274*2/MAIN!$Q$1</f>
        <v>0</v>
      </c>
      <c r="M315" s="13">
        <f>M305*$I274*2/MAIN!$Q$1</f>
        <v>0</v>
      </c>
      <c r="N315" s="13">
        <f>N305*$I274*2/MAIN!$Q$1</f>
        <v>0</v>
      </c>
      <c r="O315" s="13">
        <f>O305*$I274*2/MAIN!$Q$1</f>
        <v>0</v>
      </c>
      <c r="P315" s="13">
        <f>P305*$I274*2/MAIN!$Q$1</f>
        <v>0</v>
      </c>
      <c r="Q315" s="13">
        <f>Q305*$I274*2/MAIN!$Q$1</f>
        <v>0</v>
      </c>
      <c r="R315" s="13">
        <f>R305*$I274*2/MAIN!$Q$1</f>
        <v>0</v>
      </c>
      <c r="S315" s="13">
        <f>S305*$I274*2/MAIN!$Q$1</f>
        <v>0</v>
      </c>
      <c r="T315" s="13">
        <f>T305*$I274*2/MAIN!$Q$1</f>
        <v>0</v>
      </c>
      <c r="U315" s="13">
        <f>U305*$I274*2/MAIN!$Q$1</f>
        <v>0</v>
      </c>
      <c r="V315" s="13">
        <f>V305*$I274*2/MAIN!$Q$1</f>
        <v>0</v>
      </c>
      <c r="W315" s="13">
        <f>W305*$I274*2/MAIN!$Q$1</f>
        <v>0</v>
      </c>
      <c r="X315" s="13">
        <f>X305*$I274*2/MAIN!$Q$1</f>
        <v>0</v>
      </c>
      <c r="Y315" s="13">
        <f>Y305*$I274*2/MAIN!$Q$1</f>
        <v>0</v>
      </c>
      <c r="Z315" s="13">
        <f>Z305*$I274*2/MAIN!$Q$1</f>
        <v>0</v>
      </c>
      <c r="AA315" s="13">
        <f>AA305*$I274*2/MAIN!$Q$1</f>
        <v>0</v>
      </c>
      <c r="AB315" s="13">
        <f>AB305*$I274*2/MAIN!$Q$1</f>
        <v>0</v>
      </c>
      <c r="AC315" s="13">
        <f>AC305*$I274*2/MAIN!$Q$1</f>
        <v>0</v>
      </c>
      <c r="AD315" s="13">
        <f>AD305*$I274*2/MAIN!$Q$1</f>
        <v>0</v>
      </c>
      <c r="AE315" s="13">
        <f>AE305*$I274*2/MAIN!$Q$1</f>
        <v>0</v>
      </c>
      <c r="AF315" s="13">
        <f>AF305*$I274*2/MAIN!$Q$1</f>
        <v>0</v>
      </c>
      <c r="AG315" s="13">
        <f>AG305*$I274*2/MAIN!$Q$1</f>
        <v>0</v>
      </c>
      <c r="AH315" s="13">
        <f>AH305*$I274*2/MAIN!$Q$1</f>
        <v>0</v>
      </c>
      <c r="AI315" s="13">
        <f>AI305*$I274*2/MAIN!$Q$1</f>
        <v>0</v>
      </c>
      <c r="AJ315" s="13">
        <f>AJ305*$I274*2/MAIN!$Q$1</f>
        <v>0</v>
      </c>
      <c r="AK315" s="13">
        <f>AK305*$I274*2/MAIN!$Q$1</f>
        <v>0</v>
      </c>
      <c r="AL315" s="13">
        <f>AL305*$I274*2/MAIN!$Q$1</f>
        <v>0</v>
      </c>
      <c r="AM315" s="13">
        <f>AM305*$I274*2/MAIN!$Q$1</f>
        <v>0</v>
      </c>
      <c r="AN315" s="13">
        <f>AN305*$I274*2/MAIN!$Q$1</f>
        <v>0</v>
      </c>
      <c r="AO315" s="13">
        <f>AO305*$I274*2/MAIN!$Q$1</f>
        <v>0</v>
      </c>
      <c r="AP315" s="13">
        <f>AP305*$I274*2/MAIN!$Q$1</f>
        <v>0</v>
      </c>
      <c r="AQ315" s="13">
        <f>AQ305*$I274*2/MAIN!$Q$1</f>
        <v>0</v>
      </c>
      <c r="AR315" s="59">
        <f>AR305*$I274*2/MAIN!$Q$1</f>
        <v>0</v>
      </c>
      <c r="AS315" s="13">
        <f>AS305*$I274*2/MAIN!$Q$1</f>
        <v>0</v>
      </c>
      <c r="AT315" s="13">
        <f>AT305*$I274*2/MAIN!$Q$1</f>
        <v>0</v>
      </c>
      <c r="AU315" s="13">
        <f>AU305*$I274*2/MAIN!$Q$1</f>
        <v>0</v>
      </c>
      <c r="AV315" s="13">
        <f>AV305*$I274*2/MAIN!$Q$1</f>
        <v>0</v>
      </c>
      <c r="AW315" s="13">
        <f>AW305*$I274*2/MAIN!$Q$1</f>
        <v>0</v>
      </c>
      <c r="AX315" s="13">
        <f>AX305*$I274*2/MAIN!$Q$1</f>
        <v>0</v>
      </c>
      <c r="AY315" s="13">
        <f>AY305*$I274*2/MAIN!$Q$1</f>
        <v>0</v>
      </c>
      <c r="AZ315" s="13">
        <f>AZ305*$I274*2/MAIN!$Q$1</f>
        <v>0</v>
      </c>
      <c r="BA315" s="13">
        <f>BA305*$I274*2/MAIN!$Q$1</f>
        <v>0</v>
      </c>
      <c r="BB315" s="13">
        <f>BB305*$I274*2/MAIN!$Q$1</f>
        <v>0</v>
      </c>
      <c r="BC315" s="13">
        <f>BC305*$I274*2/MAIN!$Q$1</f>
        <v>0</v>
      </c>
      <c r="BD315" s="13">
        <f>BD305*$I274*2/MAIN!$Q$1</f>
        <v>0</v>
      </c>
      <c r="BE315" s="13">
        <f>BE305*$I274*2/MAIN!$Q$1</f>
        <v>0</v>
      </c>
      <c r="BF315" s="13">
        <f>BF305*$I274*2/MAIN!$Q$1</f>
        <v>0</v>
      </c>
      <c r="BG315" s="13">
        <f>BG305*$I274*2/MAIN!$Q$1</f>
        <v>0</v>
      </c>
      <c r="BH315" s="13">
        <f>BH305*$I274*2/MAIN!$Q$1</f>
        <v>0</v>
      </c>
      <c r="BI315" s="13">
        <f>BI305*$I274*2/MAIN!$Q$1</f>
        <v>0</v>
      </c>
      <c r="BJ315" s="13">
        <f>BJ305*$I274*2/MAIN!$Q$1</f>
        <v>0</v>
      </c>
      <c r="BK315" s="13">
        <f>BK305*$I274*2/MAIN!$Q$1</f>
        <v>0</v>
      </c>
      <c r="BL315" s="13">
        <f>BL305*$I274*2/MAIN!$Q$1</f>
        <v>0</v>
      </c>
      <c r="BM315" s="13">
        <f>BM305*$I274*2/MAIN!$Q$1</f>
        <v>0</v>
      </c>
      <c r="BN315" s="13">
        <f>BN305*$I274*2/MAIN!$Q$1</f>
        <v>0</v>
      </c>
      <c r="BO315" s="3">
        <f>BO305*$I274*2/MAIN!$Q$1</f>
        <v>0</v>
      </c>
      <c r="BP315" s="43"/>
      <c r="BQ315" s="41"/>
    </row>
    <row r="316" spans="1:69" ht="16.5">
      <c r="A316" s="41"/>
      <c r="B316" s="14">
        <f t="shared" si="238"/>
        <v>9</v>
      </c>
      <c r="C316" s="298" t="s">
        <v>66</v>
      </c>
      <c r="D316" s="3">
        <f>D306*$I274*2/MAIN!$Q$1</f>
        <v>0</v>
      </c>
      <c r="E316" s="13">
        <f>E306*$I274*2/MAIN!$Q$1</f>
        <v>0</v>
      </c>
      <c r="F316" s="13">
        <f>F306*$I274*2/MAIN!$Q$1</f>
        <v>0</v>
      </c>
      <c r="G316" s="13">
        <f>G306*$I274*2/MAIN!$Q$1</f>
        <v>0</v>
      </c>
      <c r="H316" s="13">
        <f>H306*$I274*2/MAIN!$Q$1</f>
        <v>0</v>
      </c>
      <c r="I316" s="13">
        <f>I306*$I274*2/MAIN!$Q$1</f>
        <v>0</v>
      </c>
      <c r="J316" s="13">
        <f>J306*$I274*2/MAIN!$Q$1</f>
        <v>0</v>
      </c>
      <c r="K316" s="13">
        <f>K306*$I274*2/MAIN!$Q$1</f>
        <v>0</v>
      </c>
      <c r="L316" s="13">
        <f>L306*$I274*2/MAIN!$Q$1</f>
        <v>0</v>
      </c>
      <c r="M316" s="13">
        <f>M306*$I274*2/MAIN!$Q$1</f>
        <v>0</v>
      </c>
      <c r="N316" s="13">
        <f>N306*$I274*2/MAIN!$Q$1</f>
        <v>0</v>
      </c>
      <c r="O316" s="13">
        <f>O306*$I274*2/MAIN!$Q$1</f>
        <v>0</v>
      </c>
      <c r="P316" s="13">
        <f>P306*$I274*2/MAIN!$Q$1</f>
        <v>0</v>
      </c>
      <c r="Q316" s="13">
        <f>Q306*$I274*2/MAIN!$Q$1</f>
        <v>0</v>
      </c>
      <c r="R316" s="13">
        <f>R306*$I274*2/MAIN!$Q$1</f>
        <v>0</v>
      </c>
      <c r="S316" s="13">
        <f>S306*$I274*2/MAIN!$Q$1</f>
        <v>0</v>
      </c>
      <c r="T316" s="13">
        <f>T306*$I274*2/MAIN!$Q$1</f>
        <v>0</v>
      </c>
      <c r="U316" s="13">
        <f>U306*$I274*2/MAIN!$Q$1</f>
        <v>0</v>
      </c>
      <c r="V316" s="13">
        <f>V306*$I274*2/MAIN!$Q$1</f>
        <v>0</v>
      </c>
      <c r="W316" s="13">
        <f>W306*$I274*2/MAIN!$Q$1</f>
        <v>0</v>
      </c>
      <c r="X316" s="13">
        <f>X306*$I274*2/MAIN!$Q$1</f>
        <v>0</v>
      </c>
      <c r="Y316" s="13">
        <f>Y306*$I274*2/MAIN!$Q$1</f>
        <v>0</v>
      </c>
      <c r="Z316" s="13">
        <f>Z306*$I274*2/MAIN!$Q$1</f>
        <v>0</v>
      </c>
      <c r="AA316" s="13">
        <f>AA306*$I274*2/MAIN!$Q$1</f>
        <v>0</v>
      </c>
      <c r="AB316" s="13">
        <f>AB306*$I274*2/MAIN!$Q$1</f>
        <v>0</v>
      </c>
      <c r="AC316" s="13">
        <f>AC306*$I274*2/MAIN!$Q$1</f>
        <v>0</v>
      </c>
      <c r="AD316" s="13">
        <f>AD306*$I274*2/MAIN!$Q$1</f>
        <v>0</v>
      </c>
      <c r="AE316" s="13">
        <f>AE306*$I274*2/MAIN!$Q$1</f>
        <v>0</v>
      </c>
      <c r="AF316" s="13">
        <f>AF306*$I274*2/MAIN!$Q$1</f>
        <v>0</v>
      </c>
      <c r="AG316" s="13">
        <f>AG306*$I274*2/MAIN!$Q$1</f>
        <v>0</v>
      </c>
      <c r="AH316" s="13">
        <f>AH306*$I274*2/MAIN!$Q$1</f>
        <v>0</v>
      </c>
      <c r="AI316" s="13">
        <f>AI306*$I274*2/MAIN!$Q$1</f>
        <v>0</v>
      </c>
      <c r="AJ316" s="13">
        <f>AJ306*$I274*2/MAIN!$Q$1</f>
        <v>0</v>
      </c>
      <c r="AK316" s="13">
        <f>AK306*$I274*2/MAIN!$Q$1</f>
        <v>0</v>
      </c>
      <c r="AL316" s="13">
        <f>AL306*$I274*2/MAIN!$Q$1</f>
        <v>0</v>
      </c>
      <c r="AM316" s="13">
        <f>AM306*$I274*2/MAIN!$Q$1</f>
        <v>0</v>
      </c>
      <c r="AN316" s="13">
        <f>AN306*$I274*2/MAIN!$Q$1</f>
        <v>0</v>
      </c>
      <c r="AO316" s="13">
        <f>AO306*$I274*2/MAIN!$Q$1</f>
        <v>0</v>
      </c>
      <c r="AP316" s="13">
        <f>AP306*$I274*2/MAIN!$Q$1</f>
        <v>0</v>
      </c>
      <c r="AQ316" s="13">
        <f>AQ306*$I274*2/MAIN!$Q$1</f>
        <v>0</v>
      </c>
      <c r="AR316" s="59">
        <f>AR306*$I274*2/MAIN!$Q$1</f>
        <v>0</v>
      </c>
      <c r="AS316" s="13">
        <f>AS306*$I274*2/MAIN!$Q$1</f>
        <v>0</v>
      </c>
      <c r="AT316" s="13">
        <f>AT306*$I274*2/MAIN!$Q$1</f>
        <v>0</v>
      </c>
      <c r="AU316" s="13">
        <f>AU306*$I274*2/MAIN!$Q$1</f>
        <v>0</v>
      </c>
      <c r="AV316" s="13">
        <f>AV306*$I274*2/MAIN!$Q$1</f>
        <v>0</v>
      </c>
      <c r="AW316" s="13">
        <f>AW306*$I274*2/MAIN!$Q$1</f>
        <v>0</v>
      </c>
      <c r="AX316" s="13">
        <f>AX306*$I274*2/MAIN!$Q$1</f>
        <v>0</v>
      </c>
      <c r="AY316" s="13">
        <f>AY306*$I274*2/MAIN!$Q$1</f>
        <v>0</v>
      </c>
      <c r="AZ316" s="13">
        <f>AZ306*$I274*2/MAIN!$Q$1</f>
        <v>0</v>
      </c>
      <c r="BA316" s="13">
        <f>BA306*$I274*2/MAIN!$Q$1</f>
        <v>0</v>
      </c>
      <c r="BB316" s="13">
        <f>BB306*$I274*2/MAIN!$Q$1</f>
        <v>0</v>
      </c>
      <c r="BC316" s="13">
        <f>BC306*$I274*2/MAIN!$Q$1</f>
        <v>0</v>
      </c>
      <c r="BD316" s="13">
        <f>BD306*$I274*2/MAIN!$Q$1</f>
        <v>0</v>
      </c>
      <c r="BE316" s="13">
        <f>BE306*$I274*2/MAIN!$Q$1</f>
        <v>0</v>
      </c>
      <c r="BF316" s="13">
        <f>BF306*$I274*2/MAIN!$Q$1</f>
        <v>0</v>
      </c>
      <c r="BG316" s="13">
        <f>BG306*$I274*2/MAIN!$Q$1</f>
        <v>0</v>
      </c>
      <c r="BH316" s="13">
        <f>BH306*$I274*2/MAIN!$Q$1</f>
        <v>0</v>
      </c>
      <c r="BI316" s="13">
        <f>BI306*$I274*2/MAIN!$Q$1</f>
        <v>0</v>
      </c>
      <c r="BJ316" s="13">
        <f>BJ306*$I274*2/MAIN!$Q$1</f>
        <v>0</v>
      </c>
      <c r="BK316" s="13">
        <f>BK306*$I274*2/MAIN!$Q$1</f>
        <v>0</v>
      </c>
      <c r="BL316" s="13">
        <f>BL306*$I274*2/MAIN!$Q$1</f>
        <v>0</v>
      </c>
      <c r="BM316" s="13">
        <f>BM306*$I274*2/MAIN!$Q$1</f>
        <v>0</v>
      </c>
      <c r="BN316" s="13">
        <f>BN306*$I274*2/MAIN!$Q$1</f>
        <v>0</v>
      </c>
      <c r="BO316" s="3">
        <f>BO306*$I274*2/MAIN!$Q$1</f>
        <v>0</v>
      </c>
      <c r="BP316" s="43"/>
      <c r="BQ316" s="41"/>
    </row>
    <row r="317" spans="1:69" ht="16.5">
      <c r="A317" s="41"/>
      <c r="B317" s="290" t="s">
        <v>67</v>
      </c>
      <c r="C317" s="298" t="s">
        <v>68</v>
      </c>
      <c r="D317" s="3">
        <f>D307*$I274*MAIN!$C$15/MAIN!$Q$1</f>
        <v>-174836.46072151899</v>
      </c>
      <c r="E317" s="13">
        <f>E307*$I274*MAIN!$C$15/MAIN!$Q$1</f>
        <v>-174836.46072151899</v>
      </c>
      <c r="F317" s="13">
        <f>F307*$I274*MAIN!$C$15/MAIN!$Q$1</f>
        <v>-174836.46072151899</v>
      </c>
      <c r="G317" s="13">
        <f>G307*$I274*MAIN!$C$15/MAIN!$Q$1</f>
        <v>-174836.46072151899</v>
      </c>
      <c r="H317" s="13">
        <f>H307*$I274*MAIN!$C$15/MAIN!$Q$1</f>
        <v>-174836.46072151899</v>
      </c>
      <c r="I317" s="13">
        <f>I307*$I274*MAIN!$C$15/MAIN!$Q$1</f>
        <v>-174836.46072151899</v>
      </c>
      <c r="J317" s="13">
        <f>J307*$I274*MAIN!$C$15/MAIN!$Q$1</f>
        <v>-174836.46072151899</v>
      </c>
      <c r="K317" s="13">
        <f>K307*$I274*MAIN!$C$15/MAIN!$Q$1</f>
        <v>-174836.46072151899</v>
      </c>
      <c r="L317" s="13">
        <f>L307*$I274*MAIN!$C$15/MAIN!$Q$1</f>
        <v>-174836.46072151899</v>
      </c>
      <c r="M317" s="13">
        <f>M307*$I274*MAIN!$C$15/MAIN!$Q$1</f>
        <v>-174836.46072151899</v>
      </c>
      <c r="N317" s="13">
        <f>N307*$I274*MAIN!$C$15/MAIN!$Q$1</f>
        <v>-174836.46072151899</v>
      </c>
      <c r="O317" s="13">
        <f>O307*$I274*MAIN!$C$15/MAIN!$Q$1</f>
        <v>-174836.46072151899</v>
      </c>
      <c r="P317" s="13">
        <f>P307*$I274*MAIN!$C$15/MAIN!$Q$1</f>
        <v>-174836.46072151899</v>
      </c>
      <c r="Q317" s="13">
        <f>Q307*$I274*MAIN!$C$15/MAIN!$Q$1</f>
        <v>-174836.46072151899</v>
      </c>
      <c r="R317" s="13">
        <f>R307*$I274*MAIN!$C$15/MAIN!$Q$1</f>
        <v>-174836.46072151899</v>
      </c>
      <c r="S317" s="13">
        <f>S307*$I274*MAIN!$C$15/MAIN!$Q$1</f>
        <v>-174836.46072151899</v>
      </c>
      <c r="T317" s="13">
        <f>T307*$I274*MAIN!$C$15/MAIN!$Q$1</f>
        <v>-174836.46072151899</v>
      </c>
      <c r="U317" s="13">
        <f>U307*$I274*MAIN!$C$15/MAIN!$Q$1</f>
        <v>-174836.46072151899</v>
      </c>
      <c r="V317" s="13">
        <f>V307*$I274*MAIN!$C$15/MAIN!$Q$1</f>
        <v>-174836.46072151899</v>
      </c>
      <c r="W317" s="13">
        <f>W307*$I274*MAIN!$C$15/MAIN!$Q$1</f>
        <v>-174836.46072151899</v>
      </c>
      <c r="X317" s="13">
        <f>X307*$I274*MAIN!$C$15/MAIN!$Q$1</f>
        <v>-174836.46072151899</v>
      </c>
      <c r="Y317" s="13">
        <f>Y307*$I274*MAIN!$C$15/MAIN!$Q$1</f>
        <v>-174836.46072151899</v>
      </c>
      <c r="Z317" s="13">
        <f>Z307*$I274*MAIN!$C$15/MAIN!$Q$1</f>
        <v>-174836.46072151899</v>
      </c>
      <c r="AA317" s="13">
        <f>AA307*$I274*MAIN!$C$15/MAIN!$Q$1</f>
        <v>-174836.46072151899</v>
      </c>
      <c r="AB317" s="13">
        <f>AB307*$I274*MAIN!$C$15/MAIN!$Q$1</f>
        <v>-174836.46072151899</v>
      </c>
      <c r="AC317" s="13">
        <f>AC307*$I274*MAIN!$C$15/MAIN!$Q$1</f>
        <v>-174836.46072151899</v>
      </c>
      <c r="AD317" s="13">
        <f>AD307*$I274*MAIN!$C$15/MAIN!$Q$1</f>
        <v>-174836.46072151899</v>
      </c>
      <c r="AE317" s="13">
        <f>AE307*$I274*MAIN!$C$15/MAIN!$Q$1</f>
        <v>-174836.46072151899</v>
      </c>
      <c r="AF317" s="13">
        <f>AF307*$I274*MAIN!$C$15/MAIN!$Q$1</f>
        <v>-174836.46072151899</v>
      </c>
      <c r="AG317" s="13">
        <f>AG307*$I274*MAIN!$C$15/MAIN!$Q$1</f>
        <v>-174836.46072151899</v>
      </c>
      <c r="AH317" s="13">
        <f>AH307*$I274*MAIN!$C$15/MAIN!$Q$1</f>
        <v>-174836.46072151899</v>
      </c>
      <c r="AI317" s="13">
        <f>AI307*$I274*MAIN!$C$15/MAIN!$Q$1</f>
        <v>-174836.46072151899</v>
      </c>
      <c r="AJ317" s="13">
        <f>AJ307*$I274*MAIN!$C$15/MAIN!$Q$1</f>
        <v>-174836.46072151899</v>
      </c>
      <c r="AK317" s="13">
        <f>AK307*$I274*MAIN!$C$15/MAIN!$Q$1</f>
        <v>-174836.46072151899</v>
      </c>
      <c r="AL317" s="13">
        <f>AL307*$I274*MAIN!$C$15/MAIN!$Q$1</f>
        <v>-174836.46072151899</v>
      </c>
      <c r="AM317" s="13">
        <f>AM307*$I274*MAIN!$C$15/MAIN!$Q$1</f>
        <v>-174836.46072151899</v>
      </c>
      <c r="AN317" s="13">
        <f>AN307*$I274*MAIN!$C$15/MAIN!$Q$1</f>
        <v>-174836.46072151899</v>
      </c>
      <c r="AO317" s="13">
        <f>AO307*$I274*MAIN!$C$15/MAIN!$Q$1</f>
        <v>-174836.46072151899</v>
      </c>
      <c r="AP317" s="13">
        <f>AP307*$I274*MAIN!$C$15/MAIN!$Q$1</f>
        <v>-174836.46072151899</v>
      </c>
      <c r="AQ317" s="13">
        <f>AQ307*$I274*MAIN!$C$15/MAIN!$Q$1</f>
        <v>-174836.46072151899</v>
      </c>
      <c r="AR317" s="59">
        <f>AR307*$I274*MAIN!$C$15/MAIN!$Q$1</f>
        <v>-174836.46072151899</v>
      </c>
      <c r="AS317" s="13">
        <f>AS307*$I274*MAIN!$C$15/MAIN!$Q$1</f>
        <v>-149709.68373239273</v>
      </c>
      <c r="AT317" s="13">
        <f>AT307*$I274*MAIN!$C$15/MAIN!$Q$1</f>
        <v>-127205.62977259456</v>
      </c>
      <c r="AU317" s="13">
        <f>AU307*$I274*MAIN!$C$15/MAIN!$Q$1</f>
        <v>-106934.02877332315</v>
      </c>
      <c r="AV317" s="13">
        <f>AV307*$I274*MAIN!$C$15/MAIN!$Q$1</f>
        <v>-88578.382827179943</v>
      </c>
      <c r="AW317" s="13">
        <f>AW307*$I274*MAIN!$C$15/MAIN!$Q$1</f>
        <v>-71879.321469428163</v>
      </c>
      <c r="AX317" s="13">
        <f>AX307*$I274*MAIN!$C$15/MAIN!$Q$1</f>
        <v>-56622.268907747573</v>
      </c>
      <c r="AY317" s="13">
        <f>AY307*$I274*MAIN!$C$15/MAIN!$Q$1</f>
        <v>-42628.173920653287</v>
      </c>
      <c r="AZ317" s="13">
        <f>AZ307*$I274*MAIN!$C$15/MAIN!$Q$1</f>
        <v>-29746.450358912494</v>
      </c>
      <c r="BA317" s="13">
        <f>BA307*$I274*MAIN!$C$15/MAIN!$Q$1</f>
        <v>-17849.536746550068</v>
      </c>
      <c r="BB317" s="13">
        <f>BB307*$I274*MAIN!$C$15/MAIN!$Q$1</f>
        <v>-6828.657700509918</v>
      </c>
      <c r="BC317" s="13">
        <f>BC307*$I274*MAIN!$C$15/MAIN!$Q$1</f>
        <v>3409.5115697428505</v>
      </c>
      <c r="BD317" s="13">
        <f>BD307*$I274*MAIN!$C$15/MAIN!$Q$1</f>
        <v>12843.241965585188</v>
      </c>
      <c r="BE317" s="13">
        <f>BE307*$I274*MAIN!$C$15/MAIN!$Q$1</f>
        <v>20991.562800565513</v>
      </c>
      <c r="BF317" s="13">
        <f>BF307*$I274*MAIN!$C$15/MAIN!$Q$1</f>
        <v>28163.832202219124</v>
      </c>
      <c r="BG317" s="13">
        <f>BG307*$I274*MAIN!$C$15/MAIN!$Q$1</f>
        <v>34525.515346382061</v>
      </c>
      <c r="BH317" s="13">
        <f>BH307*$I274*MAIN!$C$15/MAIN!$Q$1</f>
        <v>40206.677160568317</v>
      </c>
      <c r="BI317" s="13">
        <f>BI307*$I274*MAIN!$C$15/MAIN!$Q$1</f>
        <v>45310.968755651331</v>
      </c>
      <c r="BJ317" s="13">
        <f>BJ307*$I274*MAIN!$C$15/MAIN!$Q$1</f>
        <v>40807.201168490588</v>
      </c>
      <c r="BK317" s="13">
        <f>BK307*$I274*MAIN!$C$15/MAIN!$Q$1</f>
        <v>44993.191853012235</v>
      </c>
      <c r="BL317" s="13">
        <f>BL307*$I274*MAIN!$C$15/MAIN!$Q$1</f>
        <v>82896.15815272271</v>
      </c>
      <c r="BM317" s="13">
        <f>BM307*$I274*MAIN!$C$15/MAIN!$Q$1</f>
        <v>97727.753661305062</v>
      </c>
      <c r="BN317" s="13">
        <f>BN307*$I274*MAIN!$C$15/MAIN!$Q$1</f>
        <v>105637.93793254894</v>
      </c>
      <c r="BO317" s="3">
        <f>BO307*$I274*MAIN!$C$15/MAIN!$Q$1</f>
        <v>131628.54339520758</v>
      </c>
      <c r="BP317" s="41"/>
      <c r="BQ317" s="41"/>
    </row>
    <row r="318" spans="1:69" ht="16.5">
      <c r="A318" s="41"/>
      <c r="B318" s="290" t="s">
        <v>69</v>
      </c>
      <c r="C318" s="298" t="s">
        <v>70</v>
      </c>
      <c r="D318" s="3">
        <f>MAX($F274-$C$8/2*D277,$F274-MAIN!$C$13/2)</f>
        <v>1140.9953233064023</v>
      </c>
      <c r="E318" s="304">
        <f>MAX($F274-$C$8/2*E277,$F274-MAIN!$C$13/2)</f>
        <v>1134.2018961624394</v>
      </c>
      <c r="F318" s="304">
        <f>MAX($F274-$C$8/2*F277,$F274-MAIN!$C$13/2)</f>
        <v>1127.4084690184768</v>
      </c>
      <c r="G318" s="304">
        <f>MAX($F274-$C$8/2*G277,$F274-MAIN!$C$13/2)</f>
        <v>1120.615041874514</v>
      </c>
      <c r="H318" s="304">
        <f>MAX($F274-$C$8/2*H277,$F274-MAIN!$C$13/2)</f>
        <v>1113.8216147305511</v>
      </c>
      <c r="I318" s="304">
        <f>MAX($F274-$C$8/2*I277,$F274-MAIN!$C$13/2)</f>
        <v>1107.0281875865885</v>
      </c>
      <c r="J318" s="304">
        <f>MAX($F274-$C$8/2*J277,$F274-MAIN!$C$13/2)</f>
        <v>1100.2347604426257</v>
      </c>
      <c r="K318" s="304">
        <f>MAX($F274-$C$8/2*K277,$F274-MAIN!$C$13/2)</f>
        <v>1093.441333298663</v>
      </c>
      <c r="L318" s="304">
        <f>MAX($F274-$C$8/2*L277,$F274-MAIN!$C$13/2)</f>
        <v>1086.6479061547002</v>
      </c>
      <c r="M318" s="304">
        <f>MAX($F274-$C$8/2*M277,$F274-MAIN!$C$13/2)</f>
        <v>1079.8544790107376</v>
      </c>
      <c r="N318" s="304">
        <f>MAX($F274-$C$8/2*N277,$F274-MAIN!$C$13/2)</f>
        <v>1073.0610518667747</v>
      </c>
      <c r="O318" s="304">
        <f>MAX($F274-$C$8/2*O277,$F274-MAIN!$C$13/2)</f>
        <v>1066.2676247228121</v>
      </c>
      <c r="P318" s="304">
        <f>MAX($F274-$C$8/2*P277,$F274-MAIN!$C$13/2)</f>
        <v>1059.4741975788493</v>
      </c>
      <c r="Q318" s="304">
        <f>MAX($F274-$C$8/2*Q277,$F274-MAIN!$C$13/2)</f>
        <v>1052.6807704348867</v>
      </c>
      <c r="R318" s="304">
        <f>MAX($F274-$C$8/2*R277,$F274-MAIN!$C$13/2)</f>
        <v>1045.8873432909238</v>
      </c>
      <c r="S318" s="304">
        <f>MAX($F274-$C$8/2*S277,$F274-MAIN!$C$13/2)</f>
        <v>1039.0939161469612</v>
      </c>
      <c r="T318" s="304">
        <f>MAX($F274-$C$8/2*T277,$F274-MAIN!$C$13/2)</f>
        <v>1032.3004890029983</v>
      </c>
      <c r="U318" s="304">
        <f>MAX($F274-$C$8/2*U277,$F274-MAIN!$C$13/2)</f>
        <v>1025.5070618590357</v>
      </c>
      <c r="V318" s="304">
        <f>MAX($F274-$C$8/2*V277,$F274-MAIN!$C$13/2)</f>
        <v>1018.713634715073</v>
      </c>
      <c r="W318" s="304">
        <f>MAX($F274-$C$8/2*W277,$F274-MAIN!$C$13/2)</f>
        <v>1011.9202075711103</v>
      </c>
      <c r="X318" s="304">
        <f>MAX($F274-$C$8/2*X277,$F274-MAIN!$C$13/2)</f>
        <v>1005.1267804271475</v>
      </c>
      <c r="Y318" s="304">
        <f>MAX($F274-$C$8/2*Y277,$F274-MAIN!$C$13/2)</f>
        <v>998.33335328318481</v>
      </c>
      <c r="Z318" s="304">
        <f>MAX($F274-$C$8/2*Z277,$F274-MAIN!$C$13/2)</f>
        <v>991.53992613922208</v>
      </c>
      <c r="AA318" s="304">
        <f>MAX($F274-$C$8/2*AA277,$F274-MAIN!$C$13/2)</f>
        <v>984.74649899525934</v>
      </c>
      <c r="AB318" s="304">
        <f>MAX($F274-$C$8/2*AB277,$F274-MAIN!$C$13/2)</f>
        <v>977.95307185129661</v>
      </c>
      <c r="AC318" s="304">
        <f>MAX($F274-$C$8/2*AC277,$F274-MAIN!$C$13/2)</f>
        <v>971.15964470733388</v>
      </c>
      <c r="AD318" s="304">
        <f>MAX($F274-$C$8/2*AD277,$F274-MAIN!$C$13/2)</f>
        <v>964.36621756337115</v>
      </c>
      <c r="AE318" s="304">
        <f>MAX($F274-$C$8/2*AE277,$F274-MAIN!$C$13/2)</f>
        <v>957.57279041940842</v>
      </c>
      <c r="AF318" s="304">
        <f>MAX($F274-$C$8/2*AF277,$F274-MAIN!$C$13/2)</f>
        <v>950.77936327544569</v>
      </c>
      <c r="AG318" s="304">
        <f>MAX($F274-$C$8/2*AG277,$F274-MAIN!$C$13/2)</f>
        <v>943.98593613148296</v>
      </c>
      <c r="AH318" s="304">
        <f>MAX($F274-$C$8/2*AH277,$F274-MAIN!$C$13/2)</f>
        <v>937.19250898752011</v>
      </c>
      <c r="AI318" s="304">
        <f>MAX($F274-$C$8/2*AI277,$F274-MAIN!$C$13/2)</f>
        <v>930.39908184355738</v>
      </c>
      <c r="AJ318" s="304">
        <f>MAX($F274-$C$8/2*AJ277,$F274-MAIN!$C$13/2)</f>
        <v>923.60565469959465</v>
      </c>
      <c r="AK318" s="304">
        <f>MAX($F274-$C$8/2*AK277,$F274-MAIN!$C$13/2)</f>
        <v>916.81222755563192</v>
      </c>
      <c r="AL318" s="304">
        <f>MAX($F274-$C$8/2*AL277,$F274-MAIN!$C$13/2)</f>
        <v>910.01880041166919</v>
      </c>
      <c r="AM318" s="304">
        <f>MAX($F274-$C$8/2*AM277,$F274-MAIN!$C$13/2)</f>
        <v>903.22537326770635</v>
      </c>
      <c r="AN318" s="304">
        <f>MAX($F274-$C$8/2*AN277,$F274-MAIN!$C$13/2)</f>
        <v>896.43194612374361</v>
      </c>
      <c r="AO318" s="304">
        <f>MAX($F274-$C$8/2*AO277,$F274-MAIN!$C$13/2)</f>
        <v>889.63851897978088</v>
      </c>
      <c r="AP318" s="304">
        <f>MAX($F274-$C$8/2*AP277,$F274-MAIN!$C$13/2)</f>
        <v>882.84509183581804</v>
      </c>
      <c r="AQ318" s="304">
        <f>MAX($F274-$C$8/2*AQ277,$F274-MAIN!$C$13/2)</f>
        <v>876.05166469185542</v>
      </c>
      <c r="AR318" s="56">
        <f>MAX($F274-$C$8/2*AR277,$F274-MAIN!$C$13/2)</f>
        <v>869.25823754789269</v>
      </c>
      <c r="AS318" s="304">
        <f>MAX($F274-$C$8/2*AS277,$F274-MAIN!$C$13/2)</f>
        <v>852.66569872958257</v>
      </c>
      <c r="AT318" s="304">
        <f>MAX($F274-$C$8/2*AT277,$F274-MAIN!$C$13/2)</f>
        <v>836.07315991127234</v>
      </c>
      <c r="AU318" s="304">
        <f>MAX($F274-$C$8/2*AU277,$F274-MAIN!$C$13/2)</f>
        <v>819.48062109296234</v>
      </c>
      <c r="AV318" s="304">
        <f>MAX($F274-$C$8/2*AV277,$F274-MAIN!$C$13/2)</f>
        <v>802.88808227465211</v>
      </c>
      <c r="AW318" s="304">
        <f>MAX($F274-$C$8/2*AW277,$F274-MAIN!$C$13/2)</f>
        <v>786.29554345634199</v>
      </c>
      <c r="AX318" s="304">
        <f>MAX($F274-$C$8/2*AX277,$F274-MAIN!$C$13/2)</f>
        <v>769.70300463803187</v>
      </c>
      <c r="AY318" s="304">
        <f>MAX($F274-$C$8/2*AY277,$F274-MAIN!$C$13/2)</f>
        <v>753.11046581972164</v>
      </c>
      <c r="AZ318" s="304">
        <f>MAX($F274-$C$8/2*AZ277,$F274-MAIN!$C$13/2)</f>
        <v>736.51792700141164</v>
      </c>
      <c r="BA318" s="304">
        <f>MAX($F274-$C$8/2*BA277,$F274-MAIN!$C$13/2)</f>
        <v>719.9253881831014</v>
      </c>
      <c r="BB318" s="304">
        <f>MAX($F274-$C$8/2*BB277,$F274-MAIN!$C$13/2)</f>
        <v>703.33284936479117</v>
      </c>
      <c r="BC318" s="304">
        <f>MAX($F274-$C$8/2*BC277,$F274-MAIN!$C$13/2)</f>
        <v>686.74031054648094</v>
      </c>
      <c r="BD318" s="304">
        <f>MAX($F274-$C$8/2*BD277,$F274-MAIN!$C$13/2)</f>
        <v>670.14777172817082</v>
      </c>
      <c r="BE318" s="304">
        <f>MAX($F274-$C$8/2*BE277,$F274-MAIN!$C$13/2)</f>
        <v>653.55523290986071</v>
      </c>
      <c r="BF318" s="304">
        <f>MAX($F274-$C$8/2*BF277,$F274-MAIN!$C$13/2)</f>
        <v>636.96269409155047</v>
      </c>
      <c r="BG318" s="304">
        <f>MAX($F274-$C$8/2*BG277,$F274-MAIN!$C$13/2)</f>
        <v>620.37015527324024</v>
      </c>
      <c r="BH318" s="304">
        <f>MAX($F274-$C$8/2*BH277,$F274-MAIN!$C$13/2)</f>
        <v>603.77761645493013</v>
      </c>
      <c r="BI318" s="304">
        <f>MAX($F274-$C$8/2*BI277,$F274-MAIN!$C$13/2)</f>
        <v>587.18507763661989</v>
      </c>
      <c r="BJ318" s="304">
        <f>MAX($F274-$C$8/2*BJ277,$F274-MAIN!$C$13/2)</f>
        <v>570.59253881830966</v>
      </c>
      <c r="BK318" s="304">
        <f>MAX($F274-$C$8/2*BK277,$F274-MAIN!$C$13/2)</f>
        <v>554</v>
      </c>
      <c r="BL318" s="304">
        <f>MAX($F274-$C$8/2*BL277,$F274-MAIN!$C$13/2)</f>
        <v>554</v>
      </c>
      <c r="BM318" s="304">
        <f>MAX($F274-$C$8/2*BM277,$F274-MAIN!$C$13/2)</f>
        <v>554</v>
      </c>
      <c r="BN318" s="304">
        <f>MAX($F274-$C$8/2*BN277,$F274-MAIN!$C$13/2)</f>
        <v>554</v>
      </c>
      <c r="BO318" s="3">
        <f>$F274-MAIN!$C$13/2</f>
        <v>554</v>
      </c>
      <c r="BP318" s="41"/>
      <c r="BQ318" s="41"/>
    </row>
    <row r="319" spans="1:69" ht="16.5">
      <c r="A319" s="227">
        <f>IF(I274=0,0,1)</f>
        <v>1</v>
      </c>
      <c r="B319" s="295" t="s">
        <v>31</v>
      </c>
      <c r="C319" s="298" t="s">
        <v>71</v>
      </c>
      <c r="D319" s="3">
        <f>$A319*(D278+SUM(D308:D317))/1000</f>
        <v>-464.42774905207392</v>
      </c>
      <c r="E319" s="304">
        <f t="shared" ref="E319:BO319" si="239">$A319*(E278+SUM(E308:E317))/1000</f>
        <v>-235.37712300599333</v>
      </c>
      <c r="F319" s="304">
        <f t="shared" si="239"/>
        <v>-85.267285421779036</v>
      </c>
      <c r="G319" s="304">
        <f t="shared" si="239"/>
        <v>46.75755595213856</v>
      </c>
      <c r="H319" s="304">
        <f t="shared" si="239"/>
        <v>165.379555615979</v>
      </c>
      <c r="I319" s="304">
        <f t="shared" si="239"/>
        <v>276.41398174875809</v>
      </c>
      <c r="J319" s="304">
        <f t="shared" si="239"/>
        <v>372.41952905163657</v>
      </c>
      <c r="K319" s="304">
        <f t="shared" si="239"/>
        <v>464.8101382095299</v>
      </c>
      <c r="L319" s="304">
        <f t="shared" si="239"/>
        <v>557.20074736742299</v>
      </c>
      <c r="M319" s="304">
        <f t="shared" si="239"/>
        <v>649.5913565253162</v>
      </c>
      <c r="N319" s="304">
        <f t="shared" si="239"/>
        <v>741.98196568320941</v>
      </c>
      <c r="O319" s="304">
        <f t="shared" si="239"/>
        <v>834.37257484110251</v>
      </c>
      <c r="P319" s="304">
        <f t="shared" si="239"/>
        <v>926.7631839989956</v>
      </c>
      <c r="Q319" s="304">
        <f t="shared" si="239"/>
        <v>1019.1537931568887</v>
      </c>
      <c r="R319" s="304">
        <f t="shared" si="239"/>
        <v>1135.3157667368953</v>
      </c>
      <c r="S319" s="304">
        <f t="shared" si="239"/>
        <v>1253.2795137790808</v>
      </c>
      <c r="T319" s="304">
        <f t="shared" si="239"/>
        <v>1368.388208280197</v>
      </c>
      <c r="U319" s="304">
        <f t="shared" si="239"/>
        <v>1481.0946904907012</v>
      </c>
      <c r="V319" s="304">
        <f t="shared" si="239"/>
        <v>1591.760842869619</v>
      </c>
      <c r="W319" s="304">
        <f t="shared" si="239"/>
        <v>1700.6793354403965</v>
      </c>
      <c r="X319" s="304">
        <f t="shared" si="239"/>
        <v>1808.0894174033906</v>
      </c>
      <c r="Y319" s="304">
        <f t="shared" si="239"/>
        <v>1914.188573790557</v>
      </c>
      <c r="Z319" s="304">
        <f t="shared" si="239"/>
        <v>2019.1412575135357</v>
      </c>
      <c r="AA319" s="304">
        <f t="shared" si="239"/>
        <v>2123.0855185116866</v>
      </c>
      <c r="AB319" s="304">
        <f t="shared" si="239"/>
        <v>2226.1380980377567</v>
      </c>
      <c r="AC319" s="304">
        <f t="shared" si="239"/>
        <v>2328.3983872754879</v>
      </c>
      <c r="AD319" s="304">
        <f t="shared" si="239"/>
        <v>2429.951535077817</v>
      </c>
      <c r="AE319" s="304">
        <f t="shared" si="239"/>
        <v>2537.412737093437</v>
      </c>
      <c r="AF319" s="304">
        <f t="shared" si="239"/>
        <v>2652.7975612104228</v>
      </c>
      <c r="AG319" s="304">
        <f t="shared" si="239"/>
        <v>2757.5799677153118</v>
      </c>
      <c r="AH319" s="304">
        <f t="shared" si="239"/>
        <v>2870.1294095198832</v>
      </c>
      <c r="AI319" s="304">
        <f t="shared" si="239"/>
        <v>2981.4539228937338</v>
      </c>
      <c r="AJ319" s="304">
        <f t="shared" si="239"/>
        <v>3091.6618628666674</v>
      </c>
      <c r="AK319" s="304">
        <f t="shared" si="239"/>
        <v>3200.8491706413702</v>
      </c>
      <c r="AL319" s="304">
        <f t="shared" si="239"/>
        <v>3309.1011018501331</v>
      </c>
      <c r="AM319" s="304">
        <f t="shared" si="239"/>
        <v>3416.4936739031182</v>
      </c>
      <c r="AN319" s="304">
        <f t="shared" si="239"/>
        <v>3523.0948842914063</v>
      </c>
      <c r="AO319" s="304">
        <f t="shared" si="239"/>
        <v>3628.9657410460395</v>
      </c>
      <c r="AP319" s="304">
        <f t="shared" si="239"/>
        <v>3734.1611382963556</v>
      </c>
      <c r="AQ319" s="304">
        <f t="shared" si="239"/>
        <v>3838.7306034294429</v>
      </c>
      <c r="AR319" s="61">
        <f t="shared" si="239"/>
        <v>3942.7189372943099</v>
      </c>
      <c r="AS319" s="304">
        <f t="shared" si="239"/>
        <v>4219.6326064992409</v>
      </c>
      <c r="AT319" s="304">
        <f t="shared" si="239"/>
        <v>4491.1962843601186</v>
      </c>
      <c r="AU319" s="304">
        <f t="shared" si="239"/>
        <v>4758.2060677070585</v>
      </c>
      <c r="AV319" s="304">
        <f t="shared" si="239"/>
        <v>5021.307568389303</v>
      </c>
      <c r="AW319" s="304">
        <f t="shared" si="239"/>
        <v>5281.029866193664</v>
      </c>
      <c r="AX319" s="304">
        <f t="shared" si="239"/>
        <v>5537.8106659859386</v>
      </c>
      <c r="AY319" s="304">
        <f t="shared" si="239"/>
        <v>5782.9003999472097</v>
      </c>
      <c r="AZ319" s="304">
        <f t="shared" si="239"/>
        <v>6034.835857914647</v>
      </c>
      <c r="BA319" s="304">
        <f t="shared" si="239"/>
        <v>6284.7624401274625</v>
      </c>
      <c r="BB319" s="304">
        <f t="shared" si="239"/>
        <v>6530.0186720518777</v>
      </c>
      <c r="BC319" s="304">
        <f t="shared" si="239"/>
        <v>6772.8768511870758</v>
      </c>
      <c r="BD319" s="304">
        <f t="shared" si="239"/>
        <v>7013.6720266910643</v>
      </c>
      <c r="BE319" s="304">
        <f t="shared" si="239"/>
        <v>7250.1949824000567</v>
      </c>
      <c r="BF319" s="304">
        <f t="shared" si="239"/>
        <v>7485.4165361979476</v>
      </c>
      <c r="BG319" s="304">
        <f t="shared" si="239"/>
        <v>7719.5573083191839</v>
      </c>
      <c r="BH319" s="304">
        <f t="shared" si="239"/>
        <v>7952.2098333998374</v>
      </c>
      <c r="BI319" s="304">
        <f t="shared" si="239"/>
        <v>8182.9726529239406</v>
      </c>
      <c r="BJ319" s="304">
        <f t="shared" si="239"/>
        <v>8404.1274132657982</v>
      </c>
      <c r="BK319" s="304">
        <f t="shared" si="239"/>
        <v>8633.9719318793304</v>
      </c>
      <c r="BL319" s="304">
        <f>$A319*(BL278+SUM(BL308:BL317))/1000</f>
        <v>8671.8748981790413</v>
      </c>
      <c r="BM319" s="304">
        <f>$A319*(BM278+SUM(BM308:BM317))/1000</f>
        <v>8686.5141735808302</v>
      </c>
      <c r="BN319" s="304">
        <f>$A319*(BN278+SUM(BN308:BN317))/1000</f>
        <v>8686.5141735808302</v>
      </c>
      <c r="BO319" s="3">
        <f t="shared" si="239"/>
        <v>8686.5141735808302</v>
      </c>
      <c r="BP319" s="41"/>
      <c r="BQ319" s="41"/>
    </row>
    <row r="320" spans="1:69" ht="16.5">
      <c r="A320" s="41"/>
      <c r="B320" s="295" t="s">
        <v>72</v>
      </c>
      <c r="C320" s="298" t="s">
        <v>73</v>
      </c>
      <c r="D320" s="3">
        <f>$A319*IF(D319+E319=0,0,IF(D319=0,2*E320-F320,(D278*D318+D308*($F274-$C274)+D309*($F274-$D279)+D310*($F274-$D280)+D311*($F274-$D281)+D312*($F274-$D282)+D313*($F274-$D283)+D314*($F274-$D284)+D315*($F274-$D285)+D316*($F274-$D286))/1000000-D319*($F274-MAIN!$C$13/2)/1000))</f>
        <v>135.98029574724376</v>
      </c>
      <c r="E320" s="304">
        <f>$A319*IF(E319+F319=0,0,IF(E319=0,2*F320-G320,(E278*E318+E308*($F274-$C274)+E309*($F274-$D279)+E310*($F274-$D280)+E311*($F274-$D281)+E312*($F274-$D282)+E313*($F274-$D283)+E314*($F274-$D284)+E315*($F274-$D285)+E316*($F274-$D286))/1000000-E319*($F274-MAIN!$C$13/2)/1000))</f>
        <v>264.09364172268914</v>
      </c>
      <c r="F320" s="304">
        <f>$A319*IF(F319+G319=0,0,IF(F319=0,2*G320-H320,(F278*F318+F308*($F274-$C274)+F309*($F274-$D279)+F310*($F274-$D280)+F311*($F274-$D281)+F312*($F274-$D282)+F313*($F274-$D283)+F314*($F274-$D284)+F315*($F274-$D285)+F316*($F274-$D286))/1000000-F319*($F274-MAIN!$C$13/2)/1000))</f>
        <v>347.21849314605964</v>
      </c>
      <c r="G320" s="304">
        <f>$A319*IF(G319+H319=0,0,IF(G319=0,2*H320-I320,(G278*G318+G308*($F274-$C274)+G309*($F274-$D279)+G310*($F274-$D280)+G311*($F274-$D281)+G312*($F274-$D282)+G313*($F274-$D283)+G314*($F274-$D284)+G315*($F274-$D285)+G316*($F274-$D286))/1000000-G319*($F274-MAIN!$C$13/2)/1000))</f>
        <v>419.06895892472471</v>
      </c>
      <c r="H320" s="304">
        <f>$A319*IF(H319+I319=0,0,IF(H319=0,2*I320-J320,(H278*H318+H308*($F274-$C274)+H309*($F274-$D279)+H310*($F274-$D280)+H311*($F274-$D281)+H312*($F274-$D282)+H313*($F274-$D283)+H314*($F274-$D284)+H315*($F274-$D285)+H316*($F274-$D286))/1000000-H319*($F274-MAIN!$C$13/2)/1000))</f>
        <v>482.23895265180602</v>
      </c>
      <c r="I320" s="304">
        <f>$A319*IF(I319+J319=0,0,IF(I319=0,2*J320-K320,(I278*I318+I308*($F274-$C274)+I309*($F274-$D279)+I310*($F274-$D280)+I311*($F274-$D281)+I312*($F274-$D282)+I313*($F274-$D283)+I314*($F274-$D284)+I315*($F274-$D285)+I316*($F274-$D286))/1000000-I319*($F274-MAIN!$C$13/2)/1000))</f>
        <v>539.95013289847861</v>
      </c>
      <c r="J320" s="304">
        <f>$A319*IF(J319+K319=0,0,IF(J319=0,2*K320-L320,(J278*J318+J308*($F274-$C274)+J309*($F274-$D279)+J310*($F274-$D280)+J311*($F274-$D281)+J312*($F274-$D282)+J313*($F274-$D283)+J314*($F274-$D284)+J315*($F274-$D285)+J316*($F274-$D286))/1000000-J319*($F274-MAIN!$C$13/2)/1000))</f>
        <v>588.08001652918506</v>
      </c>
      <c r="K320" s="304">
        <f>$A319*IF(K319+L319=0,0,IF(K319=0,2*L320-M320,(K278*K318+K308*($F274-$C274)+K309*($F274-$D279)+K310*($F274-$D280)+K311*($F274-$D281)+K312*($F274-$D282)+K313*($F274-$D283)+K314*($F274-$D284)+K315*($F274-$D285)+K316*($F274-$D286))/1000000-K319*($F274-MAIN!$C$13/2)/1000))</f>
        <v>632.95192668336881</v>
      </c>
      <c r="L320" s="304">
        <f>$A319*IF(L319+M319=0,0,IF(L319=0,2*M320-N320,(L278*L318+L308*($F274-$C274)+L309*($F274-$D279)+L310*($F274-$D280)+L311*($F274-$D281)+L312*($F274-$D282)+L313*($F274-$D283)+L314*($F274-$D284)+L315*($F274-$D285)+L316*($F274-$D286))/1000000-L319*($F274-MAIN!$C$13/2)/1000))</f>
        <v>676.56853909335132</v>
      </c>
      <c r="M320" s="304">
        <f>$A319*IF(M319+N319=0,0,IF(M319=0,2*N320-O320,(M278*M318+M308*($F274-$C274)+M309*($F274-$D279)+M310*($F274-$D280)+M311*($F274-$D281)+M312*($F274-$D282)+M313*($F274-$D283)+M314*($F274-$D284)+M315*($F274-$D285)+M316*($F274-$D286))/1000000-M319*($F274-MAIN!$C$13/2)/1000))</f>
        <v>718.92985375913327</v>
      </c>
      <c r="N320" s="304">
        <f>$A319*IF(N319+O319=0,0,IF(N319=0,2*O320-P320,(N278*N318+N308*($F274-$C274)+N309*($F274-$D279)+N310*($F274-$D280)+N311*($F274-$D281)+N312*($F274-$D282)+N313*($F274-$D283)+N314*($F274-$D284)+N315*($F274-$D285)+N316*($F274-$D286))/1000000-N319*($F274-MAIN!$C$13/2)/1000))</f>
        <v>760.03587068071397</v>
      </c>
      <c r="O320" s="304">
        <f>$A319*IF(O319+P319=0,0,IF(O319=0,2*P320-Q320,(O278*O318+O308*($F274-$C274)+O309*($F274-$D279)+O310*($F274-$D280)+O311*($F274-$D281)+O312*($F274-$D282)+O313*($F274-$D283)+O314*($F274-$D284)+O315*($F274-$D285)+O316*($F274-$D286))/1000000-O319*($F274-MAIN!$C$13/2)/1000))</f>
        <v>799.88658985809377</v>
      </c>
      <c r="P320" s="304">
        <f>$A319*IF(P319+Q319=0,0,IF(P319=0,2*Q320-R320,(P278*P318+P308*($F274-$C274)+P309*($F274-$D279)+P310*($F274-$D280)+P311*($F274-$D281)+P312*($F274-$D282)+P313*($F274-$D283)+P314*($F274-$D284)+P315*($F274-$D285)+P316*($F274-$D286))/1000000-P319*($F274-MAIN!$C$13/2)/1000))</f>
        <v>838.48201129127256</v>
      </c>
      <c r="Q320" s="304">
        <f>$A319*IF(Q319+R319=0,0,IF(Q319=0,2*R320-S320,(Q278*Q318+Q308*($F274-$C274)+Q309*($F274-$D279)+Q310*($F274-$D280)+Q311*($F274-$D281)+Q312*($F274-$D282)+Q313*($F274-$D283)+Q314*($F274-$D284)+Q315*($F274-$D285)+Q316*($F274-$D286))/1000000-Q319*($F274-MAIN!$C$13/2)/1000))</f>
        <v>875.82213498025055</v>
      </c>
      <c r="R320" s="304">
        <f>$A319*IF(R319+S319=0,0,IF(R319=0,2*S320-T320,(R278*R318+R308*($F274-$C274)+R309*($F274-$D279)+R310*($F274-$D280)+R311*($F274-$D281)+R312*($F274-$D282)+R313*($F274-$D283)+R314*($F274-$D284)+R315*($F274-$D285)+R316*($F274-$D286))/1000000-R319*($F274-MAIN!$C$13/2)/1000))</f>
        <v>916.29673955497765</v>
      </c>
      <c r="S320" s="304">
        <f>$A319*IF(S319+T319=0,0,IF(S319=0,2*T320-U320,(S278*S318+S308*($F274-$C274)+S309*($F274-$D279)+S310*($F274-$D280)+S311*($F274-$D281)+S312*($F274-$D282)+S313*($F274-$D283)+S314*($F274-$D284)+S315*($F274-$D285)+S316*($F274-$D286))/1000000-S319*($F274-MAIN!$C$13/2)/1000))</f>
        <v>955.84877388485302</v>
      </c>
      <c r="T320" s="304">
        <f>$A319*IF(T319+U319=0,0,IF(T319=0,2*U320-V320,(T278*T318+T308*($F274-$C274)+T309*($F274-$D279)+T310*($F274-$D280)+T311*($F274-$D281)+T312*($F274-$D282)+T313*($F274-$D283)+T314*($F274-$D284)+T315*($F274-$D285)+T316*($F274-$D286))/1000000-T319*($F274-MAIN!$C$13/2)/1000))</f>
        <v>993.61827743460958</v>
      </c>
      <c r="U320" s="304">
        <f>$A319*IF(U319+V319=0,0,IF(U319=0,2*V320-W320,(U278*U318+U308*($F274-$C274)+U309*($F274-$D279)+U310*($F274-$D280)+U311*($F274-$D281)+U312*($F274-$D282)+U313*($F274-$D283)+U314*($F274-$D284)+U315*($F274-$D285)+U316*($F274-$D286))/1000000-U319*($F274-MAIN!$C$13/2)/1000))</f>
        <v>1029.6888747038329</v>
      </c>
      <c r="V320" s="304">
        <f>$A319*IF(V319+W319=0,0,IF(V319=0,2*W320-X320,(V278*V318+V308*($F274-$C274)+V309*($F274-$D279)+V310*($F274-$D280)+V311*($F274-$D281)+V312*($F274-$D282)+V313*($F274-$D283)+V314*($F274-$D284)+V315*($F274-$D285)+V316*($F274-$D286))/1000000-V319*($F274-MAIN!$C$13/2)/1000))</f>
        <v>1064.127393319955</v>
      </c>
      <c r="W320" s="304">
        <f>$A319*IF(W319+X319=0,0,IF(W319=0,2*X320-Y320,(W278*W318+W308*($F274-$C274)+W309*($F274-$D279)+W310*($F274-$D280)+W311*($F274-$D281)+W312*($F274-$D282)+W313*($F274-$D283)+W314*($F274-$D284)+W315*($F274-$D285)+W316*($F274-$D286))/1000000-W319*($F274-MAIN!$C$13/2)/1000))</f>
        <v>1096.9878796806399</v>
      </c>
      <c r="X320" s="304">
        <f>$A319*IF(X319+Y319=0,0,IF(X319=0,2*Y320-Z320,(X278*X318+X308*($F274-$C274)+X309*($F274-$D279)+X310*($F274-$D280)+X311*($F274-$D281)+X312*($F274-$D282)+X313*($F274-$D283)+X314*($F274-$D284)+X315*($F274-$D285)+X316*($F274-$D286))/1000000-X319*($F274-MAIN!$C$13/2)/1000))</f>
        <v>1128.3145151382198</v>
      </c>
      <c r="Y320" s="304">
        <f>$A319*IF(Y319+Z319=0,0,IF(Y319=0,2*Z320-AA320,(Y278*Y318+Y308*($F274-$C274)+Y309*($F274-$D279)+Y310*($F274-$D280)+Y311*($F274-$D281)+Y312*($F274-$D282)+Y313*($F274-$D283)+Y314*($F274-$D284)+Y315*($F274-$D285)+Y316*($F274-$D286))/1000000-Y319*($F274-MAIN!$C$13/2)/1000))</f>
        <v>1158.1437685952624</v>
      </c>
      <c r="Z320" s="304">
        <f>$A319*IF(Z319+AA319=0,0,IF(Z319=0,2*AA320-AB320,(Z278*Z318+Z308*($F274-$C274)+Z309*($F274-$D279)+Z310*($F274-$D280)+Z311*($F274-$D281)+Z312*($F274-$D282)+Z313*($F274-$D283)+Z314*($F274-$D284)+Z315*($F274-$D285)+Z316*($F274-$D286))/1000000-Z319*($F274-MAIN!$C$13/2)/1000))</f>
        <v>1186.5060090227835</v>
      </c>
      <c r="AA320" s="304">
        <f>$A319*IF(AA319+AB319=0,0,IF(AA319=0,2*AB320-AC320,(AA278*AA318+AA308*($F274-$C274)+AA309*($F274-$D279)+AA310*($F274-$D280)+AA311*($F274-$D281)+AA312*($F274-$D282)+AA313*($F274-$D283)+AA314*($F274-$D284)+AA315*($F274-$D285)+AA316*($F274-$D286))/1000000-AA319*($F274-MAIN!$C$13/2)/1000))</f>
        <v>1213.4267296429198</v>
      </c>
      <c r="AB320" s="304">
        <f>$A319*IF(AB319+AC319=0,0,IF(AB319=0,2*AC320-AD320,(AB278*AB318+AB308*($F274-$C274)+AB309*($F274-$D279)+AB310*($F274-$D280)+AB311*($F274-$D281)+AB312*($F274-$D282)+AB313*($F274-$D283)+AB314*($F274-$D284)+AB315*($F274-$D285)+AB316*($F274-$D286))/1000000-AB319*($F274-MAIN!$C$13/2)/1000))</f>
        <v>1238.9274886736771</v>
      </c>
      <c r="AC320" s="304">
        <f>$A319*IF(AC319+AD319=0,0,IF(AC319=0,2*AD320-AE320,(AC278*AC318+AC308*($F274-$C274)+AC309*($F274-$D279)+AC310*($F274-$D280)+AC311*($F274-$D281)+AC312*($F274-$D282)+AC313*($F274-$D283)+AC314*($F274-$D284)+AC315*($F274-$D285)+AC316*($F274-$D286))/1000000-AC319*($F274-MAIN!$C$13/2)/1000))</f>
        <v>1263.0266403536536</v>
      </c>
      <c r="AD320" s="304">
        <f>$A319*IF(AD319+AE319=0,0,IF(AD319=0,2*AE320-AF320,(AD278*AD318+AD308*($F274-$C274)+AD309*($F274-$D279)+AD310*($F274-$D280)+AD311*($F274-$D281)+AD312*($F274-$D282)+AD313*($F274-$D283)+AD314*($F274-$D284)+AD315*($F274-$D285)+AD316*($F274-$D286))/1000000-AD319*($F274-MAIN!$C$13/2)/1000))</f>
        <v>1285.7399088376915</v>
      </c>
      <c r="AE320" s="304">
        <f>$A319*IF(AE319+AF319=0,0,IF(AE319=0,2*AF320-AG320,(AE278*AE318+AE308*($F274-$C274)+AE309*($F274-$D279)+AE310*($F274-$D280)+AE311*($F274-$D281)+AE312*($F274-$D282)+AE313*($F274-$D283)+AE314*($F274-$D284)+AE315*($F274-$D285)+AE316*($F274-$D286))/1000000-AE319*($F274-MAIN!$C$13/2)/1000))</f>
        <v>1305.8727857515792</v>
      </c>
      <c r="AF320" s="304">
        <f>$A319*IF(AF319+AG319=0,0,IF(AF319=0,2*AG320-AH320,(AF278*AF318+AF308*($F274-$C274)+AF309*($F274-$D279)+AF310*($F274-$D280)+AF311*($F274-$D281)+AF312*($F274-$D282)+AF313*($F274-$D283)+AF314*($F274-$D284)+AF315*($F274-$D285)+AF316*($F274-$D286))/1000000-AF319*($F274-MAIN!$C$13/2)/1000))</f>
        <v>1323.0765372630262</v>
      </c>
      <c r="AG320" s="304">
        <f>$A319*IF(AG319+AH319=0,0,IF(AG319=0,2*AH320-AI320,(AG278*AG318+AG308*($F274-$C274)+AG309*($F274-$D279)+AG310*($F274-$D280)+AG311*($F274-$D281)+AG312*($F274-$D282)+AG313*($F274-$D283)+AG314*($F274-$D284)+AG315*($F274-$D285)+AG316*($F274-$D286))/1000000-AG319*($F274-MAIN!$C$13/2)/1000))</f>
        <v>1337.4263401645183</v>
      </c>
      <c r="AH320" s="304">
        <f>$A319*IF(AH319+AI319=0,0,IF(AH319=0,2*AI320-AJ320,(AH278*AH318+AH308*($F274-$C274)+AH309*($F274-$D279)+AH310*($F274-$D280)+AH311*($F274-$D281)+AH312*($F274-$D282)+AH313*($F274-$D283)+AH314*($F274-$D284)+AH315*($F274-$D285)+AH316*($F274-$D286))/1000000-AH319*($F274-MAIN!$C$13/2)/1000))</f>
        <v>1352.2806488167862</v>
      </c>
      <c r="AI320" s="304">
        <f>$A319*IF(AI319+AJ319=0,0,IF(AI319=0,2*AJ320-AK320,(AI278*AI318+AI308*($F274-$C274)+AI309*($F274-$D279)+AI310*($F274-$D280)+AI311*($F274-$D281)+AI312*($F274-$D282)+AI313*($F274-$D283)+AI314*($F274-$D284)+AI315*($F274-$D285)+AI316*($F274-$D286))/1000000-AI319*($F274-MAIN!$C$13/2)/1000))</f>
        <v>1365.9492801200824</v>
      </c>
      <c r="AJ320" s="304">
        <f>$A319*IF(AJ319+AK319=0,0,IF(AJ319=0,2*AK320-AL320,(AJ278*AJ318+AJ308*($F274-$C274)+AJ309*($F274-$D279)+AJ310*($F274-$D280)+AJ311*($F274-$D281)+AJ312*($F274-$D282)+AJ313*($F274-$D283)+AJ314*($F274-$D284)+AJ315*($F274-$D285)+AJ316*($F274-$D286))/1000000-AJ319*($F274-MAIN!$C$13/2)/1000))</f>
        <v>1378.4260755758296</v>
      </c>
      <c r="AK320" s="304">
        <f>$A319*IF(AK319+AL319=0,0,IF(AK319=0,2*AL320-AM320,(AK278*AK318+AK308*($F274-$C274)+AK309*($F274-$D279)+AK310*($F274-$D280)+AK311*($F274-$D281)+AK312*($F274-$D282)+AK313*($F274-$D283)+AK314*($F274-$D284)+AK315*($F274-$D285)+AK316*($F274-$D286))/1000000-AK319*($F274-MAIN!$C$13/2)/1000))</f>
        <v>1389.7055822414034</v>
      </c>
      <c r="AL320" s="304">
        <f>$A319*IF(AL319+AM319=0,0,IF(AL319=0,2*AM320-AN320,(AL278*AL318+AL308*($F274-$C274)+AL309*($F274-$D279)+AL310*($F274-$D280)+AL311*($F274-$D281)+AL312*($F274-$D282)+AL313*($F274-$D283)+AL314*($F274-$D284)+AL315*($F274-$D285)+AL316*($F274-$D286))/1000000-AL319*($F274-MAIN!$C$13/2)/1000))</f>
        <v>1399.7829545024274</v>
      </c>
      <c r="AM320" s="304">
        <f>$A319*IF(AM319+AN319=0,0,IF(AM319=0,2*AN320-AO320,(AM278*AM318+AM308*($F274-$C274)+AM309*($F274-$D279)+AM310*($F274-$D280)+AM311*($F274-$D281)+AM312*($F274-$D282)+AM313*($F274-$D283)+AM314*($F274-$D284)+AM315*($F274-$D285)+AM316*($F274-$D286))/1000000-AM319*($F274-MAIN!$C$13/2)/1000))</f>
        <v>1408.653871810852</v>
      </c>
      <c r="AN320" s="304">
        <f>$A319*IF(AN319+AO319=0,0,IF(AN319=0,2*AO320-AP320,(AN278*AN318+AN308*($F274-$C274)+AN309*($F274-$D279)+AN310*($F274-$D280)+AN311*($F274-$D281)+AN312*($F274-$D282)+AN313*($F274-$D283)+AN314*($F274-$D284)+AN315*($F274-$D285)+AN316*($F274-$D286))/1000000-AN319*($F274-MAIN!$C$13/2)/1000))</f>
        <v>1416.314469441128</v>
      </c>
      <c r="AO320" s="304">
        <f>$A319*IF(AO319+AP319=0,0,IF(AO319=0,2*AP320-AQ320,(AO278*AO318+AO308*($F274-$C274)+AO309*($F274-$D279)+AO310*($F274-$D280)+AO311*($F274-$D281)+AO312*($F274-$D282)+AO313*($F274-$D283)+AO314*($F274-$D284)+AO315*($F274-$D285)+AO316*($F274-$D286))/1000000-AO319*($F274-MAIN!$C$13/2)/1000))</f>
        <v>1422.7612799227272</v>
      </c>
      <c r="AP320" s="304">
        <f>$A319*IF(AP319+AQ319=0,0,IF(AP319=0,2*AQ320-AR320,(AP278*AP318+AP308*($F274-$C274)+AP309*($F274-$D279)+AP310*($F274-$D280)+AP311*($F274-$D281)+AP312*($F274-$D282)+AP313*($F274-$D283)+AP314*($F274-$D284)+AP315*($F274-$D285)+AP316*($F274-$D286))/1000000-AP319*($F274-MAIN!$C$13/2)/1000))</f>
        <v>1427.9911832766488</v>
      </c>
      <c r="AQ320" s="304">
        <f>$A319*IF(AQ319+AR319=0,0,IF(AQ319=0,2*AR320-AS320,(AQ278*AQ318+AQ308*($F274-$C274)+AQ309*($F274-$D279)+AQ310*($F274-$D280)+AQ311*($F274-$D281)+AQ312*($F274-$D282)+AQ313*($F274-$D283)+AQ314*($F274-$D284)+AQ315*($F274-$D285)+AQ316*($F274-$D286))/1000000-AQ319*($F274-MAIN!$C$13/2)/1000))</f>
        <v>1432.001364549646</v>
      </c>
      <c r="AR320" s="56">
        <f>$A319*IF(AR319+AS319=0,0,IF(AR319=0,2*AS320-AT320,(AR278*AR318+AR308*($F274-$C274)+AR309*($F274-$D279)+AR310*($F274-$D280)+AR311*($F274-$D281)+AR312*($F274-$D282)+AR313*($F274-$D283)+AR314*($F274-$D284)+AR315*($F274-$D285)+AR316*($F274-$D286))/1000000-AR319*($F274-MAIN!$C$13/2)/1000))</f>
        <v>1434.7892774273887</v>
      </c>
      <c r="AS320" s="304">
        <f>$A319*IF(AS319+AT319=0,0,IF(AS319=0,2*AT320-AU320,(AS278*AS318+AS308*($F274-$C274)+AS309*($F274-$D279)+AS310*($F274-$D280)+AS311*($F274-$D281)+AS312*($F274-$D282)+AS313*($F274-$D283)+AS314*($F274-$D284)+AS315*($F274-$D285)+AS316*($F274-$D286))/1000000-AS319*($F274-MAIN!$C$13/2)/1000))</f>
        <v>1422.5260584844241</v>
      </c>
      <c r="AT320" s="304">
        <f>$A319*IF(AT319+AU319=0,0,IF(AT319=0,2*AU320-AV320,(AT278*AT318+AT308*($F274-$C274)+AT309*($F274-$D279)+AT310*($F274-$D280)+AT311*($F274-$D281)+AT312*($F274-$D282)+AT313*($F274-$D283)+AT314*($F274-$D284)+AT315*($F274-$D285)+AT316*($F274-$D286))/1000000-AT319*($F274-MAIN!$C$13/2)/1000))</f>
        <v>1404.3823401610321</v>
      </c>
      <c r="AU320" s="304">
        <f>$A319*IF(AU319+AV319=0,0,IF(AU319=0,2*AV320-AW320,(AU278*AU318+AU308*($F274-$C274)+AU309*($F274-$D279)+AU310*($F274-$D280)+AU311*($F274-$D281)+AU312*($F274-$D282)+AU313*($F274-$D283)+AU314*($F274-$D284)+AU315*($F274-$D285)+AU316*($F274-$D286))/1000000-AU319*($F274-MAIN!$C$13/2)/1000))</f>
        <v>1380.1188471490473</v>
      </c>
      <c r="AV320" s="304">
        <f>$A319*IF(AV319+AW319=0,0,IF(AV319=0,2*AW320-AX320,(AV278*AV318+AV308*($F274-$C274)+AV309*($F274-$D279)+AV310*($F274-$D280)+AV311*($F274-$D281)+AV312*($F274-$D282)+AV313*($F274-$D283)+AV314*($F274-$D284)+AV315*($F274-$D285)+AV316*($F274-$D286))/1000000-AV319*($F274-MAIN!$C$13/2)/1000))</f>
        <v>1349.5415339902543</v>
      </c>
      <c r="AW320" s="304">
        <f>$A319*IF(AW319+AX319=0,0,IF(AW319=0,2*AX320-AY320,(AW278*AW318+AW308*($F274-$C274)+AW309*($F274-$D279)+AW310*($F274-$D280)+AW311*($F274-$D281)+AW312*($F274-$D282)+AW313*($F274-$D283)+AW314*($F274-$D284)+AW315*($F274-$D285)+AW316*($F274-$D286))/1000000-AW319*($F274-MAIN!$C$13/2)/1000))</f>
        <v>1312.4913801682487</v>
      </c>
      <c r="AX320" s="304">
        <f>$A319*IF(AX319+AY319=0,0,IF(AX319=0,2*AY320-AZ320,(AX278*AX318+AX308*($F274-$C274)+AX309*($F274-$D279)+AX310*($F274-$D280)+AX311*($F274-$D281)+AX312*($F274-$D282)+AX313*($F274-$D283)+AX314*($F274-$D284)+AX315*($F274-$D285)+AX316*($F274-$D286))/1000000-AX319*($F274-MAIN!$C$13/2)/1000))</f>
        <v>1268.8368288639499</v>
      </c>
      <c r="AY320" s="304">
        <f>$A319*IF(AY319+AZ319=0,0,IF(AY319=0,2*AZ320-BA320,(AY278*AY318+AY308*($F274-$C274)+AY309*($F274-$D279)+AY310*($F274-$D280)+AY311*($F274-$D281)+AY312*($F274-$D282)+AY313*($F274-$D283)+AY314*($F274-$D284)+AY315*($F274-$D285)+AY316*($F274-$D286))/1000000-AY319*($F274-MAIN!$C$13/2)/1000))</f>
        <v>1220.1513045546949</v>
      </c>
      <c r="AZ320" s="304">
        <f>$A319*IF(AZ319+BA319=0,0,IF(AZ319=0,2*BA320-BB320,(AZ278*AZ318+AZ308*($F274-$C274)+AZ309*($F274-$D279)+AZ310*($F274-$D280)+AZ311*($F274-$D281)+AZ312*($F274-$D282)+AZ313*($F274-$D283)+AZ314*($F274-$D284)+AZ315*($F274-$D285)+AZ316*($F274-$D286))/1000000-AZ319*($F274-MAIN!$C$13/2)/1000))</f>
        <v>1162.9760803597555</v>
      </c>
      <c r="BA320" s="304">
        <f>$A319*IF(BA319+BB319=0,0,IF(BA319=0,2*BB320-BC320,(BA278*BA318+BA308*($F274-$C274)+BA309*($F274-$D279)+BA310*($F274-$D280)+BA311*($F274-$D281)+BA312*($F274-$D282)+BA313*($F274-$D283)+BA314*($F274-$D284)+BA315*($F274-$D285)+BA316*($F274-$D286))/1000000-BA319*($F274-MAIN!$C$13/2)/1000))</f>
        <v>1098.9161492156145</v>
      </c>
      <c r="BB320" s="304">
        <f>$A319*IF(BB319+BC319=0,0,IF(BB319=0,2*BC320-BD320,(BB278*BB318+BB308*($F274-$C274)+BB309*($F274-$D279)+BB310*($F274-$D280)+BB311*($F274-$D281)+BB312*($F274-$D282)+BB313*($F274-$D283)+BB314*($F274-$D284)+BB315*($F274-$D285)+BB316*($F274-$D286))/1000000-BB319*($F274-MAIN!$C$13/2)/1000))</f>
        <v>1027.3723600239173</v>
      </c>
      <c r="BC320" s="304">
        <f>$A319*IF(BC319+BD319=0,0,IF(BC319=0,2*BD320-BE320,(BC278*BC318+BC308*($F274-$C274)+BC309*($F274-$D279)+BC310*($F274-$D280)+BC311*($F274-$D281)+BC312*($F274-$D282)+BC313*($F274-$D283)+BC314*($F274-$D284)+BC315*($F274-$D285)+BC316*($F274-$D286))/1000000-BC319*($F274-MAIN!$C$13/2)/1000))</f>
        <v>948.67195786048296</v>
      </c>
      <c r="BD320" s="304">
        <f>$A319*IF(BD319+BE319=0,0,IF(BD319=0,2*BE320-BF320,(BD278*BD318+BD308*($F274-$C274)+BD309*($F274-$D279)+BD310*($F274-$D280)+BD311*($F274-$D281)+BD312*($F274-$D282)+BD313*($F274-$D283)+BD314*($F274-$D284)+BD315*($F274-$D285)+BD316*($F274-$D286))/1000000-BD319*($F274-MAIN!$C$13/2)/1000))</f>
        <v>863.16113402320389</v>
      </c>
      <c r="BE320" s="304">
        <f>$A319*IF(BE319+BF319=0,0,IF(BE319=0,2*BF320-BG320,(BE278*BE318+BE308*($F274-$C274)+BE309*($F274-$D279)+BE310*($F274-$D280)+BE311*($F274-$D281)+BE312*($F274-$D282)+BE313*($F274-$D283)+BE314*($F274-$D284)+BE315*($F274-$D285)+BE316*($F274-$D286))/1000000-BE319*($F274-MAIN!$C$13/2)/1000))</f>
        <v>771.42549560385578</v>
      </c>
      <c r="BF320" s="304">
        <f>$A319*IF(BF319+BG319=0,0,IF(BF319=0,2*BG320-BH320,(BF278*BF318+BF308*($F274-$C274)+BF309*($F274-$D279)+BF310*($F274-$D280)+BF311*($F274-$D281)+BF312*($F274-$D282)+BF313*($F274-$D283)+BF314*($F274-$D284)+BF315*($F274-$D285)+BF316*($F274-$D286))/1000000-BF319*($F274-MAIN!$C$13/2)/1000))</f>
        <v>672.80217529811125</v>
      </c>
      <c r="BG320" s="304">
        <f>$A319*IF(BG319+BH319=0,0,IF(BG319=0,2*BH320-BI320,(BG278*BG318+BG308*($F274-$C274)+BG309*($F274-$D279)+BG310*($F274-$D280)+BG311*($F274-$D281)+BG312*($F274-$D282)+BG313*($F274-$D283)+BG314*($F274-$D284)+BG315*($F274-$D285)+BG316*($F274-$D286))/1000000-BG319*($F274-MAIN!$C$13/2)/1000))</f>
        <v>567.18932009772834</v>
      </c>
      <c r="BH320" s="304">
        <f>$A319*IF(BH319+BI319=0,0,IF(BH319=0,2*BI320-BJ320,(BH278*BH318+BH308*($F274-$C274)+BH309*($F274-$D279)+BH310*($F274-$D280)+BH311*($F274-$D281)+BH312*($F274-$D282)+BH313*($F274-$D283)+BH314*($F274-$D284)+BH315*($F274-$D285)+BH316*($F274-$D286))/1000000-BH319*($F274-MAIN!$C$13/2)/1000))</f>
        <v>454.39959766797801</v>
      </c>
      <c r="BI320" s="304">
        <f>$A319*IF(BI319+BJ319=0,0,IF(BI319=0,2*BJ320-BK320,(BI278*BI318+BI308*($F274-$C274)+BI309*($F274-$D279)+BI310*($F274-$D280)+BI311*($F274-$D281)+BI312*($F274-$D282)+BI313*($F274-$D283)+BI314*($F274-$D284)+BI315*($F274-$D285)+BI316*($F274-$D286))/1000000-BI319*($F274-MAIN!$C$13/2)/1000))</f>
        <v>334.26954777890751</v>
      </c>
      <c r="BJ320" s="304">
        <f>$A319*IF(BJ319+BK319=0,0,IF(BJ319=0,2*BK320-BO320,(BJ278*BJ318+BJ308*($F274-$C274)+BJ309*($F274-$D279)+BJ310*($F274-$D280)+BJ311*($F274-$D281)+BJ312*($F274-$D282)+BJ313*($F274-$D283)+BJ314*($F274-$D284)+BJ315*($F274-$D285)+BJ316*($F274-$D286))/1000000-BJ319*($F274-MAIN!$C$13/2)/1000))</f>
        <v>212.03459167254186</v>
      </c>
      <c r="BK320" s="304">
        <f>$A319*IF(BK319+BO319=0,0,IF(BK319=0,2*BO320-BP320,(BK278*BK318+BK308*($F274-$C274)+BK309*($F274-$D279)+BK310*($F274-$D280)+BK311*($F274-$D281)+BK312*($F274-$D282)+BK313*($F274-$D283)+BK314*($F274-$D284)+BK315*($F274-$D285)+BK316*($F274-$D286))/1000000-BK319*($F274-MAIN!$C$13/2)/1000))</f>
        <v>77.549341995983923</v>
      </c>
      <c r="BL320" s="304">
        <f>$A319*IF(BL319+BP319=0,0,IF(BL319=0,2*BP320-BQ320,(BL278*BL318+BL308*($F274-$C274)+BL309*($F274-$D279)+BL310*($F274-$D280)+BL311*($F274-$D281)+BL312*($F274-$D282)+BL313*($F274-$D283)+BL314*($F274-$D284)+BL315*($F274-$D285)+BL316*($F274-$D286))/1000000-BL319*($F274-MAIN!$C$13/2)/1000))</f>
        <v>51.884822370379879</v>
      </c>
      <c r="BM320" s="304">
        <f>$A319*IF(BM319+BQ319=0,0,IF(BM319=0,2*BQ320-BR320,(BM278*BM318+BM308*($F274-$C274)+BM309*($F274-$D279)+BM310*($F274-$D280)+BM311*($F274-$D281)+BM312*($F274-$D282)+BM313*($F274-$D283)+BM314*($F274-$D284)+BM315*($F274-$D285)+BM316*($F274-$D286))/1000000-BM319*($F274-MAIN!$C$13/2)/1000))</f>
        <v>41.735638916848984</v>
      </c>
      <c r="BN320" s="304">
        <f>$A319*IF(BN319+BR319=0,0,IF(BN319=0,2*BR320-BS320,(BN278*BN318+BN308*($F274-$C274)+BN309*($F274-$D279)+BN310*($F274-$D280)+BN311*($F274-$D281)+BN312*($F274-$D282)+BN313*($F274-$D283)+BN314*($F274-$D284)+BN315*($F274-$D285)+BN316*($F274-$D286))/1000000-BN319*($F274-MAIN!$C$13/2)/1000))</f>
        <v>31.997323169584888</v>
      </c>
      <c r="BO320" s="3">
        <v>0</v>
      </c>
      <c r="BP320" s="41"/>
      <c r="BQ320" s="41"/>
    </row>
    <row r="321" spans="1:73" ht="16.5">
      <c r="A321" s="41"/>
      <c r="B321" s="296" t="s">
        <v>74</v>
      </c>
      <c r="C321" s="303" t="s">
        <v>75</v>
      </c>
      <c r="D321" s="15"/>
      <c r="E321" s="308"/>
      <c r="F321" s="308"/>
      <c r="G321" s="308"/>
      <c r="H321" s="308"/>
      <c r="I321" s="308"/>
      <c r="J321" s="308"/>
      <c r="K321" s="308"/>
      <c r="L321" s="308"/>
      <c r="M321" s="308"/>
      <c r="N321" s="308"/>
      <c r="O321" s="308"/>
      <c r="P321" s="308"/>
      <c r="Q321" s="308"/>
      <c r="R321" s="308"/>
      <c r="S321" s="308"/>
      <c r="T321" s="308"/>
      <c r="U321" s="308"/>
      <c r="V321" s="308"/>
      <c r="W321" s="308"/>
      <c r="X321" s="308"/>
      <c r="Y321" s="308"/>
      <c r="Z321" s="308"/>
      <c r="AA321" s="308"/>
      <c r="AB321" s="308"/>
      <c r="AC321" s="308"/>
      <c r="AD321" s="308"/>
      <c r="AE321" s="309"/>
      <c r="AF321" s="308"/>
      <c r="AG321" s="308"/>
      <c r="AH321" s="308"/>
      <c r="AI321" s="308"/>
      <c r="AJ321" s="308" t="str">
        <f>FIXED(MAIN!$Q$1,0)&amp;MAIN!R$1&amp;FIXED(B273,0)</f>
        <v>8H16</v>
      </c>
      <c r="AK321" s="308"/>
      <c r="AL321" s="308"/>
      <c r="AM321" s="308"/>
      <c r="AN321" s="308"/>
      <c r="AO321" s="308"/>
      <c r="AP321" s="308"/>
      <c r="AQ321" s="308"/>
      <c r="AR321" s="60"/>
      <c r="AS321" s="308"/>
      <c r="AT321" s="308"/>
      <c r="AU321" s="308"/>
      <c r="AV321" s="308"/>
      <c r="AW321" s="308"/>
      <c r="AX321" s="308"/>
      <c r="AY321" s="308"/>
      <c r="AZ321" s="308"/>
      <c r="BA321" s="308"/>
      <c r="BB321" s="308"/>
      <c r="BC321" s="308"/>
      <c r="BD321" s="308"/>
      <c r="BE321" s="308"/>
      <c r="BF321" s="308"/>
      <c r="BG321" s="308"/>
      <c r="BH321" s="308"/>
      <c r="BI321" s="308"/>
      <c r="BJ321" s="308"/>
      <c r="BK321" s="308"/>
      <c r="BL321" s="621"/>
      <c r="BM321" s="621"/>
      <c r="BN321" s="621"/>
      <c r="BO321" s="15"/>
      <c r="BP321" s="41"/>
      <c r="BQ321" s="41"/>
    </row>
    <row r="322" spans="1:73">
      <c r="A322" s="41"/>
      <c r="B322" s="64"/>
      <c r="C322" s="65" t="s">
        <v>135</v>
      </c>
      <c r="D322" s="66">
        <f t="shared" ref="D322:AI322" si="240">E319-D319</f>
        <v>229.05062604608059</v>
      </c>
      <c r="E322" s="66">
        <f t="shared" si="240"/>
        <v>150.10983758421429</v>
      </c>
      <c r="F322" s="66">
        <f t="shared" si="240"/>
        <v>132.02484137391758</v>
      </c>
      <c r="G322" s="66">
        <f t="shared" si="240"/>
        <v>118.62199966384044</v>
      </c>
      <c r="H322" s="66">
        <f t="shared" si="240"/>
        <v>111.03442613277909</v>
      </c>
      <c r="I322" s="66">
        <f t="shared" si="240"/>
        <v>96.005547302878483</v>
      </c>
      <c r="J322" s="66">
        <f t="shared" si="240"/>
        <v>92.390609157893323</v>
      </c>
      <c r="K322" s="66">
        <f t="shared" si="240"/>
        <v>92.390609157893095</v>
      </c>
      <c r="L322" s="66">
        <f t="shared" si="240"/>
        <v>92.390609157893209</v>
      </c>
      <c r="M322" s="66">
        <f t="shared" si="240"/>
        <v>92.390609157893209</v>
      </c>
      <c r="N322" s="66">
        <f t="shared" si="240"/>
        <v>92.390609157893095</v>
      </c>
      <c r="O322" s="66">
        <f t="shared" si="240"/>
        <v>92.390609157893095</v>
      </c>
      <c r="P322" s="66">
        <f t="shared" si="240"/>
        <v>92.390609157893095</v>
      </c>
      <c r="Q322" s="66">
        <f t="shared" si="240"/>
        <v>116.16197358000659</v>
      </c>
      <c r="R322" s="66">
        <f t="shared" si="240"/>
        <v>117.96374704218556</v>
      </c>
      <c r="S322" s="66">
        <f t="shared" si="240"/>
        <v>115.10869450111613</v>
      </c>
      <c r="T322" s="66">
        <f t="shared" si="240"/>
        <v>112.70648221050419</v>
      </c>
      <c r="U322" s="66">
        <f t="shared" si="240"/>
        <v>110.66615237891779</v>
      </c>
      <c r="V322" s="66">
        <f t="shared" si="240"/>
        <v>108.91849257077752</v>
      </c>
      <c r="W322" s="66">
        <f t="shared" si="240"/>
        <v>107.41008196299413</v>
      </c>
      <c r="X322" s="66">
        <f t="shared" si="240"/>
        <v>106.09915638716643</v>
      </c>
      <c r="Y322" s="66">
        <f t="shared" si="240"/>
        <v>104.95268372297869</v>
      </c>
      <c r="Z322" s="66">
        <f t="shared" si="240"/>
        <v>103.94426099815087</v>
      </c>
      <c r="AA322" s="66">
        <f t="shared" si="240"/>
        <v>103.05257952607008</v>
      </c>
      <c r="AB322" s="66">
        <f t="shared" si="240"/>
        <v>102.26028923773129</v>
      </c>
      <c r="AC322" s="66">
        <f t="shared" si="240"/>
        <v>101.55314780232902</v>
      </c>
      <c r="AD322" s="66">
        <f t="shared" si="240"/>
        <v>107.46120201562007</v>
      </c>
      <c r="AE322" s="66">
        <f t="shared" si="240"/>
        <v>115.38482411698578</v>
      </c>
      <c r="AF322" s="66">
        <f t="shared" si="240"/>
        <v>104.78240650488897</v>
      </c>
      <c r="AG322" s="66">
        <f t="shared" si="240"/>
        <v>112.54944180457142</v>
      </c>
      <c r="AH322" s="66">
        <f t="shared" si="240"/>
        <v>111.32451337385055</v>
      </c>
      <c r="AI322" s="66">
        <f t="shared" si="240"/>
        <v>110.20793997293367</v>
      </c>
      <c r="AJ322" s="66">
        <f t="shared" ref="AJ322:BJ322" si="241">AK319-AJ319</f>
        <v>109.18730777470273</v>
      </c>
      <c r="AK322" s="66">
        <f t="shared" si="241"/>
        <v>108.25193120876293</v>
      </c>
      <c r="AL322" s="66">
        <f t="shared" si="241"/>
        <v>107.39257205298509</v>
      </c>
      <c r="AM322" s="66">
        <f t="shared" si="241"/>
        <v>106.60121038828811</v>
      </c>
      <c r="AN322" s="66">
        <f t="shared" si="241"/>
        <v>105.87085675463322</v>
      </c>
      <c r="AO322" s="66">
        <f t="shared" si="241"/>
        <v>105.19539725031609</v>
      </c>
      <c r="AP322" s="66">
        <f t="shared" si="241"/>
        <v>104.56946513308731</v>
      </c>
      <c r="AQ322" s="66">
        <f t="shared" si="241"/>
        <v>103.98833386486695</v>
      </c>
      <c r="AR322" s="66">
        <f t="shared" si="241"/>
        <v>276.91366920493101</v>
      </c>
      <c r="AS322" s="66">
        <f t="shared" si="241"/>
        <v>271.56367786087776</v>
      </c>
      <c r="AT322" s="66">
        <f t="shared" si="241"/>
        <v>267.00978334693991</v>
      </c>
      <c r="AU322" s="66">
        <f t="shared" si="241"/>
        <v>263.10150068224448</v>
      </c>
      <c r="AV322" s="66">
        <f t="shared" si="241"/>
        <v>259.72229780436101</v>
      </c>
      <c r="AW322" s="66">
        <f t="shared" si="241"/>
        <v>256.78079979227459</v>
      </c>
      <c r="AX322" s="66">
        <f t="shared" si="241"/>
        <v>245.08973396127112</v>
      </c>
      <c r="AY322" s="66">
        <f t="shared" si="241"/>
        <v>251.93545796743729</v>
      </c>
      <c r="AZ322" s="66">
        <f t="shared" si="241"/>
        <v>249.92658221281545</v>
      </c>
      <c r="BA322" s="66">
        <f t="shared" si="241"/>
        <v>245.25623192441526</v>
      </c>
      <c r="BB322" s="66">
        <f t="shared" si="241"/>
        <v>242.85817913519804</v>
      </c>
      <c r="BC322" s="66">
        <f t="shared" si="241"/>
        <v>240.7951755039885</v>
      </c>
      <c r="BD322" s="66">
        <f t="shared" si="241"/>
        <v>236.52295570899241</v>
      </c>
      <c r="BE322" s="66">
        <f t="shared" si="241"/>
        <v>235.22155379789092</v>
      </c>
      <c r="BF322" s="66">
        <f t="shared" si="241"/>
        <v>234.1407721212363</v>
      </c>
      <c r="BG322" s="66">
        <f t="shared" si="241"/>
        <v>232.6525250806535</v>
      </c>
      <c r="BH322" s="66">
        <f t="shared" si="241"/>
        <v>230.76281952410318</v>
      </c>
      <c r="BI322" s="66">
        <f t="shared" si="241"/>
        <v>221.15476034185758</v>
      </c>
      <c r="BJ322" s="66">
        <f t="shared" si="241"/>
        <v>229.84451861353227</v>
      </c>
      <c r="BK322" s="66">
        <f t="shared" ref="BK322:BN323" si="242">BL319-BK319</f>
        <v>37.902966299710897</v>
      </c>
      <c r="BL322" s="66">
        <f t="shared" si="242"/>
        <v>14.639275401788836</v>
      </c>
      <c r="BM322" s="66">
        <f t="shared" si="242"/>
        <v>0</v>
      </c>
      <c r="BN322" s="66">
        <f t="shared" si="242"/>
        <v>0</v>
      </c>
      <c r="BO322" s="65">
        <v>0</v>
      </c>
      <c r="BP322" s="41"/>
      <c r="BQ322" s="41"/>
    </row>
    <row r="323" spans="1:73">
      <c r="A323" s="41"/>
      <c r="B323" s="64"/>
      <c r="C323" s="65" t="s">
        <v>136</v>
      </c>
      <c r="D323" s="66">
        <f t="shared" ref="D323:AI323" si="243">E320-D320</f>
        <v>128.11334597544538</v>
      </c>
      <c r="E323" s="66">
        <f t="shared" si="243"/>
        <v>83.124851423370501</v>
      </c>
      <c r="F323" s="66">
        <f t="shared" si="243"/>
        <v>71.850465778665068</v>
      </c>
      <c r="G323" s="66">
        <f t="shared" si="243"/>
        <v>63.169993727081305</v>
      </c>
      <c r="H323" s="66">
        <f t="shared" si="243"/>
        <v>57.711180246672598</v>
      </c>
      <c r="I323" s="66">
        <f t="shared" si="243"/>
        <v>48.129883630706445</v>
      </c>
      <c r="J323" s="66">
        <f t="shared" si="243"/>
        <v>44.871910154183752</v>
      </c>
      <c r="K323" s="66">
        <f t="shared" si="243"/>
        <v>43.616612409982508</v>
      </c>
      <c r="L323" s="66">
        <f t="shared" si="243"/>
        <v>42.361314665781947</v>
      </c>
      <c r="M323" s="66">
        <f t="shared" si="243"/>
        <v>41.106016921580704</v>
      </c>
      <c r="N323" s="66">
        <f t="shared" si="243"/>
        <v>39.850719177379801</v>
      </c>
      <c r="O323" s="66">
        <f t="shared" si="243"/>
        <v>38.595421433178785</v>
      </c>
      <c r="P323" s="66">
        <f t="shared" si="243"/>
        <v>37.340123688977997</v>
      </c>
      <c r="Q323" s="66">
        <f t="shared" si="243"/>
        <v>40.474604574727095</v>
      </c>
      <c r="R323" s="66">
        <f t="shared" si="243"/>
        <v>39.552034329875369</v>
      </c>
      <c r="S323" s="66">
        <f t="shared" si="243"/>
        <v>37.769503549756564</v>
      </c>
      <c r="T323" s="66">
        <f t="shared" si="243"/>
        <v>36.070597269223299</v>
      </c>
      <c r="U323" s="66">
        <f t="shared" si="243"/>
        <v>34.43851861612211</v>
      </c>
      <c r="V323" s="66">
        <f t="shared" si="243"/>
        <v>32.860486360684945</v>
      </c>
      <c r="W323" s="66">
        <f t="shared" si="243"/>
        <v>31.326635457579869</v>
      </c>
      <c r="X323" s="66">
        <f t="shared" si="243"/>
        <v>29.829253457042569</v>
      </c>
      <c r="Y323" s="66">
        <f t="shared" si="243"/>
        <v>28.362240427521101</v>
      </c>
      <c r="Z323" s="66">
        <f t="shared" si="243"/>
        <v>26.920720620136308</v>
      </c>
      <c r="AA323" s="66">
        <f t="shared" si="243"/>
        <v>25.500759030757308</v>
      </c>
      <c r="AB323" s="66">
        <f t="shared" si="243"/>
        <v>24.099151679976558</v>
      </c>
      <c r="AC323" s="66">
        <f t="shared" si="243"/>
        <v>22.713268484037826</v>
      </c>
      <c r="AD323" s="66">
        <f t="shared" si="243"/>
        <v>20.132876913887685</v>
      </c>
      <c r="AE323" s="66">
        <f t="shared" si="243"/>
        <v>17.203751511447081</v>
      </c>
      <c r="AF323" s="66">
        <f t="shared" si="243"/>
        <v>14.349802901492012</v>
      </c>
      <c r="AG323" s="66">
        <f t="shared" si="243"/>
        <v>14.854308652267946</v>
      </c>
      <c r="AH323" s="66">
        <f t="shared" si="243"/>
        <v>13.668631303296252</v>
      </c>
      <c r="AI323" s="66">
        <f t="shared" si="243"/>
        <v>12.476795455747151</v>
      </c>
      <c r="AJ323" s="66">
        <f t="shared" ref="AJ323:BJ323" si="244">AK320-AJ320</f>
        <v>11.279506665573763</v>
      </c>
      <c r="AK323" s="66">
        <f t="shared" si="244"/>
        <v>10.077372261024038</v>
      </c>
      <c r="AL323" s="66">
        <f t="shared" si="244"/>
        <v>8.8709173084246231</v>
      </c>
      <c r="AM323" s="66">
        <f t="shared" si="244"/>
        <v>7.6605976302760155</v>
      </c>
      <c r="AN323" s="66">
        <f t="shared" si="244"/>
        <v>6.4468104815991865</v>
      </c>
      <c r="AO323" s="66">
        <f t="shared" si="244"/>
        <v>5.2299033539215998</v>
      </c>
      <c r="AP323" s="66">
        <f t="shared" si="244"/>
        <v>4.0101812729972153</v>
      </c>
      <c r="AQ323" s="66">
        <f t="shared" si="244"/>
        <v>2.7879128777426558</v>
      </c>
      <c r="AR323" s="66">
        <f t="shared" si="244"/>
        <v>-12.263218942964613</v>
      </c>
      <c r="AS323" s="66">
        <f t="shared" si="244"/>
        <v>-18.143718323392022</v>
      </c>
      <c r="AT323" s="66">
        <f t="shared" si="244"/>
        <v>-24.263493011984792</v>
      </c>
      <c r="AU323" s="66">
        <f t="shared" si="244"/>
        <v>-30.577313158793004</v>
      </c>
      <c r="AV323" s="66">
        <f t="shared" si="244"/>
        <v>-37.050153822005541</v>
      </c>
      <c r="AW323" s="66">
        <f t="shared" si="244"/>
        <v>-43.65455130429882</v>
      </c>
      <c r="AX323" s="66">
        <f t="shared" si="244"/>
        <v>-48.685524309255015</v>
      </c>
      <c r="AY323" s="66">
        <f t="shared" si="244"/>
        <v>-57.175224194939346</v>
      </c>
      <c r="AZ323" s="66">
        <f t="shared" si="244"/>
        <v>-64.059931144141046</v>
      </c>
      <c r="BA323" s="66">
        <f t="shared" si="244"/>
        <v>-71.543789191697215</v>
      </c>
      <c r="BB323" s="66">
        <f t="shared" si="244"/>
        <v>-78.700402163434319</v>
      </c>
      <c r="BC323" s="66">
        <f t="shared" si="244"/>
        <v>-85.510823837279077</v>
      </c>
      <c r="BD323" s="66">
        <f t="shared" si="244"/>
        <v>-91.735638419348106</v>
      </c>
      <c r="BE323" s="66">
        <f t="shared" si="244"/>
        <v>-98.623320305744528</v>
      </c>
      <c r="BF323" s="66">
        <f t="shared" si="244"/>
        <v>-105.61285520038291</v>
      </c>
      <c r="BG323" s="66">
        <f t="shared" si="244"/>
        <v>-112.78972242975033</v>
      </c>
      <c r="BH323" s="66">
        <f t="shared" si="244"/>
        <v>-120.13004988907051</v>
      </c>
      <c r="BI323" s="66">
        <f t="shared" si="244"/>
        <v>-122.23495610636564</v>
      </c>
      <c r="BJ323" s="66">
        <f t="shared" si="244"/>
        <v>-134.48524967655794</v>
      </c>
      <c r="BK323" s="66">
        <f t="shared" si="242"/>
        <v>-25.664519625604044</v>
      </c>
      <c r="BL323" s="66">
        <f t="shared" si="242"/>
        <v>-10.149183453530895</v>
      </c>
      <c r="BM323" s="66">
        <f t="shared" si="242"/>
        <v>-9.738315747264096</v>
      </c>
      <c r="BN323" s="66">
        <f t="shared" si="242"/>
        <v>-31.997323169584888</v>
      </c>
      <c r="BO323" s="65">
        <v>0</v>
      </c>
      <c r="BP323" s="41"/>
      <c r="BQ323" s="41"/>
    </row>
    <row r="324" spans="1:73">
      <c r="A324" s="41"/>
      <c r="B324" s="47"/>
      <c r="C324" s="43"/>
      <c r="D324" s="47"/>
      <c r="E324" s="47"/>
      <c r="F324" s="47"/>
      <c r="G324" s="47"/>
      <c r="H324" s="47"/>
      <c r="I324" s="47"/>
      <c r="J324" s="43"/>
      <c r="K324" s="43"/>
      <c r="L324" s="43"/>
      <c r="M324" s="43"/>
      <c r="N324" s="43"/>
      <c r="O324" s="43"/>
      <c r="P324" s="41"/>
      <c r="Q324" s="41"/>
      <c r="R324" s="41"/>
      <c r="S324" s="41"/>
      <c r="T324" s="41"/>
      <c r="U324" s="41"/>
      <c r="V324" s="41"/>
      <c r="W324" s="41"/>
      <c r="X324" s="41"/>
      <c r="Y324" s="41"/>
      <c r="Z324" s="43"/>
      <c r="AA324" s="43"/>
      <c r="AB324" s="43"/>
      <c r="AC324" s="43"/>
      <c r="AD324" s="43"/>
      <c r="AE324" s="43"/>
      <c r="AF324" s="43"/>
      <c r="AG324" s="43"/>
      <c r="AH324" s="43"/>
      <c r="AI324" s="43"/>
      <c r="AJ324" s="41"/>
      <c r="AK324" s="41"/>
      <c r="AL324" s="41"/>
      <c r="AM324" s="41"/>
      <c r="AN324" s="41"/>
      <c r="AO324" s="41"/>
      <c r="AP324" s="41"/>
      <c r="AQ324" s="41"/>
      <c r="AR324" s="41"/>
      <c r="AS324" s="41"/>
      <c r="AT324" s="41"/>
      <c r="AU324" s="41"/>
      <c r="AV324" s="41"/>
      <c r="AW324" s="41"/>
      <c r="AX324" s="41"/>
      <c r="AY324" s="41"/>
      <c r="AZ324" s="41"/>
      <c r="BA324" s="41"/>
      <c r="BB324" s="41"/>
      <c r="BC324" s="41"/>
      <c r="BD324" s="41"/>
      <c r="BE324" s="41"/>
      <c r="BF324" s="41"/>
      <c r="BG324" s="41"/>
      <c r="BH324" s="41"/>
      <c r="BI324" s="41"/>
      <c r="BJ324" s="41"/>
      <c r="BK324" s="41"/>
      <c r="BL324" s="41"/>
      <c r="BM324" s="41"/>
      <c r="BN324" s="41"/>
      <c r="BO324" s="41"/>
      <c r="BP324" s="41"/>
      <c r="BQ324" s="41"/>
      <c r="BR324" s="41"/>
      <c r="BS324" s="41"/>
      <c r="BT324" s="41"/>
      <c r="BU324" s="41"/>
    </row>
    <row r="325" spans="1:73">
      <c r="A325" s="41"/>
      <c r="B325" s="41"/>
      <c r="C325" s="43"/>
      <c r="D325" s="41"/>
      <c r="E325" s="41"/>
      <c r="F325" s="43"/>
      <c r="G325" s="43"/>
      <c r="H325" s="43"/>
      <c r="I325" s="43"/>
      <c r="J325" s="43"/>
      <c r="K325" s="43"/>
      <c r="L325" s="43"/>
      <c r="M325" s="43"/>
      <c r="N325" s="43"/>
      <c r="O325" s="43"/>
      <c r="P325" s="43"/>
      <c r="R325" s="41"/>
      <c r="S325" s="41"/>
      <c r="T325" s="41"/>
      <c r="U325" s="41"/>
      <c r="V325" s="41"/>
      <c r="W325" s="41"/>
      <c r="X325" s="41"/>
      <c r="Y325" s="41"/>
      <c r="Z325" s="41"/>
      <c r="AA325" s="43"/>
      <c r="AB325" s="43"/>
      <c r="AC325" s="43"/>
      <c r="AD325" s="43"/>
      <c r="AE325" s="43"/>
      <c r="AF325" s="43"/>
      <c r="AG325" s="43"/>
      <c r="AH325" s="43"/>
      <c r="AI325" s="43"/>
      <c r="AJ325" s="43"/>
      <c r="AK325" s="41"/>
      <c r="AL325" s="41"/>
      <c r="AM325" s="41"/>
      <c r="AN325" s="41"/>
      <c r="AO325" s="41"/>
      <c r="AP325" s="41"/>
      <c r="AQ325" s="41"/>
      <c r="AR325" s="41"/>
      <c r="AS325" s="41"/>
      <c r="AT325" s="41"/>
      <c r="AU325" s="41"/>
      <c r="AV325" s="41"/>
      <c r="AW325" s="41"/>
      <c r="AX325" s="41"/>
      <c r="AY325" s="41"/>
      <c r="AZ325" s="41"/>
      <c r="BA325" s="41"/>
      <c r="BB325" s="41"/>
      <c r="BC325" s="41"/>
      <c r="BD325" s="41"/>
      <c r="BE325" s="41"/>
      <c r="BF325" s="41"/>
      <c r="BG325" s="41"/>
      <c r="BH325" s="41"/>
      <c r="BI325" s="41"/>
      <c r="BJ325" s="41"/>
      <c r="BK325" s="41"/>
      <c r="BL325" s="41"/>
      <c r="BM325" s="41"/>
      <c r="BN325" s="41"/>
      <c r="BO325" s="41"/>
      <c r="BP325" s="41"/>
      <c r="BQ325" s="41"/>
      <c r="BR325" s="41"/>
      <c r="BS325" s="41"/>
      <c r="BT325" s="41"/>
      <c r="BU325" s="41"/>
    </row>
    <row r="326" spans="1:73">
      <c r="A326" s="41"/>
      <c r="B326" s="41"/>
      <c r="C326" s="43"/>
      <c r="D326" s="41"/>
      <c r="E326" s="41"/>
      <c r="F326" s="43"/>
      <c r="G326" s="43"/>
      <c r="H326" s="43"/>
      <c r="I326" s="43"/>
      <c r="J326" s="43"/>
      <c r="K326" s="43"/>
      <c r="L326" s="43"/>
      <c r="M326" s="43"/>
      <c r="N326" s="43"/>
      <c r="O326" s="43"/>
      <c r="P326" s="43"/>
      <c r="R326" s="41"/>
      <c r="S326" s="41"/>
      <c r="T326" s="41"/>
      <c r="U326" s="41"/>
      <c r="V326" s="41"/>
      <c r="W326" s="41"/>
      <c r="X326" s="41"/>
      <c r="Y326" s="41"/>
      <c r="Z326" s="41"/>
      <c r="AA326" s="43"/>
      <c r="AB326" s="43"/>
      <c r="AC326" s="43"/>
      <c r="AD326" s="43"/>
      <c r="AE326" s="43"/>
      <c r="AF326" s="43"/>
      <c r="AG326" s="43"/>
      <c r="AH326" s="43"/>
      <c r="AI326" s="43"/>
      <c r="AJ326" s="43"/>
      <c r="AK326" s="41"/>
      <c r="AL326" s="41"/>
      <c r="AM326" s="41"/>
      <c r="AN326" s="41"/>
      <c r="AO326" s="41"/>
      <c r="AP326" s="41"/>
      <c r="AQ326" s="41"/>
      <c r="AR326" s="41"/>
      <c r="AS326" s="41"/>
      <c r="AT326" s="41"/>
      <c r="AU326" s="41"/>
      <c r="AV326" s="41"/>
      <c r="AW326" s="41"/>
      <c r="AX326" s="41"/>
      <c r="AY326" s="41"/>
      <c r="AZ326" s="41"/>
      <c r="BA326" s="41"/>
      <c r="BB326" s="41"/>
      <c r="BC326" s="41"/>
      <c r="BD326" s="41"/>
      <c r="BE326" s="41"/>
      <c r="BF326" s="41"/>
      <c r="BG326" s="41"/>
      <c r="BH326" s="41"/>
      <c r="BI326" s="41"/>
      <c r="BJ326" s="41"/>
      <c r="BK326" s="41"/>
      <c r="BL326" s="41"/>
      <c r="BM326" s="41"/>
      <c r="BN326" s="41"/>
      <c r="BO326" s="41"/>
      <c r="BP326" s="41"/>
      <c r="BQ326" s="41"/>
      <c r="BR326" s="41"/>
      <c r="BS326" s="41"/>
      <c r="BT326" s="41"/>
      <c r="BU326" s="41"/>
    </row>
    <row r="327" spans="1:73">
      <c r="A327" s="41"/>
      <c r="B327" s="41"/>
      <c r="C327" s="43"/>
      <c r="D327" s="43"/>
      <c r="E327" s="41"/>
      <c r="F327" s="41"/>
      <c r="G327" s="43"/>
      <c r="H327" s="43"/>
      <c r="I327" s="43"/>
      <c r="J327" s="43"/>
      <c r="K327" s="43"/>
      <c r="L327" s="43"/>
      <c r="M327" s="43"/>
      <c r="N327" s="43"/>
      <c r="O327" s="43"/>
      <c r="P327" s="43"/>
      <c r="R327" s="41"/>
      <c r="S327" s="41"/>
      <c r="T327" s="41"/>
      <c r="U327" s="41"/>
      <c r="V327" s="41"/>
      <c r="W327" s="41"/>
      <c r="X327" s="41"/>
      <c r="Y327" s="41"/>
      <c r="Z327" s="41"/>
      <c r="AA327" s="43"/>
      <c r="AB327" s="43"/>
      <c r="AC327" s="43"/>
      <c r="AD327" s="43"/>
      <c r="AE327" s="43"/>
      <c r="AF327" s="43"/>
      <c r="AG327" s="43"/>
      <c r="AH327" s="43"/>
      <c r="AI327" s="43"/>
      <c r="AJ327" s="43"/>
      <c r="AK327" s="41"/>
      <c r="AL327" s="41"/>
      <c r="AM327" s="41"/>
      <c r="AN327" s="41"/>
      <c r="AO327" s="41"/>
      <c r="AP327" s="41"/>
      <c r="AQ327" s="41"/>
      <c r="AR327" s="41"/>
      <c r="AS327" s="41"/>
      <c r="AT327" s="41"/>
      <c r="AU327" s="41"/>
      <c r="AV327" s="41"/>
      <c r="AW327" s="41"/>
      <c r="AX327" s="41"/>
      <c r="AY327" s="41"/>
      <c r="AZ327" s="41"/>
      <c r="BA327" s="41"/>
      <c r="BB327" s="41"/>
      <c r="BC327" s="41"/>
      <c r="BD327" s="41"/>
      <c r="BE327" s="41"/>
      <c r="BF327" s="41"/>
      <c r="BG327" s="41"/>
      <c r="BH327" s="41"/>
      <c r="BI327" s="41"/>
      <c r="BJ327" s="41"/>
      <c r="BK327" s="41"/>
      <c r="BL327" s="41"/>
      <c r="BM327" s="41"/>
      <c r="BN327" s="41"/>
      <c r="BO327" s="41"/>
      <c r="BP327" s="41"/>
      <c r="BQ327" s="41"/>
      <c r="BR327" s="41"/>
      <c r="BS327" s="41"/>
      <c r="BT327" s="41"/>
      <c r="BU327" s="41"/>
    </row>
    <row r="328" spans="1:73">
      <c r="A328" s="41"/>
      <c r="B328" s="41"/>
      <c r="C328" s="43"/>
      <c r="D328" s="43"/>
      <c r="E328" s="41"/>
      <c r="F328" s="41"/>
      <c r="G328" s="43"/>
      <c r="H328" s="43"/>
      <c r="I328" s="43"/>
      <c r="J328" s="43"/>
      <c r="K328" s="43"/>
      <c r="L328" s="43"/>
      <c r="M328" s="43"/>
      <c r="N328" s="43"/>
      <c r="O328" s="43"/>
      <c r="P328" s="43"/>
      <c r="R328" s="41"/>
      <c r="S328" s="41"/>
      <c r="T328" s="41"/>
      <c r="U328" s="41"/>
      <c r="V328" s="41"/>
      <c r="W328" s="41"/>
      <c r="X328" s="41"/>
      <c r="Y328" s="41"/>
      <c r="Z328" s="41"/>
      <c r="AA328" s="43"/>
      <c r="AB328" s="43"/>
      <c r="AC328" s="43"/>
      <c r="AD328" s="43"/>
      <c r="AE328" s="43"/>
      <c r="AF328" s="43"/>
      <c r="AG328" s="43"/>
      <c r="AH328" s="43"/>
      <c r="AI328" s="43"/>
      <c r="AJ328" s="43"/>
      <c r="AK328" s="41"/>
      <c r="AL328" s="41"/>
      <c r="AM328" s="41"/>
      <c r="AN328" s="41"/>
      <c r="AO328" s="41"/>
      <c r="AP328" s="41"/>
      <c r="AQ328" s="41"/>
      <c r="AR328" s="41"/>
      <c r="AS328" s="41"/>
      <c r="AT328" s="41"/>
      <c r="AU328" s="41"/>
      <c r="AV328" s="41"/>
      <c r="AW328" s="41"/>
      <c r="AX328" s="41"/>
      <c r="AY328" s="41"/>
      <c r="AZ328" s="41"/>
      <c r="BA328" s="41"/>
      <c r="BB328" s="41"/>
      <c r="BC328" s="41"/>
      <c r="BD328" s="41"/>
      <c r="BE328" s="41"/>
      <c r="BF328" s="41"/>
      <c r="BG328" s="41"/>
      <c r="BH328" s="41"/>
      <c r="BI328" s="41"/>
      <c r="BJ328" s="41"/>
      <c r="BK328" s="41"/>
      <c r="BL328" s="41"/>
      <c r="BM328" s="41"/>
      <c r="BN328" s="41"/>
      <c r="BO328" s="41"/>
      <c r="BP328" s="41"/>
      <c r="BQ328" s="41"/>
      <c r="BR328" s="41"/>
      <c r="BS328" s="41"/>
      <c r="BT328" s="41"/>
      <c r="BU328" s="41"/>
    </row>
    <row r="329" spans="1:73">
      <c r="A329" s="41"/>
      <c r="B329" s="41"/>
      <c r="C329" s="43"/>
      <c r="D329" s="41"/>
      <c r="E329" s="41"/>
      <c r="F329" s="43"/>
      <c r="G329" s="43"/>
      <c r="H329" s="43"/>
      <c r="I329" s="43"/>
      <c r="J329" s="43"/>
      <c r="K329" s="43"/>
      <c r="L329" s="43"/>
      <c r="M329" s="43"/>
      <c r="N329" s="43"/>
      <c r="O329" s="43"/>
      <c r="P329" s="41"/>
      <c r="R329" s="41"/>
      <c r="S329" s="41"/>
      <c r="T329" s="41"/>
      <c r="U329" s="41"/>
      <c r="V329" s="41"/>
      <c r="W329" s="41"/>
      <c r="X329" s="41"/>
      <c r="Y329" s="41"/>
      <c r="Z329" s="43"/>
      <c r="AA329" s="43"/>
      <c r="AB329" s="43"/>
      <c r="AC329" s="43"/>
      <c r="AD329" s="43"/>
      <c r="AE329" s="43"/>
      <c r="AF329" s="43"/>
      <c r="AG329" s="43"/>
      <c r="AH329" s="43"/>
      <c r="AI329" s="43"/>
      <c r="AJ329" s="41"/>
      <c r="AK329" s="41"/>
      <c r="AL329" s="41"/>
      <c r="AM329" s="41"/>
      <c r="AN329" s="41"/>
      <c r="AO329" s="41"/>
      <c r="AP329" s="41"/>
      <c r="AQ329" s="41"/>
      <c r="AR329" s="41"/>
      <c r="AS329" s="41"/>
      <c r="AT329" s="41"/>
      <c r="AU329" s="41"/>
      <c r="AV329" s="41"/>
      <c r="AW329" s="41"/>
      <c r="AX329" s="41"/>
      <c r="AY329" s="41"/>
      <c r="AZ329" s="41"/>
      <c r="BA329" s="41"/>
      <c r="BB329" s="41"/>
      <c r="BC329" s="41"/>
      <c r="BD329" s="41"/>
      <c r="BE329" s="41"/>
      <c r="BF329" s="41"/>
      <c r="BG329" s="41"/>
      <c r="BH329" s="41"/>
      <c r="BI329" s="41"/>
      <c r="BJ329" s="41"/>
      <c r="BK329" s="41"/>
      <c r="BL329" s="41"/>
      <c r="BM329" s="41"/>
      <c r="BN329" s="41"/>
      <c r="BO329" s="41"/>
      <c r="BP329" s="41"/>
      <c r="BQ329" s="41"/>
      <c r="BR329" s="41"/>
      <c r="BS329" s="41"/>
      <c r="BT329" s="41"/>
      <c r="BU329" s="41"/>
    </row>
    <row r="330" spans="1:73">
      <c r="A330" s="41"/>
      <c r="B330" s="41"/>
      <c r="C330" s="43"/>
      <c r="D330" s="41"/>
      <c r="E330" s="41"/>
      <c r="F330" s="43"/>
      <c r="G330" s="43"/>
      <c r="H330" s="43"/>
      <c r="I330" s="43"/>
      <c r="J330" s="43"/>
      <c r="K330" s="43"/>
      <c r="L330" s="43"/>
      <c r="M330" s="43"/>
      <c r="N330" s="43"/>
      <c r="O330" s="43"/>
      <c r="P330" s="41"/>
      <c r="R330" s="41"/>
      <c r="S330" s="41"/>
      <c r="T330" s="41"/>
      <c r="U330" s="41"/>
      <c r="V330" s="41"/>
      <c r="W330" s="41"/>
      <c r="X330" s="41"/>
      <c r="Y330" s="41"/>
      <c r="Z330" s="43"/>
      <c r="AA330" s="43"/>
      <c r="AB330" s="43"/>
      <c r="AC330" s="43"/>
      <c r="AD330" s="43"/>
      <c r="AE330" s="43"/>
      <c r="AF330" s="43"/>
      <c r="AG330" s="43"/>
      <c r="AH330" s="43"/>
      <c r="AI330" s="43"/>
      <c r="AJ330" s="41"/>
      <c r="AK330" s="41"/>
      <c r="AL330" s="41"/>
      <c r="AM330" s="41"/>
      <c r="AN330" s="41"/>
      <c r="AO330" s="41"/>
      <c r="AP330" s="41"/>
      <c r="AQ330" s="41"/>
      <c r="AR330" s="41"/>
      <c r="AS330" s="41"/>
      <c r="AT330" s="41"/>
      <c r="AU330" s="41"/>
      <c r="AV330" s="41"/>
      <c r="AW330" s="41"/>
      <c r="AX330" s="41"/>
      <c r="AY330" s="41"/>
      <c r="AZ330" s="41"/>
      <c r="BA330" s="41"/>
      <c r="BB330" s="41"/>
      <c r="BC330" s="41"/>
      <c r="BD330" s="41"/>
      <c r="BE330" s="41"/>
      <c r="BF330" s="41"/>
      <c r="BG330" s="41"/>
      <c r="BH330" s="41"/>
      <c r="BI330" s="41"/>
      <c r="BJ330" s="41"/>
      <c r="BK330" s="41"/>
      <c r="BL330" s="41"/>
      <c r="BM330" s="41"/>
      <c r="BN330" s="41"/>
      <c r="BO330" s="41"/>
      <c r="BP330" s="41"/>
      <c r="BQ330" s="41"/>
      <c r="BR330" s="41"/>
      <c r="BS330" s="41"/>
      <c r="BT330" s="41"/>
      <c r="BU330" s="41"/>
    </row>
    <row r="331" spans="1:73">
      <c r="A331" s="41"/>
      <c r="B331" s="41"/>
      <c r="C331" s="43"/>
      <c r="D331" s="41"/>
      <c r="E331" s="41"/>
      <c r="F331" s="43"/>
      <c r="G331" s="43"/>
      <c r="H331" s="43"/>
      <c r="I331" s="43"/>
      <c r="J331" s="43"/>
      <c r="K331" s="43"/>
      <c r="L331" s="43"/>
      <c r="M331" s="43"/>
      <c r="N331" s="43"/>
      <c r="O331" s="43"/>
      <c r="P331" s="41"/>
      <c r="R331" s="41"/>
      <c r="S331" s="41"/>
      <c r="T331" s="41"/>
      <c r="U331" s="41"/>
      <c r="V331" s="41"/>
      <c r="W331" s="41"/>
      <c r="X331" s="41"/>
      <c r="Y331" s="41"/>
      <c r="Z331" s="43"/>
      <c r="AA331" s="43"/>
      <c r="AB331" s="43"/>
      <c r="AC331" s="43"/>
      <c r="AD331" s="43"/>
      <c r="AE331" s="43"/>
      <c r="AF331" s="43"/>
      <c r="AG331" s="43"/>
      <c r="AH331" s="43"/>
      <c r="AI331" s="43"/>
      <c r="AJ331" s="41"/>
      <c r="AK331" s="41"/>
      <c r="AL331" s="41"/>
      <c r="AM331" s="41"/>
      <c r="AN331" s="41"/>
      <c r="AO331" s="41"/>
      <c r="AP331" s="41"/>
      <c r="AQ331" s="41"/>
      <c r="AR331" s="41"/>
      <c r="AS331" s="41"/>
      <c r="AT331" s="41"/>
      <c r="AU331" s="41"/>
      <c r="AV331" s="41"/>
      <c r="AW331" s="41"/>
      <c r="AX331" s="41"/>
      <c r="AY331" s="41"/>
      <c r="AZ331" s="41"/>
      <c r="BA331" s="41"/>
      <c r="BB331" s="41"/>
      <c r="BC331" s="41"/>
      <c r="BD331" s="41"/>
      <c r="BE331" s="41"/>
      <c r="BF331" s="41"/>
      <c r="BG331" s="41"/>
      <c r="BH331" s="41"/>
      <c r="BI331" s="41"/>
      <c r="BJ331" s="41"/>
      <c r="BK331" s="41"/>
      <c r="BL331" s="41"/>
      <c r="BM331" s="41"/>
      <c r="BN331" s="41"/>
      <c r="BO331" s="41"/>
      <c r="BP331" s="41"/>
      <c r="BQ331" s="41"/>
      <c r="BR331" s="41"/>
      <c r="BS331" s="41"/>
      <c r="BT331" s="41"/>
      <c r="BU331" s="41"/>
    </row>
    <row r="332" spans="1:73">
      <c r="A332" s="41"/>
      <c r="B332" s="41"/>
      <c r="C332" s="43"/>
      <c r="D332" s="41"/>
      <c r="E332" s="41"/>
      <c r="F332" s="43"/>
      <c r="G332" s="43"/>
      <c r="H332" s="43"/>
      <c r="I332" s="43"/>
      <c r="J332" s="43"/>
      <c r="K332" s="43"/>
      <c r="L332" s="43"/>
      <c r="M332" s="43"/>
      <c r="N332" s="43"/>
      <c r="O332" s="43"/>
      <c r="P332" s="41"/>
      <c r="R332" s="41"/>
      <c r="S332" s="41"/>
      <c r="T332" s="41"/>
      <c r="U332" s="41"/>
      <c r="V332" s="41"/>
      <c r="W332" s="41"/>
      <c r="X332" s="41"/>
      <c r="Y332" s="41"/>
      <c r="Z332" s="43"/>
      <c r="AA332" s="43"/>
      <c r="AB332" s="43"/>
      <c r="AC332" s="43"/>
      <c r="AD332" s="43"/>
      <c r="AE332" s="43"/>
      <c r="AF332" s="43"/>
      <c r="AG332" s="43"/>
      <c r="AH332" s="43"/>
      <c r="AI332" s="43"/>
      <c r="AJ332" s="41"/>
      <c r="AK332" s="41"/>
      <c r="AL332" s="41"/>
      <c r="AM332" s="41"/>
      <c r="AN332" s="41"/>
      <c r="AO332" s="41"/>
      <c r="AP332" s="41"/>
      <c r="AQ332" s="41"/>
      <c r="AR332" s="41"/>
      <c r="AS332" s="41"/>
      <c r="AT332" s="41"/>
      <c r="AU332" s="41"/>
      <c r="AV332" s="41"/>
      <c r="AW332" s="41"/>
      <c r="AX332" s="41"/>
      <c r="AY332" s="41"/>
      <c r="AZ332" s="41"/>
      <c r="BA332" s="41"/>
      <c r="BB332" s="41"/>
      <c r="BC332" s="41"/>
      <c r="BD332" s="41"/>
      <c r="BE332" s="41"/>
      <c r="BF332" s="41"/>
      <c r="BG332" s="41"/>
      <c r="BH332" s="41"/>
      <c r="BI332" s="41"/>
      <c r="BJ332" s="41"/>
      <c r="BK332" s="41"/>
      <c r="BL332" s="41"/>
      <c r="BM332" s="41"/>
      <c r="BN332" s="41"/>
      <c r="BO332" s="41"/>
      <c r="BP332" s="41"/>
      <c r="BQ332" s="41"/>
      <c r="BR332" s="41"/>
      <c r="BS332" s="41"/>
      <c r="BT332" s="41"/>
      <c r="BU332" s="41"/>
    </row>
    <row r="333" spans="1:73">
      <c r="A333" s="41"/>
      <c r="B333" s="41"/>
      <c r="C333" s="43"/>
      <c r="D333" s="41"/>
      <c r="E333" s="41"/>
      <c r="F333" s="43"/>
      <c r="G333" s="43"/>
      <c r="H333" s="43"/>
      <c r="I333" s="43"/>
      <c r="J333" s="43"/>
      <c r="K333" s="43"/>
      <c r="L333" s="43"/>
      <c r="M333" s="43"/>
      <c r="N333" s="43"/>
      <c r="O333" s="43"/>
      <c r="P333" s="41"/>
      <c r="R333" s="41"/>
      <c r="S333" s="41"/>
      <c r="T333" s="41"/>
      <c r="U333" s="41"/>
      <c r="V333" s="41"/>
      <c r="W333" s="41"/>
      <c r="X333" s="41"/>
      <c r="Y333" s="41"/>
      <c r="Z333" s="43"/>
      <c r="AA333" s="43"/>
      <c r="AB333" s="43"/>
      <c r="AC333" s="43"/>
      <c r="AD333" s="43"/>
      <c r="AE333" s="43"/>
      <c r="AF333" s="43"/>
      <c r="AG333" s="43"/>
      <c r="AH333" s="43"/>
      <c r="AI333" s="43"/>
      <c r="AJ333" s="41"/>
      <c r="AK333" s="41"/>
      <c r="AL333" s="41"/>
      <c r="AM333" s="41"/>
      <c r="AN333" s="41"/>
      <c r="AO333" s="41"/>
      <c r="AP333" s="41"/>
      <c r="AQ333" s="41"/>
      <c r="AR333" s="41"/>
      <c r="AS333" s="41"/>
      <c r="AT333" s="41"/>
      <c r="AU333" s="41"/>
      <c r="AV333" s="41"/>
      <c r="AW333" s="41"/>
      <c r="AX333" s="41"/>
      <c r="AY333" s="41"/>
      <c r="AZ333" s="41"/>
      <c r="BA333" s="41"/>
      <c r="BB333" s="41"/>
      <c r="BC333" s="41"/>
      <c r="BD333" s="41"/>
      <c r="BE333" s="41"/>
      <c r="BF333" s="41"/>
      <c r="BG333" s="41"/>
      <c r="BH333" s="41"/>
      <c r="BI333" s="41"/>
      <c r="BJ333" s="41"/>
      <c r="BK333" s="41"/>
      <c r="BL333" s="41"/>
      <c r="BM333" s="41"/>
      <c r="BN333" s="41"/>
      <c r="BO333" s="41"/>
      <c r="BP333" s="41"/>
      <c r="BQ333" s="41"/>
      <c r="BR333" s="41"/>
      <c r="BS333" s="41"/>
      <c r="BT333" s="41"/>
      <c r="BU333" s="41"/>
    </row>
    <row r="334" spans="1:73">
      <c r="A334" s="41"/>
      <c r="B334" s="41"/>
      <c r="C334" s="43"/>
      <c r="D334" s="41"/>
      <c r="E334" s="41"/>
      <c r="F334" s="43"/>
      <c r="G334" s="43"/>
      <c r="H334" s="43"/>
      <c r="I334" s="43"/>
      <c r="J334" s="43"/>
      <c r="K334" s="43"/>
      <c r="L334" s="43"/>
      <c r="M334" s="43"/>
      <c r="N334" s="43"/>
      <c r="O334" s="43"/>
      <c r="P334" s="41"/>
      <c r="R334" s="41"/>
      <c r="S334" s="41"/>
      <c r="T334" s="41"/>
      <c r="U334" s="41"/>
      <c r="V334" s="41"/>
      <c r="W334" s="41"/>
      <c r="X334" s="41"/>
      <c r="Y334" s="41"/>
      <c r="Z334" s="43"/>
      <c r="AA334" s="43"/>
      <c r="AB334" s="43"/>
      <c r="AC334" s="43"/>
      <c r="AD334" s="43"/>
      <c r="AE334" s="43"/>
      <c r="AF334" s="43"/>
      <c r="AG334" s="43"/>
      <c r="AH334" s="43"/>
      <c r="AI334" s="43"/>
      <c r="AJ334" s="41"/>
      <c r="AK334" s="41"/>
      <c r="AL334" s="41"/>
      <c r="AM334" s="41"/>
      <c r="AN334" s="41"/>
      <c r="AO334" s="41"/>
      <c r="AP334" s="41"/>
      <c r="AQ334" s="41"/>
      <c r="AR334" s="41"/>
      <c r="AS334" s="41"/>
      <c r="AT334" s="41"/>
      <c r="AU334" s="41"/>
      <c r="AV334" s="41"/>
      <c r="AW334" s="41"/>
      <c r="AX334" s="41"/>
      <c r="AY334" s="41"/>
      <c r="AZ334" s="41"/>
      <c r="BA334" s="41"/>
      <c r="BB334" s="41"/>
      <c r="BC334" s="41"/>
      <c r="BD334" s="41"/>
      <c r="BE334" s="41"/>
      <c r="BF334" s="41"/>
      <c r="BG334" s="41"/>
      <c r="BH334" s="41"/>
      <c r="BI334" s="41"/>
      <c r="BJ334" s="41"/>
      <c r="BK334" s="41"/>
      <c r="BL334" s="41"/>
      <c r="BM334" s="41"/>
      <c r="BN334" s="41"/>
      <c r="BO334" s="41"/>
      <c r="BP334" s="41"/>
      <c r="BQ334" s="41"/>
      <c r="BR334" s="41"/>
      <c r="BS334" s="41"/>
      <c r="BT334" s="41"/>
      <c r="BU334" s="41"/>
    </row>
    <row r="335" spans="1:73">
      <c r="A335" s="41"/>
      <c r="B335" s="41"/>
      <c r="C335" s="43"/>
      <c r="D335" s="41"/>
      <c r="E335" s="41"/>
      <c r="F335" s="43"/>
      <c r="G335" s="43"/>
      <c r="H335" s="43"/>
      <c r="I335" s="43"/>
      <c r="J335" s="43"/>
      <c r="K335" s="43"/>
      <c r="L335" s="43"/>
      <c r="M335" s="43"/>
      <c r="N335" s="43"/>
      <c r="O335" s="43"/>
      <c r="P335" s="41"/>
      <c r="R335" s="41"/>
      <c r="S335" s="41"/>
      <c r="T335" s="41"/>
      <c r="U335" s="41"/>
      <c r="V335" s="41"/>
      <c r="W335" s="41"/>
      <c r="X335" s="41"/>
      <c r="Y335" s="41"/>
      <c r="Z335" s="43"/>
      <c r="AA335" s="43"/>
      <c r="AB335" s="43"/>
      <c r="AC335" s="43"/>
      <c r="AD335" s="43"/>
      <c r="AE335" s="43"/>
      <c r="AF335" s="43"/>
      <c r="AG335" s="43"/>
      <c r="AH335" s="43"/>
      <c r="AI335" s="43"/>
      <c r="AJ335" s="41"/>
      <c r="AK335" s="41"/>
      <c r="AL335" s="41"/>
      <c r="AM335" s="41"/>
      <c r="AN335" s="41"/>
      <c r="AO335" s="41"/>
      <c r="AP335" s="41"/>
      <c r="AQ335" s="41"/>
      <c r="AR335" s="41"/>
      <c r="AS335" s="41"/>
      <c r="AT335" s="41"/>
      <c r="AU335" s="41"/>
      <c r="AV335" s="41"/>
      <c r="AW335" s="41"/>
      <c r="AX335" s="41"/>
      <c r="AY335" s="41"/>
      <c r="AZ335" s="41"/>
      <c r="BA335" s="41"/>
      <c r="BB335" s="41"/>
      <c r="BC335" s="41"/>
      <c r="BD335" s="41"/>
      <c r="BE335" s="41"/>
      <c r="BF335" s="41"/>
      <c r="BG335" s="41"/>
      <c r="BH335" s="41"/>
      <c r="BI335" s="41"/>
      <c r="BJ335" s="41"/>
      <c r="BK335" s="41"/>
      <c r="BL335" s="41"/>
      <c r="BM335" s="41"/>
      <c r="BN335" s="41"/>
      <c r="BO335" s="41"/>
      <c r="BP335" s="41"/>
      <c r="BQ335" s="41"/>
      <c r="BR335" s="41"/>
      <c r="BS335" s="41"/>
      <c r="BT335" s="41"/>
      <c r="BU335" s="41"/>
    </row>
    <row r="336" spans="1:73">
      <c r="A336" s="41"/>
      <c r="B336" s="41"/>
      <c r="C336" s="42"/>
      <c r="D336" s="41"/>
      <c r="E336" s="41"/>
      <c r="F336" s="42"/>
      <c r="G336" s="42"/>
      <c r="H336" s="42"/>
      <c r="I336" s="42"/>
      <c r="J336" s="42"/>
      <c r="K336" s="42"/>
      <c r="L336" s="42"/>
      <c r="M336" s="42"/>
      <c r="N336" s="42"/>
      <c r="O336" s="42"/>
      <c r="P336" s="41"/>
      <c r="R336" s="41"/>
      <c r="S336" s="41"/>
      <c r="T336" s="41"/>
      <c r="U336" s="41"/>
      <c r="V336" s="41"/>
      <c r="W336" s="41"/>
      <c r="X336" s="41"/>
      <c r="Y336" s="41"/>
      <c r="Z336" s="42"/>
      <c r="AA336" s="42"/>
      <c r="AB336" s="42"/>
      <c r="AC336" s="42"/>
      <c r="AD336" s="42"/>
      <c r="AE336" s="42"/>
      <c r="AF336" s="42"/>
      <c r="AG336" s="42"/>
      <c r="AH336" s="42"/>
      <c r="AI336" s="42"/>
      <c r="AJ336" s="41"/>
      <c r="AK336" s="41"/>
      <c r="AL336" s="41"/>
      <c r="AM336" s="41"/>
      <c r="AN336" s="41"/>
      <c r="AO336" s="41"/>
      <c r="AP336" s="41"/>
      <c r="AQ336" s="41"/>
      <c r="AR336" s="41"/>
      <c r="AS336" s="41"/>
      <c r="AT336" s="41"/>
      <c r="AU336" s="41"/>
      <c r="AV336" s="41"/>
      <c r="AW336" s="41"/>
      <c r="AX336" s="41"/>
      <c r="AY336" s="41"/>
      <c r="AZ336" s="41"/>
      <c r="BA336" s="41"/>
      <c r="BB336" s="41"/>
      <c r="BC336" s="41"/>
      <c r="BD336" s="41"/>
      <c r="BE336" s="41"/>
      <c r="BF336" s="41"/>
      <c r="BG336" s="41"/>
      <c r="BH336" s="41"/>
      <c r="BI336" s="41"/>
      <c r="BJ336" s="41"/>
      <c r="BK336" s="41"/>
      <c r="BL336" s="41"/>
      <c r="BM336" s="41"/>
      <c r="BN336" s="41"/>
      <c r="BO336" s="41"/>
      <c r="BP336" s="41"/>
      <c r="BQ336" s="41"/>
      <c r="BR336" s="41"/>
      <c r="BS336" s="41"/>
      <c r="BT336" s="41"/>
      <c r="BU336" s="41"/>
    </row>
    <row r="337" spans="1:73">
      <c r="A337" s="41"/>
      <c r="B337" s="41"/>
      <c r="C337" s="42"/>
      <c r="D337" s="41"/>
      <c r="E337" s="41"/>
      <c r="F337" s="42"/>
      <c r="G337" s="42"/>
      <c r="H337" s="42"/>
      <c r="I337" s="42"/>
      <c r="J337" s="42"/>
      <c r="K337" s="42"/>
      <c r="L337" s="42"/>
      <c r="M337" s="42"/>
      <c r="N337" s="42"/>
      <c r="O337" s="42"/>
      <c r="P337" s="41"/>
      <c r="R337" s="41"/>
      <c r="S337" s="41"/>
      <c r="T337" s="41"/>
      <c r="U337" s="41"/>
      <c r="V337" s="41"/>
      <c r="W337" s="41"/>
      <c r="X337" s="41"/>
      <c r="Y337" s="41"/>
      <c r="Z337" s="42"/>
      <c r="AA337" s="42"/>
      <c r="AB337" s="42"/>
      <c r="AC337" s="42"/>
      <c r="AD337" s="42"/>
      <c r="AE337" s="42"/>
      <c r="AF337" s="42"/>
      <c r="AG337" s="42"/>
      <c r="AH337" s="42"/>
      <c r="AI337" s="42"/>
      <c r="AJ337" s="41"/>
      <c r="AK337" s="41"/>
      <c r="AL337" s="41"/>
      <c r="AM337" s="41"/>
      <c r="AN337" s="41"/>
      <c r="AO337" s="41"/>
      <c r="AP337" s="41"/>
      <c r="AQ337" s="41"/>
      <c r="AR337" s="41"/>
      <c r="AS337" s="41"/>
      <c r="AT337" s="41"/>
      <c r="AU337" s="41"/>
      <c r="AV337" s="41"/>
      <c r="AW337" s="41"/>
      <c r="AX337" s="41"/>
      <c r="AY337" s="41"/>
      <c r="AZ337" s="41"/>
      <c r="BA337" s="41"/>
      <c r="BB337" s="41"/>
      <c r="BC337" s="41"/>
      <c r="BD337" s="41"/>
      <c r="BE337" s="41"/>
      <c r="BF337" s="41"/>
      <c r="BG337" s="41"/>
      <c r="BH337" s="41"/>
      <c r="BI337" s="41"/>
      <c r="BJ337" s="41"/>
      <c r="BK337" s="41"/>
      <c r="BL337" s="41"/>
      <c r="BM337" s="41"/>
      <c r="BN337" s="41"/>
      <c r="BO337" s="41"/>
      <c r="BP337" s="41"/>
      <c r="BQ337" s="41"/>
      <c r="BR337" s="41"/>
      <c r="BS337" s="41"/>
      <c r="BT337" s="41"/>
      <c r="BU337" s="41"/>
    </row>
    <row r="338" spans="1:73">
      <c r="A338" s="41"/>
      <c r="B338" s="41"/>
      <c r="C338" s="42"/>
      <c r="D338" s="41"/>
      <c r="E338" s="41"/>
      <c r="F338" s="42"/>
      <c r="G338" s="42"/>
      <c r="H338" s="42"/>
      <c r="I338" s="42"/>
      <c r="J338" s="42"/>
      <c r="K338" s="42"/>
      <c r="L338" s="42"/>
      <c r="M338" s="42"/>
      <c r="N338" s="42"/>
      <c r="O338" s="42"/>
      <c r="P338" s="41"/>
      <c r="R338" s="41"/>
      <c r="S338" s="41"/>
      <c r="T338" s="41"/>
      <c r="U338" s="41"/>
      <c r="V338" s="41"/>
      <c r="W338" s="41"/>
      <c r="X338" s="41"/>
      <c r="Y338" s="41"/>
      <c r="Z338" s="42"/>
      <c r="AA338" s="42"/>
      <c r="AB338" s="42"/>
      <c r="AC338" s="42"/>
      <c r="AD338" s="42"/>
      <c r="AE338" s="42"/>
      <c r="AF338" s="42"/>
      <c r="AG338" s="42"/>
      <c r="AH338" s="42"/>
      <c r="AI338" s="42"/>
      <c r="AJ338" s="41"/>
      <c r="AK338" s="41"/>
      <c r="AL338" s="41"/>
      <c r="AM338" s="41"/>
      <c r="AN338" s="41"/>
      <c r="AO338" s="41"/>
      <c r="AP338" s="41"/>
      <c r="AQ338" s="41"/>
      <c r="AR338" s="41"/>
      <c r="AS338" s="41"/>
      <c r="AT338" s="41"/>
      <c r="AU338" s="41"/>
      <c r="AV338" s="41"/>
      <c r="AW338" s="41"/>
      <c r="AX338" s="41"/>
      <c r="AY338" s="41"/>
      <c r="AZ338" s="41"/>
      <c r="BA338" s="41"/>
      <c r="BB338" s="41"/>
      <c r="BC338" s="41"/>
      <c r="BD338" s="41"/>
      <c r="BE338" s="41"/>
      <c r="BF338" s="41"/>
      <c r="BG338" s="41"/>
      <c r="BH338" s="41"/>
      <c r="BI338" s="41"/>
      <c r="BJ338" s="41"/>
      <c r="BK338" s="41"/>
      <c r="BL338" s="41"/>
      <c r="BM338" s="41"/>
      <c r="BN338" s="41"/>
      <c r="BO338" s="41"/>
      <c r="BP338" s="41"/>
      <c r="BQ338" s="41"/>
      <c r="BR338" s="41"/>
      <c r="BS338" s="41"/>
      <c r="BT338" s="41"/>
      <c r="BU338" s="41"/>
    </row>
    <row r="339" spans="1:73">
      <c r="A339" s="41"/>
      <c r="B339" s="41"/>
      <c r="C339" s="42"/>
      <c r="D339" s="41"/>
      <c r="E339" s="41"/>
      <c r="F339" s="42"/>
      <c r="G339" s="42"/>
      <c r="H339" s="42"/>
      <c r="I339" s="42"/>
      <c r="J339" s="42"/>
      <c r="K339" s="42"/>
      <c r="L339" s="42"/>
      <c r="M339" s="42"/>
      <c r="N339" s="42"/>
      <c r="O339" s="42"/>
      <c r="P339" s="41"/>
      <c r="R339" s="41"/>
      <c r="S339" s="41"/>
      <c r="T339" s="41"/>
      <c r="U339" s="41"/>
      <c r="V339" s="41"/>
      <c r="W339" s="41"/>
      <c r="X339" s="41"/>
      <c r="Y339" s="41"/>
      <c r="Z339" s="42"/>
      <c r="AA339" s="42"/>
      <c r="AB339" s="42"/>
      <c r="AC339" s="42"/>
      <c r="AD339" s="42"/>
      <c r="AE339" s="42"/>
      <c r="AF339" s="42"/>
      <c r="AG339" s="42"/>
      <c r="AH339" s="42"/>
      <c r="AI339" s="42"/>
      <c r="AJ339" s="41"/>
      <c r="AK339" s="41"/>
      <c r="AL339" s="41"/>
      <c r="AM339" s="41"/>
      <c r="AN339" s="41"/>
      <c r="AO339" s="41"/>
      <c r="AP339" s="41"/>
      <c r="AQ339" s="41"/>
      <c r="AR339" s="41"/>
      <c r="AS339" s="41"/>
      <c r="AT339" s="41"/>
      <c r="AU339" s="41"/>
      <c r="AV339" s="41"/>
      <c r="AW339" s="41"/>
      <c r="AX339" s="41"/>
      <c r="AY339" s="41"/>
      <c r="AZ339" s="41"/>
      <c r="BA339" s="41"/>
      <c r="BB339" s="41"/>
      <c r="BC339" s="41"/>
      <c r="BD339" s="41"/>
      <c r="BE339" s="41"/>
      <c r="BF339" s="41"/>
      <c r="BG339" s="41"/>
      <c r="BH339" s="41"/>
      <c r="BI339" s="41"/>
      <c r="BJ339" s="41"/>
      <c r="BK339" s="41"/>
      <c r="BL339" s="41"/>
      <c r="BM339" s="41"/>
      <c r="BN339" s="41"/>
      <c r="BO339" s="41"/>
      <c r="BP339" s="41"/>
      <c r="BQ339" s="41"/>
      <c r="BR339" s="41"/>
      <c r="BS339" s="41"/>
      <c r="BT339" s="41"/>
      <c r="BU339" s="41"/>
    </row>
    <row r="340" spans="1:73">
      <c r="A340" s="41"/>
      <c r="B340" s="41"/>
      <c r="C340" s="42"/>
      <c r="D340" s="41"/>
      <c r="E340" s="41"/>
      <c r="F340" s="42"/>
      <c r="G340" s="42"/>
      <c r="H340" s="42"/>
      <c r="I340" s="42"/>
      <c r="J340" s="42"/>
      <c r="K340" s="42"/>
      <c r="L340" s="42"/>
      <c r="M340" s="42"/>
      <c r="N340" s="42"/>
      <c r="O340" s="42"/>
      <c r="P340" s="41"/>
      <c r="R340" s="41"/>
      <c r="S340" s="41"/>
      <c r="T340" s="41"/>
      <c r="U340" s="41"/>
      <c r="V340" s="41"/>
      <c r="W340" s="41"/>
      <c r="X340" s="41"/>
      <c r="Y340" s="41"/>
      <c r="Z340" s="42"/>
      <c r="AA340" s="42"/>
      <c r="AB340" s="42"/>
      <c r="AC340" s="42"/>
      <c r="AD340" s="42"/>
      <c r="AE340" s="42"/>
      <c r="AF340" s="42"/>
      <c r="AG340" s="42"/>
      <c r="AH340" s="42"/>
      <c r="AI340" s="42"/>
      <c r="AJ340" s="41"/>
      <c r="AK340" s="41"/>
      <c r="AL340" s="41"/>
      <c r="AM340" s="41"/>
      <c r="AN340" s="41"/>
      <c r="AO340" s="41"/>
      <c r="AP340" s="41"/>
      <c r="AQ340" s="41"/>
      <c r="AR340" s="41"/>
      <c r="AS340" s="41"/>
      <c r="AT340" s="41"/>
      <c r="AU340" s="41"/>
      <c r="AV340" s="41"/>
      <c r="AW340" s="41"/>
      <c r="AX340" s="41"/>
      <c r="AY340" s="41"/>
      <c r="AZ340" s="41"/>
      <c r="BA340" s="41"/>
      <c r="BB340" s="41"/>
      <c r="BC340" s="41"/>
      <c r="BD340" s="41"/>
      <c r="BE340" s="41"/>
      <c r="BF340" s="41"/>
      <c r="BG340" s="41"/>
      <c r="BH340" s="41"/>
      <c r="BI340" s="41"/>
      <c r="BJ340" s="41"/>
      <c r="BK340" s="41"/>
      <c r="BL340" s="41"/>
      <c r="BM340" s="41"/>
      <c r="BN340" s="41"/>
      <c r="BO340" s="41"/>
      <c r="BP340" s="41"/>
      <c r="BQ340" s="41"/>
      <c r="BR340" s="41"/>
      <c r="BS340" s="41"/>
      <c r="BT340" s="41"/>
      <c r="BU340" s="41"/>
    </row>
    <row r="341" spans="1:73">
      <c r="A341" s="41"/>
      <c r="B341" s="41"/>
      <c r="C341" s="42"/>
      <c r="D341" s="41"/>
      <c r="E341" s="41"/>
      <c r="F341" s="42"/>
      <c r="G341" s="42"/>
      <c r="H341" s="42"/>
      <c r="I341" s="42"/>
      <c r="J341" s="42"/>
      <c r="K341" s="42"/>
      <c r="L341" s="42"/>
      <c r="M341" s="42"/>
      <c r="N341" s="42"/>
      <c r="O341" s="42"/>
      <c r="P341" s="41"/>
      <c r="R341" s="41"/>
      <c r="S341" s="41"/>
      <c r="T341" s="41"/>
      <c r="U341" s="41"/>
      <c r="V341" s="41"/>
      <c r="W341" s="41"/>
      <c r="X341" s="41"/>
      <c r="Y341" s="41"/>
      <c r="Z341" s="42"/>
      <c r="AA341" s="42"/>
      <c r="AB341" s="42"/>
      <c r="AC341" s="42"/>
      <c r="AD341" s="42"/>
      <c r="AE341" s="42"/>
      <c r="AF341" s="42"/>
      <c r="AG341" s="42"/>
      <c r="AH341" s="42"/>
      <c r="AI341" s="42"/>
      <c r="AJ341" s="41"/>
      <c r="AK341" s="41"/>
      <c r="AL341" s="41"/>
      <c r="AM341" s="41"/>
      <c r="AN341" s="41"/>
      <c r="AO341" s="41"/>
      <c r="AP341" s="41"/>
      <c r="AQ341" s="41"/>
      <c r="AR341" s="41"/>
      <c r="AS341" s="41"/>
      <c r="AT341" s="41"/>
      <c r="AU341" s="41"/>
      <c r="AV341" s="41"/>
      <c r="AW341" s="41"/>
      <c r="AX341" s="41"/>
      <c r="AY341" s="41"/>
      <c r="AZ341" s="41"/>
      <c r="BA341" s="41"/>
      <c r="BB341" s="41"/>
      <c r="BC341" s="41"/>
      <c r="BD341" s="41"/>
      <c r="BE341" s="41"/>
      <c r="BF341" s="41"/>
      <c r="BG341" s="41"/>
      <c r="BH341" s="41"/>
      <c r="BI341" s="41"/>
      <c r="BJ341" s="41"/>
      <c r="BK341" s="41"/>
      <c r="BL341" s="41"/>
      <c r="BM341" s="41"/>
      <c r="BN341" s="41"/>
      <c r="BO341" s="41"/>
      <c r="BP341" s="41"/>
      <c r="BQ341" s="41"/>
      <c r="BR341" s="41"/>
      <c r="BS341" s="41"/>
      <c r="BT341" s="41"/>
      <c r="BU341" s="41"/>
    </row>
    <row r="342" spans="1:73">
      <c r="A342" s="41"/>
      <c r="B342" s="41"/>
      <c r="C342" s="42"/>
      <c r="D342" s="41"/>
      <c r="E342" s="41"/>
      <c r="F342" s="42"/>
      <c r="G342" s="42"/>
      <c r="H342" s="42"/>
      <c r="I342" s="42"/>
      <c r="J342" s="42"/>
      <c r="K342" s="42"/>
      <c r="L342" s="42"/>
      <c r="M342" s="42"/>
      <c r="N342" s="42"/>
      <c r="O342" s="42"/>
      <c r="P342" s="41"/>
      <c r="R342" s="41"/>
      <c r="S342" s="41"/>
      <c r="T342" s="41"/>
      <c r="U342" s="41"/>
      <c r="V342" s="41"/>
      <c r="W342" s="41"/>
      <c r="X342" s="41"/>
      <c r="Y342" s="41"/>
      <c r="Z342" s="42"/>
      <c r="AA342" s="42"/>
      <c r="AB342" s="42"/>
      <c r="AC342" s="42"/>
      <c r="AD342" s="42"/>
      <c r="AE342" s="42"/>
      <c r="AF342" s="42"/>
      <c r="AG342" s="42"/>
      <c r="AH342" s="42"/>
      <c r="AI342" s="42"/>
      <c r="AJ342" s="41"/>
      <c r="AK342" s="41"/>
      <c r="AL342" s="41"/>
      <c r="AM342" s="41"/>
      <c r="AN342" s="41"/>
      <c r="AO342" s="41"/>
      <c r="AP342" s="41"/>
      <c r="AQ342" s="41"/>
      <c r="AR342" s="41"/>
      <c r="AS342" s="41"/>
      <c r="AT342" s="41"/>
      <c r="AU342" s="41"/>
      <c r="AV342" s="41"/>
      <c r="AW342" s="41"/>
      <c r="AX342" s="41"/>
      <c r="AY342" s="41"/>
      <c r="AZ342" s="41"/>
      <c r="BA342" s="41"/>
      <c r="BB342" s="41"/>
      <c r="BC342" s="41"/>
      <c r="BD342" s="41"/>
      <c r="BE342" s="41"/>
      <c r="BF342" s="41"/>
      <c r="BG342" s="41"/>
      <c r="BH342" s="41"/>
      <c r="BI342" s="41"/>
      <c r="BJ342" s="41"/>
      <c r="BK342" s="41"/>
      <c r="BL342" s="41"/>
      <c r="BM342" s="41"/>
      <c r="BN342" s="41"/>
      <c r="BO342" s="41"/>
      <c r="BP342" s="41"/>
      <c r="BQ342" s="41"/>
      <c r="BR342" s="41"/>
      <c r="BS342" s="41"/>
      <c r="BT342" s="41"/>
      <c r="BU342" s="41"/>
    </row>
    <row r="343" spans="1:73">
      <c r="A343" s="41"/>
      <c r="B343" s="41"/>
      <c r="C343" s="42"/>
      <c r="D343" s="41"/>
      <c r="E343" s="41"/>
      <c r="F343" s="42"/>
      <c r="G343" s="42"/>
      <c r="H343" s="42"/>
      <c r="I343" s="42"/>
      <c r="J343" s="42"/>
      <c r="K343" s="42"/>
      <c r="L343" s="42"/>
      <c r="M343" s="42"/>
      <c r="N343" s="42"/>
      <c r="O343" s="42"/>
      <c r="P343" s="41"/>
    </row>
    <row r="344" spans="1:73">
      <c r="A344" s="41"/>
      <c r="B344" s="41"/>
      <c r="C344" s="42"/>
      <c r="D344" s="41"/>
      <c r="E344" s="41"/>
      <c r="F344" s="42"/>
      <c r="G344" s="42"/>
      <c r="H344" s="42"/>
      <c r="I344" s="42"/>
      <c r="J344" s="42"/>
      <c r="K344" s="42"/>
      <c r="L344" s="42"/>
      <c r="M344" s="42"/>
      <c r="N344" s="42"/>
      <c r="O344" s="42"/>
      <c r="P344" s="41"/>
    </row>
    <row r="345" spans="1:73">
      <c r="A345" s="41"/>
      <c r="B345" s="41"/>
      <c r="C345" s="42"/>
      <c r="D345" s="41"/>
      <c r="E345" s="41"/>
      <c r="F345" s="42"/>
      <c r="G345" s="42"/>
      <c r="H345" s="42"/>
      <c r="I345" s="42"/>
      <c r="J345" s="42"/>
      <c r="K345" s="42"/>
      <c r="L345" s="42"/>
      <c r="M345" s="42"/>
      <c r="N345" s="42"/>
      <c r="O345" s="42"/>
      <c r="P345" s="41"/>
    </row>
    <row r="346" spans="1:73">
      <c r="A346" s="41"/>
      <c r="B346" s="41"/>
      <c r="C346" s="42"/>
      <c r="D346" s="41"/>
      <c r="E346" s="41"/>
      <c r="F346" s="42"/>
      <c r="G346" s="42"/>
      <c r="H346" s="42"/>
      <c r="I346" s="42"/>
      <c r="J346" s="42"/>
      <c r="K346" s="42"/>
      <c r="L346" s="42"/>
      <c r="M346" s="42"/>
      <c r="N346" s="42"/>
      <c r="O346" s="42"/>
      <c r="P346" s="41"/>
    </row>
    <row r="347" spans="1:73">
      <c r="A347" s="41"/>
      <c r="B347" s="41"/>
      <c r="C347" s="42"/>
      <c r="D347" s="41"/>
      <c r="E347" s="41"/>
      <c r="F347" s="42"/>
      <c r="G347" s="42"/>
      <c r="H347" s="42"/>
      <c r="I347" s="42"/>
      <c r="J347" s="42"/>
      <c r="K347" s="42"/>
      <c r="L347" s="42"/>
      <c r="M347" s="42"/>
      <c r="N347" s="42"/>
      <c r="O347" s="42"/>
      <c r="P347" s="41"/>
    </row>
    <row r="348" spans="1:73">
      <c r="A348" s="41"/>
      <c r="B348" s="41"/>
      <c r="C348" s="42"/>
      <c r="D348" s="41"/>
      <c r="E348" s="41"/>
      <c r="F348" s="42"/>
      <c r="G348" s="42"/>
      <c r="H348" s="42"/>
      <c r="I348" s="42"/>
      <c r="J348" s="42"/>
      <c r="K348" s="42"/>
      <c r="L348" s="42"/>
      <c r="M348" s="42"/>
      <c r="N348" s="42"/>
      <c r="O348" s="42"/>
      <c r="P348" s="41"/>
    </row>
    <row r="349" spans="1:73">
      <c r="A349" s="41"/>
      <c r="B349" s="41"/>
      <c r="C349" s="42"/>
      <c r="D349" s="41"/>
      <c r="E349" s="41"/>
      <c r="F349" s="42"/>
      <c r="G349" s="42"/>
      <c r="H349" s="42"/>
      <c r="I349" s="42"/>
      <c r="J349" s="42"/>
      <c r="K349" s="42"/>
      <c r="L349" s="42"/>
      <c r="M349" s="42"/>
      <c r="N349" s="42"/>
      <c r="O349" s="42"/>
      <c r="P349" s="41"/>
    </row>
    <row r="350" spans="1:73">
      <c r="A350" s="41"/>
      <c r="B350" s="41"/>
      <c r="C350" s="42"/>
      <c r="D350" s="41"/>
      <c r="E350" s="41"/>
      <c r="F350" s="42"/>
      <c r="G350" s="42"/>
      <c r="H350" s="42"/>
      <c r="I350" s="42"/>
      <c r="J350" s="42"/>
      <c r="K350" s="42"/>
      <c r="L350" s="42"/>
      <c r="M350" s="42"/>
      <c r="N350" s="42"/>
      <c r="O350" s="42"/>
      <c r="P350" s="41"/>
    </row>
    <row r="351" spans="1:73">
      <c r="A351" s="41"/>
      <c r="B351" s="41"/>
      <c r="C351" s="42"/>
      <c r="D351" s="41"/>
      <c r="E351" s="41"/>
      <c r="F351" s="42"/>
      <c r="G351" s="42"/>
      <c r="H351" s="42"/>
      <c r="I351" s="42"/>
      <c r="J351" s="42"/>
      <c r="K351" s="42"/>
      <c r="L351" s="42"/>
      <c r="M351" s="42"/>
      <c r="N351" s="42"/>
      <c r="O351" s="42"/>
      <c r="P351" s="41"/>
    </row>
  </sheetData>
  <customSheetViews>
    <customSheetView guid="{065FF312-67E2-4E5F-894A-2CE2F41260A3}" scale="75">
      <rowBreaks count="1" manualBreakCount="1">
        <brk id="165" min="1" max="64" man="1"/>
      </rowBreaks>
      <pageMargins left="0.39370078740157483" right="0.39370078740157483" top="0.27559055118110237" bottom="0.27559055118110237" header="0" footer="0"/>
      <printOptions horizontalCentered="1"/>
      <pageSetup paperSize="9" scale="28" fitToWidth="2" fitToHeight="2" orientation="portrait" horizontalDpi="300" verticalDpi="300" r:id="rId1"/>
      <headerFooter alignWithMargins="0"/>
    </customSheetView>
  </customSheetViews>
  <mergeCells count="4">
    <mergeCell ref="BJ5:BK5"/>
    <mergeCell ref="AE5:AF5"/>
    <mergeCell ref="M3:R4"/>
    <mergeCell ref="AV3:BA4"/>
  </mergeCells>
  <phoneticPr fontId="0" type="noConversion"/>
  <printOptions horizontalCentered="1"/>
  <pageMargins left="0.39370078740157483" right="0.39370078740157483" top="0.27559055118110237" bottom="0.27559055118110237" header="0" footer="0"/>
  <pageSetup paperSize="9" scale="28" fitToWidth="2" fitToHeight="2" orientation="portrait" horizontalDpi="300" verticalDpi="300" r:id="rId2"/>
  <headerFooter alignWithMargins="0"/>
  <rowBreaks count="1" manualBreakCount="1">
    <brk id="165" min="1" max="64" man="1"/>
  </rowBreaks>
  <drawing r:id="rId3"/>
  <picture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1"/>
  <dimension ref="A1:BT365"/>
  <sheetViews>
    <sheetView topLeftCell="A31" zoomScaleNormal="100" workbookViewId="0"/>
  </sheetViews>
  <sheetFormatPr defaultColWidth="9.28515625" defaultRowHeight="15"/>
  <cols>
    <col min="1" max="1" width="3.5703125" style="41" customWidth="1"/>
    <col min="2" max="2" width="14.42578125" style="41" customWidth="1"/>
    <col min="3" max="3" width="16" style="42" customWidth="1"/>
    <col min="4" max="4" width="9.5703125" style="41" customWidth="1"/>
    <col min="5" max="5" width="12.42578125" style="41" customWidth="1"/>
    <col min="6" max="6" width="10.42578125" style="42" customWidth="1"/>
    <col min="7" max="15" width="9.5703125" style="42" customWidth="1"/>
    <col min="16" max="25" width="9.5703125" style="41" customWidth="1"/>
    <col min="26" max="35" width="9.5703125" style="42" customWidth="1"/>
    <col min="36" max="67" width="9.5703125" style="41" customWidth="1"/>
    <col min="68" max="68" width="3.5703125" style="41" customWidth="1"/>
    <col min="69" max="16384" width="9.28515625" style="41"/>
  </cols>
  <sheetData>
    <row r="1" spans="2:72" ht="15.75" thickBot="1">
      <c r="C1" s="43"/>
      <c r="F1" s="43"/>
      <c r="G1" s="43"/>
      <c r="H1" s="43"/>
      <c r="I1" s="43"/>
      <c r="J1" s="43"/>
      <c r="K1" s="43"/>
      <c r="L1" s="43"/>
      <c r="M1" s="43"/>
      <c r="N1" s="43"/>
      <c r="O1" s="43"/>
      <c r="Z1" s="43"/>
      <c r="AA1" s="43"/>
      <c r="AB1" s="43"/>
      <c r="AC1" s="43"/>
      <c r="AD1" s="43"/>
      <c r="AE1" s="43"/>
      <c r="AF1" s="43"/>
      <c r="AG1" s="43"/>
      <c r="AH1" s="43"/>
      <c r="AI1" s="43"/>
      <c r="BS1"/>
      <c r="BT1"/>
    </row>
    <row r="2" spans="2:72" ht="20.25" customHeight="1">
      <c r="B2" s="74" t="s">
        <v>1</v>
      </c>
      <c r="C2" s="174" t="str">
        <f>MAIN!C2</f>
        <v>Spreadsheets to  EC2</v>
      </c>
      <c r="D2" s="235"/>
      <c r="E2" s="236"/>
      <c r="F2" s="237"/>
      <c r="G2" s="236"/>
      <c r="H2" s="236"/>
      <c r="I2" s="235"/>
      <c r="J2" s="236"/>
      <c r="K2" s="237"/>
      <c r="L2" s="237"/>
      <c r="M2" s="238"/>
      <c r="N2" s="63"/>
      <c r="O2" s="63"/>
      <c r="P2" s="35"/>
      <c r="Q2" s="35"/>
      <c r="R2" s="35"/>
      <c r="S2" s="35"/>
      <c r="T2" s="35"/>
      <c r="U2" s="35"/>
      <c r="V2" s="35"/>
      <c r="W2" s="35"/>
      <c r="X2" s="35"/>
      <c r="Y2" s="35"/>
      <c r="Z2" s="63"/>
      <c r="AA2" s="63"/>
      <c r="AB2" s="63"/>
      <c r="AC2" s="63"/>
      <c r="AD2" s="35"/>
      <c r="AE2" s="35"/>
      <c r="AF2" s="35"/>
      <c r="AG2" s="35"/>
      <c r="AH2" s="63"/>
      <c r="AI2" s="39" t="s">
        <v>1</v>
      </c>
      <c r="AJ2" s="33" t="str">
        <f>$C$2</f>
        <v>Spreadsheets to  EC2</v>
      </c>
      <c r="AK2" s="35"/>
      <c r="AL2" s="34"/>
      <c r="AM2" s="35"/>
      <c r="AN2" s="35"/>
      <c r="AO2" s="35"/>
      <c r="AP2" s="35"/>
      <c r="AQ2" s="35"/>
      <c r="AR2" s="35"/>
      <c r="AS2" s="35"/>
      <c r="AT2" s="35"/>
      <c r="AU2" s="34"/>
      <c r="AV2" s="63"/>
      <c r="AW2" s="35"/>
      <c r="AX2" s="35"/>
      <c r="AY2" s="35"/>
      <c r="AZ2" s="35"/>
      <c r="BA2" s="35"/>
      <c r="BB2" s="35"/>
      <c r="BC2" s="34"/>
      <c r="BD2" s="34"/>
      <c r="BE2" s="35"/>
      <c r="BF2" s="34"/>
      <c r="BG2" s="63"/>
      <c r="BH2" s="35"/>
      <c r="BI2" s="35"/>
      <c r="BJ2" s="35"/>
      <c r="BK2" s="35"/>
      <c r="BL2" s="35"/>
      <c r="BM2" s="35"/>
      <c r="BN2" s="35"/>
      <c r="BO2" s="35"/>
      <c r="BS2"/>
      <c r="BT2"/>
    </row>
    <row r="3" spans="2:72" ht="19.5" customHeight="1">
      <c r="B3" s="75" t="s">
        <v>6</v>
      </c>
      <c r="C3" s="175" t="str">
        <f>MAIN!C4</f>
        <v>Column D2</v>
      </c>
      <c r="D3" s="231"/>
      <c r="E3" s="232"/>
      <c r="F3" s="233"/>
      <c r="G3" s="232"/>
      <c r="H3" s="232"/>
      <c r="I3" s="231"/>
      <c r="J3" s="231"/>
      <c r="K3" s="233"/>
      <c r="L3" s="233"/>
      <c r="M3" s="239"/>
      <c r="N3" s="485"/>
      <c r="O3" s="485"/>
      <c r="P3" s="485"/>
      <c r="Q3" s="485"/>
      <c r="R3" s="485"/>
      <c r="S3" s="35"/>
      <c r="T3" s="35"/>
      <c r="U3" s="35"/>
      <c r="V3" s="35"/>
      <c r="W3" s="35"/>
      <c r="X3" s="35"/>
      <c r="Y3" s="35"/>
      <c r="Z3" s="63"/>
      <c r="AA3" s="63"/>
      <c r="AB3" s="63"/>
      <c r="AC3" s="63"/>
      <c r="AD3" s="35"/>
      <c r="AE3" s="35"/>
      <c r="AF3" s="35"/>
      <c r="AG3" s="35"/>
      <c r="AH3" s="63"/>
      <c r="AI3" s="39" t="s">
        <v>6</v>
      </c>
      <c r="AJ3" s="33" t="str">
        <f>$C$3</f>
        <v>Column D2</v>
      </c>
      <c r="AK3" s="35"/>
      <c r="AL3" s="34"/>
      <c r="AM3" s="35"/>
      <c r="AN3" s="35"/>
      <c r="AO3" s="35"/>
      <c r="AP3" s="35"/>
      <c r="AQ3" s="35"/>
      <c r="AR3" s="35"/>
      <c r="AS3" s="35"/>
      <c r="AT3" s="35"/>
      <c r="AU3" s="34"/>
      <c r="AV3" s="1282"/>
      <c r="AW3" s="1282"/>
      <c r="AX3" s="1282"/>
      <c r="AY3" s="1282"/>
      <c r="AZ3" s="1282"/>
      <c r="BA3" s="1282"/>
      <c r="BB3" s="35"/>
      <c r="BC3" s="35"/>
      <c r="BD3" s="34"/>
      <c r="BE3" s="35"/>
      <c r="BF3" s="35"/>
      <c r="BG3" s="63"/>
      <c r="BH3" s="35"/>
      <c r="BI3" s="35"/>
      <c r="BJ3" s="35"/>
      <c r="BK3" s="35"/>
      <c r="BL3" s="35"/>
      <c r="BM3" s="35"/>
      <c r="BN3" s="35"/>
      <c r="BO3" s="35"/>
      <c r="BS3"/>
      <c r="BT3"/>
    </row>
    <row r="4" spans="2:72" ht="15.75" customHeight="1">
      <c r="B4" s="117"/>
      <c r="C4" s="176" t="str">
        <f>MAIN!C5</f>
        <v>SYMMETRICALLY REINFORCED RECTANGULAR COLUMN DESIGN, BENT ABOUT TWO AXES TO EN 1992-1 : 2004</v>
      </c>
      <c r="D4" s="231"/>
      <c r="E4" s="232"/>
      <c r="F4" s="233"/>
      <c r="G4" s="232"/>
      <c r="H4" s="232"/>
      <c r="I4" s="231"/>
      <c r="J4" s="234"/>
      <c r="K4" s="233"/>
      <c r="L4" s="233"/>
      <c r="M4" s="239"/>
      <c r="N4" s="485"/>
      <c r="O4" s="485"/>
      <c r="P4" s="485"/>
      <c r="Q4" s="485"/>
      <c r="R4" s="485"/>
      <c r="S4" s="35"/>
      <c r="T4" s="35"/>
      <c r="U4" s="35"/>
      <c r="V4" s="35"/>
      <c r="W4" s="35"/>
      <c r="X4" s="35"/>
      <c r="Y4" s="35"/>
      <c r="Z4" s="63"/>
      <c r="AA4" s="63"/>
      <c r="AB4" s="63"/>
      <c r="AC4" s="63"/>
      <c r="AD4" s="35"/>
      <c r="AE4" s="37"/>
      <c r="AF4" s="38" t="str">
        <f>MAIN!I3&amp;"  "&amp;MAIN!I4&amp;"    "&amp;MAIN!K5&amp;"  "&amp;MAIN!K6</f>
        <v>Made by  chg     Job No  FB625</v>
      </c>
      <c r="AG4" s="35"/>
      <c r="AH4" s="63"/>
      <c r="AI4" s="34"/>
      <c r="AJ4" s="36" t="str">
        <f>$C$4</f>
        <v>SYMMETRICALLY REINFORCED RECTANGULAR COLUMN DESIGN, BENT ABOUT TWO AXES TO EN 1992-1 : 2004</v>
      </c>
      <c r="AK4" s="35"/>
      <c r="AL4" s="35"/>
      <c r="AM4" s="35"/>
      <c r="AN4" s="35"/>
      <c r="AO4" s="35"/>
      <c r="AP4" s="35"/>
      <c r="AQ4" s="35"/>
      <c r="AR4" s="35"/>
      <c r="AS4" s="35"/>
      <c r="AT4" s="35"/>
      <c r="AU4" s="34"/>
      <c r="AV4" s="1282"/>
      <c r="AW4" s="1282"/>
      <c r="AX4" s="1282"/>
      <c r="AY4" s="1282"/>
      <c r="AZ4" s="1282"/>
      <c r="BA4" s="1282"/>
      <c r="BB4" s="35"/>
      <c r="BC4" s="34"/>
      <c r="BD4" s="34"/>
      <c r="BE4" s="35"/>
      <c r="BF4" s="37"/>
      <c r="BG4" s="63"/>
      <c r="BH4" s="35"/>
      <c r="BI4" s="35"/>
      <c r="BJ4" s="37"/>
      <c r="BK4" s="38" t="str">
        <f>$AF$4</f>
        <v>Made by  chg     Job No  FB625</v>
      </c>
      <c r="BL4" s="38"/>
      <c r="BM4" s="38"/>
      <c r="BN4" s="38"/>
      <c r="BO4" s="35"/>
      <c r="BS4"/>
      <c r="BT4"/>
    </row>
    <row r="5" spans="2:72" ht="16.5" customHeight="1" thickBot="1">
      <c r="B5" s="143"/>
      <c r="C5" s="144" t="str">
        <f ca="1">CHARTS!C6</f>
        <v>Originated from TCC53.xls  v4.45                     © 2000-19 TCC</v>
      </c>
      <c r="D5" s="240"/>
      <c r="E5" s="241"/>
      <c r="F5" s="242"/>
      <c r="G5" s="242"/>
      <c r="H5" s="242"/>
      <c r="I5" s="242"/>
      <c r="J5" s="242"/>
      <c r="K5" s="242"/>
      <c r="L5" s="242"/>
      <c r="M5" s="243"/>
      <c r="N5" s="63"/>
      <c r="O5" s="63"/>
      <c r="P5" s="35"/>
      <c r="Q5" s="35"/>
      <c r="R5" s="35"/>
      <c r="S5" s="35"/>
      <c r="T5" s="35"/>
      <c r="U5" s="35"/>
      <c r="V5" s="35"/>
      <c r="W5" s="35"/>
      <c r="X5" s="35"/>
      <c r="Y5" s="35"/>
      <c r="Z5" s="63"/>
      <c r="AA5" s="63"/>
      <c r="AB5" s="63"/>
      <c r="AC5" s="63"/>
      <c r="AD5" s="38" t="s">
        <v>4</v>
      </c>
      <c r="AE5" s="1281">
        <f ca="1">MAIN!J4</f>
        <v>43629</v>
      </c>
      <c r="AF5" s="1281"/>
      <c r="AG5" s="35"/>
      <c r="AH5" s="63"/>
      <c r="AI5" s="34"/>
      <c r="AJ5" s="244" t="str">
        <f ca="1">$C$5</f>
        <v>Originated from TCC53.xls  v4.45                     © 2000-19 TCC</v>
      </c>
      <c r="AK5" s="35"/>
      <c r="AL5" s="37"/>
      <c r="AM5" s="35"/>
      <c r="AN5" s="35"/>
      <c r="AO5" s="35"/>
      <c r="AP5" s="35"/>
      <c r="AQ5" s="35"/>
      <c r="AR5" s="35"/>
      <c r="AS5" s="35"/>
      <c r="AT5" s="35"/>
      <c r="AU5" s="34"/>
      <c r="AV5" s="63"/>
      <c r="AW5" s="35"/>
      <c r="AX5" s="35"/>
      <c r="AY5" s="35"/>
      <c r="AZ5" s="35"/>
      <c r="BA5" s="35"/>
      <c r="BB5" s="35"/>
      <c r="BC5" s="63"/>
      <c r="BD5" s="63"/>
      <c r="BE5" s="63"/>
      <c r="BF5" s="63"/>
      <c r="BG5" s="63"/>
      <c r="BH5" s="35"/>
      <c r="BI5" s="38" t="s">
        <v>4</v>
      </c>
      <c r="BJ5" s="1281">
        <f ca="1">$AE$5</f>
        <v>43629</v>
      </c>
      <c r="BK5" s="1281"/>
      <c r="BL5" s="620"/>
      <c r="BM5" s="620"/>
      <c r="BN5" s="620"/>
      <c r="BO5" s="35"/>
      <c r="BS5"/>
      <c r="BT5"/>
    </row>
    <row r="6" spans="2:72" ht="16.5" customHeight="1">
      <c r="C6" s="43"/>
      <c r="F6" s="43"/>
      <c r="G6" s="43"/>
      <c r="H6" s="43"/>
      <c r="I6" s="43"/>
      <c r="J6" s="43"/>
      <c r="K6" s="43"/>
      <c r="L6" s="43"/>
      <c r="M6" s="43"/>
      <c r="N6" s="43"/>
      <c r="O6" s="43"/>
      <c r="P6"/>
      <c r="Q6"/>
      <c r="R6"/>
      <c r="Z6" s="43"/>
      <c r="AA6" s="43"/>
      <c r="AB6" s="43"/>
      <c r="AC6" s="43"/>
      <c r="AD6" s="43"/>
      <c r="AE6" s="43"/>
      <c r="AF6" s="43"/>
      <c r="AG6" s="43"/>
      <c r="AH6" s="43"/>
      <c r="AI6" s="43"/>
      <c r="AK6" s="43"/>
      <c r="AL6" s="43"/>
      <c r="AM6" s="43"/>
      <c r="AN6" s="43"/>
      <c r="AO6" s="43"/>
      <c r="AP6"/>
      <c r="AQ6"/>
      <c r="AR6"/>
      <c r="AS6"/>
      <c r="AT6"/>
      <c r="AU6"/>
      <c r="AV6"/>
      <c r="AW6"/>
      <c r="AX6"/>
      <c r="AY6"/>
      <c r="AZ6"/>
      <c r="BA6"/>
      <c r="BB6"/>
      <c r="BC6"/>
      <c r="BD6"/>
      <c r="BE6"/>
      <c r="BF6"/>
      <c r="BG6"/>
      <c r="BH6"/>
      <c r="BI6"/>
      <c r="BJ6"/>
      <c r="BK6"/>
      <c r="BL6"/>
      <c r="BM6"/>
      <c r="BN6"/>
      <c r="BO6"/>
      <c r="BS6"/>
      <c r="BT6"/>
    </row>
    <row r="7" spans="2:72" ht="21">
      <c r="B7" s="230" t="s">
        <v>255</v>
      </c>
      <c r="C7" s="246"/>
      <c r="D7" s="246"/>
      <c r="E7" s="247" t="s">
        <v>149</v>
      </c>
      <c r="F7" s="248">
        <f>Ycal!F7</f>
        <v>0.85</v>
      </c>
      <c r="G7" s="246"/>
      <c r="H7" s="246"/>
      <c r="I7" s="246"/>
      <c r="J7" s="246"/>
      <c r="K7" s="43"/>
      <c r="L7" s="41"/>
      <c r="M7" s="41"/>
      <c r="N7" s="43"/>
      <c r="O7" s="43"/>
      <c r="R7" s="245"/>
      <c r="S7" s="271">
        <f>IF(Cases!E$13=0,0,AR319)</f>
        <v>3391.1705382854748</v>
      </c>
      <c r="T7" s="271">
        <f>IF(Cases!E$12=0,0,AR267)</f>
        <v>3391.1705382854748</v>
      </c>
      <c r="U7" s="271">
        <f>IF(Cases!E$11=0,0,AR215)</f>
        <v>3354.0707093660735</v>
      </c>
      <c r="V7" s="271">
        <f>IF(Cases!E$10=0,0,AR163)</f>
        <v>3304.4914987101602</v>
      </c>
      <c r="W7" s="271">
        <f>IF(Cases!E$9=0,0,AR111)</f>
        <v>3229.099011379446</v>
      </c>
      <c r="X7" s="271">
        <f>IF(Cases!E$8=0,0,AR59)</f>
        <v>3014.6634964416185</v>
      </c>
      <c r="Y7" s="272">
        <f>IF(S7=0,IF(T7=0,U7,T7),S7)</f>
        <v>3391.1705382854748</v>
      </c>
      <c r="Z7" s="272">
        <f>IF(S8=0,IF(T8=0,U8,T8),S8)</f>
        <v>368.56946721689155</v>
      </c>
      <c r="AA7" s="43"/>
      <c r="AB7" s="41"/>
      <c r="AC7" s="41"/>
      <c r="AD7" s="41"/>
      <c r="AE7" s="41"/>
      <c r="AF7" s="41"/>
      <c r="AG7" s="41"/>
      <c r="AH7" s="41"/>
      <c r="AI7" s="41"/>
      <c r="AP7"/>
      <c r="AQ7"/>
      <c r="AR7"/>
      <c r="AS7"/>
      <c r="AT7"/>
      <c r="AU7"/>
      <c r="AV7"/>
      <c r="AW7"/>
      <c r="AX7"/>
      <c r="AY7"/>
      <c r="AZ7"/>
      <c r="BA7"/>
      <c r="BB7"/>
      <c r="BC7"/>
      <c r="BD7"/>
      <c r="BE7"/>
      <c r="BF7"/>
      <c r="BG7"/>
      <c r="BH7"/>
      <c r="BI7"/>
      <c r="BJ7"/>
      <c r="BK7"/>
      <c r="BL7"/>
      <c r="BM7"/>
      <c r="BN7"/>
      <c r="BO7"/>
      <c r="BS7"/>
      <c r="BT7"/>
    </row>
    <row r="8" spans="2:72" ht="21">
      <c r="B8" s="247" t="s">
        <v>109</v>
      </c>
      <c r="C8" s="249">
        <f>Ycal!C8</f>
        <v>0.8</v>
      </c>
      <c r="D8" s="246"/>
      <c r="E8" s="247" t="s">
        <v>112</v>
      </c>
      <c r="F8" s="250">
        <f>Ycal!F8</f>
        <v>3.5000000000000001E-3</v>
      </c>
      <c r="G8" s="273"/>
      <c r="H8" s="273"/>
      <c r="I8" s="273"/>
      <c r="J8" s="273"/>
      <c r="K8" s="44"/>
      <c r="L8" s="44"/>
      <c r="M8" s="43"/>
      <c r="N8" s="43"/>
      <c r="O8" s="43"/>
      <c r="R8" s="245"/>
      <c r="S8" s="271">
        <f>IF(Cases!E13=0,0,AR320)</f>
        <v>368.56946721689155</v>
      </c>
      <c r="T8" s="271">
        <f>IF(Cases!E12=0,0,AR268)</f>
        <v>368.56946721689155</v>
      </c>
      <c r="U8" s="271">
        <f>IF(Cases!E11=0,0,AR216)</f>
        <v>405.61116629598564</v>
      </c>
      <c r="V8" s="271">
        <f>IF(Cases!E10=0,0,AR164)</f>
        <v>461.63381835358717</v>
      </c>
      <c r="W8" s="271">
        <f>IF(Cases!E9=0,0,AR112)</f>
        <v>556.42258712558964</v>
      </c>
      <c r="X8" s="271">
        <f>IF(Cases!E8=0,0,AR60)</f>
        <v>667.21969005332858</v>
      </c>
      <c r="Y8" s="272">
        <f>IF(X7=0,IF(W7=0,V7,W7),X7)</f>
        <v>3014.6634964416185</v>
      </c>
      <c r="Z8" s="272">
        <f>IF(X8=0,IF(W8=0,V8,W8),X8)</f>
        <v>667.21969005332858</v>
      </c>
      <c r="AA8" s="43"/>
      <c r="AB8" s="43"/>
      <c r="AC8" s="43"/>
      <c r="AD8" s="43"/>
      <c r="AE8" s="43"/>
      <c r="AF8" s="43"/>
      <c r="AG8" s="43"/>
      <c r="AH8" s="43"/>
      <c r="AI8" s="43"/>
      <c r="BS8"/>
      <c r="BT8"/>
    </row>
    <row r="9" spans="2:72" ht="21">
      <c r="B9" s="251" t="s">
        <v>143</v>
      </c>
      <c r="C9" s="249">
        <f>Ycal!C9</f>
        <v>22.666666666666668</v>
      </c>
      <c r="D9" s="252" t="s">
        <v>13</v>
      </c>
      <c r="E9" s="247" t="s">
        <v>113</v>
      </c>
      <c r="F9" s="253">
        <f>Ycal!F9</f>
        <v>1.75E-3</v>
      </c>
      <c r="G9" s="256" t="s">
        <v>42</v>
      </c>
      <c r="H9" s="273"/>
      <c r="I9" s="254"/>
      <c r="J9" s="257"/>
      <c r="K9" s="44"/>
      <c r="L9" s="44"/>
      <c r="M9" s="43"/>
      <c r="N9" s="43"/>
      <c r="O9" s="43"/>
      <c r="Z9" s="43"/>
      <c r="AA9" s="43"/>
      <c r="AB9" s="43"/>
      <c r="AC9" s="43"/>
      <c r="AD9" s="43"/>
      <c r="AE9" s="43"/>
      <c r="AF9" s="43"/>
      <c r="AG9" s="43"/>
      <c r="AH9" s="43"/>
      <c r="AI9" s="43"/>
      <c r="BS9"/>
      <c r="BT9"/>
    </row>
    <row r="10" spans="2:72" ht="19.5">
      <c r="B10" s="254" t="s">
        <v>110</v>
      </c>
      <c r="C10" s="249">
        <f>Ycal!C10</f>
        <v>434.78260869565219</v>
      </c>
      <c r="D10" s="252" t="s">
        <v>13</v>
      </c>
      <c r="E10" s="254" t="s">
        <v>114</v>
      </c>
      <c r="F10" s="255">
        <f>(1-F9/F8)*MAIN!C14</f>
        <v>150</v>
      </c>
      <c r="G10" s="256" t="s">
        <v>108</v>
      </c>
      <c r="H10" s="274"/>
      <c r="I10" s="274"/>
      <c r="J10" s="274"/>
      <c r="K10" s="44"/>
      <c r="L10" s="44"/>
      <c r="M10" s="48"/>
      <c r="N10" s="48"/>
      <c r="O10" s="48"/>
      <c r="P10" s="48"/>
      <c r="Q10" s="48"/>
      <c r="R10" s="48"/>
      <c r="S10" s="48"/>
      <c r="T10" s="48"/>
      <c r="U10" s="48"/>
      <c r="V10" s="48"/>
      <c r="W10" s="48"/>
      <c r="X10" s="48"/>
      <c r="Y10" s="48"/>
      <c r="Z10" s="48"/>
      <c r="AA10" s="48"/>
      <c r="AB10" s="48"/>
      <c r="AC10" s="48"/>
      <c r="AD10" s="48"/>
      <c r="AE10" s="48"/>
      <c r="AF10" s="48"/>
      <c r="AG10" s="48"/>
      <c r="AH10" s="48"/>
      <c r="AI10" s="48"/>
      <c r="AJ10" s="48"/>
      <c r="BS10"/>
      <c r="BT10"/>
    </row>
    <row r="11" spans="2:72">
      <c r="B11" s="254" t="s">
        <v>111</v>
      </c>
      <c r="C11" s="249">
        <f>Ycal!C11</f>
        <v>412.1159420289855</v>
      </c>
      <c r="D11" s="252" t="s">
        <v>13</v>
      </c>
      <c r="E11" s="246"/>
      <c r="F11" s="273"/>
      <c r="G11" s="273"/>
      <c r="H11" s="273"/>
      <c r="I11" s="273"/>
      <c r="J11" s="273"/>
      <c r="K11" s="43"/>
      <c r="L11" s="43"/>
      <c r="M11" s="43"/>
      <c r="N11" s="43"/>
      <c r="O11" s="43"/>
      <c r="Z11" s="43"/>
      <c r="AA11" s="43"/>
      <c r="AB11" s="43"/>
      <c r="AC11" s="43"/>
      <c r="AD11" s="43"/>
      <c r="AE11" s="43"/>
      <c r="AF11" s="43"/>
      <c r="AG11" s="43"/>
      <c r="AH11" s="43"/>
      <c r="AI11" s="43"/>
      <c r="BS11"/>
      <c r="BT11"/>
    </row>
    <row r="12" spans="2:72">
      <c r="C12" s="43"/>
      <c r="F12" s="43"/>
      <c r="G12" s="43"/>
      <c r="H12" s="43"/>
      <c r="I12" s="43"/>
      <c r="J12" s="43"/>
      <c r="K12" s="43"/>
      <c r="L12" s="43"/>
      <c r="M12" s="43"/>
      <c r="N12" s="43"/>
      <c r="O12" s="47"/>
      <c r="Z12" s="43"/>
      <c r="AA12" s="43"/>
      <c r="AB12" s="43"/>
      <c r="AC12" s="43"/>
      <c r="AD12" s="43"/>
      <c r="AE12" s="43"/>
      <c r="AF12" s="43"/>
      <c r="AG12" s="43"/>
      <c r="AH12" s="43"/>
      <c r="AI12" s="43"/>
      <c r="BS12"/>
      <c r="BT12"/>
    </row>
    <row r="13" spans="2:72" ht="18.75">
      <c r="B13" s="275">
        <f>MAIN!C$33</f>
        <v>40</v>
      </c>
      <c r="C13" s="276" t="s">
        <v>43</v>
      </c>
      <c r="D13" s="258"/>
      <c r="E13" s="259"/>
      <c r="F13" s="259"/>
      <c r="G13" s="259"/>
      <c r="H13" s="259"/>
      <c r="I13" s="259"/>
      <c r="J13" s="259"/>
      <c r="K13" s="277"/>
      <c r="L13" s="259"/>
      <c r="M13" s="259"/>
      <c r="N13" s="278" t="s">
        <v>93</v>
      </c>
      <c r="O13" s="279">
        <f>$C$8*$C$9*MAIN!C$13</f>
        <v>21760.000000000004</v>
      </c>
      <c r="P13" s="73"/>
      <c r="Q13" s="73"/>
      <c r="R13" s="73"/>
      <c r="S13" s="73"/>
      <c r="T13" s="73"/>
      <c r="U13" s="73"/>
      <c r="V13" s="73"/>
      <c r="W13" s="73"/>
      <c r="X13" s="73"/>
      <c r="Y13" s="73"/>
      <c r="Z13" s="73"/>
      <c r="AA13" s="73"/>
      <c r="AB13" s="73"/>
      <c r="AC13" s="73"/>
      <c r="AD13" s="73"/>
      <c r="AE13" s="73"/>
      <c r="AF13" s="73"/>
      <c r="AG13" s="73"/>
      <c r="AH13" s="73"/>
      <c r="AI13" s="73"/>
      <c r="AJ13" s="73"/>
      <c r="AK13" s="73"/>
      <c r="AL13" s="73"/>
      <c r="AM13" s="73"/>
      <c r="AN13" s="73"/>
      <c r="AO13" s="73"/>
      <c r="AP13" s="73"/>
      <c r="AQ13" s="73"/>
      <c r="AS13" s="73"/>
      <c r="BS13"/>
      <c r="BT13"/>
    </row>
    <row r="14" spans="2:72" ht="18.75">
      <c r="B14" s="260" t="s">
        <v>44</v>
      </c>
      <c r="C14" s="261">
        <f>MAIN!I$8+MAIN!E33+MAIN!C33/2</f>
        <v>60</v>
      </c>
      <c r="D14" s="262" t="s">
        <v>14</v>
      </c>
      <c r="E14" s="263" t="s">
        <v>45</v>
      </c>
      <c r="F14" s="261">
        <f>IF(I14=0,0,MAIN!C$14-C14)</f>
        <v>240</v>
      </c>
      <c r="G14" s="262" t="s">
        <v>14</v>
      </c>
      <c r="H14" s="263" t="s">
        <v>46</v>
      </c>
      <c r="I14" s="264">
        <f>Ycal!I14</f>
        <v>10053.09649148734</v>
      </c>
      <c r="J14" s="262" t="s">
        <v>47</v>
      </c>
      <c r="K14" s="263" t="s">
        <v>48</v>
      </c>
      <c r="L14" s="261">
        <f>(F14-C14)/(MAIN!C$15-1)</f>
        <v>180</v>
      </c>
      <c r="M14" s="262" t="s">
        <v>14</v>
      </c>
      <c r="N14" s="263" t="s">
        <v>17</v>
      </c>
      <c r="O14" s="280">
        <f>I14*MAIN!C$16/MAIN!Q$1*(200000*F$8-C$9-C$10)</f>
        <v>1219192.9194313923</v>
      </c>
      <c r="P14" s="45"/>
      <c r="Q14" s="45"/>
      <c r="R14" s="45"/>
      <c r="S14" s="45"/>
      <c r="T14" s="45"/>
      <c r="U14" s="45"/>
      <c r="V14" s="45"/>
      <c r="W14" s="45"/>
      <c r="X14" s="45"/>
      <c r="Y14" s="45"/>
      <c r="Z14" s="45"/>
      <c r="AA14" s="45"/>
      <c r="AB14" s="45"/>
      <c r="AC14" s="45"/>
      <c r="AD14" s="45"/>
      <c r="AE14" s="45"/>
      <c r="AF14" s="45"/>
      <c r="AG14" s="45"/>
      <c r="AH14" s="45"/>
      <c r="AI14" s="289"/>
      <c r="AJ14" s="45"/>
      <c r="AK14" s="45"/>
      <c r="AL14" s="45"/>
      <c r="AM14" s="45"/>
      <c r="AN14" s="45"/>
      <c r="AO14" s="45"/>
      <c r="AP14" s="45"/>
      <c r="AQ14" s="45"/>
      <c r="AS14" s="45"/>
      <c r="BS14"/>
      <c r="BT14"/>
    </row>
    <row r="15" spans="2:72">
      <c r="B15" s="265"/>
      <c r="C15" s="266"/>
      <c r="D15" s="267"/>
      <c r="E15" s="268" t="s">
        <v>49</v>
      </c>
      <c r="F15" s="269">
        <f>(AR17-D17)/40</f>
        <v>2.2133395158463549</v>
      </c>
      <c r="G15" s="270" t="s">
        <v>50</v>
      </c>
      <c r="H15" s="281"/>
      <c r="I15" s="281"/>
      <c r="J15" s="281"/>
      <c r="K15" s="281"/>
      <c r="L15" s="281"/>
      <c r="M15" s="281"/>
      <c r="N15" s="282" t="s">
        <v>120</v>
      </c>
      <c r="O15" s="283">
        <f>-100000*F$8*C14*I14*MAIN!C$16/MAIN!Q$1*2</f>
        <v>-211115026.32123414</v>
      </c>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t="s">
        <v>49</v>
      </c>
      <c r="AS15" s="50">
        <f>IF(I14=0,0,(BK17-AR17)/19)</f>
        <v>11.944948578342409</v>
      </c>
      <c r="AT15" s="46" t="s">
        <v>121</v>
      </c>
      <c r="BS15"/>
      <c r="BT15"/>
    </row>
    <row r="16" spans="2:72" ht="15.75">
      <c r="C16" s="51"/>
      <c r="D16" s="52"/>
      <c r="E16" s="52"/>
      <c r="F16" s="52"/>
      <c r="G16" s="52"/>
      <c r="H16" s="52"/>
      <c r="I16" s="52"/>
      <c r="J16" s="52"/>
      <c r="K16" s="52"/>
      <c r="L16" s="52"/>
      <c r="M16" s="52"/>
      <c r="N16" s="45"/>
      <c r="O16" s="52"/>
      <c r="P16" s="52"/>
      <c r="Q16" s="52"/>
      <c r="R16" s="52"/>
      <c r="S16" s="52"/>
      <c r="T16" s="52"/>
      <c r="U16" s="52"/>
      <c r="V16" s="52"/>
      <c r="W16" s="52"/>
      <c r="X16" s="52"/>
      <c r="Y16" s="52"/>
      <c r="Z16" s="52"/>
      <c r="AA16" s="52"/>
      <c r="AB16" s="52"/>
      <c r="AC16" s="52"/>
      <c r="AD16" s="52"/>
      <c r="AE16" s="52"/>
      <c r="AF16" s="52"/>
      <c r="AG16" s="52"/>
      <c r="AH16" s="52"/>
      <c r="AI16" s="52"/>
      <c r="AJ16" s="52"/>
      <c r="AK16" s="52"/>
      <c r="AL16" s="52"/>
      <c r="AM16" s="52"/>
      <c r="AN16" s="52"/>
      <c r="AO16" s="52"/>
      <c r="AP16" s="52"/>
      <c r="AQ16" s="52"/>
      <c r="AR16" s="52"/>
      <c r="AS16" s="52"/>
      <c r="BK16" s="53"/>
      <c r="BL16" s="53"/>
      <c r="BM16" s="53"/>
      <c r="BN16" s="53"/>
      <c r="BO16" s="288" t="s">
        <v>51</v>
      </c>
      <c r="BS16"/>
      <c r="BT16"/>
    </row>
    <row r="17" spans="2:72" ht="16.5">
      <c r="B17" s="284" t="s">
        <v>115</v>
      </c>
      <c r="C17" s="297" t="s">
        <v>52</v>
      </c>
      <c r="D17" s="285">
        <f>0.8*(-O14+SQRT(O14^2-4*O13*O15))/2/O13</f>
        <v>59.512396377640044</v>
      </c>
      <c r="E17" s="286">
        <f t="shared" ref="E17:AQ17" si="0">D17+$F15</f>
        <v>61.725735893486402</v>
      </c>
      <c r="F17" s="286">
        <f t="shared" si="0"/>
        <v>63.939075409332759</v>
      </c>
      <c r="G17" s="286">
        <f t="shared" si="0"/>
        <v>66.152414925179116</v>
      </c>
      <c r="H17" s="286">
        <f t="shared" si="0"/>
        <v>68.365754441025473</v>
      </c>
      <c r="I17" s="286">
        <f t="shared" si="0"/>
        <v>70.57909395687183</v>
      </c>
      <c r="J17" s="286">
        <f t="shared" si="0"/>
        <v>72.792433472718187</v>
      </c>
      <c r="K17" s="286">
        <f t="shared" si="0"/>
        <v>75.005772988564544</v>
      </c>
      <c r="L17" s="286">
        <f t="shared" si="0"/>
        <v>77.219112504410901</v>
      </c>
      <c r="M17" s="286">
        <f t="shared" si="0"/>
        <v>79.432452020257259</v>
      </c>
      <c r="N17" s="286">
        <f t="shared" si="0"/>
        <v>81.645791536103616</v>
      </c>
      <c r="O17" s="286">
        <f t="shared" si="0"/>
        <v>83.859131051949973</v>
      </c>
      <c r="P17" s="286">
        <f t="shared" si="0"/>
        <v>86.07247056779633</v>
      </c>
      <c r="Q17" s="286">
        <f t="shared" si="0"/>
        <v>88.285810083642687</v>
      </c>
      <c r="R17" s="286">
        <f t="shared" si="0"/>
        <v>90.499149599489044</v>
      </c>
      <c r="S17" s="286">
        <f t="shared" si="0"/>
        <v>92.712489115335401</v>
      </c>
      <c r="T17" s="286">
        <f t="shared" si="0"/>
        <v>94.925828631181759</v>
      </c>
      <c r="U17" s="286">
        <f t="shared" si="0"/>
        <v>97.139168147028116</v>
      </c>
      <c r="V17" s="286">
        <f t="shared" si="0"/>
        <v>99.352507662874473</v>
      </c>
      <c r="W17" s="286">
        <f t="shared" si="0"/>
        <v>101.56584717872083</v>
      </c>
      <c r="X17" s="286">
        <f t="shared" si="0"/>
        <v>103.77918669456719</v>
      </c>
      <c r="Y17" s="286">
        <f t="shared" si="0"/>
        <v>105.99252621041354</v>
      </c>
      <c r="Z17" s="286">
        <f t="shared" si="0"/>
        <v>108.2058657262599</v>
      </c>
      <c r="AA17" s="286">
        <f t="shared" si="0"/>
        <v>110.41920524210626</v>
      </c>
      <c r="AB17" s="286">
        <f t="shared" si="0"/>
        <v>112.63254475795262</v>
      </c>
      <c r="AC17" s="286">
        <f t="shared" si="0"/>
        <v>114.84588427379897</v>
      </c>
      <c r="AD17" s="286">
        <f t="shared" si="0"/>
        <v>117.05922378964533</v>
      </c>
      <c r="AE17" s="286">
        <f t="shared" si="0"/>
        <v>119.27256330549169</v>
      </c>
      <c r="AF17" s="286">
        <f t="shared" si="0"/>
        <v>121.48590282133804</v>
      </c>
      <c r="AG17" s="286">
        <f t="shared" si="0"/>
        <v>123.6992423371844</v>
      </c>
      <c r="AH17" s="286">
        <f t="shared" si="0"/>
        <v>125.91258185303076</v>
      </c>
      <c r="AI17" s="286">
        <f t="shared" si="0"/>
        <v>128.1259213688771</v>
      </c>
      <c r="AJ17" s="286">
        <f t="shared" si="0"/>
        <v>130.33926088472344</v>
      </c>
      <c r="AK17" s="286">
        <f t="shared" si="0"/>
        <v>132.55260040056979</v>
      </c>
      <c r="AL17" s="286">
        <f t="shared" si="0"/>
        <v>134.76593991641613</v>
      </c>
      <c r="AM17" s="286">
        <f t="shared" si="0"/>
        <v>136.97927943226247</v>
      </c>
      <c r="AN17" s="286">
        <f t="shared" si="0"/>
        <v>139.19261894810882</v>
      </c>
      <c r="AO17" s="286">
        <f t="shared" si="0"/>
        <v>141.40595846395516</v>
      </c>
      <c r="AP17" s="286">
        <f t="shared" si="0"/>
        <v>143.6192979798015</v>
      </c>
      <c r="AQ17" s="286">
        <f t="shared" si="0"/>
        <v>145.83263749564784</v>
      </c>
      <c r="AR17" s="62">
        <f>200000*F$8/C$10*F14/(1+200000*F$8/C$10)</f>
        <v>148.04597701149424</v>
      </c>
      <c r="AS17" s="286">
        <f t="shared" ref="AS17:BJ17" si="1">AR17+$AS15</f>
        <v>159.99092558983665</v>
      </c>
      <c r="AT17" s="286">
        <f t="shared" si="1"/>
        <v>171.93587416817905</v>
      </c>
      <c r="AU17" s="286">
        <f t="shared" si="1"/>
        <v>183.88082274652146</v>
      </c>
      <c r="AV17" s="286">
        <f t="shared" si="1"/>
        <v>195.82577132486387</v>
      </c>
      <c r="AW17" s="286">
        <f t="shared" si="1"/>
        <v>207.77071990320627</v>
      </c>
      <c r="AX17" s="286">
        <f t="shared" si="1"/>
        <v>219.71566848154868</v>
      </c>
      <c r="AY17" s="286">
        <f t="shared" si="1"/>
        <v>231.66061705989108</v>
      </c>
      <c r="AZ17" s="286">
        <f t="shared" si="1"/>
        <v>243.60556563823349</v>
      </c>
      <c r="BA17" s="286">
        <f t="shared" si="1"/>
        <v>255.55051421657589</v>
      </c>
      <c r="BB17" s="286">
        <f t="shared" si="1"/>
        <v>267.4954627949183</v>
      </c>
      <c r="BC17" s="286">
        <f t="shared" si="1"/>
        <v>279.4404113732607</v>
      </c>
      <c r="BD17" s="286">
        <f t="shared" si="1"/>
        <v>291.38535995160311</v>
      </c>
      <c r="BE17" s="286">
        <f t="shared" si="1"/>
        <v>303.33030852994551</v>
      </c>
      <c r="BF17" s="286">
        <f t="shared" si="1"/>
        <v>315.27525710828792</v>
      </c>
      <c r="BG17" s="286">
        <f t="shared" si="1"/>
        <v>327.22020568663032</v>
      </c>
      <c r="BH17" s="286">
        <f t="shared" si="1"/>
        <v>339.16515426497273</v>
      </c>
      <c r="BI17" s="286">
        <f t="shared" si="1"/>
        <v>351.11010284331513</v>
      </c>
      <c r="BJ17" s="286">
        <f t="shared" si="1"/>
        <v>363.05505142165754</v>
      </c>
      <c r="BK17" s="286">
        <f>MAIN!C14/C8</f>
        <v>375</v>
      </c>
      <c r="BL17" s="286">
        <f>BK17+(BN17-BK17)/3</f>
        <v>550</v>
      </c>
      <c r="BM17" s="286">
        <f>BL17/2+BN17/2</f>
        <v>725</v>
      </c>
      <c r="BN17" s="286">
        <f>MAIN!C14*3</f>
        <v>900</v>
      </c>
      <c r="BO17" s="287"/>
      <c r="BS17"/>
      <c r="BT17"/>
    </row>
    <row r="18" spans="2:72" ht="16.5">
      <c r="B18" s="290" t="s">
        <v>53</v>
      </c>
      <c r="C18" s="298" t="s">
        <v>54</v>
      </c>
      <c r="D18" s="3">
        <f>MIN($C$8*D17,MAIN!$C$14)*MAIN!$C$13*$C$9</f>
        <v>1294989.7451774476</v>
      </c>
      <c r="E18" s="304">
        <f>MIN($C$8*E17,MAIN!$C$14)*MAIN!$C$13*$C$9</f>
        <v>1343152.0130422644</v>
      </c>
      <c r="F18" s="304">
        <f>MIN($C$8*F17,MAIN!$C$14)*MAIN!$C$13*$C$9</f>
        <v>1391314.280907081</v>
      </c>
      <c r="G18" s="304">
        <f>MIN($C$8*G17,MAIN!$C$14)*MAIN!$C$13*$C$9</f>
        <v>1439476.5487718978</v>
      </c>
      <c r="H18" s="304">
        <f>MIN($C$8*H17,MAIN!$C$14)*MAIN!$C$13*$C$9</f>
        <v>1487638.8166367144</v>
      </c>
      <c r="I18" s="304">
        <f>MIN($C$8*I17,MAIN!$C$14)*MAIN!$C$13*$C$9</f>
        <v>1535801.084501531</v>
      </c>
      <c r="J18" s="304">
        <f>MIN($C$8*J17,MAIN!$C$14)*MAIN!$C$13*$C$9</f>
        <v>1583963.352366348</v>
      </c>
      <c r="K18" s="304">
        <f>MIN($C$8*K17,MAIN!$C$14)*MAIN!$C$13*$C$9</f>
        <v>1632125.6202311646</v>
      </c>
      <c r="L18" s="304">
        <f>MIN($C$8*L17,MAIN!$C$14)*MAIN!$C$13*$C$9</f>
        <v>1680287.8880959814</v>
      </c>
      <c r="M18" s="304">
        <f>MIN($C$8*M17,MAIN!$C$14)*MAIN!$C$13*$C$9</f>
        <v>1728450.155960798</v>
      </c>
      <c r="N18" s="304">
        <f>MIN($C$8*N17,MAIN!$C$14)*MAIN!$C$13*$C$9</f>
        <v>1776612.4238256149</v>
      </c>
      <c r="O18" s="304">
        <f>MIN($C$8*O17,MAIN!$C$14)*MAIN!$C$13*$C$9</f>
        <v>1824774.6916904317</v>
      </c>
      <c r="P18" s="304">
        <f>MIN($C$8*P17,MAIN!$C$14)*MAIN!$C$13*$C$9</f>
        <v>1872936.959555248</v>
      </c>
      <c r="Q18" s="304">
        <f>MIN($C$8*Q17,MAIN!$C$14)*MAIN!$C$13*$C$9</f>
        <v>1921099.2274200651</v>
      </c>
      <c r="R18" s="304">
        <f>MIN($C$8*R17,MAIN!$C$14)*MAIN!$C$13*$C$9</f>
        <v>1969261.4952848819</v>
      </c>
      <c r="S18" s="304">
        <f>MIN($C$8*S17,MAIN!$C$14)*MAIN!$C$13*$C$9</f>
        <v>2017423.7631496985</v>
      </c>
      <c r="T18" s="304">
        <f>MIN($C$8*T17,MAIN!$C$14)*MAIN!$C$13*$C$9</f>
        <v>2065586.0310145153</v>
      </c>
      <c r="U18" s="304">
        <f>MIN($C$8*U17,MAIN!$C$14)*MAIN!$C$13*$C$9</f>
        <v>2113748.2988793324</v>
      </c>
      <c r="V18" s="304">
        <f>MIN($C$8*V17,MAIN!$C$14)*MAIN!$C$13*$C$9</f>
        <v>2161910.5667441487</v>
      </c>
      <c r="W18" s="304">
        <f>MIN($C$8*W17,MAIN!$C$14)*MAIN!$C$13*$C$9</f>
        <v>2210072.8346089656</v>
      </c>
      <c r="X18" s="304">
        <f>MIN($C$8*X17,MAIN!$C$14)*MAIN!$C$13*$C$9</f>
        <v>2258235.1024737819</v>
      </c>
      <c r="Y18" s="304">
        <f>MIN($C$8*Y17,MAIN!$C$14)*MAIN!$C$13*$C$9</f>
        <v>2306397.3703385992</v>
      </c>
      <c r="Z18" s="304">
        <f>MIN($C$8*Z17,MAIN!$C$14)*MAIN!$C$13*$C$9</f>
        <v>2354559.638203416</v>
      </c>
      <c r="AA18" s="304">
        <f>MIN($C$8*AA17,MAIN!$C$14)*MAIN!$C$13*$C$9</f>
        <v>2402721.9060682324</v>
      </c>
      <c r="AB18" s="304">
        <f>MIN($C$8*AB17,MAIN!$C$14)*MAIN!$C$13*$C$9</f>
        <v>2450884.1739330492</v>
      </c>
      <c r="AC18" s="304">
        <f>MIN($C$8*AC17,MAIN!$C$14)*MAIN!$C$13*$C$9</f>
        <v>2499046.441797866</v>
      </c>
      <c r="AD18" s="304">
        <f>MIN($C$8*AD17,MAIN!$C$14)*MAIN!$C$13*$C$9</f>
        <v>2547208.7096626824</v>
      </c>
      <c r="AE18" s="304">
        <f>MIN($C$8*AE17,MAIN!$C$14)*MAIN!$C$13*$C$9</f>
        <v>2595370.9775274997</v>
      </c>
      <c r="AF18" s="304">
        <f>MIN($C$8*AF17,MAIN!$C$14)*MAIN!$C$13*$C$9</f>
        <v>2643533.245392316</v>
      </c>
      <c r="AG18" s="304">
        <f>MIN($C$8*AG17,MAIN!$C$14)*MAIN!$C$13*$C$9</f>
        <v>2691695.5132571328</v>
      </c>
      <c r="AH18" s="304">
        <f>MIN($C$8*AH17,MAIN!$C$14)*MAIN!$C$13*$C$9</f>
        <v>2739857.7811219492</v>
      </c>
      <c r="AI18" s="304">
        <f>MIN($C$8*AI17,MAIN!$C$14)*MAIN!$C$13*$C$9</f>
        <v>2788020.048986766</v>
      </c>
      <c r="AJ18" s="304">
        <f>MIN($C$8*AJ17,MAIN!$C$14)*MAIN!$C$13*$C$9</f>
        <v>2836182.3168515824</v>
      </c>
      <c r="AK18" s="304">
        <f>MIN($C$8*AK17,MAIN!$C$14)*MAIN!$C$13*$C$9</f>
        <v>2884344.5847163987</v>
      </c>
      <c r="AL18" s="304">
        <f>MIN($C$8*AL17,MAIN!$C$14)*MAIN!$C$13*$C$9</f>
        <v>2932506.8525812156</v>
      </c>
      <c r="AM18" s="304">
        <f>MIN($C$8*AM17,MAIN!$C$14)*MAIN!$C$13*$C$9</f>
        <v>2980669.1204460314</v>
      </c>
      <c r="AN18" s="304">
        <f>MIN($C$8*AN17,MAIN!$C$14)*MAIN!$C$13*$C$9</f>
        <v>3028831.3883108483</v>
      </c>
      <c r="AO18" s="304">
        <f>MIN($C$8*AO17,MAIN!$C$14)*MAIN!$C$13*$C$9</f>
        <v>3076993.6561756646</v>
      </c>
      <c r="AP18" s="304">
        <f>MIN($C$8*AP17,MAIN!$C$14)*MAIN!$C$13*$C$9</f>
        <v>3125155.924040481</v>
      </c>
      <c r="AQ18" s="304">
        <f>MIN($C$8*AQ17,MAIN!$C$14)*MAIN!$C$13*$C$9</f>
        <v>3173318.1919052973</v>
      </c>
      <c r="AR18" s="56">
        <f>MIN($C$8*AR17,MAIN!$C$14)*MAIN!$C$13*$C$9</f>
        <v>3221480.4597701156</v>
      </c>
      <c r="AS18" s="304">
        <f>MIN($C$8*AS17,MAIN!$C$14)*MAIN!$C$13*$C$9</f>
        <v>3481402.540834846</v>
      </c>
      <c r="AT18" s="304">
        <f>MIN($C$8*AT17,MAIN!$C$14)*MAIN!$C$13*$C$9</f>
        <v>3741324.6218995764</v>
      </c>
      <c r="AU18" s="304">
        <f>MIN($C$8*AU17,MAIN!$C$14)*MAIN!$C$13*$C$9</f>
        <v>4001246.7029643073</v>
      </c>
      <c r="AV18" s="304">
        <f>MIN($C$8*AV17,MAIN!$C$14)*MAIN!$C$13*$C$9</f>
        <v>4261168.7840290386</v>
      </c>
      <c r="AW18" s="304">
        <f>MIN($C$8*AW17,MAIN!$C$14)*MAIN!$C$13*$C$9</f>
        <v>4521090.8650937686</v>
      </c>
      <c r="AX18" s="304">
        <f>MIN($C$8*AX17,MAIN!$C$14)*MAIN!$C$13*$C$9</f>
        <v>4781012.9461584995</v>
      </c>
      <c r="AY18" s="304">
        <f>MIN($C$8*AY17,MAIN!$C$14)*MAIN!$C$13*$C$9</f>
        <v>5040935.0272232303</v>
      </c>
      <c r="AZ18" s="304">
        <f>MIN($C$8*AZ17,MAIN!$C$14)*MAIN!$C$13*$C$9</f>
        <v>5300857.1082879612</v>
      </c>
      <c r="BA18" s="304">
        <f>MIN($C$8*BA17,MAIN!$C$14)*MAIN!$C$13*$C$9</f>
        <v>5560779.1893526921</v>
      </c>
      <c r="BB18" s="304">
        <f>MIN($C$8*BB17,MAIN!$C$14)*MAIN!$C$13*$C$9</f>
        <v>5820701.2704174221</v>
      </c>
      <c r="BC18" s="304">
        <f>MIN($C$8*BC17,MAIN!$C$14)*MAIN!$C$13*$C$9</f>
        <v>6080623.3514821529</v>
      </c>
      <c r="BD18" s="304">
        <f>MIN($C$8*BD17,MAIN!$C$14)*MAIN!$C$13*$C$9</f>
        <v>6340545.4325468838</v>
      </c>
      <c r="BE18" s="304">
        <f>MIN($C$8*BE17,MAIN!$C$14)*MAIN!$C$13*$C$9</f>
        <v>6600467.5136116156</v>
      </c>
      <c r="BF18" s="304">
        <f>MIN($C$8*BF17,MAIN!$C$14)*MAIN!$C$13*$C$9</f>
        <v>6860389.5946763465</v>
      </c>
      <c r="BG18" s="304">
        <f>MIN($C$8*BG17,MAIN!$C$14)*MAIN!$C$13*$C$9</f>
        <v>7120311.6757410765</v>
      </c>
      <c r="BH18" s="304">
        <f>MIN($C$8*BH17,MAIN!$C$14)*MAIN!$C$13*$C$9</f>
        <v>7380233.7568058074</v>
      </c>
      <c r="BI18" s="304">
        <f>MIN($C$8*BI17,MAIN!$C$14)*MAIN!$C$13*$C$9</f>
        <v>7640155.8378705382</v>
      </c>
      <c r="BJ18" s="304">
        <f>MIN($C$8*BJ17,MAIN!$C$14)*MAIN!$C$13*$C$9</f>
        <v>7900077.9189352682</v>
      </c>
      <c r="BK18" s="304">
        <f>MIN($C$8*BK17,MAIN!$C$14)*MAIN!$C$13*$C$9</f>
        <v>8160000</v>
      </c>
      <c r="BL18" s="304">
        <f>MIN($C$8*BL17,MAIN!$C$14)*MAIN!$C$13*$C$9</f>
        <v>8160000</v>
      </c>
      <c r="BM18" s="304">
        <f>MIN($C$8*BM17,MAIN!$C$14)*MAIN!$C$13*$C$9</f>
        <v>8160000</v>
      </c>
      <c r="BN18" s="304">
        <f>MIN($C$8*BN17,MAIN!$C$14)*MAIN!$C$13*$C$9</f>
        <v>8160000</v>
      </c>
      <c r="BO18" s="3">
        <f>MAIN!$C$13*MAIN!$C$14*$C$9</f>
        <v>8160000</v>
      </c>
      <c r="BS18"/>
      <c r="BT18"/>
    </row>
    <row r="19" spans="2:72" ht="16.5">
      <c r="B19" s="4">
        <v>2</v>
      </c>
      <c r="C19" s="299" t="s">
        <v>55</v>
      </c>
      <c r="D19" s="5">
        <f>IF(C14+L14&gt;=F14,0,C14+L14)</f>
        <v>0</v>
      </c>
      <c r="E19" s="6"/>
      <c r="F19" s="6"/>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6"/>
      <c r="AI19" s="6"/>
      <c r="AJ19" s="6"/>
      <c r="AK19" s="6"/>
      <c r="AL19" s="6"/>
      <c r="AM19" s="6"/>
      <c r="AN19" s="6"/>
      <c r="AO19" s="6"/>
      <c r="AP19" s="6"/>
      <c r="AQ19" s="6"/>
      <c r="AR19" s="57"/>
      <c r="AS19" s="6"/>
      <c r="AT19" s="6"/>
      <c r="AU19" s="6"/>
      <c r="AV19" s="6"/>
      <c r="AW19" s="6"/>
      <c r="AX19" s="6"/>
      <c r="AY19" s="6"/>
      <c r="AZ19" s="6"/>
      <c r="BA19" s="6"/>
      <c r="BB19" s="6"/>
      <c r="BC19" s="6"/>
      <c r="BD19" s="6"/>
      <c r="BE19" s="6"/>
      <c r="BF19" s="6"/>
      <c r="BG19" s="6"/>
      <c r="BH19" s="6"/>
      <c r="BI19" s="6"/>
      <c r="BJ19" s="6"/>
      <c r="BK19" s="6"/>
      <c r="BL19" s="6"/>
      <c r="BM19" s="6"/>
      <c r="BN19" s="6"/>
      <c r="BO19" s="7"/>
      <c r="BS19"/>
      <c r="BT19"/>
    </row>
    <row r="20" spans="2:72" ht="16.5">
      <c r="B20" s="4">
        <f t="shared" ref="B20:B26" si="2">1+B19</f>
        <v>3</v>
      </c>
      <c r="C20" s="299" t="s">
        <v>55</v>
      </c>
      <c r="D20" s="5">
        <f>IF(C14+B19*L14&gt;=F14,0,C14+B19*L14)</f>
        <v>0</v>
      </c>
      <c r="E20" s="6"/>
      <c r="F20" s="6"/>
      <c r="G20" s="6"/>
      <c r="H20" s="6"/>
      <c r="I20" s="6"/>
      <c r="J20" s="6"/>
      <c r="K20" s="6"/>
      <c r="L20" s="6"/>
      <c r="M20" s="6"/>
      <c r="N20" s="6"/>
      <c r="O20" s="6"/>
      <c r="P20" s="6"/>
      <c r="Q20" s="6"/>
      <c r="R20" s="6"/>
      <c r="S20" s="6"/>
      <c r="T20" s="6"/>
      <c r="U20" s="6"/>
      <c r="V20" s="6"/>
      <c r="W20" s="6"/>
      <c r="X20" s="6"/>
      <c r="Y20" s="6"/>
      <c r="Z20" s="6"/>
      <c r="AA20" s="6"/>
      <c r="AB20" s="6"/>
      <c r="AC20" s="6"/>
      <c r="AD20" s="6"/>
      <c r="AE20" s="6"/>
      <c r="AF20" s="6"/>
      <c r="AG20" s="6"/>
      <c r="AH20" s="6"/>
      <c r="AI20" s="6"/>
      <c r="AJ20" s="6"/>
      <c r="AK20" s="6"/>
      <c r="AL20" s="6"/>
      <c r="AM20" s="6"/>
      <c r="AN20" s="6"/>
      <c r="AO20" s="6"/>
      <c r="AP20" s="6"/>
      <c r="AQ20" s="6"/>
      <c r="AR20" s="57"/>
      <c r="AS20" s="6"/>
      <c r="AT20" s="6"/>
      <c r="AU20" s="6"/>
      <c r="AV20" s="6"/>
      <c r="AW20" s="6"/>
      <c r="AX20" s="6"/>
      <c r="AY20" s="6"/>
      <c r="AZ20" s="6"/>
      <c r="BA20" s="6"/>
      <c r="BB20" s="6"/>
      <c r="BC20" s="6"/>
      <c r="BD20" s="6"/>
      <c r="BE20" s="6"/>
      <c r="BF20" s="6"/>
      <c r="BG20" s="6"/>
      <c r="BH20" s="6"/>
      <c r="BI20" s="6"/>
      <c r="BJ20" s="6"/>
      <c r="BK20" s="6"/>
      <c r="BL20" s="6"/>
      <c r="BM20" s="6"/>
      <c r="BN20" s="6"/>
      <c r="BO20" s="7"/>
      <c r="BS20"/>
      <c r="BT20"/>
    </row>
    <row r="21" spans="2:72" ht="16.5">
      <c r="B21" s="4">
        <f t="shared" si="2"/>
        <v>4</v>
      </c>
      <c r="C21" s="299" t="s">
        <v>55</v>
      </c>
      <c r="D21" s="5">
        <f>IF(C14+B20*L14&gt;=F14,0,C14+B20*L14)</f>
        <v>0</v>
      </c>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6"/>
      <c r="AK21" s="6"/>
      <c r="AL21" s="6"/>
      <c r="AM21" s="6"/>
      <c r="AN21" s="6"/>
      <c r="AO21" s="6"/>
      <c r="AP21" s="6"/>
      <c r="AQ21" s="6"/>
      <c r="AR21" s="57"/>
      <c r="AS21" s="6"/>
      <c r="AT21" s="6"/>
      <c r="AU21" s="6"/>
      <c r="AV21" s="6"/>
      <c r="AW21" s="6"/>
      <c r="AX21" s="6"/>
      <c r="AY21" s="6"/>
      <c r="AZ21" s="6"/>
      <c r="BA21" s="6"/>
      <c r="BB21" s="6"/>
      <c r="BC21" s="6"/>
      <c r="BD21" s="6"/>
      <c r="BE21" s="6"/>
      <c r="BF21" s="6"/>
      <c r="BG21" s="6"/>
      <c r="BH21" s="6"/>
      <c r="BI21" s="6"/>
      <c r="BJ21" s="6"/>
      <c r="BK21" s="6"/>
      <c r="BL21" s="6"/>
      <c r="BM21" s="6"/>
      <c r="BN21" s="6"/>
      <c r="BO21" s="7"/>
      <c r="BS21"/>
      <c r="BT21"/>
    </row>
    <row r="22" spans="2:72" ht="16.5">
      <c r="B22" s="4">
        <f t="shared" si="2"/>
        <v>5</v>
      </c>
      <c r="C22" s="299" t="s">
        <v>55</v>
      </c>
      <c r="D22" s="5">
        <f>IF(C14+B21*L14&gt;=F14,0,C14+B21*L14)</f>
        <v>0</v>
      </c>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6"/>
      <c r="AK22" s="6"/>
      <c r="AL22" s="6"/>
      <c r="AM22" s="6"/>
      <c r="AN22" s="6"/>
      <c r="AO22" s="6"/>
      <c r="AP22" s="6"/>
      <c r="AQ22" s="6"/>
      <c r="AR22" s="57"/>
      <c r="AS22" s="6"/>
      <c r="AT22" s="6"/>
      <c r="AU22" s="6"/>
      <c r="AV22" s="6"/>
      <c r="AW22" s="6"/>
      <c r="AX22" s="6"/>
      <c r="AY22" s="6"/>
      <c r="AZ22" s="6"/>
      <c r="BA22" s="6"/>
      <c r="BB22" s="6"/>
      <c r="BC22" s="6"/>
      <c r="BD22" s="6"/>
      <c r="BE22" s="6"/>
      <c r="BF22" s="6"/>
      <c r="BG22" s="6"/>
      <c r="BH22" s="6"/>
      <c r="BI22" s="6"/>
      <c r="BJ22" s="6"/>
      <c r="BK22" s="6"/>
      <c r="BL22" s="6"/>
      <c r="BM22" s="6"/>
      <c r="BN22" s="6"/>
      <c r="BO22" s="7"/>
      <c r="BS22"/>
      <c r="BT22"/>
    </row>
    <row r="23" spans="2:72" ht="16.5">
      <c r="B23" s="4">
        <f t="shared" si="2"/>
        <v>6</v>
      </c>
      <c r="C23" s="299" t="s">
        <v>55</v>
      </c>
      <c r="D23" s="5">
        <f>IF(C14+B22*L14&gt;=F14,0,C14+B22*L14)</f>
        <v>0</v>
      </c>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6"/>
      <c r="AK23" s="6"/>
      <c r="AL23" s="6"/>
      <c r="AM23" s="6"/>
      <c r="AN23" s="6"/>
      <c r="AO23" s="6"/>
      <c r="AP23" s="6"/>
      <c r="AQ23" s="6"/>
      <c r="AR23" s="57"/>
      <c r="AS23" s="6"/>
      <c r="AT23" s="6"/>
      <c r="AU23" s="6"/>
      <c r="AV23" s="6"/>
      <c r="AW23" s="6"/>
      <c r="AX23" s="6"/>
      <c r="AY23" s="6"/>
      <c r="AZ23" s="6"/>
      <c r="BA23" s="6"/>
      <c r="BB23" s="6"/>
      <c r="BC23" s="6"/>
      <c r="BD23" s="6"/>
      <c r="BE23" s="6"/>
      <c r="BF23" s="6"/>
      <c r="BG23" s="6"/>
      <c r="BH23" s="6"/>
      <c r="BI23" s="6"/>
      <c r="BJ23" s="6"/>
      <c r="BK23" s="6"/>
      <c r="BL23" s="6"/>
      <c r="BM23" s="6"/>
      <c r="BN23" s="6"/>
      <c r="BO23" s="7"/>
      <c r="BS23"/>
      <c r="BT23"/>
    </row>
    <row r="24" spans="2:72" ht="16.5">
      <c r="B24" s="4">
        <f t="shared" si="2"/>
        <v>7</v>
      </c>
      <c r="C24" s="299" t="s">
        <v>55</v>
      </c>
      <c r="D24" s="5">
        <f>IF(C14+B23*L14&gt;=F14,0,C14+B23*L14)</f>
        <v>0</v>
      </c>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c r="AH24" s="6"/>
      <c r="AI24" s="6"/>
      <c r="AJ24" s="6"/>
      <c r="AK24" s="6"/>
      <c r="AL24" s="6"/>
      <c r="AM24" s="6"/>
      <c r="AN24" s="6"/>
      <c r="AO24" s="6"/>
      <c r="AP24" s="6"/>
      <c r="AQ24" s="6"/>
      <c r="AR24" s="57"/>
      <c r="AS24" s="6"/>
      <c r="AT24" s="6"/>
      <c r="AU24" s="6"/>
      <c r="AV24" s="6"/>
      <c r="AW24" s="6"/>
      <c r="AX24" s="6"/>
      <c r="AY24" s="6"/>
      <c r="AZ24" s="6"/>
      <c r="BA24" s="6"/>
      <c r="BB24" s="6"/>
      <c r="BC24" s="6"/>
      <c r="BD24" s="6"/>
      <c r="BE24" s="6"/>
      <c r="BF24" s="6"/>
      <c r="BG24" s="6"/>
      <c r="BH24" s="6"/>
      <c r="BI24" s="6"/>
      <c r="BJ24" s="6"/>
      <c r="BK24" s="6"/>
      <c r="BL24" s="6"/>
      <c r="BM24" s="6"/>
      <c r="BN24" s="6"/>
      <c r="BO24" s="7"/>
      <c r="BS24"/>
      <c r="BT24"/>
    </row>
    <row r="25" spans="2:72" ht="16.5">
      <c r="B25" s="4">
        <f t="shared" si="2"/>
        <v>8</v>
      </c>
      <c r="C25" s="299" t="s">
        <v>55</v>
      </c>
      <c r="D25" s="5">
        <f>IF(C14+B24*L14&gt;=F14,0,C14+B24*L14)</f>
        <v>0</v>
      </c>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6"/>
      <c r="AK25" s="6"/>
      <c r="AL25" s="6"/>
      <c r="AM25" s="6"/>
      <c r="AN25" s="6"/>
      <c r="AO25" s="6"/>
      <c r="AP25" s="6"/>
      <c r="AQ25" s="6"/>
      <c r="AR25" s="57"/>
      <c r="AS25" s="6"/>
      <c r="AT25" s="6"/>
      <c r="AU25" s="6"/>
      <c r="AV25" s="6"/>
      <c r="AW25" s="6"/>
      <c r="AX25" s="6"/>
      <c r="AY25" s="6"/>
      <c r="AZ25" s="6"/>
      <c r="BA25" s="6"/>
      <c r="BB25" s="6"/>
      <c r="BC25" s="6"/>
      <c r="BD25" s="6"/>
      <c r="BE25" s="6"/>
      <c r="BF25" s="6"/>
      <c r="BG25" s="6"/>
      <c r="BH25" s="6"/>
      <c r="BI25" s="6"/>
      <c r="BJ25" s="6"/>
      <c r="BK25" s="6"/>
      <c r="BL25" s="6"/>
      <c r="BM25" s="6"/>
      <c r="BN25" s="6"/>
      <c r="BO25" s="7"/>
      <c r="BQ25" s="228"/>
      <c r="BR25" s="228"/>
      <c r="BS25"/>
      <c r="BT25"/>
    </row>
    <row r="26" spans="2:72" ht="16.5">
      <c r="B26" s="4">
        <f t="shared" si="2"/>
        <v>9</v>
      </c>
      <c r="C26" s="299" t="s">
        <v>55</v>
      </c>
      <c r="D26" s="5">
        <f>IF(C14+B25*L14&gt;=F14,0,C14+B25*L14)</f>
        <v>0</v>
      </c>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6"/>
      <c r="AK26" s="6"/>
      <c r="AL26" s="6"/>
      <c r="AM26" s="6"/>
      <c r="AN26" s="6"/>
      <c r="AO26" s="6"/>
      <c r="AP26" s="6"/>
      <c r="AQ26" s="6"/>
      <c r="AR26" s="57"/>
      <c r="AS26" s="6"/>
      <c r="AT26" s="6"/>
      <c r="AU26" s="6"/>
      <c r="AV26" s="6"/>
      <c r="AW26" s="6"/>
      <c r="AX26" s="6"/>
      <c r="AY26" s="6"/>
      <c r="AZ26" s="6"/>
      <c r="BA26" s="6"/>
      <c r="BB26" s="6"/>
      <c r="BC26" s="6"/>
      <c r="BD26" s="6"/>
      <c r="BE26" s="6"/>
      <c r="BF26" s="6"/>
      <c r="BG26" s="6"/>
      <c r="BH26" s="6"/>
      <c r="BI26" s="6"/>
      <c r="BJ26" s="6"/>
      <c r="BK26" s="6"/>
      <c r="BL26" s="6"/>
      <c r="BM26" s="6"/>
      <c r="BN26" s="6"/>
      <c r="BO26" s="7"/>
      <c r="BQ26" s="228"/>
      <c r="BR26" s="228"/>
      <c r="BS26"/>
      <c r="BT26"/>
    </row>
    <row r="27" spans="2:72" ht="16.5">
      <c r="B27" s="291" t="s">
        <v>116</v>
      </c>
      <c r="C27" s="298" t="s">
        <v>117</v>
      </c>
      <c r="D27" s="3">
        <f>IF(D17&gt;MAIN!$C$14,MAX($F$9,$F$9*D17/(D17-$F$10)),$F$8)</f>
        <v>3.5000000000000001E-3</v>
      </c>
      <c r="E27" s="304">
        <f>IF(E17&gt;MAIN!$C$14,MAX($F$9,$F$9*E17/(E17-$F$10)),$F$8)</f>
        <v>3.5000000000000001E-3</v>
      </c>
      <c r="F27" s="304">
        <f>IF(F17&gt;MAIN!$C$14,MAX($F$9,$F$9*F17/(F17-$F$10)),$F$8)</f>
        <v>3.5000000000000001E-3</v>
      </c>
      <c r="G27" s="304">
        <f>IF(G17&gt;MAIN!$C$14,MAX($F$9,$F$9*G17/(G17-$F$10)),$F$8)</f>
        <v>3.5000000000000001E-3</v>
      </c>
      <c r="H27" s="304">
        <f>IF(H17&gt;MAIN!$C$14,MAX($F$9,$F$9*H17/(H17-$F$10)),$F$8)</f>
        <v>3.5000000000000001E-3</v>
      </c>
      <c r="I27" s="304">
        <f>IF(I17&gt;MAIN!$C$14,MAX($F$9,$F$9*I17/(I17-$F$10)),$F$8)</f>
        <v>3.5000000000000001E-3</v>
      </c>
      <c r="J27" s="304">
        <f>IF(J17&gt;MAIN!$C$14,MAX($F$9,$F$9*J17/(J17-$F$10)),$F$8)</f>
        <v>3.5000000000000001E-3</v>
      </c>
      <c r="K27" s="304">
        <f>IF(K17&gt;MAIN!$C$14,MAX($F$9,$F$9*K17/(K17-$F$10)),$F$8)</f>
        <v>3.5000000000000001E-3</v>
      </c>
      <c r="L27" s="304">
        <f>IF(L17&gt;MAIN!$C$14,MAX($F$9,$F$9*L17/(L17-$F$10)),$F$8)</f>
        <v>3.5000000000000001E-3</v>
      </c>
      <c r="M27" s="304">
        <f>IF(M17&gt;MAIN!$C$14,MAX($F$9,$F$9*M17/(M17-$F$10)),$F$8)</f>
        <v>3.5000000000000001E-3</v>
      </c>
      <c r="N27" s="304">
        <f>IF(N17&gt;MAIN!$C$14,MAX($F$9,$F$9*N17/(N17-$F$10)),$F$8)</f>
        <v>3.5000000000000001E-3</v>
      </c>
      <c r="O27" s="304">
        <f>IF(O17&gt;MAIN!$C$14,MAX($F$9,$F$9*O17/(O17-$F$10)),$F$8)</f>
        <v>3.5000000000000001E-3</v>
      </c>
      <c r="P27" s="304">
        <f>IF(P17&gt;MAIN!$C$14,MAX($F$9,$F$9*P17/(P17-$F$10)),$F$8)</f>
        <v>3.5000000000000001E-3</v>
      </c>
      <c r="Q27" s="304">
        <f>IF(Q17&gt;MAIN!$C$14,MAX($F$9,$F$9*Q17/(Q17-$F$10)),$F$8)</f>
        <v>3.5000000000000001E-3</v>
      </c>
      <c r="R27" s="304">
        <f>IF(R17&gt;MAIN!$C$14,MAX($F$9,$F$9*R17/(R17-$F$10)),$F$8)</f>
        <v>3.5000000000000001E-3</v>
      </c>
      <c r="S27" s="304">
        <f>IF(S17&gt;MAIN!$C$14,MAX($F$9,$F$9*S17/(S17-$F$10)),$F$8)</f>
        <v>3.5000000000000001E-3</v>
      </c>
      <c r="T27" s="304">
        <f>IF(T17&gt;MAIN!$C$14,MAX($F$9,$F$9*T17/(T17-$F$10)),$F$8)</f>
        <v>3.5000000000000001E-3</v>
      </c>
      <c r="U27" s="304">
        <f>IF(U17&gt;MAIN!$C$14,MAX($F$9,$F$9*U17/(U17-$F$10)),$F$8)</f>
        <v>3.5000000000000001E-3</v>
      </c>
      <c r="V27" s="304">
        <f>IF(V17&gt;MAIN!$C$14,MAX($F$9,$F$9*V17/(V17-$F$10)),$F$8)</f>
        <v>3.5000000000000001E-3</v>
      </c>
      <c r="W27" s="304">
        <f>IF(W17&gt;MAIN!$C$14,MAX($F$9,$F$9*W17/(W17-$F$10)),$F$8)</f>
        <v>3.5000000000000001E-3</v>
      </c>
      <c r="X27" s="304">
        <f>IF(X17&gt;MAIN!$C$14,MAX($F$9,$F$9*X17/(X17-$F$10)),$F$8)</f>
        <v>3.5000000000000001E-3</v>
      </c>
      <c r="Y27" s="304">
        <f>IF(Y17&gt;MAIN!$C$14,MAX($F$9,$F$9*Y17/(Y17-$F$10)),$F$8)</f>
        <v>3.5000000000000001E-3</v>
      </c>
      <c r="Z27" s="304">
        <f>IF(Z17&gt;MAIN!$C$14,MAX($F$9,$F$9*Z17/(Z17-$F$10)),$F$8)</f>
        <v>3.5000000000000001E-3</v>
      </c>
      <c r="AA27" s="304">
        <f>IF(AA17&gt;MAIN!$C$14,MAX($F$9,$F$9*AA17/(AA17-$F$10)),$F$8)</f>
        <v>3.5000000000000001E-3</v>
      </c>
      <c r="AB27" s="304">
        <f>IF(AB17&gt;MAIN!$C$14,MAX($F$9,$F$9*AB17/(AB17-$F$10)),$F$8)</f>
        <v>3.5000000000000001E-3</v>
      </c>
      <c r="AC27" s="304">
        <f>IF(AC17&gt;MAIN!$C$14,MAX($F$9,$F$9*AC17/(AC17-$F$10)),$F$8)</f>
        <v>3.5000000000000001E-3</v>
      </c>
      <c r="AD27" s="304">
        <f>IF(AD17&gt;MAIN!$C$14,MAX($F$9,$F$9*AD17/(AD17-$F$10)),$F$8)</f>
        <v>3.5000000000000001E-3</v>
      </c>
      <c r="AE27" s="304">
        <f>IF(AE17&gt;MAIN!$C$14,MAX($F$9,$F$9*AE17/(AE17-$F$10)),$F$8)</f>
        <v>3.5000000000000001E-3</v>
      </c>
      <c r="AF27" s="304">
        <f>IF(AF17&gt;MAIN!$C$14,MAX($F$9,$F$9*AF17/(AF17-$F$10)),$F$8)</f>
        <v>3.5000000000000001E-3</v>
      </c>
      <c r="AG27" s="304">
        <f>IF(AG17&gt;MAIN!$C$14,MAX($F$9,$F$9*AG17/(AG17-$F$10)),$F$8)</f>
        <v>3.5000000000000001E-3</v>
      </c>
      <c r="AH27" s="304">
        <f>IF(AH17&gt;MAIN!$C$14,MAX($F$9,$F$9*AH17/(AH17-$F$10)),$F$8)</f>
        <v>3.5000000000000001E-3</v>
      </c>
      <c r="AI27" s="304">
        <f>IF(AI17&gt;MAIN!$C$14,MAX($F$9,$F$9*AI17/(AI17-$F$10)),$F$8)</f>
        <v>3.5000000000000001E-3</v>
      </c>
      <c r="AJ27" s="304">
        <f>IF(AJ17&gt;MAIN!$C$14,MAX($F$9,$F$9*AJ17/(AJ17-$F$10)),$F$8)</f>
        <v>3.5000000000000001E-3</v>
      </c>
      <c r="AK27" s="304">
        <f>IF(AK17&gt;MAIN!$C$14,MAX($F$9,$F$9*AK17/(AK17-$F$10)),$F$8)</f>
        <v>3.5000000000000001E-3</v>
      </c>
      <c r="AL27" s="304">
        <f>IF(AL17&gt;MAIN!$C$14,MAX($F$9,$F$9*AL17/(AL17-$F$10)),$F$8)</f>
        <v>3.5000000000000001E-3</v>
      </c>
      <c r="AM27" s="304">
        <f>IF(AM17&gt;MAIN!$C$14,MAX($F$9,$F$9*AM17/(AM17-$F$10)),$F$8)</f>
        <v>3.5000000000000001E-3</v>
      </c>
      <c r="AN27" s="304">
        <f>IF(AN17&gt;MAIN!$C$14,MAX($F$9,$F$9*AN17/(AN17-$F$10)),$F$8)</f>
        <v>3.5000000000000001E-3</v>
      </c>
      <c r="AO27" s="304">
        <f>IF(AO17&gt;MAIN!$C$14,MAX($F$9,$F$9*AO17/(AO17-$F$10)),$F$8)</f>
        <v>3.5000000000000001E-3</v>
      </c>
      <c r="AP27" s="304">
        <f>IF(AP17&gt;MAIN!$C$14,MAX($F$9,$F$9*AP17/(AP17-$F$10)),$F$8)</f>
        <v>3.5000000000000001E-3</v>
      </c>
      <c r="AQ27" s="304">
        <f>IF(AQ17&gt;MAIN!$C$14,MAX($F$9,$F$9*AQ17/(AQ17-$F$10)),$F$8)</f>
        <v>3.5000000000000001E-3</v>
      </c>
      <c r="AR27" s="56">
        <f>IF(AR17&gt;MAIN!$C$14,MAX($F$9,$F$9*AR17/(AR17-$F$10)),$F$8)</f>
        <v>3.5000000000000001E-3</v>
      </c>
      <c r="AS27" s="304">
        <f>IF(AS17&gt;MAIN!$C$14,MAX($F$9,$F$9*AS17/(AS17-$F$10)),$F$8)</f>
        <v>3.5000000000000001E-3</v>
      </c>
      <c r="AT27" s="304">
        <f>IF(AT17&gt;MAIN!$C$14,MAX($F$9,$F$9*AT17/(AT17-$F$10)),$F$8)</f>
        <v>3.5000000000000001E-3</v>
      </c>
      <c r="AU27" s="304">
        <f>IF(AU17&gt;MAIN!$C$14,MAX($F$9,$F$9*AU17/(AU17-$F$10)),$F$8)</f>
        <v>3.5000000000000001E-3</v>
      </c>
      <c r="AV27" s="304">
        <f>IF(AV17&gt;MAIN!$C$14,MAX($F$9,$F$9*AV17/(AV17-$F$10)),$F$8)</f>
        <v>3.5000000000000001E-3</v>
      </c>
      <c r="AW27" s="304">
        <f>IF(AW17&gt;MAIN!$C$14,MAX($F$9,$F$9*AW17/(AW17-$F$10)),$F$8)</f>
        <v>3.5000000000000001E-3</v>
      </c>
      <c r="AX27" s="304">
        <f>IF(AX17&gt;MAIN!$C$14,MAX($F$9,$F$9*AX17/(AX17-$F$10)),$F$8)</f>
        <v>3.5000000000000001E-3</v>
      </c>
      <c r="AY27" s="304">
        <f>IF(AY17&gt;MAIN!$C$14,MAX($F$9,$F$9*AY17/(AY17-$F$10)),$F$8)</f>
        <v>3.5000000000000001E-3</v>
      </c>
      <c r="AZ27" s="304">
        <f>IF(AZ17&gt;MAIN!$C$14,MAX($F$9,$F$9*AZ17/(AZ17-$F$10)),$F$8)</f>
        <v>3.5000000000000001E-3</v>
      </c>
      <c r="BA27" s="304">
        <f>IF(BA17&gt;MAIN!$C$14,MAX($F$9,$F$9*BA17/(BA17-$F$10)),$F$8)</f>
        <v>3.5000000000000001E-3</v>
      </c>
      <c r="BB27" s="304">
        <f>IF(BB17&gt;MAIN!$C$14,MAX($F$9,$F$9*BB17/(BB17-$F$10)),$F$8)</f>
        <v>3.5000000000000001E-3</v>
      </c>
      <c r="BC27" s="304">
        <f>IF(BC17&gt;MAIN!$C$14,MAX($F$9,$F$9*BC17/(BC17-$F$10)),$F$8)</f>
        <v>3.5000000000000001E-3</v>
      </c>
      <c r="BD27" s="304">
        <f>IF(BD17&gt;MAIN!$C$14,MAX($F$9,$F$9*BD17/(BD17-$F$10)),$F$8)</f>
        <v>3.5000000000000001E-3</v>
      </c>
      <c r="BE27" s="304">
        <f>IF(BE17&gt;MAIN!$C$14,MAX($F$9,$F$9*BE17/(BE17-$F$10)),$F$8)</f>
        <v>3.4619902941350543E-3</v>
      </c>
      <c r="BF27" s="304">
        <f>IF(BF17&gt;MAIN!$C$14,MAX($F$9,$F$9*BF17/(BF17-$F$10)),$F$8)</f>
        <v>3.3382595168374822E-3</v>
      </c>
      <c r="BG27" s="304">
        <f>IF(BG17&gt;MAIN!$C$14,MAX($F$9,$F$9*BG17/(BG17-$F$10)),$F$8)</f>
        <v>3.2312080766014103E-3</v>
      </c>
      <c r="BH27" s="304">
        <f>IF(BH17&gt;MAIN!$C$14,MAX($F$9,$F$9*BH17/(BH17-$F$10)),$F$8)</f>
        <v>3.1376762928139695E-3</v>
      </c>
      <c r="BI27" s="304">
        <f>IF(BI17&gt;MAIN!$C$14,MAX($F$9,$F$9*BI17/(BI17-$F$10)),$F$8)</f>
        <v>3.0552551626633782E-3</v>
      </c>
      <c r="BJ27" s="304">
        <f>IF(BJ17&gt;MAIN!$C$14,MAX($F$9,$F$9*BJ17/(BJ17-$F$10)),$F$8)</f>
        <v>2.982075927082742E-3</v>
      </c>
      <c r="BK27" s="304">
        <f>IF(BK17&gt;MAIN!$C$14,MAX($F$9,$F$9*BK17/(BK17-$F$10)),$F$8)</f>
        <v>2.9166666666666668E-3</v>
      </c>
      <c r="BL27" s="304">
        <f>IF(BL17&gt;MAIN!$C$14,MAX($F$9,$F$9*BL17/(BL17-$F$10)),$F$8)</f>
        <v>2.40625E-3</v>
      </c>
      <c r="BM27" s="304">
        <f>IF(BM17&gt;MAIN!$C$14,MAX($F$9,$F$9*BM17/(BM17-$F$10)),$F$8)</f>
        <v>2.2065217391304347E-3</v>
      </c>
      <c r="BN27" s="304">
        <f>IF(BN17&gt;MAIN!$C$14,MAX($F$9,$F$9*BN17/(BN17-$F$10)),$F$8)</f>
        <v>2.0999999999999999E-3</v>
      </c>
      <c r="BO27" s="3">
        <f>$F$9</f>
        <v>1.75E-3</v>
      </c>
      <c r="BQ27" s="228"/>
      <c r="BR27" s="228"/>
      <c r="BS27"/>
      <c r="BT27"/>
    </row>
    <row r="28" spans="2:72" ht="16.5">
      <c r="B28" s="292" t="s">
        <v>118</v>
      </c>
      <c r="C28" s="300" t="s">
        <v>56</v>
      </c>
      <c r="D28" s="8">
        <f>D27*(D17-$C14)/D17</f>
        <v>-2.8676591468950692E-5</v>
      </c>
      <c r="E28" s="305">
        <f t="shared" ref="E28:BK28" si="3">E27*(E17-$C14)/E17</f>
        <v>9.7853440542614622E-5</v>
      </c>
      <c r="F28" s="305">
        <f t="shared" si="3"/>
        <v>2.1562344848440355E-4</v>
      </c>
      <c r="G28" s="305">
        <f t="shared" si="3"/>
        <v>3.2551271578644641E-4</v>
      </c>
      <c r="H28" s="305">
        <f t="shared" si="3"/>
        <v>4.2828665876637343E-4</v>
      </c>
      <c r="I28" s="305">
        <f t="shared" si="3"/>
        <v>5.2461468082428309E-4</v>
      </c>
      <c r="J28" s="305">
        <f t="shared" si="3"/>
        <v>6.1508476937090293E-4</v>
      </c>
      <c r="K28" s="305">
        <f t="shared" si="3"/>
        <v>7.0021550831804891E-4</v>
      </c>
      <c r="L28" s="305">
        <f t="shared" si="3"/>
        <v>7.8046602467744754E-4</v>
      </c>
      <c r="M28" s="305">
        <f t="shared" si="3"/>
        <v>8.5624427222207923E-4</v>
      </c>
      <c r="N28" s="305">
        <f t="shared" si="3"/>
        <v>9.2791396777458643E-4</v>
      </c>
      <c r="O28" s="305">
        <f t="shared" si="3"/>
        <v>9.9580042905635536E-4</v>
      </c>
      <c r="P28" s="305">
        <f t="shared" si="3"/>
        <v>1.060195511820586E-3</v>
      </c>
      <c r="Q28" s="305">
        <f t="shared" si="3"/>
        <v>1.121361804337024E-3</v>
      </c>
      <c r="R28" s="305">
        <f t="shared" si="3"/>
        <v>1.1795362063691077E-3</v>
      </c>
      <c r="S28" s="305">
        <f t="shared" si="3"/>
        <v>1.2349329955022826E-3</v>
      </c>
      <c r="T28" s="305">
        <f t="shared" si="3"/>
        <v>1.2877464644957754E-3</v>
      </c>
      <c r="U28" s="305">
        <f t="shared" si="3"/>
        <v>1.3381531980781664E-3</v>
      </c>
      <c r="V28" s="305">
        <f t="shared" si="3"/>
        <v>1.3863140454131516E-3</v>
      </c>
      <c r="W28" s="305">
        <f t="shared" si="3"/>
        <v>1.4323758346595338E-3</v>
      </c>
      <c r="X28" s="305">
        <f t="shared" si="3"/>
        <v>1.4764728681286397E-3</v>
      </c>
      <c r="Y28" s="305">
        <f t="shared" si="3"/>
        <v>1.5187282301101722E-3</v>
      </c>
      <c r="Z28" s="305">
        <f t="shared" si="3"/>
        <v>1.5592549341894297E-3</v>
      </c>
      <c r="AA28" s="305">
        <f t="shared" si="3"/>
        <v>1.5981569325775179E-3</v>
      </c>
      <c r="AB28" s="305">
        <f t="shared" si="3"/>
        <v>1.6355300064356171E-3</v>
      </c>
      <c r="AC28" s="305">
        <f t="shared" si="3"/>
        <v>1.6714625532478959E-3</v>
      </c>
      <c r="AD28" s="305">
        <f t="shared" si="3"/>
        <v>1.7060362848691989E-3</v>
      </c>
      <c r="AE28" s="305">
        <f t="shared" si="3"/>
        <v>1.7393268478507586E-3</v>
      </c>
      <c r="AF28" s="305">
        <f t="shared" si="3"/>
        <v>1.7714043759559964E-3</v>
      </c>
      <c r="AG28" s="305">
        <f t="shared" si="3"/>
        <v>1.8023339833596274E-3</v>
      </c>
      <c r="AH28" s="305">
        <f t="shared" si="3"/>
        <v>1.8321762058289076E-3</v>
      </c>
      <c r="AI28" s="305">
        <f t="shared" si="3"/>
        <v>1.8609873961771891E-3</v>
      </c>
      <c r="AJ28" s="305">
        <f t="shared" si="3"/>
        <v>1.888820079425406E-3</v>
      </c>
      <c r="AK28" s="305">
        <f t="shared" si="3"/>
        <v>1.9157232723810275E-3</v>
      </c>
      <c r="AL28" s="305">
        <f t="shared" si="3"/>
        <v>1.941742771725221E-3</v>
      </c>
      <c r="AM28" s="305">
        <f t="shared" si="3"/>
        <v>1.9669214141701851E-3</v>
      </c>
      <c r="AN28" s="305">
        <f t="shared" si="3"/>
        <v>1.9912993117954894E-3</v>
      </c>
      <c r="AO28" s="305">
        <f t="shared" si="3"/>
        <v>2.0149140652829726E-3</v>
      </c>
      <c r="AP28" s="305">
        <f t="shared" si="3"/>
        <v>2.0378009574344652E-3</v>
      </c>
      <c r="AQ28" s="305">
        <f t="shared" si="3"/>
        <v>2.0599931290670986E-3</v>
      </c>
      <c r="AR28" s="58">
        <f t="shared" si="3"/>
        <v>2.0815217391304346E-3</v>
      </c>
      <c r="AS28" s="305">
        <f t="shared" si="3"/>
        <v>2.187425557257104E-3</v>
      </c>
      <c r="AT28" s="305">
        <f t="shared" si="3"/>
        <v>2.2786144048414902E-3</v>
      </c>
      <c r="AU28" s="305">
        <f t="shared" si="3"/>
        <v>2.3579559474264282E-3</v>
      </c>
      <c r="AV28" s="305">
        <f t="shared" si="3"/>
        <v>2.4276181649675625E-3</v>
      </c>
      <c r="AW28" s="305">
        <f t="shared" si="3"/>
        <v>2.4892704799895178E-3</v>
      </c>
      <c r="AX28" s="305">
        <f t="shared" si="3"/>
        <v>2.5442192791651753E-3</v>
      </c>
      <c r="AY28" s="305">
        <f t="shared" si="3"/>
        <v>2.5935015080888399E-3</v>
      </c>
      <c r="AZ28" s="305">
        <f t="shared" si="3"/>
        <v>2.6379507301082742E-3</v>
      </c>
      <c r="BA28" s="305">
        <f t="shared" si="3"/>
        <v>2.6782446588151745E-3</v>
      </c>
      <c r="BB28" s="305">
        <f t="shared" si="3"/>
        <v>2.7149399552208429E-3</v>
      </c>
      <c r="BC28" s="305">
        <f t="shared" si="3"/>
        <v>2.7484981002998386E-3</v>
      </c>
      <c r="BD28" s="305">
        <f t="shared" si="3"/>
        <v>2.7793049038741021E-3</v>
      </c>
      <c r="BE28" s="305">
        <f t="shared" si="3"/>
        <v>2.7771941764810327E-3</v>
      </c>
      <c r="BF28" s="305">
        <f t="shared" si="3"/>
        <v>2.7029557101024893E-3</v>
      </c>
      <c r="BG28" s="305">
        <f t="shared" si="3"/>
        <v>2.6387248459608464E-3</v>
      </c>
      <c r="BH28" s="305">
        <f t="shared" si="3"/>
        <v>2.582605775688382E-3</v>
      </c>
      <c r="BI28" s="305">
        <f t="shared" si="3"/>
        <v>2.5331530975980267E-3</v>
      </c>
      <c r="BJ28" s="305">
        <f t="shared" si="3"/>
        <v>2.489245556249645E-3</v>
      </c>
      <c r="BK28" s="305">
        <f t="shared" si="3"/>
        <v>2.4500000000000004E-3</v>
      </c>
      <c r="BL28" s="305">
        <f>BL27*(BL17-$C14)/BL17</f>
        <v>2.1437499999999998E-3</v>
      </c>
      <c r="BM28" s="305">
        <f>BM27*(BM17-$C14)/BM17</f>
        <v>2.0239130434782609E-3</v>
      </c>
      <c r="BN28" s="305">
        <f>BN27*(BN17-$C14)/BN17</f>
        <v>1.9599999999999999E-3</v>
      </c>
      <c r="BO28" s="8">
        <f>BO27</f>
        <v>1.75E-3</v>
      </c>
      <c r="BR28" s="228"/>
      <c r="BS28"/>
      <c r="BT28"/>
    </row>
    <row r="29" spans="2:72" ht="16.5">
      <c r="B29" s="9">
        <v>2</v>
      </c>
      <c r="C29" s="300" t="s">
        <v>57</v>
      </c>
      <c r="D29" s="8">
        <f>IF($D19=0,0,D27*(D17-$D19)/D17)</f>
        <v>0</v>
      </c>
      <c r="E29" s="305">
        <f t="shared" ref="E29:BK29" si="4">IF($D19=0,0,E27*(E17-$D19)/E17)</f>
        <v>0</v>
      </c>
      <c r="F29" s="305">
        <f t="shared" si="4"/>
        <v>0</v>
      </c>
      <c r="G29" s="305">
        <f t="shared" si="4"/>
        <v>0</v>
      </c>
      <c r="H29" s="305">
        <f t="shared" si="4"/>
        <v>0</v>
      </c>
      <c r="I29" s="305">
        <f t="shared" si="4"/>
        <v>0</v>
      </c>
      <c r="J29" s="305">
        <f t="shared" si="4"/>
        <v>0</v>
      </c>
      <c r="K29" s="305">
        <f t="shared" si="4"/>
        <v>0</v>
      </c>
      <c r="L29" s="305">
        <f t="shared" si="4"/>
        <v>0</v>
      </c>
      <c r="M29" s="305">
        <f t="shared" si="4"/>
        <v>0</v>
      </c>
      <c r="N29" s="305">
        <f t="shared" si="4"/>
        <v>0</v>
      </c>
      <c r="O29" s="305">
        <f t="shared" si="4"/>
        <v>0</v>
      </c>
      <c r="P29" s="305">
        <f t="shared" si="4"/>
        <v>0</v>
      </c>
      <c r="Q29" s="305">
        <f t="shared" si="4"/>
        <v>0</v>
      </c>
      <c r="R29" s="305">
        <f t="shared" si="4"/>
        <v>0</v>
      </c>
      <c r="S29" s="305">
        <f t="shared" si="4"/>
        <v>0</v>
      </c>
      <c r="T29" s="305">
        <f t="shared" si="4"/>
        <v>0</v>
      </c>
      <c r="U29" s="305">
        <f t="shared" si="4"/>
        <v>0</v>
      </c>
      <c r="V29" s="305">
        <f t="shared" si="4"/>
        <v>0</v>
      </c>
      <c r="W29" s="305">
        <f t="shared" si="4"/>
        <v>0</v>
      </c>
      <c r="X29" s="305">
        <f t="shared" si="4"/>
        <v>0</v>
      </c>
      <c r="Y29" s="305">
        <f t="shared" si="4"/>
        <v>0</v>
      </c>
      <c r="Z29" s="305">
        <f t="shared" si="4"/>
        <v>0</v>
      </c>
      <c r="AA29" s="305">
        <f t="shared" si="4"/>
        <v>0</v>
      </c>
      <c r="AB29" s="305">
        <f t="shared" si="4"/>
        <v>0</v>
      </c>
      <c r="AC29" s="305">
        <f t="shared" si="4"/>
        <v>0</v>
      </c>
      <c r="AD29" s="305">
        <f t="shared" si="4"/>
        <v>0</v>
      </c>
      <c r="AE29" s="305">
        <f t="shared" si="4"/>
        <v>0</v>
      </c>
      <c r="AF29" s="305">
        <f t="shared" si="4"/>
        <v>0</v>
      </c>
      <c r="AG29" s="305">
        <f t="shared" si="4"/>
        <v>0</v>
      </c>
      <c r="AH29" s="305">
        <f t="shared" si="4"/>
        <v>0</v>
      </c>
      <c r="AI29" s="305">
        <f t="shared" si="4"/>
        <v>0</v>
      </c>
      <c r="AJ29" s="305">
        <f t="shared" si="4"/>
        <v>0</v>
      </c>
      <c r="AK29" s="305">
        <f t="shared" si="4"/>
        <v>0</v>
      </c>
      <c r="AL29" s="305">
        <f t="shared" si="4"/>
        <v>0</v>
      </c>
      <c r="AM29" s="305">
        <f t="shared" si="4"/>
        <v>0</v>
      </c>
      <c r="AN29" s="305">
        <f t="shared" si="4"/>
        <v>0</v>
      </c>
      <c r="AO29" s="305">
        <f t="shared" si="4"/>
        <v>0</v>
      </c>
      <c r="AP29" s="305">
        <f t="shared" si="4"/>
        <v>0</v>
      </c>
      <c r="AQ29" s="305">
        <f t="shared" si="4"/>
        <v>0</v>
      </c>
      <c r="AR29" s="58">
        <f t="shared" si="4"/>
        <v>0</v>
      </c>
      <c r="AS29" s="305">
        <f t="shared" si="4"/>
        <v>0</v>
      </c>
      <c r="AT29" s="305">
        <f t="shared" si="4"/>
        <v>0</v>
      </c>
      <c r="AU29" s="305">
        <f t="shared" si="4"/>
        <v>0</v>
      </c>
      <c r="AV29" s="305">
        <f t="shared" si="4"/>
        <v>0</v>
      </c>
      <c r="AW29" s="305">
        <f t="shared" si="4"/>
        <v>0</v>
      </c>
      <c r="AX29" s="305">
        <f t="shared" si="4"/>
        <v>0</v>
      </c>
      <c r="AY29" s="305">
        <f t="shared" si="4"/>
        <v>0</v>
      </c>
      <c r="AZ29" s="305">
        <f t="shared" si="4"/>
        <v>0</v>
      </c>
      <c r="BA29" s="305">
        <f t="shared" si="4"/>
        <v>0</v>
      </c>
      <c r="BB29" s="305">
        <f t="shared" si="4"/>
        <v>0</v>
      </c>
      <c r="BC29" s="305">
        <f t="shared" si="4"/>
        <v>0</v>
      </c>
      <c r="BD29" s="305">
        <f t="shared" si="4"/>
        <v>0</v>
      </c>
      <c r="BE29" s="305">
        <f t="shared" si="4"/>
        <v>0</v>
      </c>
      <c r="BF29" s="305">
        <f t="shared" si="4"/>
        <v>0</v>
      </c>
      <c r="BG29" s="305">
        <f t="shared" si="4"/>
        <v>0</v>
      </c>
      <c r="BH29" s="305">
        <f t="shared" si="4"/>
        <v>0</v>
      </c>
      <c r="BI29" s="305">
        <f t="shared" si="4"/>
        <v>0</v>
      </c>
      <c r="BJ29" s="305">
        <f t="shared" si="4"/>
        <v>0</v>
      </c>
      <c r="BK29" s="305">
        <f t="shared" si="4"/>
        <v>0</v>
      </c>
      <c r="BL29" s="305">
        <f>IF($D19=0,0,BL27*(BL17-$D19)/BL17)</f>
        <v>0</v>
      </c>
      <c r="BM29" s="305">
        <f>IF($D19=0,0,BM27*(BM17-$D19)/BM17)</f>
        <v>0</v>
      </c>
      <c r="BN29" s="305">
        <f>IF($D19=0,0,BN27*(BN17-$D19)/BN17)</f>
        <v>0</v>
      </c>
      <c r="BO29" s="8">
        <f>IF(D29=0,0,BO28)</f>
        <v>0</v>
      </c>
      <c r="BR29" s="228"/>
      <c r="BS29"/>
      <c r="BT29"/>
    </row>
    <row r="30" spans="2:72" ht="16.5">
      <c r="B30" s="9">
        <f t="shared" ref="B30:B36" si="5">1+B29</f>
        <v>3</v>
      </c>
      <c r="C30" s="300" t="s">
        <v>57</v>
      </c>
      <c r="D30" s="8">
        <f>IF($D20=0,0,D27*(D17-$D20)/D17)</f>
        <v>0</v>
      </c>
      <c r="E30" s="305">
        <f t="shared" ref="E30:BK30" si="6">IF($D20=0,0,E27*(E17-$D20)/E17)</f>
        <v>0</v>
      </c>
      <c r="F30" s="305">
        <f t="shared" si="6"/>
        <v>0</v>
      </c>
      <c r="G30" s="305">
        <f t="shared" si="6"/>
        <v>0</v>
      </c>
      <c r="H30" s="305">
        <f t="shared" si="6"/>
        <v>0</v>
      </c>
      <c r="I30" s="305">
        <f t="shared" si="6"/>
        <v>0</v>
      </c>
      <c r="J30" s="305">
        <f t="shared" si="6"/>
        <v>0</v>
      </c>
      <c r="K30" s="305">
        <f t="shared" si="6"/>
        <v>0</v>
      </c>
      <c r="L30" s="305">
        <f t="shared" si="6"/>
        <v>0</v>
      </c>
      <c r="M30" s="305">
        <f t="shared" si="6"/>
        <v>0</v>
      </c>
      <c r="N30" s="305">
        <f t="shared" si="6"/>
        <v>0</v>
      </c>
      <c r="O30" s="305">
        <f t="shared" si="6"/>
        <v>0</v>
      </c>
      <c r="P30" s="305">
        <f t="shared" si="6"/>
        <v>0</v>
      </c>
      <c r="Q30" s="305">
        <f t="shared" si="6"/>
        <v>0</v>
      </c>
      <c r="R30" s="305">
        <f t="shared" si="6"/>
        <v>0</v>
      </c>
      <c r="S30" s="305">
        <f t="shared" si="6"/>
        <v>0</v>
      </c>
      <c r="T30" s="305">
        <f t="shared" si="6"/>
        <v>0</v>
      </c>
      <c r="U30" s="305">
        <f t="shared" si="6"/>
        <v>0</v>
      </c>
      <c r="V30" s="305">
        <f t="shared" si="6"/>
        <v>0</v>
      </c>
      <c r="W30" s="305">
        <f t="shared" si="6"/>
        <v>0</v>
      </c>
      <c r="X30" s="305">
        <f t="shared" si="6"/>
        <v>0</v>
      </c>
      <c r="Y30" s="305">
        <f t="shared" si="6"/>
        <v>0</v>
      </c>
      <c r="Z30" s="305">
        <f t="shared" si="6"/>
        <v>0</v>
      </c>
      <c r="AA30" s="305">
        <f t="shared" si="6"/>
        <v>0</v>
      </c>
      <c r="AB30" s="305">
        <f t="shared" si="6"/>
        <v>0</v>
      </c>
      <c r="AC30" s="305">
        <f t="shared" si="6"/>
        <v>0</v>
      </c>
      <c r="AD30" s="305">
        <f t="shared" si="6"/>
        <v>0</v>
      </c>
      <c r="AE30" s="305">
        <f t="shared" si="6"/>
        <v>0</v>
      </c>
      <c r="AF30" s="305">
        <f t="shared" si="6"/>
        <v>0</v>
      </c>
      <c r="AG30" s="305">
        <f t="shared" si="6"/>
        <v>0</v>
      </c>
      <c r="AH30" s="305">
        <f t="shared" si="6"/>
        <v>0</v>
      </c>
      <c r="AI30" s="305">
        <f t="shared" si="6"/>
        <v>0</v>
      </c>
      <c r="AJ30" s="305">
        <f t="shared" si="6"/>
        <v>0</v>
      </c>
      <c r="AK30" s="305">
        <f t="shared" si="6"/>
        <v>0</v>
      </c>
      <c r="AL30" s="305">
        <f t="shared" si="6"/>
        <v>0</v>
      </c>
      <c r="AM30" s="305">
        <f t="shared" si="6"/>
        <v>0</v>
      </c>
      <c r="AN30" s="305">
        <f t="shared" si="6"/>
        <v>0</v>
      </c>
      <c r="AO30" s="305">
        <f t="shared" si="6"/>
        <v>0</v>
      </c>
      <c r="AP30" s="305">
        <f t="shared" si="6"/>
        <v>0</v>
      </c>
      <c r="AQ30" s="305">
        <f t="shared" si="6"/>
        <v>0</v>
      </c>
      <c r="AR30" s="58">
        <f t="shared" si="6"/>
        <v>0</v>
      </c>
      <c r="AS30" s="305">
        <f t="shared" si="6"/>
        <v>0</v>
      </c>
      <c r="AT30" s="305">
        <f t="shared" si="6"/>
        <v>0</v>
      </c>
      <c r="AU30" s="305">
        <f t="shared" si="6"/>
        <v>0</v>
      </c>
      <c r="AV30" s="305">
        <f t="shared" si="6"/>
        <v>0</v>
      </c>
      <c r="AW30" s="305">
        <f t="shared" si="6"/>
        <v>0</v>
      </c>
      <c r="AX30" s="305">
        <f t="shared" si="6"/>
        <v>0</v>
      </c>
      <c r="AY30" s="305">
        <f t="shared" si="6"/>
        <v>0</v>
      </c>
      <c r="AZ30" s="305">
        <f t="shared" si="6"/>
        <v>0</v>
      </c>
      <c r="BA30" s="305">
        <f t="shared" si="6"/>
        <v>0</v>
      </c>
      <c r="BB30" s="305">
        <f t="shared" si="6"/>
        <v>0</v>
      </c>
      <c r="BC30" s="305">
        <f t="shared" si="6"/>
        <v>0</v>
      </c>
      <c r="BD30" s="305">
        <f t="shared" si="6"/>
        <v>0</v>
      </c>
      <c r="BE30" s="305">
        <f t="shared" si="6"/>
        <v>0</v>
      </c>
      <c r="BF30" s="305">
        <f t="shared" si="6"/>
        <v>0</v>
      </c>
      <c r="BG30" s="305">
        <f t="shared" si="6"/>
        <v>0</v>
      </c>
      <c r="BH30" s="305">
        <f t="shared" si="6"/>
        <v>0</v>
      </c>
      <c r="BI30" s="305">
        <f t="shared" si="6"/>
        <v>0</v>
      </c>
      <c r="BJ30" s="305">
        <f t="shared" si="6"/>
        <v>0</v>
      </c>
      <c r="BK30" s="305">
        <f t="shared" si="6"/>
        <v>0</v>
      </c>
      <c r="BL30" s="305">
        <f>IF($D20=0,0,BL27*(BL17-$D20)/BL17)</f>
        <v>0</v>
      </c>
      <c r="BM30" s="305">
        <f>IF($D20=0,0,BM27*(BM17-$D20)/BM17)</f>
        <v>0</v>
      </c>
      <c r="BN30" s="305">
        <f>IF($D20=0,0,BN27*(BN17-$D20)/BN17)</f>
        <v>0</v>
      </c>
      <c r="BO30" s="8">
        <f>IF(D30=0,0,BO28)</f>
        <v>0</v>
      </c>
      <c r="BS30"/>
      <c r="BT30"/>
    </row>
    <row r="31" spans="2:72" ht="16.5">
      <c r="B31" s="9">
        <f t="shared" si="5"/>
        <v>4</v>
      </c>
      <c r="C31" s="300" t="s">
        <v>57</v>
      </c>
      <c r="D31" s="8">
        <f>IF($D21=0,0,D27*(D17-$D21)/D17)</f>
        <v>0</v>
      </c>
      <c r="E31" s="305">
        <f t="shared" ref="E31:BK31" si="7">IF($D21=0,0,E27*(E17-$D21)/E17)</f>
        <v>0</v>
      </c>
      <c r="F31" s="305">
        <f t="shared" si="7"/>
        <v>0</v>
      </c>
      <c r="G31" s="305">
        <f t="shared" si="7"/>
        <v>0</v>
      </c>
      <c r="H31" s="305">
        <f t="shared" si="7"/>
        <v>0</v>
      </c>
      <c r="I31" s="305">
        <f t="shared" si="7"/>
        <v>0</v>
      </c>
      <c r="J31" s="305">
        <f t="shared" si="7"/>
        <v>0</v>
      </c>
      <c r="K31" s="305">
        <f t="shared" si="7"/>
        <v>0</v>
      </c>
      <c r="L31" s="305">
        <f t="shared" si="7"/>
        <v>0</v>
      </c>
      <c r="M31" s="305">
        <f t="shared" si="7"/>
        <v>0</v>
      </c>
      <c r="N31" s="305">
        <f t="shared" si="7"/>
        <v>0</v>
      </c>
      <c r="O31" s="305">
        <f t="shared" si="7"/>
        <v>0</v>
      </c>
      <c r="P31" s="305">
        <f t="shared" si="7"/>
        <v>0</v>
      </c>
      <c r="Q31" s="305">
        <f t="shared" si="7"/>
        <v>0</v>
      </c>
      <c r="R31" s="305">
        <f t="shared" si="7"/>
        <v>0</v>
      </c>
      <c r="S31" s="305">
        <f t="shared" si="7"/>
        <v>0</v>
      </c>
      <c r="T31" s="305">
        <f t="shared" si="7"/>
        <v>0</v>
      </c>
      <c r="U31" s="305">
        <f t="shared" si="7"/>
        <v>0</v>
      </c>
      <c r="V31" s="305">
        <f t="shared" si="7"/>
        <v>0</v>
      </c>
      <c r="W31" s="305">
        <f t="shared" si="7"/>
        <v>0</v>
      </c>
      <c r="X31" s="305">
        <f t="shared" si="7"/>
        <v>0</v>
      </c>
      <c r="Y31" s="305">
        <f t="shared" si="7"/>
        <v>0</v>
      </c>
      <c r="Z31" s="305">
        <f t="shared" si="7"/>
        <v>0</v>
      </c>
      <c r="AA31" s="305">
        <f t="shared" si="7"/>
        <v>0</v>
      </c>
      <c r="AB31" s="305">
        <f t="shared" si="7"/>
        <v>0</v>
      </c>
      <c r="AC31" s="305">
        <f t="shared" si="7"/>
        <v>0</v>
      </c>
      <c r="AD31" s="305">
        <f t="shared" si="7"/>
        <v>0</v>
      </c>
      <c r="AE31" s="305">
        <f t="shared" si="7"/>
        <v>0</v>
      </c>
      <c r="AF31" s="305">
        <f t="shared" si="7"/>
        <v>0</v>
      </c>
      <c r="AG31" s="305">
        <f t="shared" si="7"/>
        <v>0</v>
      </c>
      <c r="AH31" s="305">
        <f t="shared" si="7"/>
        <v>0</v>
      </c>
      <c r="AI31" s="305">
        <f t="shared" si="7"/>
        <v>0</v>
      </c>
      <c r="AJ31" s="305">
        <f t="shared" si="7"/>
        <v>0</v>
      </c>
      <c r="AK31" s="305">
        <f t="shared" si="7"/>
        <v>0</v>
      </c>
      <c r="AL31" s="305">
        <f t="shared" si="7"/>
        <v>0</v>
      </c>
      <c r="AM31" s="305">
        <f t="shared" si="7"/>
        <v>0</v>
      </c>
      <c r="AN31" s="305">
        <f t="shared" si="7"/>
        <v>0</v>
      </c>
      <c r="AO31" s="305">
        <f t="shared" si="7"/>
        <v>0</v>
      </c>
      <c r="AP31" s="305">
        <f t="shared" si="7"/>
        <v>0</v>
      </c>
      <c r="AQ31" s="305">
        <f t="shared" si="7"/>
        <v>0</v>
      </c>
      <c r="AR31" s="58">
        <f t="shared" si="7"/>
        <v>0</v>
      </c>
      <c r="AS31" s="305">
        <f t="shared" si="7"/>
        <v>0</v>
      </c>
      <c r="AT31" s="305">
        <f t="shared" si="7"/>
        <v>0</v>
      </c>
      <c r="AU31" s="305">
        <f t="shared" si="7"/>
        <v>0</v>
      </c>
      <c r="AV31" s="305">
        <f t="shared" si="7"/>
        <v>0</v>
      </c>
      <c r="AW31" s="305">
        <f t="shared" si="7"/>
        <v>0</v>
      </c>
      <c r="AX31" s="305">
        <f t="shared" si="7"/>
        <v>0</v>
      </c>
      <c r="AY31" s="305">
        <f t="shared" si="7"/>
        <v>0</v>
      </c>
      <c r="AZ31" s="305">
        <f t="shared" si="7"/>
        <v>0</v>
      </c>
      <c r="BA31" s="305">
        <f t="shared" si="7"/>
        <v>0</v>
      </c>
      <c r="BB31" s="305">
        <f t="shared" si="7"/>
        <v>0</v>
      </c>
      <c r="BC31" s="305">
        <f t="shared" si="7"/>
        <v>0</v>
      </c>
      <c r="BD31" s="305">
        <f t="shared" si="7"/>
        <v>0</v>
      </c>
      <c r="BE31" s="305">
        <f t="shared" si="7"/>
        <v>0</v>
      </c>
      <c r="BF31" s="305">
        <f t="shared" si="7"/>
        <v>0</v>
      </c>
      <c r="BG31" s="305">
        <f t="shared" si="7"/>
        <v>0</v>
      </c>
      <c r="BH31" s="305">
        <f t="shared" si="7"/>
        <v>0</v>
      </c>
      <c r="BI31" s="305">
        <f t="shared" si="7"/>
        <v>0</v>
      </c>
      <c r="BJ31" s="305">
        <f t="shared" si="7"/>
        <v>0</v>
      </c>
      <c r="BK31" s="305">
        <f t="shared" si="7"/>
        <v>0</v>
      </c>
      <c r="BL31" s="305">
        <f>IF($D21=0,0,BL27*(BL17-$D21)/BL17)</f>
        <v>0</v>
      </c>
      <c r="BM31" s="305">
        <f>IF($D21=0,0,BM27*(BM17-$D21)/BM17)</f>
        <v>0</v>
      </c>
      <c r="BN31" s="305">
        <f>IF($D21=0,0,BN27*(BN17-$D21)/BN17)</f>
        <v>0</v>
      </c>
      <c r="BO31" s="8">
        <f>IF(D31=0,0,BO28)</f>
        <v>0</v>
      </c>
      <c r="BS31"/>
      <c r="BT31"/>
    </row>
    <row r="32" spans="2:72" ht="16.5">
      <c r="B32" s="9">
        <f t="shared" si="5"/>
        <v>5</v>
      </c>
      <c r="C32" s="300" t="s">
        <v>57</v>
      </c>
      <c r="D32" s="8">
        <f>IF($D22=0,0,D27*(D17-$D22)/D17)</f>
        <v>0</v>
      </c>
      <c r="E32" s="305">
        <f t="shared" ref="E32:BK32" si="8">IF($D22=0,0,E27*(E17-$D22)/E17)</f>
        <v>0</v>
      </c>
      <c r="F32" s="305">
        <f t="shared" si="8"/>
        <v>0</v>
      </c>
      <c r="G32" s="305">
        <f t="shared" si="8"/>
        <v>0</v>
      </c>
      <c r="H32" s="305">
        <f t="shared" si="8"/>
        <v>0</v>
      </c>
      <c r="I32" s="305">
        <f t="shared" si="8"/>
        <v>0</v>
      </c>
      <c r="J32" s="305">
        <f t="shared" si="8"/>
        <v>0</v>
      </c>
      <c r="K32" s="305">
        <f t="shared" si="8"/>
        <v>0</v>
      </c>
      <c r="L32" s="305">
        <f t="shared" si="8"/>
        <v>0</v>
      </c>
      <c r="M32" s="305">
        <f t="shared" si="8"/>
        <v>0</v>
      </c>
      <c r="N32" s="305">
        <f t="shared" si="8"/>
        <v>0</v>
      </c>
      <c r="O32" s="305">
        <f t="shared" si="8"/>
        <v>0</v>
      </c>
      <c r="P32" s="305">
        <f t="shared" si="8"/>
        <v>0</v>
      </c>
      <c r="Q32" s="305">
        <f t="shared" si="8"/>
        <v>0</v>
      </c>
      <c r="R32" s="305">
        <f t="shared" si="8"/>
        <v>0</v>
      </c>
      <c r="S32" s="305">
        <f t="shared" si="8"/>
        <v>0</v>
      </c>
      <c r="T32" s="305">
        <f t="shared" si="8"/>
        <v>0</v>
      </c>
      <c r="U32" s="305">
        <f t="shared" si="8"/>
        <v>0</v>
      </c>
      <c r="V32" s="305">
        <f t="shared" si="8"/>
        <v>0</v>
      </c>
      <c r="W32" s="305">
        <f t="shared" si="8"/>
        <v>0</v>
      </c>
      <c r="X32" s="305">
        <f t="shared" si="8"/>
        <v>0</v>
      </c>
      <c r="Y32" s="305">
        <f t="shared" si="8"/>
        <v>0</v>
      </c>
      <c r="Z32" s="305">
        <f t="shared" si="8"/>
        <v>0</v>
      </c>
      <c r="AA32" s="305">
        <f t="shared" si="8"/>
        <v>0</v>
      </c>
      <c r="AB32" s="305">
        <f t="shared" si="8"/>
        <v>0</v>
      </c>
      <c r="AC32" s="305">
        <f t="shared" si="8"/>
        <v>0</v>
      </c>
      <c r="AD32" s="305">
        <f t="shared" si="8"/>
        <v>0</v>
      </c>
      <c r="AE32" s="305">
        <f t="shared" si="8"/>
        <v>0</v>
      </c>
      <c r="AF32" s="305">
        <f t="shared" si="8"/>
        <v>0</v>
      </c>
      <c r="AG32" s="305">
        <f t="shared" si="8"/>
        <v>0</v>
      </c>
      <c r="AH32" s="305">
        <f t="shared" si="8"/>
        <v>0</v>
      </c>
      <c r="AI32" s="305">
        <f t="shared" si="8"/>
        <v>0</v>
      </c>
      <c r="AJ32" s="305">
        <f t="shared" si="8"/>
        <v>0</v>
      </c>
      <c r="AK32" s="305">
        <f t="shared" si="8"/>
        <v>0</v>
      </c>
      <c r="AL32" s="305">
        <f t="shared" si="8"/>
        <v>0</v>
      </c>
      <c r="AM32" s="305">
        <f t="shared" si="8"/>
        <v>0</v>
      </c>
      <c r="AN32" s="305">
        <f t="shared" si="8"/>
        <v>0</v>
      </c>
      <c r="AO32" s="305">
        <f t="shared" si="8"/>
        <v>0</v>
      </c>
      <c r="AP32" s="305">
        <f t="shared" si="8"/>
        <v>0</v>
      </c>
      <c r="AQ32" s="305">
        <f t="shared" si="8"/>
        <v>0</v>
      </c>
      <c r="AR32" s="58">
        <f t="shared" si="8"/>
        <v>0</v>
      </c>
      <c r="AS32" s="305">
        <f t="shared" si="8"/>
        <v>0</v>
      </c>
      <c r="AT32" s="305">
        <f t="shared" si="8"/>
        <v>0</v>
      </c>
      <c r="AU32" s="305">
        <f t="shared" si="8"/>
        <v>0</v>
      </c>
      <c r="AV32" s="305">
        <f t="shared" si="8"/>
        <v>0</v>
      </c>
      <c r="AW32" s="305">
        <f t="shared" si="8"/>
        <v>0</v>
      </c>
      <c r="AX32" s="305">
        <f t="shared" si="8"/>
        <v>0</v>
      </c>
      <c r="AY32" s="305">
        <f t="shared" si="8"/>
        <v>0</v>
      </c>
      <c r="AZ32" s="305">
        <f t="shared" si="8"/>
        <v>0</v>
      </c>
      <c r="BA32" s="305">
        <f t="shared" si="8"/>
        <v>0</v>
      </c>
      <c r="BB32" s="305">
        <f t="shared" si="8"/>
        <v>0</v>
      </c>
      <c r="BC32" s="305">
        <f t="shared" si="8"/>
        <v>0</v>
      </c>
      <c r="BD32" s="305">
        <f t="shared" si="8"/>
        <v>0</v>
      </c>
      <c r="BE32" s="305">
        <f t="shared" si="8"/>
        <v>0</v>
      </c>
      <c r="BF32" s="305">
        <f t="shared" si="8"/>
        <v>0</v>
      </c>
      <c r="BG32" s="305">
        <f t="shared" si="8"/>
        <v>0</v>
      </c>
      <c r="BH32" s="305">
        <f t="shared" si="8"/>
        <v>0</v>
      </c>
      <c r="BI32" s="305">
        <f t="shared" si="8"/>
        <v>0</v>
      </c>
      <c r="BJ32" s="305">
        <f t="shared" si="8"/>
        <v>0</v>
      </c>
      <c r="BK32" s="305">
        <f t="shared" si="8"/>
        <v>0</v>
      </c>
      <c r="BL32" s="305">
        <f>IF($D22=0,0,BL27*(BL17-$D22)/BL17)</f>
        <v>0</v>
      </c>
      <c r="BM32" s="305">
        <f>IF($D22=0,0,BM27*(BM17-$D22)/BM17)</f>
        <v>0</v>
      </c>
      <c r="BN32" s="305">
        <f>IF($D22=0,0,BN27*(BN17-$D22)/BN17)</f>
        <v>0</v>
      </c>
      <c r="BO32" s="8">
        <f>IF(D32=0,0,BO28)</f>
        <v>0</v>
      </c>
      <c r="BS32"/>
      <c r="BT32"/>
    </row>
    <row r="33" spans="1:72" ht="16.5">
      <c r="B33" s="9">
        <f t="shared" si="5"/>
        <v>6</v>
      </c>
      <c r="C33" s="300" t="s">
        <v>57</v>
      </c>
      <c r="D33" s="8">
        <f>IF($D23=0,0,D27*(D17-$D23)/D17)</f>
        <v>0</v>
      </c>
      <c r="E33" s="305">
        <f t="shared" ref="E33:BK33" si="9">IF($D23=0,0,E27*(E17-$D23)/E17)</f>
        <v>0</v>
      </c>
      <c r="F33" s="306">
        <f t="shared" si="9"/>
        <v>0</v>
      </c>
      <c r="G33" s="306">
        <f t="shared" si="9"/>
        <v>0</v>
      </c>
      <c r="H33" s="306">
        <f t="shared" si="9"/>
        <v>0</v>
      </c>
      <c r="I33" s="305">
        <f t="shared" si="9"/>
        <v>0</v>
      </c>
      <c r="J33" s="305">
        <f t="shared" si="9"/>
        <v>0</v>
      </c>
      <c r="K33" s="305">
        <f t="shared" si="9"/>
        <v>0</v>
      </c>
      <c r="L33" s="305">
        <f t="shared" si="9"/>
        <v>0</v>
      </c>
      <c r="M33" s="305">
        <f t="shared" si="9"/>
        <v>0</v>
      </c>
      <c r="N33" s="305">
        <f t="shared" si="9"/>
        <v>0</v>
      </c>
      <c r="O33" s="305">
        <f t="shared" si="9"/>
        <v>0</v>
      </c>
      <c r="P33" s="305">
        <f t="shared" si="9"/>
        <v>0</v>
      </c>
      <c r="Q33" s="305">
        <f t="shared" si="9"/>
        <v>0</v>
      </c>
      <c r="R33" s="305">
        <f t="shared" si="9"/>
        <v>0</v>
      </c>
      <c r="S33" s="305">
        <f t="shared" si="9"/>
        <v>0</v>
      </c>
      <c r="T33" s="305">
        <f t="shared" si="9"/>
        <v>0</v>
      </c>
      <c r="U33" s="305">
        <f t="shared" si="9"/>
        <v>0</v>
      </c>
      <c r="V33" s="305">
        <f t="shared" si="9"/>
        <v>0</v>
      </c>
      <c r="W33" s="305">
        <f t="shared" si="9"/>
        <v>0</v>
      </c>
      <c r="X33" s="305">
        <f t="shared" si="9"/>
        <v>0</v>
      </c>
      <c r="Y33" s="305">
        <f t="shared" si="9"/>
        <v>0</v>
      </c>
      <c r="Z33" s="305">
        <f t="shared" si="9"/>
        <v>0</v>
      </c>
      <c r="AA33" s="305">
        <f t="shared" si="9"/>
        <v>0</v>
      </c>
      <c r="AB33" s="305">
        <f t="shared" si="9"/>
        <v>0</v>
      </c>
      <c r="AC33" s="305">
        <f t="shared" si="9"/>
        <v>0</v>
      </c>
      <c r="AD33" s="305">
        <f t="shared" si="9"/>
        <v>0</v>
      </c>
      <c r="AE33" s="305">
        <f t="shared" si="9"/>
        <v>0</v>
      </c>
      <c r="AF33" s="305">
        <f t="shared" si="9"/>
        <v>0</v>
      </c>
      <c r="AG33" s="305">
        <f t="shared" si="9"/>
        <v>0</v>
      </c>
      <c r="AH33" s="305">
        <f t="shared" si="9"/>
        <v>0</v>
      </c>
      <c r="AI33" s="305">
        <f t="shared" si="9"/>
        <v>0</v>
      </c>
      <c r="AJ33" s="305">
        <f t="shared" si="9"/>
        <v>0</v>
      </c>
      <c r="AK33" s="305">
        <f t="shared" si="9"/>
        <v>0</v>
      </c>
      <c r="AL33" s="305">
        <f t="shared" si="9"/>
        <v>0</v>
      </c>
      <c r="AM33" s="305">
        <f t="shared" si="9"/>
        <v>0</v>
      </c>
      <c r="AN33" s="305">
        <f t="shared" si="9"/>
        <v>0</v>
      </c>
      <c r="AO33" s="305">
        <f t="shared" si="9"/>
        <v>0</v>
      </c>
      <c r="AP33" s="305">
        <f t="shared" si="9"/>
        <v>0</v>
      </c>
      <c r="AQ33" s="305">
        <f t="shared" si="9"/>
        <v>0</v>
      </c>
      <c r="AR33" s="58">
        <f t="shared" si="9"/>
        <v>0</v>
      </c>
      <c r="AS33" s="305">
        <f t="shared" si="9"/>
        <v>0</v>
      </c>
      <c r="AT33" s="305">
        <f t="shared" si="9"/>
        <v>0</v>
      </c>
      <c r="AU33" s="305">
        <f t="shared" si="9"/>
        <v>0</v>
      </c>
      <c r="AV33" s="305">
        <f t="shared" si="9"/>
        <v>0</v>
      </c>
      <c r="AW33" s="305">
        <f t="shared" si="9"/>
        <v>0</v>
      </c>
      <c r="AX33" s="305">
        <f t="shared" si="9"/>
        <v>0</v>
      </c>
      <c r="AY33" s="305">
        <f t="shared" si="9"/>
        <v>0</v>
      </c>
      <c r="AZ33" s="305">
        <f t="shared" si="9"/>
        <v>0</v>
      </c>
      <c r="BA33" s="305">
        <f t="shared" si="9"/>
        <v>0</v>
      </c>
      <c r="BB33" s="305">
        <f t="shared" si="9"/>
        <v>0</v>
      </c>
      <c r="BC33" s="305">
        <f t="shared" si="9"/>
        <v>0</v>
      </c>
      <c r="BD33" s="305">
        <f t="shared" si="9"/>
        <v>0</v>
      </c>
      <c r="BE33" s="305">
        <f t="shared" si="9"/>
        <v>0</v>
      </c>
      <c r="BF33" s="305">
        <f t="shared" si="9"/>
        <v>0</v>
      </c>
      <c r="BG33" s="305">
        <f t="shared" si="9"/>
        <v>0</v>
      </c>
      <c r="BH33" s="305">
        <f t="shared" si="9"/>
        <v>0</v>
      </c>
      <c r="BI33" s="305">
        <f t="shared" si="9"/>
        <v>0</v>
      </c>
      <c r="BJ33" s="305">
        <f t="shared" si="9"/>
        <v>0</v>
      </c>
      <c r="BK33" s="305">
        <f t="shared" si="9"/>
        <v>0</v>
      </c>
      <c r="BL33" s="305">
        <f>IF($D23=0,0,BL27*(BL17-$D23)/BL17)</f>
        <v>0</v>
      </c>
      <c r="BM33" s="305">
        <f>IF($D23=0,0,BM27*(BM17-$D23)/BM17)</f>
        <v>0</v>
      </c>
      <c r="BN33" s="305">
        <f>IF($D23=0,0,BN27*(BN17-$D23)/BN17)</f>
        <v>0</v>
      </c>
      <c r="BO33" s="8">
        <f>IF(D33=0,0,BO28)</f>
        <v>0</v>
      </c>
      <c r="BS33"/>
      <c r="BT33"/>
    </row>
    <row r="34" spans="1:72" ht="16.5">
      <c r="B34" s="9">
        <f t="shared" si="5"/>
        <v>7</v>
      </c>
      <c r="C34" s="300" t="s">
        <v>57</v>
      </c>
      <c r="D34" s="8">
        <f>IF($D24=0,0,D27*(D17-$D24)/D17)</f>
        <v>0</v>
      </c>
      <c r="E34" s="305">
        <f t="shared" ref="E34:BK34" si="10">IF($D24=0,0,E27*(E17-$D24)/E17)</f>
        <v>0</v>
      </c>
      <c r="F34" s="306">
        <f t="shared" si="10"/>
        <v>0</v>
      </c>
      <c r="G34" s="306">
        <f t="shared" si="10"/>
        <v>0</v>
      </c>
      <c r="H34" s="306">
        <f t="shared" si="10"/>
        <v>0</v>
      </c>
      <c r="I34" s="305">
        <f t="shared" si="10"/>
        <v>0</v>
      </c>
      <c r="J34" s="305">
        <f t="shared" si="10"/>
        <v>0</v>
      </c>
      <c r="K34" s="305">
        <f t="shared" si="10"/>
        <v>0</v>
      </c>
      <c r="L34" s="305">
        <f t="shared" si="10"/>
        <v>0</v>
      </c>
      <c r="M34" s="305">
        <f t="shared" si="10"/>
        <v>0</v>
      </c>
      <c r="N34" s="305">
        <f t="shared" si="10"/>
        <v>0</v>
      </c>
      <c r="O34" s="305">
        <f t="shared" si="10"/>
        <v>0</v>
      </c>
      <c r="P34" s="305">
        <f t="shared" si="10"/>
        <v>0</v>
      </c>
      <c r="Q34" s="305">
        <f t="shared" si="10"/>
        <v>0</v>
      </c>
      <c r="R34" s="305">
        <f t="shared" si="10"/>
        <v>0</v>
      </c>
      <c r="S34" s="305">
        <f t="shared" si="10"/>
        <v>0</v>
      </c>
      <c r="T34" s="305">
        <f t="shared" si="10"/>
        <v>0</v>
      </c>
      <c r="U34" s="305">
        <f t="shared" si="10"/>
        <v>0</v>
      </c>
      <c r="V34" s="305">
        <f t="shared" si="10"/>
        <v>0</v>
      </c>
      <c r="W34" s="305">
        <f t="shared" si="10"/>
        <v>0</v>
      </c>
      <c r="X34" s="305">
        <f t="shared" si="10"/>
        <v>0</v>
      </c>
      <c r="Y34" s="305">
        <f t="shared" si="10"/>
        <v>0</v>
      </c>
      <c r="Z34" s="305">
        <f t="shared" si="10"/>
        <v>0</v>
      </c>
      <c r="AA34" s="305">
        <f t="shared" si="10"/>
        <v>0</v>
      </c>
      <c r="AB34" s="305">
        <f t="shared" si="10"/>
        <v>0</v>
      </c>
      <c r="AC34" s="305">
        <f t="shared" si="10"/>
        <v>0</v>
      </c>
      <c r="AD34" s="305">
        <f t="shared" si="10"/>
        <v>0</v>
      </c>
      <c r="AE34" s="305">
        <f t="shared" si="10"/>
        <v>0</v>
      </c>
      <c r="AF34" s="305">
        <f t="shared" si="10"/>
        <v>0</v>
      </c>
      <c r="AG34" s="305">
        <f t="shared" si="10"/>
        <v>0</v>
      </c>
      <c r="AH34" s="305">
        <f t="shared" si="10"/>
        <v>0</v>
      </c>
      <c r="AI34" s="305">
        <f t="shared" si="10"/>
        <v>0</v>
      </c>
      <c r="AJ34" s="305">
        <f t="shared" si="10"/>
        <v>0</v>
      </c>
      <c r="AK34" s="305">
        <f t="shared" si="10"/>
        <v>0</v>
      </c>
      <c r="AL34" s="305">
        <f t="shared" si="10"/>
        <v>0</v>
      </c>
      <c r="AM34" s="305">
        <f t="shared" si="10"/>
        <v>0</v>
      </c>
      <c r="AN34" s="305">
        <f t="shared" si="10"/>
        <v>0</v>
      </c>
      <c r="AO34" s="305">
        <f t="shared" si="10"/>
        <v>0</v>
      </c>
      <c r="AP34" s="305">
        <f t="shared" si="10"/>
        <v>0</v>
      </c>
      <c r="AQ34" s="305">
        <f t="shared" si="10"/>
        <v>0</v>
      </c>
      <c r="AR34" s="58">
        <f t="shared" si="10"/>
        <v>0</v>
      </c>
      <c r="AS34" s="305">
        <f t="shared" si="10"/>
        <v>0</v>
      </c>
      <c r="AT34" s="305">
        <f t="shared" si="10"/>
        <v>0</v>
      </c>
      <c r="AU34" s="305">
        <f t="shared" si="10"/>
        <v>0</v>
      </c>
      <c r="AV34" s="305">
        <f t="shared" si="10"/>
        <v>0</v>
      </c>
      <c r="AW34" s="305">
        <f t="shared" si="10"/>
        <v>0</v>
      </c>
      <c r="AX34" s="305">
        <f t="shared" si="10"/>
        <v>0</v>
      </c>
      <c r="AY34" s="305">
        <f t="shared" si="10"/>
        <v>0</v>
      </c>
      <c r="AZ34" s="305">
        <f t="shared" si="10"/>
        <v>0</v>
      </c>
      <c r="BA34" s="305">
        <f t="shared" si="10"/>
        <v>0</v>
      </c>
      <c r="BB34" s="305">
        <f t="shared" si="10"/>
        <v>0</v>
      </c>
      <c r="BC34" s="305">
        <f t="shared" si="10"/>
        <v>0</v>
      </c>
      <c r="BD34" s="305">
        <f t="shared" si="10"/>
        <v>0</v>
      </c>
      <c r="BE34" s="305">
        <f t="shared" si="10"/>
        <v>0</v>
      </c>
      <c r="BF34" s="305">
        <f t="shared" si="10"/>
        <v>0</v>
      </c>
      <c r="BG34" s="305">
        <f t="shared" si="10"/>
        <v>0</v>
      </c>
      <c r="BH34" s="305">
        <f t="shared" si="10"/>
        <v>0</v>
      </c>
      <c r="BI34" s="305">
        <f t="shared" si="10"/>
        <v>0</v>
      </c>
      <c r="BJ34" s="305">
        <f t="shared" si="10"/>
        <v>0</v>
      </c>
      <c r="BK34" s="305">
        <f t="shared" si="10"/>
        <v>0</v>
      </c>
      <c r="BL34" s="305">
        <f>IF($D24=0,0,BL27*(BL17-$D24)/BL17)</f>
        <v>0</v>
      </c>
      <c r="BM34" s="305">
        <f>IF($D24=0,0,BM27*(BM17-$D24)/BM17)</f>
        <v>0</v>
      </c>
      <c r="BN34" s="305">
        <f>IF($D24=0,0,BN27*(BN17-$D24)/BN17)</f>
        <v>0</v>
      </c>
      <c r="BO34" s="8">
        <f>IF(D34=0,0,BO28)</f>
        <v>0</v>
      </c>
      <c r="BS34"/>
      <c r="BT34"/>
    </row>
    <row r="35" spans="1:72" ht="16.5">
      <c r="B35" s="9">
        <f t="shared" si="5"/>
        <v>8</v>
      </c>
      <c r="C35" s="300" t="s">
        <v>57</v>
      </c>
      <c r="D35" s="8">
        <f>IF($D25=0,0,D27*(D17-$D25)/D17)</f>
        <v>0</v>
      </c>
      <c r="E35" s="305">
        <f t="shared" ref="E35:BK35" si="11">IF($D25=0,0,E27*(E17-$D25)/E17)</f>
        <v>0</v>
      </c>
      <c r="F35" s="306">
        <f t="shared" si="11"/>
        <v>0</v>
      </c>
      <c r="G35" s="306">
        <f t="shared" si="11"/>
        <v>0</v>
      </c>
      <c r="H35" s="306">
        <f t="shared" si="11"/>
        <v>0</v>
      </c>
      <c r="I35" s="305">
        <f t="shared" si="11"/>
        <v>0</v>
      </c>
      <c r="J35" s="305">
        <f t="shared" si="11"/>
        <v>0</v>
      </c>
      <c r="K35" s="305">
        <f t="shared" si="11"/>
        <v>0</v>
      </c>
      <c r="L35" s="305">
        <f t="shared" si="11"/>
        <v>0</v>
      </c>
      <c r="M35" s="305">
        <f t="shared" si="11"/>
        <v>0</v>
      </c>
      <c r="N35" s="305">
        <f t="shared" si="11"/>
        <v>0</v>
      </c>
      <c r="O35" s="305">
        <f t="shared" si="11"/>
        <v>0</v>
      </c>
      <c r="P35" s="305">
        <f t="shared" si="11"/>
        <v>0</v>
      </c>
      <c r="Q35" s="305">
        <f t="shared" si="11"/>
        <v>0</v>
      </c>
      <c r="R35" s="305">
        <f t="shared" si="11"/>
        <v>0</v>
      </c>
      <c r="S35" s="305">
        <f t="shared" si="11"/>
        <v>0</v>
      </c>
      <c r="T35" s="305">
        <f t="shared" si="11"/>
        <v>0</v>
      </c>
      <c r="U35" s="305">
        <f t="shared" si="11"/>
        <v>0</v>
      </c>
      <c r="V35" s="305">
        <f t="shared" si="11"/>
        <v>0</v>
      </c>
      <c r="W35" s="305">
        <f t="shared" si="11"/>
        <v>0</v>
      </c>
      <c r="X35" s="305">
        <f t="shared" si="11"/>
        <v>0</v>
      </c>
      <c r="Y35" s="305">
        <f t="shared" si="11"/>
        <v>0</v>
      </c>
      <c r="Z35" s="305">
        <f t="shared" si="11"/>
        <v>0</v>
      </c>
      <c r="AA35" s="305">
        <f t="shared" si="11"/>
        <v>0</v>
      </c>
      <c r="AB35" s="305">
        <f t="shared" si="11"/>
        <v>0</v>
      </c>
      <c r="AC35" s="305">
        <f t="shared" si="11"/>
        <v>0</v>
      </c>
      <c r="AD35" s="305">
        <f t="shared" si="11"/>
        <v>0</v>
      </c>
      <c r="AE35" s="305">
        <f t="shared" si="11"/>
        <v>0</v>
      </c>
      <c r="AF35" s="305">
        <f t="shared" si="11"/>
        <v>0</v>
      </c>
      <c r="AG35" s="305">
        <f t="shared" si="11"/>
        <v>0</v>
      </c>
      <c r="AH35" s="305">
        <f t="shared" si="11"/>
        <v>0</v>
      </c>
      <c r="AI35" s="305">
        <f t="shared" si="11"/>
        <v>0</v>
      </c>
      <c r="AJ35" s="305">
        <f t="shared" si="11"/>
        <v>0</v>
      </c>
      <c r="AK35" s="305">
        <f t="shared" si="11"/>
        <v>0</v>
      </c>
      <c r="AL35" s="305">
        <f t="shared" si="11"/>
        <v>0</v>
      </c>
      <c r="AM35" s="305">
        <f t="shared" si="11"/>
        <v>0</v>
      </c>
      <c r="AN35" s="305">
        <f t="shared" si="11"/>
        <v>0</v>
      </c>
      <c r="AO35" s="305">
        <f t="shared" si="11"/>
        <v>0</v>
      </c>
      <c r="AP35" s="305">
        <f t="shared" si="11"/>
        <v>0</v>
      </c>
      <c r="AQ35" s="305">
        <f t="shared" si="11"/>
        <v>0</v>
      </c>
      <c r="AR35" s="58">
        <f t="shared" si="11"/>
        <v>0</v>
      </c>
      <c r="AS35" s="305">
        <f t="shared" si="11"/>
        <v>0</v>
      </c>
      <c r="AT35" s="305">
        <f t="shared" si="11"/>
        <v>0</v>
      </c>
      <c r="AU35" s="305">
        <f t="shared" si="11"/>
        <v>0</v>
      </c>
      <c r="AV35" s="305">
        <f t="shared" si="11"/>
        <v>0</v>
      </c>
      <c r="AW35" s="305">
        <f t="shared" si="11"/>
        <v>0</v>
      </c>
      <c r="AX35" s="305">
        <f t="shared" si="11"/>
        <v>0</v>
      </c>
      <c r="AY35" s="305">
        <f t="shared" si="11"/>
        <v>0</v>
      </c>
      <c r="AZ35" s="305">
        <f t="shared" si="11"/>
        <v>0</v>
      </c>
      <c r="BA35" s="305">
        <f t="shared" si="11"/>
        <v>0</v>
      </c>
      <c r="BB35" s="305">
        <f t="shared" si="11"/>
        <v>0</v>
      </c>
      <c r="BC35" s="305">
        <f t="shared" si="11"/>
        <v>0</v>
      </c>
      <c r="BD35" s="305">
        <f t="shared" si="11"/>
        <v>0</v>
      </c>
      <c r="BE35" s="305">
        <f t="shared" si="11"/>
        <v>0</v>
      </c>
      <c r="BF35" s="305">
        <f t="shared" si="11"/>
        <v>0</v>
      </c>
      <c r="BG35" s="305">
        <f t="shared" si="11"/>
        <v>0</v>
      </c>
      <c r="BH35" s="305">
        <f t="shared" si="11"/>
        <v>0</v>
      </c>
      <c r="BI35" s="305">
        <f t="shared" si="11"/>
        <v>0</v>
      </c>
      <c r="BJ35" s="305">
        <f t="shared" si="11"/>
        <v>0</v>
      </c>
      <c r="BK35" s="305">
        <f t="shared" si="11"/>
        <v>0</v>
      </c>
      <c r="BL35" s="305">
        <f>IF($D25=0,0,BL27*(BL17-$D25)/BL17)</f>
        <v>0</v>
      </c>
      <c r="BM35" s="305">
        <f>IF($D25=0,0,BM27*(BM17-$D25)/BM17)</f>
        <v>0</v>
      </c>
      <c r="BN35" s="305">
        <f>IF($D25=0,0,BN27*(BN17-$D25)/BN17)</f>
        <v>0</v>
      </c>
      <c r="BO35" s="8">
        <f>IF(D35=0,0,BO28)</f>
        <v>0</v>
      </c>
      <c r="BS35"/>
      <c r="BT35"/>
    </row>
    <row r="36" spans="1:72" ht="16.5">
      <c r="B36" s="9">
        <f t="shared" si="5"/>
        <v>9</v>
      </c>
      <c r="C36" s="300" t="s">
        <v>57</v>
      </c>
      <c r="D36" s="8">
        <f>IF($D26=0,0,D27*(D17-$D26)/D17)</f>
        <v>0</v>
      </c>
      <c r="E36" s="305">
        <f t="shared" ref="E36:BK36" si="12">IF($D26=0,0,E27*(E17-$D26)/E17)</f>
        <v>0</v>
      </c>
      <c r="F36" s="306">
        <f t="shared" si="12"/>
        <v>0</v>
      </c>
      <c r="G36" s="306">
        <f t="shared" si="12"/>
        <v>0</v>
      </c>
      <c r="H36" s="306">
        <f t="shared" si="12"/>
        <v>0</v>
      </c>
      <c r="I36" s="305">
        <f t="shared" si="12"/>
        <v>0</v>
      </c>
      <c r="J36" s="305">
        <f t="shared" si="12"/>
        <v>0</v>
      </c>
      <c r="K36" s="305">
        <f t="shared" si="12"/>
        <v>0</v>
      </c>
      <c r="L36" s="305">
        <f t="shared" si="12"/>
        <v>0</v>
      </c>
      <c r="M36" s="305">
        <f t="shared" si="12"/>
        <v>0</v>
      </c>
      <c r="N36" s="305">
        <f t="shared" si="12"/>
        <v>0</v>
      </c>
      <c r="O36" s="305">
        <f t="shared" si="12"/>
        <v>0</v>
      </c>
      <c r="P36" s="305">
        <f t="shared" si="12"/>
        <v>0</v>
      </c>
      <c r="Q36" s="305">
        <f t="shared" si="12"/>
        <v>0</v>
      </c>
      <c r="R36" s="305">
        <f t="shared" si="12"/>
        <v>0</v>
      </c>
      <c r="S36" s="305">
        <f t="shared" si="12"/>
        <v>0</v>
      </c>
      <c r="T36" s="305">
        <f t="shared" si="12"/>
        <v>0</v>
      </c>
      <c r="U36" s="305">
        <f t="shared" si="12"/>
        <v>0</v>
      </c>
      <c r="V36" s="305">
        <f t="shared" si="12"/>
        <v>0</v>
      </c>
      <c r="W36" s="305">
        <f t="shared" si="12"/>
        <v>0</v>
      </c>
      <c r="X36" s="305">
        <f t="shared" si="12"/>
        <v>0</v>
      </c>
      <c r="Y36" s="305">
        <f t="shared" si="12"/>
        <v>0</v>
      </c>
      <c r="Z36" s="305">
        <f t="shared" si="12"/>
        <v>0</v>
      </c>
      <c r="AA36" s="305">
        <f t="shared" si="12"/>
        <v>0</v>
      </c>
      <c r="AB36" s="305">
        <f t="shared" si="12"/>
        <v>0</v>
      </c>
      <c r="AC36" s="305">
        <f t="shared" si="12"/>
        <v>0</v>
      </c>
      <c r="AD36" s="305">
        <f t="shared" si="12"/>
        <v>0</v>
      </c>
      <c r="AE36" s="305">
        <f t="shared" si="12"/>
        <v>0</v>
      </c>
      <c r="AF36" s="305">
        <f t="shared" si="12"/>
        <v>0</v>
      </c>
      <c r="AG36" s="305">
        <f t="shared" si="12"/>
        <v>0</v>
      </c>
      <c r="AH36" s="305">
        <f t="shared" si="12"/>
        <v>0</v>
      </c>
      <c r="AI36" s="305">
        <f t="shared" si="12"/>
        <v>0</v>
      </c>
      <c r="AJ36" s="305">
        <f t="shared" si="12"/>
        <v>0</v>
      </c>
      <c r="AK36" s="305">
        <f t="shared" si="12"/>
        <v>0</v>
      </c>
      <c r="AL36" s="305">
        <f t="shared" si="12"/>
        <v>0</v>
      </c>
      <c r="AM36" s="305">
        <f t="shared" si="12"/>
        <v>0</v>
      </c>
      <c r="AN36" s="305">
        <f t="shared" si="12"/>
        <v>0</v>
      </c>
      <c r="AO36" s="305">
        <f t="shared" si="12"/>
        <v>0</v>
      </c>
      <c r="AP36" s="305">
        <f t="shared" si="12"/>
        <v>0</v>
      </c>
      <c r="AQ36" s="305">
        <f t="shared" si="12"/>
        <v>0</v>
      </c>
      <c r="AR36" s="58">
        <f t="shared" si="12"/>
        <v>0</v>
      </c>
      <c r="AS36" s="305">
        <f t="shared" si="12"/>
        <v>0</v>
      </c>
      <c r="AT36" s="305">
        <f t="shared" si="12"/>
        <v>0</v>
      </c>
      <c r="AU36" s="305">
        <f t="shared" si="12"/>
        <v>0</v>
      </c>
      <c r="AV36" s="305">
        <f t="shared" si="12"/>
        <v>0</v>
      </c>
      <c r="AW36" s="305">
        <f t="shared" si="12"/>
        <v>0</v>
      </c>
      <c r="AX36" s="305">
        <f t="shared" si="12"/>
        <v>0</v>
      </c>
      <c r="AY36" s="305">
        <f t="shared" si="12"/>
        <v>0</v>
      </c>
      <c r="AZ36" s="305">
        <f t="shared" si="12"/>
        <v>0</v>
      </c>
      <c r="BA36" s="305">
        <f t="shared" si="12"/>
        <v>0</v>
      </c>
      <c r="BB36" s="305">
        <f t="shared" si="12"/>
        <v>0</v>
      </c>
      <c r="BC36" s="305">
        <f t="shared" si="12"/>
        <v>0</v>
      </c>
      <c r="BD36" s="305">
        <f t="shared" si="12"/>
        <v>0</v>
      </c>
      <c r="BE36" s="305">
        <f t="shared" si="12"/>
        <v>0</v>
      </c>
      <c r="BF36" s="305">
        <f t="shared" si="12"/>
        <v>0</v>
      </c>
      <c r="BG36" s="305">
        <f t="shared" si="12"/>
        <v>0</v>
      </c>
      <c r="BH36" s="305">
        <f t="shared" si="12"/>
        <v>0</v>
      </c>
      <c r="BI36" s="305">
        <f t="shared" si="12"/>
        <v>0</v>
      </c>
      <c r="BJ36" s="305">
        <f t="shared" si="12"/>
        <v>0</v>
      </c>
      <c r="BK36" s="305">
        <f t="shared" si="12"/>
        <v>0</v>
      </c>
      <c r="BL36" s="305">
        <f>IF($D26=0,0,BL27*(BL17-$D26)/BL17)</f>
        <v>0</v>
      </c>
      <c r="BM36" s="305">
        <f>IF($D26=0,0,BM27*(BM17-$D26)/BM17)</f>
        <v>0</v>
      </c>
      <c r="BN36" s="305">
        <f>IF($D26=0,0,BN27*(BN17-$D26)/BN17)</f>
        <v>0</v>
      </c>
      <c r="BO36" s="8">
        <f>IF(D36=0,0,BO28)</f>
        <v>0</v>
      </c>
      <c r="BS36"/>
      <c r="BT36"/>
    </row>
    <row r="37" spans="1:72" ht="16.5">
      <c r="B37" s="292" t="s">
        <v>119</v>
      </c>
      <c r="C37" s="300" t="s">
        <v>58</v>
      </c>
      <c r="D37" s="8">
        <f>D27*(D17-$F14)/D17</f>
        <v>-1.0614706365875803E-2</v>
      </c>
      <c r="E37" s="10">
        <f t="shared" ref="E37:BK37" si="13">E27*(E17-$F14)/E17</f>
        <v>-1.0108586237829544E-2</v>
      </c>
      <c r="F37" s="32">
        <f t="shared" si="13"/>
        <v>-9.6375062060623864E-3</v>
      </c>
      <c r="G37" s="32">
        <f t="shared" si="13"/>
        <v>-9.1979491368542141E-3</v>
      </c>
      <c r="H37" s="32">
        <f t="shared" si="13"/>
        <v>-8.7868533649345052E-3</v>
      </c>
      <c r="I37" s="10">
        <f t="shared" si="13"/>
        <v>-8.4015412767028674E-3</v>
      </c>
      <c r="J37" s="10">
        <f t="shared" si="13"/>
        <v>-8.0396609225163885E-3</v>
      </c>
      <c r="K37" s="10">
        <f t="shared" si="13"/>
        <v>-7.6991379667278037E-3</v>
      </c>
      <c r="L37" s="10">
        <f t="shared" si="13"/>
        <v>-7.3781359012902101E-3</v>
      </c>
      <c r="M37" s="10">
        <f t="shared" si="13"/>
        <v>-7.0750229111116838E-3</v>
      </c>
      <c r="N37" s="10">
        <f t="shared" si="13"/>
        <v>-6.7883441289016541E-3</v>
      </c>
      <c r="O37" s="10">
        <f t="shared" si="13"/>
        <v>-6.5167982837745792E-3</v>
      </c>
      <c r="P37" s="10">
        <f t="shared" si="13"/>
        <v>-6.2592179527176566E-3</v>
      </c>
      <c r="Q37" s="10">
        <f t="shared" si="13"/>
        <v>-6.0145527826519045E-3</v>
      </c>
      <c r="R37" s="10">
        <f t="shared" si="13"/>
        <v>-5.7818551745235699E-3</v>
      </c>
      <c r="S37" s="10">
        <f t="shared" si="13"/>
        <v>-5.5602680179908694E-3</v>
      </c>
      <c r="T37" s="10">
        <f t="shared" si="13"/>
        <v>-5.3490141420168983E-3</v>
      </c>
      <c r="U37" s="10">
        <f t="shared" si="13"/>
        <v>-5.1473872076873359E-3</v>
      </c>
      <c r="V37" s="10">
        <f t="shared" si="13"/>
        <v>-4.9547438183473935E-3</v>
      </c>
      <c r="W37" s="10">
        <f t="shared" si="13"/>
        <v>-4.7704966613618645E-3</v>
      </c>
      <c r="X37" s="10">
        <f t="shared" si="13"/>
        <v>-4.594108527485442E-3</v>
      </c>
      <c r="Y37" s="10">
        <f t="shared" si="13"/>
        <v>-4.4250870795593117E-3</v>
      </c>
      <c r="Z37" s="10">
        <f t="shared" si="13"/>
        <v>-4.2629802632422817E-3</v>
      </c>
      <c r="AA37" s="10">
        <f t="shared" si="13"/>
        <v>-4.107372269689929E-3</v>
      </c>
      <c r="AB37" s="10">
        <f t="shared" si="13"/>
        <v>-3.9578799742575324E-3</v>
      </c>
      <c r="AC37" s="10">
        <f t="shared" si="13"/>
        <v>-3.8141497870084161E-3</v>
      </c>
      <c r="AD37" s="10">
        <f t="shared" si="13"/>
        <v>-3.6758548605232049E-3</v>
      </c>
      <c r="AE37" s="10">
        <f t="shared" si="13"/>
        <v>-3.5426926085969659E-3</v>
      </c>
      <c r="AF37" s="10">
        <f t="shared" si="13"/>
        <v>-3.414382496176014E-3</v>
      </c>
      <c r="AG37" s="10">
        <f t="shared" si="13"/>
        <v>-3.2906640665614911E-3</v>
      </c>
      <c r="AH37" s="10">
        <f t="shared" si="13"/>
        <v>-3.1712951766843696E-3</v>
      </c>
      <c r="AI37" s="10">
        <f t="shared" si="13"/>
        <v>-3.0560504152912439E-3</v>
      </c>
      <c r="AJ37" s="10">
        <f t="shared" si="13"/>
        <v>-2.9447196822983759E-3</v>
      </c>
      <c r="AK37" s="10">
        <f t="shared" si="13"/>
        <v>-2.8371069104758898E-3</v>
      </c>
      <c r="AL37" s="10">
        <f t="shared" si="13"/>
        <v>-2.733028913099116E-3</v>
      </c>
      <c r="AM37" s="10">
        <f t="shared" si="13"/>
        <v>-2.6323143433192595E-3</v>
      </c>
      <c r="AN37" s="10">
        <f t="shared" si="13"/>
        <v>-2.5348027528180432E-3</v>
      </c>
      <c r="AO37" s="10">
        <f t="shared" si="13"/>
        <v>-2.4403437388681097E-3</v>
      </c>
      <c r="AP37" s="10">
        <f t="shared" si="13"/>
        <v>-2.3487961702621392E-3</v>
      </c>
      <c r="AQ37" s="10">
        <f t="shared" si="13"/>
        <v>-2.2600274837316068E-3</v>
      </c>
      <c r="AR37" s="58">
        <f t="shared" si="13"/>
        <v>-2.1739130434782613E-3</v>
      </c>
      <c r="AS37" s="10">
        <f t="shared" si="13"/>
        <v>-1.7502977709715844E-3</v>
      </c>
      <c r="AT37" s="10">
        <f t="shared" si="13"/>
        <v>-1.3855423806340386E-3</v>
      </c>
      <c r="AU37" s="10">
        <f t="shared" si="13"/>
        <v>-1.0681762102942875E-3</v>
      </c>
      <c r="AV37" s="10">
        <f t="shared" si="13"/>
        <v>-7.8952734012975015E-4</v>
      </c>
      <c r="AW37" s="10">
        <f t="shared" si="13"/>
        <v>-5.4291808004192858E-4</v>
      </c>
      <c r="AX37" s="10">
        <f t="shared" si="13"/>
        <v>-3.2312288333929945E-4</v>
      </c>
      <c r="AY37" s="10">
        <f t="shared" si="13"/>
        <v>-1.2599396764463984E-4</v>
      </c>
      <c r="AZ37" s="10">
        <f t="shared" si="13"/>
        <v>5.1802920433097832E-5</v>
      </c>
      <c r="BA37" s="10">
        <f t="shared" si="13"/>
        <v>2.1297863526069675E-4</v>
      </c>
      <c r="BB37" s="10">
        <f t="shared" si="13"/>
        <v>3.5975982088337025E-4</v>
      </c>
      <c r="BC37" s="10">
        <f t="shared" si="13"/>
        <v>4.9399240119935451E-4</v>
      </c>
      <c r="BD37" s="10">
        <f t="shared" si="13"/>
        <v>6.1721961549640787E-4</v>
      </c>
      <c r="BE37" s="10">
        <f t="shared" si="13"/>
        <v>7.2280582351896762E-4</v>
      </c>
      <c r="BF37" s="10">
        <f t="shared" si="13"/>
        <v>7.9704428989751074E-4</v>
      </c>
      <c r="BG37" s="10">
        <f t="shared" si="13"/>
        <v>8.6127515403915382E-4</v>
      </c>
      <c r="BH37" s="10">
        <f t="shared" si="13"/>
        <v>9.173942243116183E-4</v>
      </c>
      <c r="BI37" s="10">
        <f t="shared" si="13"/>
        <v>9.6684690240197307E-4</v>
      </c>
      <c r="BJ37" s="10">
        <f t="shared" si="13"/>
        <v>1.0107544437503548E-3</v>
      </c>
      <c r="BK37" s="10">
        <f t="shared" si="13"/>
        <v>1.0500000000000002E-3</v>
      </c>
      <c r="BL37" s="10">
        <f>BL27*(BL17-$F14)/BL17</f>
        <v>1.35625E-3</v>
      </c>
      <c r="BM37" s="10">
        <f>BM27*(BM17-$F14)/BM17</f>
        <v>1.4760869565217389E-3</v>
      </c>
      <c r="BN37" s="10">
        <f>BN27*(BN17-$F14)/BN17</f>
        <v>1.5399999999999999E-3</v>
      </c>
      <c r="BO37" s="8">
        <f>BO28</f>
        <v>1.75E-3</v>
      </c>
      <c r="BP37" s="229"/>
      <c r="BQ37" s="229"/>
      <c r="BR37" s="229"/>
      <c r="BS37"/>
      <c r="BT37"/>
    </row>
    <row r="38" spans="1:72" ht="16.5">
      <c r="A38" s="226"/>
      <c r="B38" s="293" t="s">
        <v>59</v>
      </c>
      <c r="C38" s="301" t="s">
        <v>60</v>
      </c>
      <c r="D38" s="12">
        <f t="shared" ref="D38:BJ38" si="14">IF(D28&lt;0,MAX(-$C$10,200000*D28),MIN(200000*D28,$C$10)-IF(AND($C14&lt;$C$8*D17,$C14&gt;0),$C$9,0))</f>
        <v>-5.7353182937901384</v>
      </c>
      <c r="E38" s="307">
        <f t="shared" si="14"/>
        <v>19.570688108522923</v>
      </c>
      <c r="F38" s="307">
        <f t="shared" si="14"/>
        <v>43.124689696880708</v>
      </c>
      <c r="G38" s="307">
        <f t="shared" si="14"/>
        <v>65.10254315728929</v>
      </c>
      <c r="H38" s="307">
        <f t="shared" si="14"/>
        <v>85.65733175327469</v>
      </c>
      <c r="I38" s="307">
        <f t="shared" si="14"/>
        <v>104.92293616485662</v>
      </c>
      <c r="J38" s="307">
        <f t="shared" si="14"/>
        <v>123.01695387418059</v>
      </c>
      <c r="K38" s="307">
        <f t="shared" si="14"/>
        <v>117.3764349969431</v>
      </c>
      <c r="L38" s="307">
        <f t="shared" si="14"/>
        <v>133.42653826882284</v>
      </c>
      <c r="M38" s="307">
        <f t="shared" si="14"/>
        <v>148.5821877777492</v>
      </c>
      <c r="N38" s="307">
        <f t="shared" si="14"/>
        <v>162.91612688825063</v>
      </c>
      <c r="O38" s="307">
        <f t="shared" si="14"/>
        <v>176.49341914460442</v>
      </c>
      <c r="P38" s="307">
        <f t="shared" si="14"/>
        <v>189.37243569745056</v>
      </c>
      <c r="Q38" s="307">
        <f t="shared" si="14"/>
        <v>201.60569420073816</v>
      </c>
      <c r="R38" s="307">
        <f t="shared" si="14"/>
        <v>213.24057460715488</v>
      </c>
      <c r="S38" s="307">
        <f t="shared" si="14"/>
        <v>224.31993243378986</v>
      </c>
      <c r="T38" s="307">
        <f t="shared" si="14"/>
        <v>234.88262623248843</v>
      </c>
      <c r="U38" s="307">
        <f t="shared" si="14"/>
        <v>244.96397294896664</v>
      </c>
      <c r="V38" s="307">
        <f t="shared" si="14"/>
        <v>254.59614241596367</v>
      </c>
      <c r="W38" s="307">
        <f t="shared" si="14"/>
        <v>263.80850026524007</v>
      </c>
      <c r="X38" s="307">
        <f t="shared" si="14"/>
        <v>272.62790695906125</v>
      </c>
      <c r="Y38" s="307">
        <f t="shared" si="14"/>
        <v>281.07897935536778</v>
      </c>
      <c r="Z38" s="307">
        <f t="shared" si="14"/>
        <v>289.18432017121927</v>
      </c>
      <c r="AA38" s="307">
        <f t="shared" si="14"/>
        <v>296.96471984883692</v>
      </c>
      <c r="AB38" s="307">
        <f t="shared" si="14"/>
        <v>304.43933462045675</v>
      </c>
      <c r="AC38" s="307">
        <f t="shared" si="14"/>
        <v>311.6258439829125</v>
      </c>
      <c r="AD38" s="307">
        <f t="shared" si="14"/>
        <v>318.54059030717309</v>
      </c>
      <c r="AE38" s="307">
        <f t="shared" si="14"/>
        <v>325.19870290348501</v>
      </c>
      <c r="AF38" s="307">
        <f t="shared" si="14"/>
        <v>331.61420852453261</v>
      </c>
      <c r="AG38" s="307">
        <f t="shared" si="14"/>
        <v>337.80013000525878</v>
      </c>
      <c r="AH38" s="307">
        <f t="shared" si="14"/>
        <v>343.76857449911483</v>
      </c>
      <c r="AI38" s="307">
        <f t="shared" si="14"/>
        <v>349.53081256877113</v>
      </c>
      <c r="AJ38" s="307">
        <f t="shared" si="14"/>
        <v>355.09734921841448</v>
      </c>
      <c r="AK38" s="307">
        <f t="shared" si="14"/>
        <v>360.47798780953883</v>
      </c>
      <c r="AL38" s="307">
        <f t="shared" si="14"/>
        <v>365.68188767837751</v>
      </c>
      <c r="AM38" s="307">
        <f t="shared" si="14"/>
        <v>370.71761616737035</v>
      </c>
      <c r="AN38" s="307">
        <f t="shared" si="14"/>
        <v>375.59319569243121</v>
      </c>
      <c r="AO38" s="307">
        <f t="shared" si="14"/>
        <v>380.31614638992784</v>
      </c>
      <c r="AP38" s="307">
        <f t="shared" si="14"/>
        <v>384.89352482022639</v>
      </c>
      <c r="AQ38" s="307">
        <f t="shared" si="14"/>
        <v>389.33195914675304</v>
      </c>
      <c r="AR38" s="61">
        <f t="shared" si="14"/>
        <v>393.63768115942025</v>
      </c>
      <c r="AS38" s="307">
        <f t="shared" si="14"/>
        <v>412.1159420289855</v>
      </c>
      <c r="AT38" s="307">
        <f t="shared" si="14"/>
        <v>412.1159420289855</v>
      </c>
      <c r="AU38" s="307">
        <f t="shared" si="14"/>
        <v>412.1159420289855</v>
      </c>
      <c r="AV38" s="307">
        <f t="shared" si="14"/>
        <v>412.1159420289855</v>
      </c>
      <c r="AW38" s="307">
        <f t="shared" si="14"/>
        <v>412.1159420289855</v>
      </c>
      <c r="AX38" s="307">
        <f t="shared" si="14"/>
        <v>412.1159420289855</v>
      </c>
      <c r="AY38" s="307">
        <f t="shared" si="14"/>
        <v>412.1159420289855</v>
      </c>
      <c r="AZ38" s="307">
        <f t="shared" si="14"/>
        <v>412.1159420289855</v>
      </c>
      <c r="BA38" s="307">
        <f t="shared" si="14"/>
        <v>412.1159420289855</v>
      </c>
      <c r="BB38" s="307">
        <f t="shared" si="14"/>
        <v>412.1159420289855</v>
      </c>
      <c r="BC38" s="307">
        <f t="shared" si="14"/>
        <v>412.1159420289855</v>
      </c>
      <c r="BD38" s="307">
        <f t="shared" si="14"/>
        <v>412.1159420289855</v>
      </c>
      <c r="BE38" s="307">
        <f t="shared" si="14"/>
        <v>412.1159420289855</v>
      </c>
      <c r="BF38" s="307">
        <f t="shared" si="14"/>
        <v>412.1159420289855</v>
      </c>
      <c r="BG38" s="307">
        <f t="shared" si="14"/>
        <v>412.1159420289855</v>
      </c>
      <c r="BH38" s="307">
        <f t="shared" si="14"/>
        <v>412.1159420289855</v>
      </c>
      <c r="BI38" s="307">
        <f t="shared" si="14"/>
        <v>412.1159420289855</v>
      </c>
      <c r="BJ38" s="307">
        <f t="shared" si="14"/>
        <v>412.1159420289855</v>
      </c>
      <c r="BK38" s="307">
        <f>IF(BK28&lt;0,MAX(-$C$10,200000*BK28),MIN(200000*BK28,$C$10)-IF(AND($C14&lt;$C$8*BK17,$C14&gt;0),$C$9,0))</f>
        <v>412.1159420289855</v>
      </c>
      <c r="BL38" s="307">
        <f>IF(BL28&lt;0,MAX(-$C$10,200000*BL28),MIN(200000*BL28,$C$10)-IF(AND($C14&lt;$C$8*BL17,$C14&gt;0),$C$9,0))</f>
        <v>406.08333333333326</v>
      </c>
      <c r="BM38" s="307">
        <f>IF(BM28&lt;0,MAX(-$C$10,200000*BM28),MIN(200000*BM28,$C$10)-IF(AND($C14&lt;$C$8*BM17,$C14&gt;0),$C$9,0))</f>
        <v>382.1159420289855</v>
      </c>
      <c r="BN38" s="307">
        <f>IF(BN28&lt;0,MAX(-$C$10,200000*BN28),MIN(200000*BN28,$C$10)-IF(AND($C14&lt;$C$8*BN17,$C14&gt;0),$C$9,0))</f>
        <v>369.33333333333331</v>
      </c>
      <c r="BO38" s="12">
        <f>200000*BO28-C$9</f>
        <v>327.33333333333331</v>
      </c>
      <c r="BS38" s="55"/>
      <c r="BT38" s="55"/>
    </row>
    <row r="39" spans="1:72" ht="16.5">
      <c r="B39" s="11">
        <v>2</v>
      </c>
      <c r="C39" s="302" t="s">
        <v>61</v>
      </c>
      <c r="D39" s="12">
        <f t="shared" ref="D39:AI39" si="15">IF(D29&lt;0,MAX(-$C$10,200000*D29),MIN(200000*D29,$C$10)-IF(AND($D19&lt;$C$8*D17,$D19&gt;0),$C$9,0))</f>
        <v>0</v>
      </c>
      <c r="E39" s="307">
        <f t="shared" si="15"/>
        <v>0</v>
      </c>
      <c r="F39" s="307">
        <f t="shared" si="15"/>
        <v>0</v>
      </c>
      <c r="G39" s="307">
        <f t="shared" si="15"/>
        <v>0</v>
      </c>
      <c r="H39" s="307">
        <f t="shared" si="15"/>
        <v>0</v>
      </c>
      <c r="I39" s="307">
        <f t="shared" si="15"/>
        <v>0</v>
      </c>
      <c r="J39" s="307">
        <f t="shared" si="15"/>
        <v>0</v>
      </c>
      <c r="K39" s="307">
        <f t="shared" si="15"/>
        <v>0</v>
      </c>
      <c r="L39" s="307">
        <f t="shared" si="15"/>
        <v>0</v>
      </c>
      <c r="M39" s="307">
        <f t="shared" si="15"/>
        <v>0</v>
      </c>
      <c r="N39" s="307">
        <f t="shared" si="15"/>
        <v>0</v>
      </c>
      <c r="O39" s="307">
        <f t="shared" si="15"/>
        <v>0</v>
      </c>
      <c r="P39" s="307">
        <f t="shared" si="15"/>
        <v>0</v>
      </c>
      <c r="Q39" s="307">
        <f t="shared" si="15"/>
        <v>0</v>
      </c>
      <c r="R39" s="307">
        <f t="shared" si="15"/>
        <v>0</v>
      </c>
      <c r="S39" s="307">
        <f t="shared" si="15"/>
        <v>0</v>
      </c>
      <c r="T39" s="307">
        <f t="shared" si="15"/>
        <v>0</v>
      </c>
      <c r="U39" s="307">
        <f t="shared" si="15"/>
        <v>0</v>
      </c>
      <c r="V39" s="307">
        <f t="shared" si="15"/>
        <v>0</v>
      </c>
      <c r="W39" s="307">
        <f t="shared" si="15"/>
        <v>0</v>
      </c>
      <c r="X39" s="307">
        <f t="shared" si="15"/>
        <v>0</v>
      </c>
      <c r="Y39" s="307">
        <f t="shared" si="15"/>
        <v>0</v>
      </c>
      <c r="Z39" s="307">
        <f t="shared" si="15"/>
        <v>0</v>
      </c>
      <c r="AA39" s="307">
        <f t="shared" si="15"/>
        <v>0</v>
      </c>
      <c r="AB39" s="307">
        <f t="shared" si="15"/>
        <v>0</v>
      </c>
      <c r="AC39" s="307">
        <f t="shared" si="15"/>
        <v>0</v>
      </c>
      <c r="AD39" s="307">
        <f t="shared" si="15"/>
        <v>0</v>
      </c>
      <c r="AE39" s="307">
        <f t="shared" si="15"/>
        <v>0</v>
      </c>
      <c r="AF39" s="307">
        <f t="shared" si="15"/>
        <v>0</v>
      </c>
      <c r="AG39" s="307">
        <f t="shared" si="15"/>
        <v>0</v>
      </c>
      <c r="AH39" s="307">
        <f t="shared" si="15"/>
        <v>0</v>
      </c>
      <c r="AI39" s="307">
        <f t="shared" si="15"/>
        <v>0</v>
      </c>
      <c r="AJ39" s="307">
        <f t="shared" ref="AJ39:BK39" si="16">IF(AJ29&lt;0,MAX(-$C$10,200000*AJ29),MIN(200000*AJ29,$C$10)-IF(AND($D19&lt;$C$8*AJ17,$D19&gt;0),$C$9,0))</f>
        <v>0</v>
      </c>
      <c r="AK39" s="307">
        <f t="shared" si="16"/>
        <v>0</v>
      </c>
      <c r="AL39" s="307">
        <f t="shared" si="16"/>
        <v>0</v>
      </c>
      <c r="AM39" s="307">
        <f t="shared" si="16"/>
        <v>0</v>
      </c>
      <c r="AN39" s="307">
        <f t="shared" si="16"/>
        <v>0</v>
      </c>
      <c r="AO39" s="307">
        <f t="shared" si="16"/>
        <v>0</v>
      </c>
      <c r="AP39" s="307">
        <f t="shared" si="16"/>
        <v>0</v>
      </c>
      <c r="AQ39" s="307">
        <f t="shared" si="16"/>
        <v>0</v>
      </c>
      <c r="AR39" s="61">
        <f t="shared" si="16"/>
        <v>0</v>
      </c>
      <c r="AS39" s="307">
        <f t="shared" si="16"/>
        <v>0</v>
      </c>
      <c r="AT39" s="307">
        <f t="shared" si="16"/>
        <v>0</v>
      </c>
      <c r="AU39" s="307">
        <f t="shared" si="16"/>
        <v>0</v>
      </c>
      <c r="AV39" s="307">
        <f t="shared" si="16"/>
        <v>0</v>
      </c>
      <c r="AW39" s="307">
        <f t="shared" si="16"/>
        <v>0</v>
      </c>
      <c r="AX39" s="307">
        <f t="shared" si="16"/>
        <v>0</v>
      </c>
      <c r="AY39" s="307">
        <f t="shared" si="16"/>
        <v>0</v>
      </c>
      <c r="AZ39" s="307">
        <f t="shared" si="16"/>
        <v>0</v>
      </c>
      <c r="BA39" s="307">
        <f t="shared" si="16"/>
        <v>0</v>
      </c>
      <c r="BB39" s="307">
        <f t="shared" si="16"/>
        <v>0</v>
      </c>
      <c r="BC39" s="307">
        <f t="shared" si="16"/>
        <v>0</v>
      </c>
      <c r="BD39" s="307">
        <f t="shared" si="16"/>
        <v>0</v>
      </c>
      <c r="BE39" s="307">
        <f t="shared" si="16"/>
        <v>0</v>
      </c>
      <c r="BF39" s="307">
        <f t="shared" si="16"/>
        <v>0</v>
      </c>
      <c r="BG39" s="307">
        <f t="shared" si="16"/>
        <v>0</v>
      </c>
      <c r="BH39" s="307">
        <f t="shared" si="16"/>
        <v>0</v>
      </c>
      <c r="BI39" s="307">
        <f t="shared" si="16"/>
        <v>0</v>
      </c>
      <c r="BJ39" s="307">
        <f t="shared" si="16"/>
        <v>0</v>
      </c>
      <c r="BK39" s="307">
        <f t="shared" si="16"/>
        <v>0</v>
      </c>
      <c r="BL39" s="307">
        <f>IF(BL29&lt;0,MAX(-$C$10,200000*BL29),MIN(200000*BL29,$C$10)-IF(AND($D19&lt;$C$8*BL17,$D19&gt;0),$C$9,0))</f>
        <v>0</v>
      </c>
      <c r="BM39" s="307">
        <f>IF(BM29&lt;0,MAX(-$C$10,200000*BM29),MIN(200000*BM29,$C$10)-IF(AND($D19&lt;$C$8*BM17,$D19&gt;0),$C$9,0))</f>
        <v>0</v>
      </c>
      <c r="BN39" s="307">
        <f>IF(BN29&lt;0,MAX(-$C$10,200000*BN29),MIN(200000*BN29,$C$10)-IF(AND($D19&lt;$C$8*BN17,$D19&gt;0),$C$9,0))</f>
        <v>0</v>
      </c>
      <c r="BO39" s="12">
        <f>IF(D39=0,0,BO38)</f>
        <v>0</v>
      </c>
      <c r="BP39" s="229"/>
      <c r="BQ39" s="229"/>
      <c r="BR39" s="229"/>
      <c r="BS39"/>
      <c r="BT39"/>
    </row>
    <row r="40" spans="1:72" ht="16.5">
      <c r="B40" s="11">
        <f t="shared" ref="B40:B46" si="17">1+B39</f>
        <v>3</v>
      </c>
      <c r="C40" s="302" t="s">
        <v>61</v>
      </c>
      <c r="D40" s="12">
        <f t="shared" ref="D40:AI40" si="18">IF(D30&lt;0,MAX(-$C$10,200000*D30),MIN(200000*D30,$C$10)-IF(AND($D20&lt;$C$8*D17,$D20&gt;0),$C$9,0))</f>
        <v>0</v>
      </c>
      <c r="E40" s="307">
        <f t="shared" si="18"/>
        <v>0</v>
      </c>
      <c r="F40" s="307">
        <f t="shared" si="18"/>
        <v>0</v>
      </c>
      <c r="G40" s="307">
        <f t="shared" si="18"/>
        <v>0</v>
      </c>
      <c r="H40" s="307">
        <f t="shared" si="18"/>
        <v>0</v>
      </c>
      <c r="I40" s="307">
        <f t="shared" si="18"/>
        <v>0</v>
      </c>
      <c r="J40" s="307">
        <f t="shared" si="18"/>
        <v>0</v>
      </c>
      <c r="K40" s="307">
        <f t="shared" si="18"/>
        <v>0</v>
      </c>
      <c r="L40" s="307">
        <f t="shared" si="18"/>
        <v>0</v>
      </c>
      <c r="M40" s="307">
        <f t="shared" si="18"/>
        <v>0</v>
      </c>
      <c r="N40" s="307">
        <f t="shared" si="18"/>
        <v>0</v>
      </c>
      <c r="O40" s="307">
        <f t="shared" si="18"/>
        <v>0</v>
      </c>
      <c r="P40" s="307">
        <f t="shared" si="18"/>
        <v>0</v>
      </c>
      <c r="Q40" s="307">
        <f t="shared" si="18"/>
        <v>0</v>
      </c>
      <c r="R40" s="307">
        <f t="shared" si="18"/>
        <v>0</v>
      </c>
      <c r="S40" s="307">
        <f t="shared" si="18"/>
        <v>0</v>
      </c>
      <c r="T40" s="307">
        <f t="shared" si="18"/>
        <v>0</v>
      </c>
      <c r="U40" s="307">
        <f t="shared" si="18"/>
        <v>0</v>
      </c>
      <c r="V40" s="307">
        <f t="shared" si="18"/>
        <v>0</v>
      </c>
      <c r="W40" s="307">
        <f t="shared" si="18"/>
        <v>0</v>
      </c>
      <c r="X40" s="307">
        <f t="shared" si="18"/>
        <v>0</v>
      </c>
      <c r="Y40" s="307">
        <f t="shared" si="18"/>
        <v>0</v>
      </c>
      <c r="Z40" s="307">
        <f t="shared" si="18"/>
        <v>0</v>
      </c>
      <c r="AA40" s="307">
        <f t="shared" si="18"/>
        <v>0</v>
      </c>
      <c r="AB40" s="307">
        <f t="shared" si="18"/>
        <v>0</v>
      </c>
      <c r="AC40" s="307">
        <f t="shared" si="18"/>
        <v>0</v>
      </c>
      <c r="AD40" s="307">
        <f t="shared" si="18"/>
        <v>0</v>
      </c>
      <c r="AE40" s="307">
        <f t="shared" si="18"/>
        <v>0</v>
      </c>
      <c r="AF40" s="307">
        <f t="shared" si="18"/>
        <v>0</v>
      </c>
      <c r="AG40" s="307">
        <f t="shared" si="18"/>
        <v>0</v>
      </c>
      <c r="AH40" s="307">
        <f t="shared" si="18"/>
        <v>0</v>
      </c>
      <c r="AI40" s="307">
        <f t="shared" si="18"/>
        <v>0</v>
      </c>
      <c r="AJ40" s="307">
        <f t="shared" ref="AJ40:BK40" si="19">IF(AJ30&lt;0,MAX(-$C$10,200000*AJ30),MIN(200000*AJ30,$C$10)-IF(AND($D20&lt;$C$8*AJ17,$D20&gt;0),$C$9,0))</f>
        <v>0</v>
      </c>
      <c r="AK40" s="307">
        <f t="shared" si="19"/>
        <v>0</v>
      </c>
      <c r="AL40" s="307">
        <f t="shared" si="19"/>
        <v>0</v>
      </c>
      <c r="AM40" s="307">
        <f t="shared" si="19"/>
        <v>0</v>
      </c>
      <c r="AN40" s="307">
        <f t="shared" si="19"/>
        <v>0</v>
      </c>
      <c r="AO40" s="307">
        <f t="shared" si="19"/>
        <v>0</v>
      </c>
      <c r="AP40" s="307">
        <f t="shared" si="19"/>
        <v>0</v>
      </c>
      <c r="AQ40" s="307">
        <f t="shared" si="19"/>
        <v>0</v>
      </c>
      <c r="AR40" s="61">
        <f t="shared" si="19"/>
        <v>0</v>
      </c>
      <c r="AS40" s="307">
        <f t="shared" si="19"/>
        <v>0</v>
      </c>
      <c r="AT40" s="307">
        <f t="shared" si="19"/>
        <v>0</v>
      </c>
      <c r="AU40" s="307">
        <f t="shared" si="19"/>
        <v>0</v>
      </c>
      <c r="AV40" s="307">
        <f t="shared" si="19"/>
        <v>0</v>
      </c>
      <c r="AW40" s="307">
        <f t="shared" si="19"/>
        <v>0</v>
      </c>
      <c r="AX40" s="307">
        <f t="shared" si="19"/>
        <v>0</v>
      </c>
      <c r="AY40" s="307">
        <f t="shared" si="19"/>
        <v>0</v>
      </c>
      <c r="AZ40" s="307">
        <f t="shared" si="19"/>
        <v>0</v>
      </c>
      <c r="BA40" s="307">
        <f t="shared" si="19"/>
        <v>0</v>
      </c>
      <c r="BB40" s="307">
        <f t="shared" si="19"/>
        <v>0</v>
      </c>
      <c r="BC40" s="307">
        <f t="shared" si="19"/>
        <v>0</v>
      </c>
      <c r="BD40" s="307">
        <f t="shared" si="19"/>
        <v>0</v>
      </c>
      <c r="BE40" s="307">
        <f t="shared" si="19"/>
        <v>0</v>
      </c>
      <c r="BF40" s="307">
        <f t="shared" si="19"/>
        <v>0</v>
      </c>
      <c r="BG40" s="307">
        <f t="shared" si="19"/>
        <v>0</v>
      </c>
      <c r="BH40" s="307">
        <f t="shared" si="19"/>
        <v>0</v>
      </c>
      <c r="BI40" s="307">
        <f t="shared" si="19"/>
        <v>0</v>
      </c>
      <c r="BJ40" s="307">
        <f t="shared" si="19"/>
        <v>0</v>
      </c>
      <c r="BK40" s="307">
        <f t="shared" si="19"/>
        <v>0</v>
      </c>
      <c r="BL40" s="307">
        <f>IF(BL30&lt;0,MAX(-$C$10,200000*BL30),MIN(200000*BL30,$C$10)-IF(AND($D20&lt;$C$8*BL17,$D20&gt;0),$C$9,0))</f>
        <v>0</v>
      </c>
      <c r="BM40" s="307">
        <f>IF(BM30&lt;0,MAX(-$C$10,200000*BM30),MIN(200000*BM30,$C$10)-IF(AND($D20&lt;$C$8*BM17,$D20&gt;0),$C$9,0))</f>
        <v>0</v>
      </c>
      <c r="BN40" s="307">
        <f>IF(BN30&lt;0,MAX(-$C$10,200000*BN30),MIN(200000*BN30,$C$10)-IF(AND($D20&lt;$C$8*BN17,$D20&gt;0),$C$9,0))</f>
        <v>0</v>
      </c>
      <c r="BO40" s="12">
        <f>IF(D40=0,0,BO38)</f>
        <v>0</v>
      </c>
      <c r="BS40"/>
      <c r="BT40"/>
    </row>
    <row r="41" spans="1:72" ht="16.5">
      <c r="B41" s="11">
        <f t="shared" si="17"/>
        <v>4</v>
      </c>
      <c r="C41" s="302" t="s">
        <v>61</v>
      </c>
      <c r="D41" s="12">
        <f t="shared" ref="D41:AI41" si="20">IF(D31&lt;0,MAX(-$C$10,200000*D31),MIN(200000*D31,$C$10)-IF(AND($D21&lt;$C$8*D17,$D21&gt;0),$C$9,0))</f>
        <v>0</v>
      </c>
      <c r="E41" s="307">
        <f t="shared" si="20"/>
        <v>0</v>
      </c>
      <c r="F41" s="307">
        <f t="shared" si="20"/>
        <v>0</v>
      </c>
      <c r="G41" s="307">
        <f t="shared" si="20"/>
        <v>0</v>
      </c>
      <c r="H41" s="307">
        <f t="shared" si="20"/>
        <v>0</v>
      </c>
      <c r="I41" s="307">
        <f t="shared" si="20"/>
        <v>0</v>
      </c>
      <c r="J41" s="307">
        <f t="shared" si="20"/>
        <v>0</v>
      </c>
      <c r="K41" s="307">
        <f t="shared" si="20"/>
        <v>0</v>
      </c>
      <c r="L41" s="307">
        <f t="shared" si="20"/>
        <v>0</v>
      </c>
      <c r="M41" s="307">
        <f t="shared" si="20"/>
        <v>0</v>
      </c>
      <c r="N41" s="307">
        <f t="shared" si="20"/>
        <v>0</v>
      </c>
      <c r="O41" s="307">
        <f t="shared" si="20"/>
        <v>0</v>
      </c>
      <c r="P41" s="307">
        <f t="shared" si="20"/>
        <v>0</v>
      </c>
      <c r="Q41" s="307">
        <f t="shared" si="20"/>
        <v>0</v>
      </c>
      <c r="R41" s="307">
        <f t="shared" si="20"/>
        <v>0</v>
      </c>
      <c r="S41" s="307">
        <f t="shared" si="20"/>
        <v>0</v>
      </c>
      <c r="T41" s="307">
        <f t="shared" si="20"/>
        <v>0</v>
      </c>
      <c r="U41" s="307">
        <f t="shared" si="20"/>
        <v>0</v>
      </c>
      <c r="V41" s="307">
        <f t="shared" si="20"/>
        <v>0</v>
      </c>
      <c r="W41" s="307">
        <f t="shared" si="20"/>
        <v>0</v>
      </c>
      <c r="X41" s="307">
        <f t="shared" si="20"/>
        <v>0</v>
      </c>
      <c r="Y41" s="307">
        <f t="shared" si="20"/>
        <v>0</v>
      </c>
      <c r="Z41" s="307">
        <f t="shared" si="20"/>
        <v>0</v>
      </c>
      <c r="AA41" s="307">
        <f t="shared" si="20"/>
        <v>0</v>
      </c>
      <c r="AB41" s="307">
        <f t="shared" si="20"/>
        <v>0</v>
      </c>
      <c r="AC41" s="307">
        <f t="shared" si="20"/>
        <v>0</v>
      </c>
      <c r="AD41" s="307">
        <f t="shared" si="20"/>
        <v>0</v>
      </c>
      <c r="AE41" s="307">
        <f t="shared" si="20"/>
        <v>0</v>
      </c>
      <c r="AF41" s="307">
        <f t="shared" si="20"/>
        <v>0</v>
      </c>
      <c r="AG41" s="307">
        <f t="shared" si="20"/>
        <v>0</v>
      </c>
      <c r="AH41" s="307">
        <f t="shared" si="20"/>
        <v>0</v>
      </c>
      <c r="AI41" s="307">
        <f t="shared" si="20"/>
        <v>0</v>
      </c>
      <c r="AJ41" s="307">
        <f t="shared" ref="AJ41:BK41" si="21">IF(AJ31&lt;0,MAX(-$C$10,200000*AJ31),MIN(200000*AJ31,$C$10)-IF(AND($D21&lt;$C$8*AJ17,$D21&gt;0),$C$9,0))</f>
        <v>0</v>
      </c>
      <c r="AK41" s="307">
        <f t="shared" si="21"/>
        <v>0</v>
      </c>
      <c r="AL41" s="307">
        <f t="shared" si="21"/>
        <v>0</v>
      </c>
      <c r="AM41" s="307">
        <f t="shared" si="21"/>
        <v>0</v>
      </c>
      <c r="AN41" s="307">
        <f t="shared" si="21"/>
        <v>0</v>
      </c>
      <c r="AO41" s="307">
        <f t="shared" si="21"/>
        <v>0</v>
      </c>
      <c r="AP41" s="307">
        <f t="shared" si="21"/>
        <v>0</v>
      </c>
      <c r="AQ41" s="307">
        <f t="shared" si="21"/>
        <v>0</v>
      </c>
      <c r="AR41" s="61">
        <f t="shared" si="21"/>
        <v>0</v>
      </c>
      <c r="AS41" s="307">
        <f t="shared" si="21"/>
        <v>0</v>
      </c>
      <c r="AT41" s="307">
        <f t="shared" si="21"/>
        <v>0</v>
      </c>
      <c r="AU41" s="307">
        <f t="shared" si="21"/>
        <v>0</v>
      </c>
      <c r="AV41" s="307">
        <f t="shared" si="21"/>
        <v>0</v>
      </c>
      <c r="AW41" s="307">
        <f t="shared" si="21"/>
        <v>0</v>
      </c>
      <c r="AX41" s="307">
        <f t="shared" si="21"/>
        <v>0</v>
      </c>
      <c r="AY41" s="307">
        <f t="shared" si="21"/>
        <v>0</v>
      </c>
      <c r="AZ41" s="307">
        <f t="shared" si="21"/>
        <v>0</v>
      </c>
      <c r="BA41" s="307">
        <f t="shared" si="21"/>
        <v>0</v>
      </c>
      <c r="BB41" s="307">
        <f t="shared" si="21"/>
        <v>0</v>
      </c>
      <c r="BC41" s="307">
        <f t="shared" si="21"/>
        <v>0</v>
      </c>
      <c r="BD41" s="307">
        <f t="shared" si="21"/>
        <v>0</v>
      </c>
      <c r="BE41" s="307">
        <f t="shared" si="21"/>
        <v>0</v>
      </c>
      <c r="BF41" s="307">
        <f t="shared" si="21"/>
        <v>0</v>
      </c>
      <c r="BG41" s="307">
        <f t="shared" si="21"/>
        <v>0</v>
      </c>
      <c r="BH41" s="307">
        <f t="shared" si="21"/>
        <v>0</v>
      </c>
      <c r="BI41" s="307">
        <f t="shared" si="21"/>
        <v>0</v>
      </c>
      <c r="BJ41" s="307">
        <f t="shared" si="21"/>
        <v>0</v>
      </c>
      <c r="BK41" s="307">
        <f t="shared" si="21"/>
        <v>0</v>
      </c>
      <c r="BL41" s="307">
        <f>IF(BL31&lt;0,MAX(-$C$10,200000*BL31),MIN(200000*BL31,$C$10)-IF(AND($D21&lt;$C$8*BL17,$D21&gt;0),$C$9,0))</f>
        <v>0</v>
      </c>
      <c r="BM41" s="307">
        <f>IF(BM31&lt;0,MAX(-$C$10,200000*BM31),MIN(200000*BM31,$C$10)-IF(AND($D21&lt;$C$8*BM17,$D21&gt;0),$C$9,0))</f>
        <v>0</v>
      </c>
      <c r="BN41" s="307">
        <f>IF(BN31&lt;0,MAX(-$C$10,200000*BN31),MIN(200000*BN31,$C$10)-IF(AND($D21&lt;$C$8*BN17,$D21&gt;0),$C$9,0))</f>
        <v>0</v>
      </c>
      <c r="BO41" s="12">
        <f>IF(D41=0,0,BO38)</f>
        <v>0</v>
      </c>
      <c r="BS41"/>
      <c r="BT41"/>
    </row>
    <row r="42" spans="1:72" ht="16.5">
      <c r="B42" s="11">
        <f t="shared" si="17"/>
        <v>5</v>
      </c>
      <c r="C42" s="302" t="s">
        <v>61</v>
      </c>
      <c r="D42" s="12">
        <f t="shared" ref="D42:AI42" si="22">IF(D32&lt;0,MAX(-$C$10,200000*D32),MIN(200000*D32,$C$10)-IF(AND($D22&lt;$C$8*D17,$D22&gt;0),$C$9,0))</f>
        <v>0</v>
      </c>
      <c r="E42" s="307">
        <f t="shared" si="22"/>
        <v>0</v>
      </c>
      <c r="F42" s="307">
        <f t="shared" si="22"/>
        <v>0</v>
      </c>
      <c r="G42" s="307">
        <f t="shared" si="22"/>
        <v>0</v>
      </c>
      <c r="H42" s="307">
        <f t="shared" si="22"/>
        <v>0</v>
      </c>
      <c r="I42" s="307">
        <f t="shared" si="22"/>
        <v>0</v>
      </c>
      <c r="J42" s="307">
        <f t="shared" si="22"/>
        <v>0</v>
      </c>
      <c r="K42" s="307">
        <f t="shared" si="22"/>
        <v>0</v>
      </c>
      <c r="L42" s="307">
        <f t="shared" si="22"/>
        <v>0</v>
      </c>
      <c r="M42" s="307">
        <f t="shared" si="22"/>
        <v>0</v>
      </c>
      <c r="N42" s="307">
        <f t="shared" si="22"/>
        <v>0</v>
      </c>
      <c r="O42" s="307">
        <f t="shared" si="22"/>
        <v>0</v>
      </c>
      <c r="P42" s="307">
        <f t="shared" si="22"/>
        <v>0</v>
      </c>
      <c r="Q42" s="307">
        <f t="shared" si="22"/>
        <v>0</v>
      </c>
      <c r="R42" s="307">
        <f t="shared" si="22"/>
        <v>0</v>
      </c>
      <c r="S42" s="307">
        <f t="shared" si="22"/>
        <v>0</v>
      </c>
      <c r="T42" s="307">
        <f t="shared" si="22"/>
        <v>0</v>
      </c>
      <c r="U42" s="307">
        <f t="shared" si="22"/>
        <v>0</v>
      </c>
      <c r="V42" s="307">
        <f t="shared" si="22"/>
        <v>0</v>
      </c>
      <c r="W42" s="307">
        <f t="shared" si="22"/>
        <v>0</v>
      </c>
      <c r="X42" s="307">
        <f t="shared" si="22"/>
        <v>0</v>
      </c>
      <c r="Y42" s="307">
        <f t="shared" si="22"/>
        <v>0</v>
      </c>
      <c r="Z42" s="307">
        <f t="shared" si="22"/>
        <v>0</v>
      </c>
      <c r="AA42" s="307">
        <f t="shared" si="22"/>
        <v>0</v>
      </c>
      <c r="AB42" s="307">
        <f t="shared" si="22"/>
        <v>0</v>
      </c>
      <c r="AC42" s="307">
        <f t="shared" si="22"/>
        <v>0</v>
      </c>
      <c r="AD42" s="307">
        <f t="shared" si="22"/>
        <v>0</v>
      </c>
      <c r="AE42" s="307">
        <f t="shared" si="22"/>
        <v>0</v>
      </c>
      <c r="AF42" s="307">
        <f t="shared" si="22"/>
        <v>0</v>
      </c>
      <c r="AG42" s="307">
        <f t="shared" si="22"/>
        <v>0</v>
      </c>
      <c r="AH42" s="307">
        <f t="shared" si="22"/>
        <v>0</v>
      </c>
      <c r="AI42" s="307">
        <f t="shared" si="22"/>
        <v>0</v>
      </c>
      <c r="AJ42" s="307">
        <f t="shared" ref="AJ42:BK42" si="23">IF(AJ32&lt;0,MAX(-$C$10,200000*AJ32),MIN(200000*AJ32,$C$10)-IF(AND($D22&lt;$C$8*AJ17,$D22&gt;0),$C$9,0))</f>
        <v>0</v>
      </c>
      <c r="AK42" s="307">
        <f t="shared" si="23"/>
        <v>0</v>
      </c>
      <c r="AL42" s="307">
        <f t="shared" si="23"/>
        <v>0</v>
      </c>
      <c r="AM42" s="307">
        <f t="shared" si="23"/>
        <v>0</v>
      </c>
      <c r="AN42" s="307">
        <f t="shared" si="23"/>
        <v>0</v>
      </c>
      <c r="AO42" s="307">
        <f t="shared" si="23"/>
        <v>0</v>
      </c>
      <c r="AP42" s="307">
        <f t="shared" si="23"/>
        <v>0</v>
      </c>
      <c r="AQ42" s="307">
        <f t="shared" si="23"/>
        <v>0</v>
      </c>
      <c r="AR42" s="61">
        <f t="shared" si="23"/>
        <v>0</v>
      </c>
      <c r="AS42" s="307">
        <f t="shared" si="23"/>
        <v>0</v>
      </c>
      <c r="AT42" s="307">
        <f t="shared" si="23"/>
        <v>0</v>
      </c>
      <c r="AU42" s="307">
        <f t="shared" si="23"/>
        <v>0</v>
      </c>
      <c r="AV42" s="307">
        <f t="shared" si="23"/>
        <v>0</v>
      </c>
      <c r="AW42" s="307">
        <f t="shared" si="23"/>
        <v>0</v>
      </c>
      <c r="AX42" s="307">
        <f t="shared" si="23"/>
        <v>0</v>
      </c>
      <c r="AY42" s="307">
        <f t="shared" si="23"/>
        <v>0</v>
      </c>
      <c r="AZ42" s="307">
        <f t="shared" si="23"/>
        <v>0</v>
      </c>
      <c r="BA42" s="307">
        <f t="shared" si="23"/>
        <v>0</v>
      </c>
      <c r="BB42" s="307">
        <f t="shared" si="23"/>
        <v>0</v>
      </c>
      <c r="BC42" s="307">
        <f t="shared" si="23"/>
        <v>0</v>
      </c>
      <c r="BD42" s="307">
        <f t="shared" si="23"/>
        <v>0</v>
      </c>
      <c r="BE42" s="307">
        <f t="shared" si="23"/>
        <v>0</v>
      </c>
      <c r="BF42" s="307">
        <f t="shared" si="23"/>
        <v>0</v>
      </c>
      <c r="BG42" s="307">
        <f t="shared" si="23"/>
        <v>0</v>
      </c>
      <c r="BH42" s="307">
        <f t="shared" si="23"/>
        <v>0</v>
      </c>
      <c r="BI42" s="307">
        <f t="shared" si="23"/>
        <v>0</v>
      </c>
      <c r="BJ42" s="307">
        <f t="shared" si="23"/>
        <v>0</v>
      </c>
      <c r="BK42" s="307">
        <f t="shared" si="23"/>
        <v>0</v>
      </c>
      <c r="BL42" s="307">
        <f>IF(BL32&lt;0,MAX(-$C$10,200000*BL32),MIN(200000*BL32,$C$10)-IF(AND($D22&lt;$C$8*BL17,$D22&gt;0),$C$9,0))</f>
        <v>0</v>
      </c>
      <c r="BM42" s="307">
        <f>IF(BM32&lt;0,MAX(-$C$10,200000*BM32),MIN(200000*BM32,$C$10)-IF(AND($D22&lt;$C$8*BM17,$D22&gt;0),$C$9,0))</f>
        <v>0</v>
      </c>
      <c r="BN42" s="307">
        <f>IF(BN32&lt;0,MAX(-$C$10,200000*BN32),MIN(200000*BN32,$C$10)-IF(AND($D22&lt;$C$8*BN17,$D22&gt;0),$C$9,0))</f>
        <v>0</v>
      </c>
      <c r="BO42" s="12">
        <f>IF(D42=0,0,BO38)</f>
        <v>0</v>
      </c>
      <c r="BS42"/>
      <c r="BT42"/>
    </row>
    <row r="43" spans="1:72" ht="16.5">
      <c r="B43" s="11">
        <f t="shared" si="17"/>
        <v>6</v>
      </c>
      <c r="C43" s="302" t="s">
        <v>61</v>
      </c>
      <c r="D43" s="12">
        <f t="shared" ref="D43:AI43" si="24">IF(D33&lt;0,MAX(-$C$10,200000*D33),MIN(200000*D33,$C$10)-IF(AND($D23&lt;$C$8*D17,$D23&gt;0),$C$9,0))</f>
        <v>0</v>
      </c>
      <c r="E43" s="307">
        <f t="shared" si="24"/>
        <v>0</v>
      </c>
      <c r="F43" s="307">
        <f t="shared" si="24"/>
        <v>0</v>
      </c>
      <c r="G43" s="307">
        <f t="shared" si="24"/>
        <v>0</v>
      </c>
      <c r="H43" s="307">
        <f t="shared" si="24"/>
        <v>0</v>
      </c>
      <c r="I43" s="307">
        <f t="shared" si="24"/>
        <v>0</v>
      </c>
      <c r="J43" s="307">
        <f t="shared" si="24"/>
        <v>0</v>
      </c>
      <c r="K43" s="307">
        <f t="shared" si="24"/>
        <v>0</v>
      </c>
      <c r="L43" s="307">
        <f t="shared" si="24"/>
        <v>0</v>
      </c>
      <c r="M43" s="307">
        <f t="shared" si="24"/>
        <v>0</v>
      </c>
      <c r="N43" s="307">
        <f t="shared" si="24"/>
        <v>0</v>
      </c>
      <c r="O43" s="307">
        <f t="shared" si="24"/>
        <v>0</v>
      </c>
      <c r="P43" s="307">
        <f t="shared" si="24"/>
        <v>0</v>
      </c>
      <c r="Q43" s="307">
        <f t="shared" si="24"/>
        <v>0</v>
      </c>
      <c r="R43" s="307">
        <f t="shared" si="24"/>
        <v>0</v>
      </c>
      <c r="S43" s="307">
        <f t="shared" si="24"/>
        <v>0</v>
      </c>
      <c r="T43" s="307">
        <f t="shared" si="24"/>
        <v>0</v>
      </c>
      <c r="U43" s="307">
        <f t="shared" si="24"/>
        <v>0</v>
      </c>
      <c r="V43" s="307">
        <f t="shared" si="24"/>
        <v>0</v>
      </c>
      <c r="W43" s="307">
        <f t="shared" si="24"/>
        <v>0</v>
      </c>
      <c r="X43" s="307">
        <f t="shared" si="24"/>
        <v>0</v>
      </c>
      <c r="Y43" s="307">
        <f t="shared" si="24"/>
        <v>0</v>
      </c>
      <c r="Z43" s="307">
        <f t="shared" si="24"/>
        <v>0</v>
      </c>
      <c r="AA43" s="307">
        <f t="shared" si="24"/>
        <v>0</v>
      </c>
      <c r="AB43" s="307">
        <f t="shared" si="24"/>
        <v>0</v>
      </c>
      <c r="AC43" s="307">
        <f t="shared" si="24"/>
        <v>0</v>
      </c>
      <c r="AD43" s="307">
        <f t="shared" si="24"/>
        <v>0</v>
      </c>
      <c r="AE43" s="307">
        <f t="shared" si="24"/>
        <v>0</v>
      </c>
      <c r="AF43" s="307">
        <f t="shared" si="24"/>
        <v>0</v>
      </c>
      <c r="AG43" s="307">
        <f t="shared" si="24"/>
        <v>0</v>
      </c>
      <c r="AH43" s="307">
        <f t="shared" si="24"/>
        <v>0</v>
      </c>
      <c r="AI43" s="307">
        <f t="shared" si="24"/>
        <v>0</v>
      </c>
      <c r="AJ43" s="307">
        <f t="shared" ref="AJ43:BK43" si="25">IF(AJ33&lt;0,MAX(-$C$10,200000*AJ33),MIN(200000*AJ33,$C$10)-IF(AND($D23&lt;$C$8*AJ17,$D23&gt;0),$C$9,0))</f>
        <v>0</v>
      </c>
      <c r="AK43" s="307">
        <f t="shared" si="25"/>
        <v>0</v>
      </c>
      <c r="AL43" s="307">
        <f t="shared" si="25"/>
        <v>0</v>
      </c>
      <c r="AM43" s="307">
        <f t="shared" si="25"/>
        <v>0</v>
      </c>
      <c r="AN43" s="307">
        <f t="shared" si="25"/>
        <v>0</v>
      </c>
      <c r="AO43" s="307">
        <f t="shared" si="25"/>
        <v>0</v>
      </c>
      <c r="AP43" s="307">
        <f t="shared" si="25"/>
        <v>0</v>
      </c>
      <c r="AQ43" s="307">
        <f t="shared" si="25"/>
        <v>0</v>
      </c>
      <c r="AR43" s="61">
        <f t="shared" si="25"/>
        <v>0</v>
      </c>
      <c r="AS43" s="307">
        <f t="shared" si="25"/>
        <v>0</v>
      </c>
      <c r="AT43" s="307">
        <f t="shared" si="25"/>
        <v>0</v>
      </c>
      <c r="AU43" s="307">
        <f t="shared" si="25"/>
        <v>0</v>
      </c>
      <c r="AV43" s="307">
        <f t="shared" si="25"/>
        <v>0</v>
      </c>
      <c r="AW43" s="307">
        <f t="shared" si="25"/>
        <v>0</v>
      </c>
      <c r="AX43" s="307">
        <f t="shared" si="25"/>
        <v>0</v>
      </c>
      <c r="AY43" s="307">
        <f t="shared" si="25"/>
        <v>0</v>
      </c>
      <c r="AZ43" s="307">
        <f t="shared" si="25"/>
        <v>0</v>
      </c>
      <c r="BA43" s="307">
        <f t="shared" si="25"/>
        <v>0</v>
      </c>
      <c r="BB43" s="307">
        <f t="shared" si="25"/>
        <v>0</v>
      </c>
      <c r="BC43" s="307">
        <f t="shared" si="25"/>
        <v>0</v>
      </c>
      <c r="BD43" s="307">
        <f t="shared" si="25"/>
        <v>0</v>
      </c>
      <c r="BE43" s="307">
        <f t="shared" si="25"/>
        <v>0</v>
      </c>
      <c r="BF43" s="307">
        <f t="shared" si="25"/>
        <v>0</v>
      </c>
      <c r="BG43" s="307">
        <f t="shared" si="25"/>
        <v>0</v>
      </c>
      <c r="BH43" s="307">
        <f t="shared" si="25"/>
        <v>0</v>
      </c>
      <c r="BI43" s="307">
        <f t="shared" si="25"/>
        <v>0</v>
      </c>
      <c r="BJ43" s="307">
        <f t="shared" si="25"/>
        <v>0</v>
      </c>
      <c r="BK43" s="307">
        <f t="shared" si="25"/>
        <v>0</v>
      </c>
      <c r="BL43" s="307">
        <f>IF(BL33&lt;0,MAX(-$C$10,200000*BL33),MIN(200000*BL33,$C$10)-IF(AND($D23&lt;$C$8*BL17,$D23&gt;0),$C$9,0))</f>
        <v>0</v>
      </c>
      <c r="BM43" s="307">
        <f>IF(BM33&lt;0,MAX(-$C$10,200000*BM33),MIN(200000*BM33,$C$10)-IF(AND($D23&lt;$C$8*BM17,$D23&gt;0),$C$9,0))</f>
        <v>0</v>
      </c>
      <c r="BN43" s="307">
        <f>IF(BN33&lt;0,MAX(-$C$10,200000*BN33),MIN(200000*BN33,$C$10)-IF(AND($D23&lt;$C$8*BN17,$D23&gt;0),$C$9,0))</f>
        <v>0</v>
      </c>
      <c r="BO43" s="12">
        <f>IF(D43=0,0,BO38)</f>
        <v>0</v>
      </c>
      <c r="BS43"/>
      <c r="BT43"/>
    </row>
    <row r="44" spans="1:72" ht="16.5">
      <c r="B44" s="11">
        <f t="shared" si="17"/>
        <v>7</v>
      </c>
      <c r="C44" s="302" t="s">
        <v>61</v>
      </c>
      <c r="D44" s="12">
        <f t="shared" ref="D44:AI44" si="26">IF(D34&lt;0,MAX(-$C$10,200000*D34),MIN(200000*D34,$C$10)-IF(AND($D24&lt;$C$8*D17,$D24&gt;0),$C$9,0))</f>
        <v>0</v>
      </c>
      <c r="E44" s="307">
        <f t="shared" si="26"/>
        <v>0</v>
      </c>
      <c r="F44" s="307">
        <f t="shared" si="26"/>
        <v>0</v>
      </c>
      <c r="G44" s="307">
        <f t="shared" si="26"/>
        <v>0</v>
      </c>
      <c r="H44" s="307">
        <f t="shared" si="26"/>
        <v>0</v>
      </c>
      <c r="I44" s="307">
        <f t="shared" si="26"/>
        <v>0</v>
      </c>
      <c r="J44" s="307">
        <f t="shared" si="26"/>
        <v>0</v>
      </c>
      <c r="K44" s="307">
        <f t="shared" si="26"/>
        <v>0</v>
      </c>
      <c r="L44" s="307">
        <f t="shared" si="26"/>
        <v>0</v>
      </c>
      <c r="M44" s="307">
        <f t="shared" si="26"/>
        <v>0</v>
      </c>
      <c r="N44" s="307">
        <f t="shared" si="26"/>
        <v>0</v>
      </c>
      <c r="O44" s="307">
        <f t="shared" si="26"/>
        <v>0</v>
      </c>
      <c r="P44" s="307">
        <f t="shared" si="26"/>
        <v>0</v>
      </c>
      <c r="Q44" s="307">
        <f t="shared" si="26"/>
        <v>0</v>
      </c>
      <c r="R44" s="307">
        <f t="shared" si="26"/>
        <v>0</v>
      </c>
      <c r="S44" s="307">
        <f t="shared" si="26"/>
        <v>0</v>
      </c>
      <c r="T44" s="307">
        <f t="shared" si="26"/>
        <v>0</v>
      </c>
      <c r="U44" s="307">
        <f t="shared" si="26"/>
        <v>0</v>
      </c>
      <c r="V44" s="307">
        <f t="shared" si="26"/>
        <v>0</v>
      </c>
      <c r="W44" s="307">
        <f t="shared" si="26"/>
        <v>0</v>
      </c>
      <c r="X44" s="307">
        <f t="shared" si="26"/>
        <v>0</v>
      </c>
      <c r="Y44" s="307">
        <f t="shared" si="26"/>
        <v>0</v>
      </c>
      <c r="Z44" s="307">
        <f t="shared" si="26"/>
        <v>0</v>
      </c>
      <c r="AA44" s="307">
        <f t="shared" si="26"/>
        <v>0</v>
      </c>
      <c r="AB44" s="307">
        <f t="shared" si="26"/>
        <v>0</v>
      </c>
      <c r="AC44" s="307">
        <f t="shared" si="26"/>
        <v>0</v>
      </c>
      <c r="AD44" s="307">
        <f t="shared" si="26"/>
        <v>0</v>
      </c>
      <c r="AE44" s="307">
        <f t="shared" si="26"/>
        <v>0</v>
      </c>
      <c r="AF44" s="307">
        <f t="shared" si="26"/>
        <v>0</v>
      </c>
      <c r="AG44" s="307">
        <f t="shared" si="26"/>
        <v>0</v>
      </c>
      <c r="AH44" s="307">
        <f t="shared" si="26"/>
        <v>0</v>
      </c>
      <c r="AI44" s="307">
        <f t="shared" si="26"/>
        <v>0</v>
      </c>
      <c r="AJ44" s="307">
        <f t="shared" ref="AJ44:BK44" si="27">IF(AJ34&lt;0,MAX(-$C$10,200000*AJ34),MIN(200000*AJ34,$C$10)-IF(AND($D24&lt;$C$8*AJ17,$D24&gt;0),$C$9,0))</f>
        <v>0</v>
      </c>
      <c r="AK44" s="307">
        <f t="shared" si="27"/>
        <v>0</v>
      </c>
      <c r="AL44" s="307">
        <f t="shared" si="27"/>
        <v>0</v>
      </c>
      <c r="AM44" s="307">
        <f t="shared" si="27"/>
        <v>0</v>
      </c>
      <c r="AN44" s="307">
        <f t="shared" si="27"/>
        <v>0</v>
      </c>
      <c r="AO44" s="307">
        <f t="shared" si="27"/>
        <v>0</v>
      </c>
      <c r="AP44" s="307">
        <f t="shared" si="27"/>
        <v>0</v>
      </c>
      <c r="AQ44" s="307">
        <f t="shared" si="27"/>
        <v>0</v>
      </c>
      <c r="AR44" s="61">
        <f t="shared" si="27"/>
        <v>0</v>
      </c>
      <c r="AS44" s="307">
        <f t="shared" si="27"/>
        <v>0</v>
      </c>
      <c r="AT44" s="307">
        <f t="shared" si="27"/>
        <v>0</v>
      </c>
      <c r="AU44" s="307">
        <f t="shared" si="27"/>
        <v>0</v>
      </c>
      <c r="AV44" s="307">
        <f t="shared" si="27"/>
        <v>0</v>
      </c>
      <c r="AW44" s="307">
        <f t="shared" si="27"/>
        <v>0</v>
      </c>
      <c r="AX44" s="307">
        <f t="shared" si="27"/>
        <v>0</v>
      </c>
      <c r="AY44" s="307">
        <f t="shared" si="27"/>
        <v>0</v>
      </c>
      <c r="AZ44" s="307">
        <f t="shared" si="27"/>
        <v>0</v>
      </c>
      <c r="BA44" s="307">
        <f t="shared" si="27"/>
        <v>0</v>
      </c>
      <c r="BB44" s="307">
        <f t="shared" si="27"/>
        <v>0</v>
      </c>
      <c r="BC44" s="307">
        <f t="shared" si="27"/>
        <v>0</v>
      </c>
      <c r="BD44" s="307">
        <f t="shared" si="27"/>
        <v>0</v>
      </c>
      <c r="BE44" s="307">
        <f t="shared" si="27"/>
        <v>0</v>
      </c>
      <c r="BF44" s="307">
        <f t="shared" si="27"/>
        <v>0</v>
      </c>
      <c r="BG44" s="307">
        <f t="shared" si="27"/>
        <v>0</v>
      </c>
      <c r="BH44" s="307">
        <f t="shared" si="27"/>
        <v>0</v>
      </c>
      <c r="BI44" s="307">
        <f t="shared" si="27"/>
        <v>0</v>
      </c>
      <c r="BJ44" s="307">
        <f t="shared" si="27"/>
        <v>0</v>
      </c>
      <c r="BK44" s="307">
        <f t="shared" si="27"/>
        <v>0</v>
      </c>
      <c r="BL44" s="307">
        <f>IF(BL34&lt;0,MAX(-$C$10,200000*BL34),MIN(200000*BL34,$C$10)-IF(AND($D24&lt;$C$8*BL17,$D24&gt;0),$C$9,0))</f>
        <v>0</v>
      </c>
      <c r="BM44" s="307">
        <f>IF(BM34&lt;0,MAX(-$C$10,200000*BM34),MIN(200000*BM34,$C$10)-IF(AND($D24&lt;$C$8*BM17,$D24&gt;0),$C$9,0))</f>
        <v>0</v>
      </c>
      <c r="BN44" s="307">
        <f>IF(BN34&lt;0,MAX(-$C$10,200000*BN34),MIN(200000*BN34,$C$10)-IF(AND($D24&lt;$C$8*BN17,$D24&gt;0),$C$9,0))</f>
        <v>0</v>
      </c>
      <c r="BO44" s="12">
        <f>IF(D44=0,0,BO38)</f>
        <v>0</v>
      </c>
      <c r="BS44"/>
      <c r="BT44"/>
    </row>
    <row r="45" spans="1:72" ht="16.5">
      <c r="B45" s="11">
        <f t="shared" si="17"/>
        <v>8</v>
      </c>
      <c r="C45" s="302" t="s">
        <v>61</v>
      </c>
      <c r="D45" s="12">
        <f t="shared" ref="D45:AI45" si="28">IF(D35&lt;0,MAX(-$C$10,200000*D35),MIN(200000*D35,$C$10)-IF(AND($D25&lt;$C$8*D17,$D25&gt;0),$C$9,0))</f>
        <v>0</v>
      </c>
      <c r="E45" s="307">
        <f t="shared" si="28"/>
        <v>0</v>
      </c>
      <c r="F45" s="307">
        <f t="shared" si="28"/>
        <v>0</v>
      </c>
      <c r="G45" s="307">
        <f t="shared" si="28"/>
        <v>0</v>
      </c>
      <c r="H45" s="307">
        <f t="shared" si="28"/>
        <v>0</v>
      </c>
      <c r="I45" s="307">
        <f t="shared" si="28"/>
        <v>0</v>
      </c>
      <c r="J45" s="307">
        <f t="shared" si="28"/>
        <v>0</v>
      </c>
      <c r="K45" s="307">
        <f t="shared" si="28"/>
        <v>0</v>
      </c>
      <c r="L45" s="307">
        <f t="shared" si="28"/>
        <v>0</v>
      </c>
      <c r="M45" s="307">
        <f t="shared" si="28"/>
        <v>0</v>
      </c>
      <c r="N45" s="307">
        <f t="shared" si="28"/>
        <v>0</v>
      </c>
      <c r="O45" s="307">
        <f t="shared" si="28"/>
        <v>0</v>
      </c>
      <c r="P45" s="307">
        <f t="shared" si="28"/>
        <v>0</v>
      </c>
      <c r="Q45" s="307">
        <f t="shared" si="28"/>
        <v>0</v>
      </c>
      <c r="R45" s="307">
        <f t="shared" si="28"/>
        <v>0</v>
      </c>
      <c r="S45" s="307">
        <f t="shared" si="28"/>
        <v>0</v>
      </c>
      <c r="T45" s="307">
        <f t="shared" si="28"/>
        <v>0</v>
      </c>
      <c r="U45" s="307">
        <f t="shared" si="28"/>
        <v>0</v>
      </c>
      <c r="V45" s="307">
        <f t="shared" si="28"/>
        <v>0</v>
      </c>
      <c r="W45" s="307">
        <f t="shared" si="28"/>
        <v>0</v>
      </c>
      <c r="X45" s="307">
        <f t="shared" si="28"/>
        <v>0</v>
      </c>
      <c r="Y45" s="307">
        <f t="shared" si="28"/>
        <v>0</v>
      </c>
      <c r="Z45" s="307">
        <f t="shared" si="28"/>
        <v>0</v>
      </c>
      <c r="AA45" s="307">
        <f t="shared" si="28"/>
        <v>0</v>
      </c>
      <c r="AB45" s="307">
        <f t="shared" si="28"/>
        <v>0</v>
      </c>
      <c r="AC45" s="307">
        <f t="shared" si="28"/>
        <v>0</v>
      </c>
      <c r="AD45" s="307">
        <f t="shared" si="28"/>
        <v>0</v>
      </c>
      <c r="AE45" s="307">
        <f t="shared" si="28"/>
        <v>0</v>
      </c>
      <c r="AF45" s="307">
        <f t="shared" si="28"/>
        <v>0</v>
      </c>
      <c r="AG45" s="307">
        <f t="shared" si="28"/>
        <v>0</v>
      </c>
      <c r="AH45" s="307">
        <f t="shared" si="28"/>
        <v>0</v>
      </c>
      <c r="AI45" s="307">
        <f t="shared" si="28"/>
        <v>0</v>
      </c>
      <c r="AJ45" s="307">
        <f t="shared" ref="AJ45:BK45" si="29">IF(AJ35&lt;0,MAX(-$C$10,200000*AJ35),MIN(200000*AJ35,$C$10)-IF(AND($D25&lt;$C$8*AJ17,$D25&gt;0),$C$9,0))</f>
        <v>0</v>
      </c>
      <c r="AK45" s="307">
        <f t="shared" si="29"/>
        <v>0</v>
      </c>
      <c r="AL45" s="307">
        <f t="shared" si="29"/>
        <v>0</v>
      </c>
      <c r="AM45" s="307">
        <f t="shared" si="29"/>
        <v>0</v>
      </c>
      <c r="AN45" s="307">
        <f t="shared" si="29"/>
        <v>0</v>
      </c>
      <c r="AO45" s="307">
        <f t="shared" si="29"/>
        <v>0</v>
      </c>
      <c r="AP45" s="307">
        <f t="shared" si="29"/>
        <v>0</v>
      </c>
      <c r="AQ45" s="307">
        <f t="shared" si="29"/>
        <v>0</v>
      </c>
      <c r="AR45" s="61">
        <f t="shared" si="29"/>
        <v>0</v>
      </c>
      <c r="AS45" s="307">
        <f t="shared" si="29"/>
        <v>0</v>
      </c>
      <c r="AT45" s="307">
        <f t="shared" si="29"/>
        <v>0</v>
      </c>
      <c r="AU45" s="307">
        <f t="shared" si="29"/>
        <v>0</v>
      </c>
      <c r="AV45" s="307">
        <f t="shared" si="29"/>
        <v>0</v>
      </c>
      <c r="AW45" s="307">
        <f t="shared" si="29"/>
        <v>0</v>
      </c>
      <c r="AX45" s="307">
        <f t="shared" si="29"/>
        <v>0</v>
      </c>
      <c r="AY45" s="307">
        <f t="shared" si="29"/>
        <v>0</v>
      </c>
      <c r="AZ45" s="307">
        <f t="shared" si="29"/>
        <v>0</v>
      </c>
      <c r="BA45" s="307">
        <f t="shared" si="29"/>
        <v>0</v>
      </c>
      <c r="BB45" s="307">
        <f t="shared" si="29"/>
        <v>0</v>
      </c>
      <c r="BC45" s="307">
        <f t="shared" si="29"/>
        <v>0</v>
      </c>
      <c r="BD45" s="307">
        <f t="shared" si="29"/>
        <v>0</v>
      </c>
      <c r="BE45" s="307">
        <f t="shared" si="29"/>
        <v>0</v>
      </c>
      <c r="BF45" s="307">
        <f t="shared" si="29"/>
        <v>0</v>
      </c>
      <c r="BG45" s="307">
        <f t="shared" si="29"/>
        <v>0</v>
      </c>
      <c r="BH45" s="307">
        <f t="shared" si="29"/>
        <v>0</v>
      </c>
      <c r="BI45" s="307">
        <f t="shared" si="29"/>
        <v>0</v>
      </c>
      <c r="BJ45" s="307">
        <f t="shared" si="29"/>
        <v>0</v>
      </c>
      <c r="BK45" s="307">
        <f t="shared" si="29"/>
        <v>0</v>
      </c>
      <c r="BL45" s="307">
        <f>IF(BL35&lt;0,MAX(-$C$10,200000*BL35),MIN(200000*BL35,$C$10)-IF(AND($D25&lt;$C$8*BL17,$D25&gt;0),$C$9,0))</f>
        <v>0</v>
      </c>
      <c r="BM45" s="307">
        <f>IF(BM35&lt;0,MAX(-$C$10,200000*BM35),MIN(200000*BM35,$C$10)-IF(AND($D25&lt;$C$8*BM17,$D25&gt;0),$C$9,0))</f>
        <v>0</v>
      </c>
      <c r="BN45" s="307">
        <f>IF(BN35&lt;0,MAX(-$C$10,200000*BN35),MIN(200000*BN35,$C$10)-IF(AND($D25&lt;$C$8*BN17,$D25&gt;0),$C$9,0))</f>
        <v>0</v>
      </c>
      <c r="BO45" s="12">
        <f>IF(D45=0,0,BO38)</f>
        <v>0</v>
      </c>
      <c r="BS45"/>
      <c r="BT45"/>
    </row>
    <row r="46" spans="1:72" ht="16.5">
      <c r="B46" s="11">
        <f t="shared" si="17"/>
        <v>9</v>
      </c>
      <c r="C46" s="302" t="s">
        <v>61</v>
      </c>
      <c r="D46" s="12">
        <f t="shared" ref="D46:AI46" si="30">IF(D36&lt;0,MAX(-$C$10,200000*D36),MIN(200000*D36,$C$10)-IF(AND($D26&lt;$C$8*D17,$D26&gt;0),$C$9,0))</f>
        <v>0</v>
      </c>
      <c r="E46" s="307">
        <f t="shared" si="30"/>
        <v>0</v>
      </c>
      <c r="F46" s="307">
        <f t="shared" si="30"/>
        <v>0</v>
      </c>
      <c r="G46" s="307">
        <f t="shared" si="30"/>
        <v>0</v>
      </c>
      <c r="H46" s="307">
        <f t="shared" si="30"/>
        <v>0</v>
      </c>
      <c r="I46" s="307">
        <f t="shared" si="30"/>
        <v>0</v>
      </c>
      <c r="J46" s="307">
        <f t="shared" si="30"/>
        <v>0</v>
      </c>
      <c r="K46" s="307">
        <f t="shared" si="30"/>
        <v>0</v>
      </c>
      <c r="L46" s="307">
        <f t="shared" si="30"/>
        <v>0</v>
      </c>
      <c r="M46" s="307">
        <f t="shared" si="30"/>
        <v>0</v>
      </c>
      <c r="N46" s="307">
        <f t="shared" si="30"/>
        <v>0</v>
      </c>
      <c r="O46" s="307">
        <f t="shared" si="30"/>
        <v>0</v>
      </c>
      <c r="P46" s="307">
        <f t="shared" si="30"/>
        <v>0</v>
      </c>
      <c r="Q46" s="307">
        <f t="shared" si="30"/>
        <v>0</v>
      </c>
      <c r="R46" s="307">
        <f t="shared" si="30"/>
        <v>0</v>
      </c>
      <c r="S46" s="307">
        <f t="shared" si="30"/>
        <v>0</v>
      </c>
      <c r="T46" s="307">
        <f t="shared" si="30"/>
        <v>0</v>
      </c>
      <c r="U46" s="307">
        <f t="shared" si="30"/>
        <v>0</v>
      </c>
      <c r="V46" s="307">
        <f t="shared" si="30"/>
        <v>0</v>
      </c>
      <c r="W46" s="307">
        <f t="shared" si="30"/>
        <v>0</v>
      </c>
      <c r="X46" s="307">
        <f t="shared" si="30"/>
        <v>0</v>
      </c>
      <c r="Y46" s="307">
        <f t="shared" si="30"/>
        <v>0</v>
      </c>
      <c r="Z46" s="307">
        <f t="shared" si="30"/>
        <v>0</v>
      </c>
      <c r="AA46" s="307">
        <f t="shared" si="30"/>
        <v>0</v>
      </c>
      <c r="AB46" s="307">
        <f t="shared" si="30"/>
        <v>0</v>
      </c>
      <c r="AC46" s="307">
        <f t="shared" si="30"/>
        <v>0</v>
      </c>
      <c r="AD46" s="307">
        <f t="shared" si="30"/>
        <v>0</v>
      </c>
      <c r="AE46" s="307">
        <f t="shared" si="30"/>
        <v>0</v>
      </c>
      <c r="AF46" s="307">
        <f t="shared" si="30"/>
        <v>0</v>
      </c>
      <c r="AG46" s="307">
        <f t="shared" si="30"/>
        <v>0</v>
      </c>
      <c r="AH46" s="307">
        <f t="shared" si="30"/>
        <v>0</v>
      </c>
      <c r="AI46" s="307">
        <f t="shared" si="30"/>
        <v>0</v>
      </c>
      <c r="AJ46" s="307">
        <f t="shared" ref="AJ46:BK46" si="31">IF(AJ36&lt;0,MAX(-$C$10,200000*AJ36),MIN(200000*AJ36,$C$10)-IF(AND($D26&lt;$C$8*AJ17,$D26&gt;0),$C$9,0))</f>
        <v>0</v>
      </c>
      <c r="AK46" s="307">
        <f t="shared" si="31"/>
        <v>0</v>
      </c>
      <c r="AL46" s="307">
        <f t="shared" si="31"/>
        <v>0</v>
      </c>
      <c r="AM46" s="307">
        <f t="shared" si="31"/>
        <v>0</v>
      </c>
      <c r="AN46" s="307">
        <f t="shared" si="31"/>
        <v>0</v>
      </c>
      <c r="AO46" s="307">
        <f t="shared" si="31"/>
        <v>0</v>
      </c>
      <c r="AP46" s="307">
        <f t="shared" si="31"/>
        <v>0</v>
      </c>
      <c r="AQ46" s="307">
        <f t="shared" si="31"/>
        <v>0</v>
      </c>
      <c r="AR46" s="61">
        <f t="shared" si="31"/>
        <v>0</v>
      </c>
      <c r="AS46" s="307">
        <f t="shared" si="31"/>
        <v>0</v>
      </c>
      <c r="AT46" s="307">
        <f t="shared" si="31"/>
        <v>0</v>
      </c>
      <c r="AU46" s="307">
        <f t="shared" si="31"/>
        <v>0</v>
      </c>
      <c r="AV46" s="307">
        <f t="shared" si="31"/>
        <v>0</v>
      </c>
      <c r="AW46" s="307">
        <f t="shared" si="31"/>
        <v>0</v>
      </c>
      <c r="AX46" s="307">
        <f t="shared" si="31"/>
        <v>0</v>
      </c>
      <c r="AY46" s="307">
        <f t="shared" si="31"/>
        <v>0</v>
      </c>
      <c r="AZ46" s="307">
        <f t="shared" si="31"/>
        <v>0</v>
      </c>
      <c r="BA46" s="307">
        <f t="shared" si="31"/>
        <v>0</v>
      </c>
      <c r="BB46" s="307">
        <f t="shared" si="31"/>
        <v>0</v>
      </c>
      <c r="BC46" s="307">
        <f t="shared" si="31"/>
        <v>0</v>
      </c>
      <c r="BD46" s="307">
        <f t="shared" si="31"/>
        <v>0</v>
      </c>
      <c r="BE46" s="307">
        <f t="shared" si="31"/>
        <v>0</v>
      </c>
      <c r="BF46" s="307">
        <f t="shared" si="31"/>
        <v>0</v>
      </c>
      <c r="BG46" s="307">
        <f t="shared" si="31"/>
        <v>0</v>
      </c>
      <c r="BH46" s="307">
        <f t="shared" si="31"/>
        <v>0</v>
      </c>
      <c r="BI46" s="307">
        <f t="shared" si="31"/>
        <v>0</v>
      </c>
      <c r="BJ46" s="307">
        <f t="shared" si="31"/>
        <v>0</v>
      </c>
      <c r="BK46" s="307">
        <f t="shared" si="31"/>
        <v>0</v>
      </c>
      <c r="BL46" s="307">
        <f>IF(BL36&lt;0,MAX(-$C$10,200000*BL36),MIN(200000*BL36,$C$10)-IF(AND($D26&lt;$C$8*BL17,$D26&gt;0),$C$9,0))</f>
        <v>0</v>
      </c>
      <c r="BM46" s="307">
        <f>IF(BM36&lt;0,MAX(-$C$10,200000*BM36),MIN(200000*BM36,$C$10)-IF(AND($D26&lt;$C$8*BM17,$D26&gt;0),$C$9,0))</f>
        <v>0</v>
      </c>
      <c r="BN46" s="307">
        <f>IF(BN36&lt;0,MAX(-$C$10,200000*BN36),MIN(200000*BN36,$C$10)-IF(AND($D26&lt;$C$8*BN17,$D26&gt;0),$C$9,0))</f>
        <v>0</v>
      </c>
      <c r="BO46" s="12">
        <f>IF(D46=0,0,BO38)</f>
        <v>0</v>
      </c>
      <c r="BS46"/>
      <c r="BT46"/>
    </row>
    <row r="47" spans="1:72" ht="16.5">
      <c r="B47" s="294" t="s">
        <v>62</v>
      </c>
      <c r="C47" s="302" t="s">
        <v>63</v>
      </c>
      <c r="D47" s="12">
        <f t="shared" ref="D47:BJ47" si="32">IF(D37&lt;0,MAX(-$C$10,200000*D37),MIN(200000*D37,$C$10)-IF(AND($F14&lt;$C$8*D17,$D27&gt;0),$C$9,0))</f>
        <v>-434.78260869565219</v>
      </c>
      <c r="E47" s="307">
        <f t="shared" si="32"/>
        <v>-434.78260869565219</v>
      </c>
      <c r="F47" s="307">
        <f t="shared" si="32"/>
        <v>-434.78260869565219</v>
      </c>
      <c r="G47" s="307">
        <f t="shared" si="32"/>
        <v>-434.78260869565219</v>
      </c>
      <c r="H47" s="307">
        <f t="shared" si="32"/>
        <v>-434.78260869565219</v>
      </c>
      <c r="I47" s="307">
        <f t="shared" si="32"/>
        <v>-434.78260869565219</v>
      </c>
      <c r="J47" s="307">
        <f t="shared" si="32"/>
        <v>-434.78260869565219</v>
      </c>
      <c r="K47" s="307">
        <f t="shared" si="32"/>
        <v>-434.78260869565219</v>
      </c>
      <c r="L47" s="307">
        <f t="shared" si="32"/>
        <v>-434.78260869565219</v>
      </c>
      <c r="M47" s="307">
        <f t="shared" si="32"/>
        <v>-434.78260869565219</v>
      </c>
      <c r="N47" s="307">
        <f t="shared" si="32"/>
        <v>-434.78260869565219</v>
      </c>
      <c r="O47" s="307">
        <f t="shared" si="32"/>
        <v>-434.78260869565219</v>
      </c>
      <c r="P47" s="307">
        <f t="shared" si="32"/>
        <v>-434.78260869565219</v>
      </c>
      <c r="Q47" s="307">
        <f t="shared" si="32"/>
        <v>-434.78260869565219</v>
      </c>
      <c r="R47" s="307">
        <f t="shared" si="32"/>
        <v>-434.78260869565219</v>
      </c>
      <c r="S47" s="307">
        <f t="shared" si="32"/>
        <v>-434.78260869565219</v>
      </c>
      <c r="T47" s="307">
        <f t="shared" si="32"/>
        <v>-434.78260869565219</v>
      </c>
      <c r="U47" s="307">
        <f t="shared" si="32"/>
        <v>-434.78260869565219</v>
      </c>
      <c r="V47" s="307">
        <f t="shared" si="32"/>
        <v>-434.78260869565219</v>
      </c>
      <c r="W47" s="307">
        <f t="shared" si="32"/>
        <v>-434.78260869565219</v>
      </c>
      <c r="X47" s="307">
        <f t="shared" si="32"/>
        <v>-434.78260869565219</v>
      </c>
      <c r="Y47" s="307">
        <f t="shared" si="32"/>
        <v>-434.78260869565219</v>
      </c>
      <c r="Z47" s="307">
        <f t="shared" si="32"/>
        <v>-434.78260869565219</v>
      </c>
      <c r="AA47" s="307">
        <f t="shared" si="32"/>
        <v>-434.78260869565219</v>
      </c>
      <c r="AB47" s="307">
        <f t="shared" si="32"/>
        <v>-434.78260869565219</v>
      </c>
      <c r="AC47" s="307">
        <f t="shared" si="32"/>
        <v>-434.78260869565219</v>
      </c>
      <c r="AD47" s="307">
        <f t="shared" si="32"/>
        <v>-434.78260869565219</v>
      </c>
      <c r="AE47" s="307">
        <f t="shared" si="32"/>
        <v>-434.78260869565219</v>
      </c>
      <c r="AF47" s="307">
        <f t="shared" si="32"/>
        <v>-434.78260869565219</v>
      </c>
      <c r="AG47" s="307">
        <f t="shared" si="32"/>
        <v>-434.78260869565219</v>
      </c>
      <c r="AH47" s="307">
        <f t="shared" si="32"/>
        <v>-434.78260869565219</v>
      </c>
      <c r="AI47" s="307">
        <f t="shared" si="32"/>
        <v>-434.78260869565219</v>
      </c>
      <c r="AJ47" s="307">
        <f t="shared" si="32"/>
        <v>-434.78260869565219</v>
      </c>
      <c r="AK47" s="307">
        <f t="shared" si="32"/>
        <v>-434.78260869565219</v>
      </c>
      <c r="AL47" s="307">
        <f t="shared" si="32"/>
        <v>-434.78260869565219</v>
      </c>
      <c r="AM47" s="307">
        <f t="shared" si="32"/>
        <v>-434.78260869565219</v>
      </c>
      <c r="AN47" s="307">
        <f t="shared" si="32"/>
        <v>-434.78260869565219</v>
      </c>
      <c r="AO47" s="307">
        <f t="shared" si="32"/>
        <v>-434.78260869565219</v>
      </c>
      <c r="AP47" s="307">
        <f t="shared" si="32"/>
        <v>-434.78260869565219</v>
      </c>
      <c r="AQ47" s="307">
        <f t="shared" si="32"/>
        <v>-434.78260869565219</v>
      </c>
      <c r="AR47" s="61">
        <f t="shared" si="32"/>
        <v>-434.78260869565219</v>
      </c>
      <c r="AS47" s="307">
        <f t="shared" si="32"/>
        <v>-350.05955419431689</v>
      </c>
      <c r="AT47" s="307">
        <f t="shared" si="32"/>
        <v>-277.10847612680772</v>
      </c>
      <c r="AU47" s="307">
        <f t="shared" si="32"/>
        <v>-213.6352420588575</v>
      </c>
      <c r="AV47" s="307">
        <f t="shared" si="32"/>
        <v>-157.90546802595003</v>
      </c>
      <c r="AW47" s="307">
        <f t="shared" si="32"/>
        <v>-108.58361600838572</v>
      </c>
      <c r="AX47" s="307">
        <f t="shared" si="32"/>
        <v>-64.624576667859884</v>
      </c>
      <c r="AY47" s="307">
        <f t="shared" si="32"/>
        <v>-25.198793528927968</v>
      </c>
      <c r="AZ47" s="307">
        <f t="shared" si="32"/>
        <v>10.360584086619566</v>
      </c>
      <c r="BA47" s="307">
        <f t="shared" si="32"/>
        <v>42.595727052139353</v>
      </c>
      <c r="BB47" s="307">
        <f t="shared" si="32"/>
        <v>71.951964176674053</v>
      </c>
      <c r="BC47" s="307">
        <f t="shared" si="32"/>
        <v>98.798480239870898</v>
      </c>
      <c r="BD47" s="307">
        <f t="shared" si="32"/>
        <v>123.44392309928158</v>
      </c>
      <c r="BE47" s="307">
        <f t="shared" si="32"/>
        <v>121.89449803712687</v>
      </c>
      <c r="BF47" s="307">
        <f t="shared" si="32"/>
        <v>136.7421913128355</v>
      </c>
      <c r="BG47" s="307">
        <f t="shared" si="32"/>
        <v>149.58836414116411</v>
      </c>
      <c r="BH47" s="307">
        <f t="shared" si="32"/>
        <v>160.812178195657</v>
      </c>
      <c r="BI47" s="307">
        <f t="shared" si="32"/>
        <v>170.70271381372797</v>
      </c>
      <c r="BJ47" s="307">
        <f t="shared" si="32"/>
        <v>179.48422208340432</v>
      </c>
      <c r="BK47" s="307">
        <f>IF(BK37&lt;0,MAX(-$C$10,200000*BK37),MIN(200000*BK37,$C$10)-IF(AND($F14&lt;$C$8*BK17,$D27&gt;0),$C$9,0))</f>
        <v>187.33333333333337</v>
      </c>
      <c r="BL47" s="307">
        <f>IF(BL37&lt;0,MAX(-$C$10,200000*BL37),MIN(200000*BL37,$C$10)-IF(AND($F14&lt;$C$8*BL17,$D27&gt;0),$C$9,0))</f>
        <v>248.58333333333334</v>
      </c>
      <c r="BM47" s="307">
        <f>IF(BM37&lt;0,MAX(-$C$10,200000*BM37),MIN(200000*BM37,$C$10)-IF(AND($F14&lt;$C$8*BM17,$D27&gt;0),$C$9,0))</f>
        <v>272.55072463768107</v>
      </c>
      <c r="BN47" s="307">
        <f>IF(BN37&lt;0,MAX(-$C$10,200000*BN37),MIN(200000*BN37,$C$10)-IF(AND($F14&lt;$C$8*BN17,$D27&gt;0),$C$9,0))</f>
        <v>285.33333333333331</v>
      </c>
      <c r="BO47" s="12">
        <f>BO38</f>
        <v>327.33333333333331</v>
      </c>
      <c r="BS47"/>
      <c r="BT47"/>
    </row>
    <row r="48" spans="1:72" ht="16.5">
      <c r="B48" s="290" t="s">
        <v>64</v>
      </c>
      <c r="C48" s="298" t="s">
        <v>65</v>
      </c>
      <c r="D48" s="3">
        <f>D38*$I14*MAIN!$C$16/MAIN!$Q$1</f>
        <v>-28828.854108432399</v>
      </c>
      <c r="E48" s="13">
        <f>E38*$I14*MAIN!$C$16/MAIN!$Q$1</f>
        <v>98373.007979892398</v>
      </c>
      <c r="F48" s="13">
        <f>F38*$I14*MAIN!$C$16/MAIN!$Q$1</f>
        <v>216768.33334409585</v>
      </c>
      <c r="G48" s="13">
        <f>G38*$I14*MAIN!$C$16/MAIN!$Q$1</f>
        <v>327241.07410072407</v>
      </c>
      <c r="H48" s="13">
        <f>H38*$I14*MAIN!$C$16/MAIN!$Q$1</f>
        <v>430560.71065950644</v>
      </c>
      <c r="I48" s="13">
        <f>I38*$I14*MAIN!$C$16/MAIN!$Q$1</f>
        <v>527400.2007177351</v>
      </c>
      <c r="J48" s="13">
        <f>J38*$I14*MAIN!$C$16/MAIN!$Q$1</f>
        <v>618350.6536929924</v>
      </c>
      <c r="K48" s="13">
        <f>K38*$I14*MAIN!$C$16/MAIN!$Q$1</f>
        <v>589998.31342553033</v>
      </c>
      <c r="L48" s="13">
        <f>L38*$I14*MAIN!$C$16/MAIN!$Q$1</f>
        <v>670674.93187080207</v>
      </c>
      <c r="M48" s="13">
        <f>M38*$I14*MAIN!$C$16/MAIN!$Q$1</f>
        <v>746855.53532300179</v>
      </c>
      <c r="N48" s="13">
        <f>N38*$I14*MAIN!$C$16/MAIN!$Q$1</f>
        <v>818905.77181348938</v>
      </c>
      <c r="O48" s="13">
        <f>O38*$I14*MAIN!$C$16/MAIN!$Q$1</f>
        <v>887152.68638661364</v>
      </c>
      <c r="P48" s="13">
        <f>P38*$I14*MAIN!$C$16/MAIN!$Q$1</f>
        <v>951889.68444722611</v>
      </c>
      <c r="Q48" s="13">
        <f>Q38*$I14*MAIN!$C$16/MAIN!$Q$1</f>
        <v>1013380.7485166552</v>
      </c>
      <c r="R48" s="13">
        <f>R38*$I14*MAIN!$C$16/MAIN!$Q$1</f>
        <v>1071864.0362129665</v>
      </c>
      <c r="S48" s="13">
        <f>S38*$I14*MAIN!$C$16/MAIN!$Q$1</f>
        <v>1127554.962860405</v>
      </c>
      <c r="T48" s="13">
        <f>T38*$I14*MAIN!$C$16/MAIN!$Q$1</f>
        <v>1180648.8528445808</v>
      </c>
      <c r="U48" s="13">
        <f>U38*$I14*MAIN!$C$16/MAIN!$Q$1</f>
        <v>1231323.2284970281</v>
      </c>
      <c r="V48" s="13">
        <f>V38*$I14*MAIN!$C$16/MAIN!$Q$1</f>
        <v>1279739.7930340678</v>
      </c>
      <c r="W48" s="13">
        <f>W38*$I14*MAIN!$C$16/MAIN!$Q$1</f>
        <v>1326046.154220511</v>
      </c>
      <c r="X48" s="13">
        <f>X38*$I14*MAIN!$C$16/MAIN!$Q$1</f>
        <v>1370377.3274658378</v>
      </c>
      <c r="Y48" s="13">
        <f>Y38*$I14*MAIN!$C$16/MAIN!$Q$1</f>
        <v>1412857.0505941452</v>
      </c>
      <c r="Z48" s="13">
        <f>Z38*$I14*MAIN!$C$16/MAIN!$Q$1</f>
        <v>1453598.9372532181</v>
      </c>
      <c r="AA48" s="13">
        <f>AA38*$I14*MAIN!$C$16/MAIN!$Q$1</f>
        <v>1492707.4916039316</v>
      </c>
      <c r="AB48" s="13">
        <f>AB38*$I14*MAIN!$C$16/MAIN!$Q$1</f>
        <v>1530279.0033718271</v>
      </c>
      <c r="AC48" s="13">
        <f>AC38*$I14*MAIN!$C$16/MAIN!$Q$1</f>
        <v>1566402.3394006994</v>
      </c>
      <c r="AD48" s="13">
        <f>AD38*$I14*MAIN!$C$16/MAIN!$Q$1</f>
        <v>1601159.6454066741</v>
      </c>
      <c r="AE48" s="13">
        <f>AE38*$I14*MAIN!$C$16/MAIN!$Q$1</f>
        <v>1634626.9695976295</v>
      </c>
      <c r="AF48" s="13">
        <f>AF38*$I14*MAIN!$C$16/MAIN!$Q$1</f>
        <v>1666874.8181226649</v>
      </c>
      <c r="AG48" s="13">
        <f>AG38*$I14*MAIN!$C$16/MAIN!$Q$1</f>
        <v>1697968.6508899173</v>
      </c>
      <c r="AH48" s="13">
        <f>AH38*$I14*MAIN!$C$16/MAIN!$Q$1</f>
        <v>1727969.3250903278</v>
      </c>
      <c r="AI48" s="13">
        <f>AI38*$I14*MAIN!$C$16/MAIN!$Q$1</f>
        <v>1756933.4927509162</v>
      </c>
      <c r="AJ48" s="13">
        <f>AJ38*$I14*MAIN!$C$16/MAIN!$Q$1</f>
        <v>1784913.9577820487</v>
      </c>
      <c r="AK48" s="13">
        <f>AK38*$I14*MAIN!$C$16/MAIN!$Q$1</f>
        <v>1811959.9972532454</v>
      </c>
      <c r="AL48" s="13">
        <f>AL38*$I14*MAIN!$C$16/MAIN!$Q$1</f>
        <v>1838117.6510099822</v>
      </c>
      <c r="AM48" s="13">
        <f>AM38*$I14*MAIN!$C$16/MAIN!$Q$1</f>
        <v>1863429.9832123707</v>
      </c>
      <c r="AN48" s="13">
        <f>AN38*$I14*MAIN!$C$16/MAIN!$Q$1</f>
        <v>1887937.3189210491</v>
      </c>
      <c r="AO48" s="13">
        <f>AO38*$I14*MAIN!$C$16/MAIN!$Q$1</f>
        <v>1911677.4584642847</v>
      </c>
      <c r="AP48" s="13">
        <f>AP38*$I14*MAIN!$C$16/MAIN!$Q$1</f>
        <v>1934685.8719832066</v>
      </c>
      <c r="AQ48" s="13">
        <f>AQ38*$I14*MAIN!$C$16/MAIN!$Q$1</f>
        <v>1956995.8762610578</v>
      </c>
      <c r="AR48" s="56">
        <f>AR38*$I14*MAIN!$C$16/MAIN!$Q$1</f>
        <v>1978638.7956904899</v>
      </c>
      <c r="AS48" s="13">
        <f>AS38*$I14*MAIN!$C$16/MAIN!$Q$1</f>
        <v>2071520.6654487972</v>
      </c>
      <c r="AT48" s="13">
        <f>AT38*$I14*MAIN!$C$16/MAIN!$Q$1</f>
        <v>2071520.6654487972</v>
      </c>
      <c r="AU48" s="13">
        <f>AU38*$I14*MAIN!$C$16/MAIN!$Q$1</f>
        <v>2071520.6654487972</v>
      </c>
      <c r="AV48" s="13">
        <f>AV38*$I14*MAIN!$C$16/MAIN!$Q$1</f>
        <v>2071520.6654487972</v>
      </c>
      <c r="AW48" s="13">
        <f>AW38*$I14*MAIN!$C$16/MAIN!$Q$1</f>
        <v>2071520.6654487972</v>
      </c>
      <c r="AX48" s="13">
        <f>AX38*$I14*MAIN!$C$16/MAIN!$Q$1</f>
        <v>2071520.6654487972</v>
      </c>
      <c r="AY48" s="13">
        <f>AY38*$I14*MAIN!$C$16/MAIN!$Q$1</f>
        <v>2071520.6654487972</v>
      </c>
      <c r="AZ48" s="13">
        <f>AZ38*$I14*MAIN!$C$16/MAIN!$Q$1</f>
        <v>2071520.6654487972</v>
      </c>
      <c r="BA48" s="13">
        <f>BA38*$I14*MAIN!$C$16/MAIN!$Q$1</f>
        <v>2071520.6654487972</v>
      </c>
      <c r="BB48" s="13">
        <f>BB38*$I14*MAIN!$C$16/MAIN!$Q$1</f>
        <v>2071520.6654487972</v>
      </c>
      <c r="BC48" s="13">
        <f>BC38*$I14*MAIN!$C$16/MAIN!$Q$1</f>
        <v>2071520.6654487972</v>
      </c>
      <c r="BD48" s="13">
        <f>BD38*$I14*MAIN!$C$16/MAIN!$Q$1</f>
        <v>2071520.6654487972</v>
      </c>
      <c r="BE48" s="13">
        <f>BE38*$I14*MAIN!$C$16/MAIN!$Q$1</f>
        <v>2071520.6654487972</v>
      </c>
      <c r="BF48" s="13">
        <f>BF38*$I14*MAIN!$C$16/MAIN!$Q$1</f>
        <v>2071520.6654487972</v>
      </c>
      <c r="BG48" s="13">
        <f>BG38*$I14*MAIN!$C$16/MAIN!$Q$1</f>
        <v>2071520.6654487972</v>
      </c>
      <c r="BH48" s="13">
        <f>BH38*$I14*MAIN!$C$16/MAIN!$Q$1</f>
        <v>2071520.6654487972</v>
      </c>
      <c r="BI48" s="13">
        <f>BI38*$I14*MAIN!$C$16/MAIN!$Q$1</f>
        <v>2071520.6654487972</v>
      </c>
      <c r="BJ48" s="13">
        <f>BJ38*$I14*MAIN!$C$16/MAIN!$Q$1</f>
        <v>2071520.6654487972</v>
      </c>
      <c r="BK48" s="13">
        <f>BK38*$I14*MAIN!$C$16/MAIN!$Q$1</f>
        <v>2071520.6654487972</v>
      </c>
      <c r="BL48" s="13">
        <f>BL38*$I14*MAIN!$C$16/MAIN!$Q$1</f>
        <v>2041197.4667924084</v>
      </c>
      <c r="BM48" s="13">
        <f>BM38*$I14*MAIN!$C$16/MAIN!$Q$1</f>
        <v>1920724.2180764871</v>
      </c>
      <c r="BN48" s="13">
        <f>BN38*$I14*MAIN!$C$16/MAIN!$Q$1</f>
        <v>1856471.8187613287</v>
      </c>
      <c r="BO48" s="3">
        <f>BO38*$I14*MAIN!$C$16/MAIN!$Q$1</f>
        <v>1645356.7924400945</v>
      </c>
      <c r="BS48"/>
      <c r="BT48"/>
    </row>
    <row r="49" spans="1:72" ht="16.5">
      <c r="B49" s="14">
        <v>2</v>
      </c>
      <c r="C49" s="298" t="s">
        <v>66</v>
      </c>
      <c r="D49" s="3">
        <f>D39*$I14*2/MAIN!$Q$1</f>
        <v>0</v>
      </c>
      <c r="E49" s="13">
        <f>E39*$I14*2/MAIN!$Q$1</f>
        <v>0</v>
      </c>
      <c r="F49" s="13">
        <f>F39*$I14*2/MAIN!$Q$1</f>
        <v>0</v>
      </c>
      <c r="G49" s="13">
        <f>G39*$I14*2/MAIN!$Q$1</f>
        <v>0</v>
      </c>
      <c r="H49" s="13">
        <f>H39*$I14*2/MAIN!$Q$1</f>
        <v>0</v>
      </c>
      <c r="I49" s="13">
        <f>I39*$I14*2/MAIN!$Q$1</f>
        <v>0</v>
      </c>
      <c r="J49" s="13">
        <f>J39*$I14*2/MAIN!$Q$1</f>
        <v>0</v>
      </c>
      <c r="K49" s="13">
        <f>K39*$I14*2/MAIN!$Q$1</f>
        <v>0</v>
      </c>
      <c r="L49" s="13">
        <f>L39*$I14*2/MAIN!$Q$1</f>
        <v>0</v>
      </c>
      <c r="M49" s="13">
        <f>M39*$I14*2/MAIN!$Q$1</f>
        <v>0</v>
      </c>
      <c r="N49" s="13">
        <f>N39*$I14*2/MAIN!$Q$1</f>
        <v>0</v>
      </c>
      <c r="O49" s="13">
        <f>O39*$I14*2/MAIN!$Q$1</f>
        <v>0</v>
      </c>
      <c r="P49" s="13">
        <f>P39*$I14*2/MAIN!$Q$1</f>
        <v>0</v>
      </c>
      <c r="Q49" s="13">
        <f>Q39*$I14*2/MAIN!$Q$1</f>
        <v>0</v>
      </c>
      <c r="R49" s="13">
        <f>R39*$I14*2/MAIN!$Q$1</f>
        <v>0</v>
      </c>
      <c r="S49" s="13">
        <f>S39*$I14*2/MAIN!$Q$1</f>
        <v>0</v>
      </c>
      <c r="T49" s="13">
        <f>T39*$I14*2/MAIN!$Q$1</f>
        <v>0</v>
      </c>
      <c r="U49" s="13">
        <f>U39*$I14*2/MAIN!$Q$1</f>
        <v>0</v>
      </c>
      <c r="V49" s="13">
        <f>V39*$I14*2/MAIN!$Q$1</f>
        <v>0</v>
      </c>
      <c r="W49" s="13">
        <f>W39*$I14*2/MAIN!$Q$1</f>
        <v>0</v>
      </c>
      <c r="X49" s="13">
        <f>X39*$I14*2/MAIN!$Q$1</f>
        <v>0</v>
      </c>
      <c r="Y49" s="13">
        <f>Y39*$I14*2/MAIN!$Q$1</f>
        <v>0</v>
      </c>
      <c r="Z49" s="13">
        <f>Z39*$I14*2/MAIN!$Q$1</f>
        <v>0</v>
      </c>
      <c r="AA49" s="13">
        <f>AA39*$I14*2/MAIN!$Q$1</f>
        <v>0</v>
      </c>
      <c r="AB49" s="13">
        <f>AB39*$I14*2/MAIN!$Q$1</f>
        <v>0</v>
      </c>
      <c r="AC49" s="13">
        <f>AC39*$I14*2/MAIN!$Q$1</f>
        <v>0</v>
      </c>
      <c r="AD49" s="13">
        <f>AD39*$I14*2/MAIN!$Q$1</f>
        <v>0</v>
      </c>
      <c r="AE49" s="13">
        <f>AE39*$I14*2/MAIN!$Q$1</f>
        <v>0</v>
      </c>
      <c r="AF49" s="13">
        <f>AF39*$I14*2/MAIN!$Q$1</f>
        <v>0</v>
      </c>
      <c r="AG49" s="13">
        <f>AG39*$I14*2/MAIN!$Q$1</f>
        <v>0</v>
      </c>
      <c r="AH49" s="13">
        <f>AH39*$I14*2/MAIN!$Q$1</f>
        <v>0</v>
      </c>
      <c r="AI49" s="13">
        <f>AI39*$I14*2/MAIN!$Q$1</f>
        <v>0</v>
      </c>
      <c r="AJ49" s="13">
        <f>AJ39*$I14*2/MAIN!$Q$1</f>
        <v>0</v>
      </c>
      <c r="AK49" s="13">
        <f>AK39*$I14*2/MAIN!$Q$1</f>
        <v>0</v>
      </c>
      <c r="AL49" s="13">
        <f>AL39*$I14*2/MAIN!$Q$1</f>
        <v>0</v>
      </c>
      <c r="AM49" s="13">
        <f>AM39*$I14*2/MAIN!$Q$1</f>
        <v>0</v>
      </c>
      <c r="AN49" s="13">
        <f>AN39*$I14*2/MAIN!$Q$1</f>
        <v>0</v>
      </c>
      <c r="AO49" s="13">
        <f>AO39*$I14*2/MAIN!$Q$1</f>
        <v>0</v>
      </c>
      <c r="AP49" s="13">
        <f>AP39*$I14*2/MAIN!$Q$1</f>
        <v>0</v>
      </c>
      <c r="AQ49" s="13">
        <f>AQ39*$I14*2/MAIN!$Q$1</f>
        <v>0</v>
      </c>
      <c r="AR49" s="56">
        <f>AR39*$I14*2/MAIN!$Q$1</f>
        <v>0</v>
      </c>
      <c r="AS49" s="13">
        <f>AS39*$I14*2/MAIN!$Q$1</f>
        <v>0</v>
      </c>
      <c r="AT49" s="13">
        <f>AT39*$I14*2/MAIN!$Q$1</f>
        <v>0</v>
      </c>
      <c r="AU49" s="13">
        <f>AU39*$I14*2/MAIN!$Q$1</f>
        <v>0</v>
      </c>
      <c r="AV49" s="13">
        <f>AV39*$I14*2/MAIN!$Q$1</f>
        <v>0</v>
      </c>
      <c r="AW49" s="13">
        <f>AW39*$I14*2/MAIN!$Q$1</f>
        <v>0</v>
      </c>
      <c r="AX49" s="13">
        <f>AX39*$I14*2/MAIN!$Q$1</f>
        <v>0</v>
      </c>
      <c r="AY49" s="13">
        <f>AY39*$I14*2/MAIN!$Q$1</f>
        <v>0</v>
      </c>
      <c r="AZ49" s="13">
        <f>AZ39*$I14*2/MAIN!$Q$1</f>
        <v>0</v>
      </c>
      <c r="BA49" s="13">
        <f>BA39*$I14*2/MAIN!$Q$1</f>
        <v>0</v>
      </c>
      <c r="BB49" s="13">
        <f>BB39*$I14*2/MAIN!$Q$1</f>
        <v>0</v>
      </c>
      <c r="BC49" s="13">
        <f>BC39*$I14*2/MAIN!$Q$1</f>
        <v>0</v>
      </c>
      <c r="BD49" s="13">
        <f>BD39*$I14*2/MAIN!$Q$1</f>
        <v>0</v>
      </c>
      <c r="BE49" s="13">
        <f>BE39*$I14*2/MAIN!$Q$1</f>
        <v>0</v>
      </c>
      <c r="BF49" s="13">
        <f>BF39*$I14*2/MAIN!$Q$1</f>
        <v>0</v>
      </c>
      <c r="BG49" s="13">
        <f>BG39*$I14*2/MAIN!$Q$1</f>
        <v>0</v>
      </c>
      <c r="BH49" s="13">
        <f>BH39*$I14*2/MAIN!$Q$1</f>
        <v>0</v>
      </c>
      <c r="BI49" s="13">
        <f>BI39*$I14*2/MAIN!$Q$1</f>
        <v>0</v>
      </c>
      <c r="BJ49" s="13">
        <f>BJ39*$I14*2/MAIN!$Q$1</f>
        <v>0</v>
      </c>
      <c r="BK49" s="13">
        <f>BK39*$I14*2/MAIN!$Q$1</f>
        <v>0</v>
      </c>
      <c r="BL49" s="13">
        <f>BL39*$I14*2/MAIN!$Q$1</f>
        <v>0</v>
      </c>
      <c r="BM49" s="13">
        <f>BM39*$I14*2/MAIN!$Q$1</f>
        <v>0</v>
      </c>
      <c r="BN49" s="13">
        <f>BN39*$I14*2/MAIN!$Q$1</f>
        <v>0</v>
      </c>
      <c r="BO49" s="3">
        <f>BO39*$I14*2/MAIN!$Q$1</f>
        <v>0</v>
      </c>
      <c r="BS49"/>
      <c r="BT49"/>
    </row>
    <row r="50" spans="1:72" ht="16.5">
      <c r="B50" s="14">
        <f t="shared" ref="B50:B56" si="33">1+B49</f>
        <v>3</v>
      </c>
      <c r="C50" s="298" t="s">
        <v>66</v>
      </c>
      <c r="D50" s="3">
        <f>D40*$I14*2/MAIN!$Q$1</f>
        <v>0</v>
      </c>
      <c r="E50" s="13">
        <f>E40*$I14*2/MAIN!$Q$1</f>
        <v>0</v>
      </c>
      <c r="F50" s="13">
        <f>F40*$I14*2/MAIN!$Q$1</f>
        <v>0</v>
      </c>
      <c r="G50" s="13">
        <f>G40*$I14*2/MAIN!$Q$1</f>
        <v>0</v>
      </c>
      <c r="H50" s="13">
        <f>H40*$I14*2/MAIN!$Q$1</f>
        <v>0</v>
      </c>
      <c r="I50" s="13">
        <f>I40*$I14*2/MAIN!$Q$1</f>
        <v>0</v>
      </c>
      <c r="J50" s="13">
        <f>J40*$I14*2/MAIN!$Q$1</f>
        <v>0</v>
      </c>
      <c r="K50" s="13">
        <f>K40*$I14*2/MAIN!$Q$1</f>
        <v>0</v>
      </c>
      <c r="L50" s="13">
        <f>L40*$I14*2/MAIN!$Q$1</f>
        <v>0</v>
      </c>
      <c r="M50" s="13">
        <f>M40*$I14*2/MAIN!$Q$1</f>
        <v>0</v>
      </c>
      <c r="N50" s="13">
        <f>N40*$I14*2/MAIN!$Q$1</f>
        <v>0</v>
      </c>
      <c r="O50" s="13">
        <f>O40*$I14*2/MAIN!$Q$1</f>
        <v>0</v>
      </c>
      <c r="P50" s="13">
        <f>P40*$I14*2/MAIN!$Q$1</f>
        <v>0</v>
      </c>
      <c r="Q50" s="13">
        <f>Q40*$I14*2/MAIN!$Q$1</f>
        <v>0</v>
      </c>
      <c r="R50" s="13">
        <f>R40*$I14*2/MAIN!$Q$1</f>
        <v>0</v>
      </c>
      <c r="S50" s="13">
        <f>S40*$I14*2/MAIN!$Q$1</f>
        <v>0</v>
      </c>
      <c r="T50" s="13">
        <f>T40*$I14*2/MAIN!$Q$1</f>
        <v>0</v>
      </c>
      <c r="U50" s="13">
        <f>U40*$I14*2/MAIN!$Q$1</f>
        <v>0</v>
      </c>
      <c r="V50" s="13">
        <f>V40*$I14*2/MAIN!$Q$1</f>
        <v>0</v>
      </c>
      <c r="W50" s="13">
        <f>W40*$I14*2/MAIN!$Q$1</f>
        <v>0</v>
      </c>
      <c r="X50" s="13">
        <f>X40*$I14*2/MAIN!$Q$1</f>
        <v>0</v>
      </c>
      <c r="Y50" s="13">
        <f>Y40*$I14*2/MAIN!$Q$1</f>
        <v>0</v>
      </c>
      <c r="Z50" s="13">
        <f>Z40*$I14*2/MAIN!$Q$1</f>
        <v>0</v>
      </c>
      <c r="AA50" s="13">
        <f>AA40*$I14*2/MAIN!$Q$1</f>
        <v>0</v>
      </c>
      <c r="AB50" s="13">
        <f>AB40*$I14*2/MAIN!$Q$1</f>
        <v>0</v>
      </c>
      <c r="AC50" s="13">
        <f>AC40*$I14*2/MAIN!$Q$1</f>
        <v>0</v>
      </c>
      <c r="AD50" s="13">
        <f>AD40*$I14*2/MAIN!$Q$1</f>
        <v>0</v>
      </c>
      <c r="AE50" s="13">
        <f>AE40*$I14*2/MAIN!$Q$1</f>
        <v>0</v>
      </c>
      <c r="AF50" s="13">
        <f>AF40*$I14*2/MAIN!$Q$1</f>
        <v>0</v>
      </c>
      <c r="AG50" s="13">
        <f>AG40*$I14*2/MAIN!$Q$1</f>
        <v>0</v>
      </c>
      <c r="AH50" s="13">
        <f>AH40*$I14*2/MAIN!$Q$1</f>
        <v>0</v>
      </c>
      <c r="AI50" s="13">
        <f>AI40*$I14*2/MAIN!$Q$1</f>
        <v>0</v>
      </c>
      <c r="AJ50" s="13">
        <f>AJ40*$I14*2/MAIN!$Q$1</f>
        <v>0</v>
      </c>
      <c r="AK50" s="13">
        <f>AK40*$I14*2/MAIN!$Q$1</f>
        <v>0</v>
      </c>
      <c r="AL50" s="13">
        <f>AL40*$I14*2/MAIN!$Q$1</f>
        <v>0</v>
      </c>
      <c r="AM50" s="13">
        <f>AM40*$I14*2/MAIN!$Q$1</f>
        <v>0</v>
      </c>
      <c r="AN50" s="13">
        <f>AN40*$I14*2/MAIN!$Q$1</f>
        <v>0</v>
      </c>
      <c r="AO50" s="13">
        <f>AO40*$I14*2/MAIN!$Q$1</f>
        <v>0</v>
      </c>
      <c r="AP50" s="13">
        <f>AP40*$I14*2/MAIN!$Q$1</f>
        <v>0</v>
      </c>
      <c r="AQ50" s="13">
        <f>AQ40*$I14*2/MAIN!$Q$1</f>
        <v>0</v>
      </c>
      <c r="AR50" s="59">
        <f>AR40*$I14*2/MAIN!$Q$1</f>
        <v>0</v>
      </c>
      <c r="AS50" s="13">
        <f>AS40*$I14*2/MAIN!$Q$1</f>
        <v>0</v>
      </c>
      <c r="AT50" s="13">
        <f>AT40*$I14*2/MAIN!$Q$1</f>
        <v>0</v>
      </c>
      <c r="AU50" s="13">
        <f>AU40*$I14*2/MAIN!$Q$1</f>
        <v>0</v>
      </c>
      <c r="AV50" s="13">
        <f>AV40*$I14*2/MAIN!$Q$1</f>
        <v>0</v>
      </c>
      <c r="AW50" s="13">
        <f>AW40*$I14*2/MAIN!$Q$1</f>
        <v>0</v>
      </c>
      <c r="AX50" s="13">
        <f>AX40*$I14*2/MAIN!$Q$1</f>
        <v>0</v>
      </c>
      <c r="AY50" s="13">
        <f>AY40*$I14*2/MAIN!$Q$1</f>
        <v>0</v>
      </c>
      <c r="AZ50" s="13">
        <f>AZ40*$I14*2/MAIN!$Q$1</f>
        <v>0</v>
      </c>
      <c r="BA50" s="13">
        <f>BA40*$I14*2/MAIN!$Q$1</f>
        <v>0</v>
      </c>
      <c r="BB50" s="13">
        <f>BB40*$I14*2/MAIN!$Q$1</f>
        <v>0</v>
      </c>
      <c r="BC50" s="13">
        <f>BC40*$I14*2/MAIN!$Q$1</f>
        <v>0</v>
      </c>
      <c r="BD50" s="13">
        <f>BD40*$I14*2/MAIN!$Q$1</f>
        <v>0</v>
      </c>
      <c r="BE50" s="13">
        <f>BE40*$I14*2/MAIN!$Q$1</f>
        <v>0</v>
      </c>
      <c r="BF50" s="13">
        <f>BF40*$I14*2/MAIN!$Q$1</f>
        <v>0</v>
      </c>
      <c r="BG50" s="13">
        <f>BG40*$I14*2/MAIN!$Q$1</f>
        <v>0</v>
      </c>
      <c r="BH50" s="13">
        <f>BH40*$I14*2/MAIN!$Q$1</f>
        <v>0</v>
      </c>
      <c r="BI50" s="13">
        <f>BI40*$I14*2/MAIN!$Q$1</f>
        <v>0</v>
      </c>
      <c r="BJ50" s="13">
        <f>BJ40*$I14*2/MAIN!$Q$1</f>
        <v>0</v>
      </c>
      <c r="BK50" s="13">
        <f>BK40*$I14*2/MAIN!$Q$1</f>
        <v>0</v>
      </c>
      <c r="BL50" s="13">
        <f>BL40*$I14*2/MAIN!$Q$1</f>
        <v>0</v>
      </c>
      <c r="BM50" s="13">
        <f>BM40*$I14*2/MAIN!$Q$1</f>
        <v>0</v>
      </c>
      <c r="BN50" s="13">
        <f>BN40*$I14*2/MAIN!$Q$1</f>
        <v>0</v>
      </c>
      <c r="BO50" s="3">
        <f>BO40*$I14*2/MAIN!$Q$1</f>
        <v>0</v>
      </c>
      <c r="BS50"/>
      <c r="BT50"/>
    </row>
    <row r="51" spans="1:72" ht="16.5">
      <c r="B51" s="14">
        <f t="shared" si="33"/>
        <v>4</v>
      </c>
      <c r="C51" s="298" t="s">
        <v>66</v>
      </c>
      <c r="D51" s="3">
        <f>D41*$I14*2/MAIN!$Q$1</f>
        <v>0</v>
      </c>
      <c r="E51" s="13">
        <f>E41*$I14*2/MAIN!$Q$1</f>
        <v>0</v>
      </c>
      <c r="F51" s="13">
        <f>F41*$I14*2/MAIN!$Q$1</f>
        <v>0</v>
      </c>
      <c r="G51" s="13">
        <f>G41*$I14*2/MAIN!$Q$1</f>
        <v>0</v>
      </c>
      <c r="H51" s="13">
        <f>H41*$I14*2/MAIN!$Q$1</f>
        <v>0</v>
      </c>
      <c r="I51" s="13">
        <f>I41*$I14*2/MAIN!$Q$1</f>
        <v>0</v>
      </c>
      <c r="J51" s="13">
        <f>J41*$I14*2/MAIN!$Q$1</f>
        <v>0</v>
      </c>
      <c r="K51" s="13">
        <f>K41*$I14*2/MAIN!$Q$1</f>
        <v>0</v>
      </c>
      <c r="L51" s="13">
        <f>L41*$I14*2/MAIN!$Q$1</f>
        <v>0</v>
      </c>
      <c r="M51" s="13">
        <f>M41*$I14*2/MAIN!$Q$1</f>
        <v>0</v>
      </c>
      <c r="N51" s="13">
        <f>N41*$I14*2/MAIN!$Q$1</f>
        <v>0</v>
      </c>
      <c r="O51" s="13">
        <f>O41*$I14*2/MAIN!$Q$1</f>
        <v>0</v>
      </c>
      <c r="P51" s="13">
        <f>P41*$I14*2/MAIN!$Q$1</f>
        <v>0</v>
      </c>
      <c r="Q51" s="13">
        <f>Q41*$I14*2/MAIN!$Q$1</f>
        <v>0</v>
      </c>
      <c r="R51" s="13">
        <f>R41*$I14*2/MAIN!$Q$1</f>
        <v>0</v>
      </c>
      <c r="S51" s="13">
        <f>S41*$I14*2/MAIN!$Q$1</f>
        <v>0</v>
      </c>
      <c r="T51" s="13">
        <f>T41*$I14*2/MAIN!$Q$1</f>
        <v>0</v>
      </c>
      <c r="U51" s="13">
        <f>U41*$I14*2/MAIN!$Q$1</f>
        <v>0</v>
      </c>
      <c r="V51" s="13">
        <f>V41*$I14*2/MAIN!$Q$1</f>
        <v>0</v>
      </c>
      <c r="W51" s="13">
        <f>W41*$I14*2/MAIN!$Q$1</f>
        <v>0</v>
      </c>
      <c r="X51" s="13">
        <f>X41*$I14*2/MAIN!$Q$1</f>
        <v>0</v>
      </c>
      <c r="Y51" s="13">
        <f>Y41*$I14*2/MAIN!$Q$1</f>
        <v>0</v>
      </c>
      <c r="Z51" s="13">
        <f>Z41*$I14*2/MAIN!$Q$1</f>
        <v>0</v>
      </c>
      <c r="AA51" s="13">
        <f>AA41*$I14*2/MAIN!$Q$1</f>
        <v>0</v>
      </c>
      <c r="AB51" s="13">
        <f>AB41*$I14*2/MAIN!$Q$1</f>
        <v>0</v>
      </c>
      <c r="AC51" s="13">
        <f>AC41*$I14*2/MAIN!$Q$1</f>
        <v>0</v>
      </c>
      <c r="AD51" s="13">
        <f>AD41*$I14*2/MAIN!$Q$1</f>
        <v>0</v>
      </c>
      <c r="AE51" s="13">
        <f>AE41*$I14*2/MAIN!$Q$1</f>
        <v>0</v>
      </c>
      <c r="AF51" s="13">
        <f>AF41*$I14*2/MAIN!$Q$1</f>
        <v>0</v>
      </c>
      <c r="AG51" s="13">
        <f>AG41*$I14*2/MAIN!$Q$1</f>
        <v>0</v>
      </c>
      <c r="AH51" s="13">
        <f>AH41*$I14*2/MAIN!$Q$1</f>
        <v>0</v>
      </c>
      <c r="AI51" s="13">
        <f>AI41*$I14*2/MAIN!$Q$1</f>
        <v>0</v>
      </c>
      <c r="AJ51" s="13">
        <f>AJ41*$I14*2/MAIN!$Q$1</f>
        <v>0</v>
      </c>
      <c r="AK51" s="13">
        <f>AK41*$I14*2/MAIN!$Q$1</f>
        <v>0</v>
      </c>
      <c r="AL51" s="13">
        <f>AL41*$I14*2/MAIN!$Q$1</f>
        <v>0</v>
      </c>
      <c r="AM51" s="13">
        <f>AM41*$I14*2/MAIN!$Q$1</f>
        <v>0</v>
      </c>
      <c r="AN51" s="13">
        <f>AN41*$I14*2/MAIN!$Q$1</f>
        <v>0</v>
      </c>
      <c r="AO51" s="13">
        <f>AO41*$I14*2/MAIN!$Q$1</f>
        <v>0</v>
      </c>
      <c r="AP51" s="13">
        <f>AP41*$I14*2/MAIN!$Q$1</f>
        <v>0</v>
      </c>
      <c r="AQ51" s="13">
        <f>AQ41*$I14*2/MAIN!$Q$1</f>
        <v>0</v>
      </c>
      <c r="AR51" s="59">
        <f>AR41*$I14*2/MAIN!$Q$1</f>
        <v>0</v>
      </c>
      <c r="AS51" s="13">
        <f>AS41*$I14*2/MAIN!$Q$1</f>
        <v>0</v>
      </c>
      <c r="AT51" s="13">
        <f>AT41*$I14*2/MAIN!$Q$1</f>
        <v>0</v>
      </c>
      <c r="AU51" s="13">
        <f>AU41*$I14*2/MAIN!$Q$1</f>
        <v>0</v>
      </c>
      <c r="AV51" s="13">
        <f>AV41*$I14*2/MAIN!$Q$1</f>
        <v>0</v>
      </c>
      <c r="AW51" s="13">
        <f>AW41*$I14*2/MAIN!$Q$1</f>
        <v>0</v>
      </c>
      <c r="AX51" s="13">
        <f>AX41*$I14*2/MAIN!$Q$1</f>
        <v>0</v>
      </c>
      <c r="AY51" s="13">
        <f>AY41*$I14*2/MAIN!$Q$1</f>
        <v>0</v>
      </c>
      <c r="AZ51" s="13">
        <f>AZ41*$I14*2/MAIN!$Q$1</f>
        <v>0</v>
      </c>
      <c r="BA51" s="13">
        <f>BA41*$I14*2/MAIN!$Q$1</f>
        <v>0</v>
      </c>
      <c r="BB51" s="13">
        <f>BB41*$I14*2/MAIN!$Q$1</f>
        <v>0</v>
      </c>
      <c r="BC51" s="13">
        <f>BC41*$I14*2/MAIN!$Q$1</f>
        <v>0</v>
      </c>
      <c r="BD51" s="13">
        <f>BD41*$I14*2/MAIN!$Q$1</f>
        <v>0</v>
      </c>
      <c r="BE51" s="13">
        <f>BE41*$I14*2/MAIN!$Q$1</f>
        <v>0</v>
      </c>
      <c r="BF51" s="13">
        <f>BF41*$I14*2/MAIN!$Q$1</f>
        <v>0</v>
      </c>
      <c r="BG51" s="13">
        <f>BG41*$I14*2/MAIN!$Q$1</f>
        <v>0</v>
      </c>
      <c r="BH51" s="13">
        <f>BH41*$I14*2/MAIN!$Q$1</f>
        <v>0</v>
      </c>
      <c r="BI51" s="13">
        <f>BI41*$I14*2/MAIN!$Q$1</f>
        <v>0</v>
      </c>
      <c r="BJ51" s="13">
        <f>BJ41*$I14*2/MAIN!$Q$1</f>
        <v>0</v>
      </c>
      <c r="BK51" s="13">
        <f>BK41*$I14*2/MAIN!$Q$1</f>
        <v>0</v>
      </c>
      <c r="BL51" s="13">
        <f>BL41*$I14*2/MAIN!$Q$1</f>
        <v>0</v>
      </c>
      <c r="BM51" s="13">
        <f>BM41*$I14*2/MAIN!$Q$1</f>
        <v>0</v>
      </c>
      <c r="BN51" s="13">
        <f>BN41*$I14*2/MAIN!$Q$1</f>
        <v>0</v>
      </c>
      <c r="BO51" s="3">
        <f>BO41*$I14*2/MAIN!$Q$1</f>
        <v>0</v>
      </c>
      <c r="BS51"/>
      <c r="BT51"/>
    </row>
    <row r="52" spans="1:72" ht="16.5">
      <c r="B52" s="14">
        <f t="shared" si="33"/>
        <v>5</v>
      </c>
      <c r="C52" s="298" t="s">
        <v>66</v>
      </c>
      <c r="D52" s="3">
        <f>D42*$I14*2/MAIN!$Q$1</f>
        <v>0</v>
      </c>
      <c r="E52" s="13">
        <f>E42*$I14*2/MAIN!$Q$1</f>
        <v>0</v>
      </c>
      <c r="F52" s="13">
        <f>F42*$I14*2/MAIN!$Q$1</f>
        <v>0</v>
      </c>
      <c r="G52" s="13">
        <f>G42*$I14*2/MAIN!$Q$1</f>
        <v>0</v>
      </c>
      <c r="H52" s="13">
        <f>H42*$I14*2/MAIN!$Q$1</f>
        <v>0</v>
      </c>
      <c r="I52" s="13">
        <f>I42*$I14*2/MAIN!$Q$1</f>
        <v>0</v>
      </c>
      <c r="J52" s="13">
        <f>J42*$I14*2/MAIN!$Q$1</f>
        <v>0</v>
      </c>
      <c r="K52" s="13">
        <f>K42*$I14*2/MAIN!$Q$1</f>
        <v>0</v>
      </c>
      <c r="L52" s="13">
        <f>L42*$I14*2/MAIN!$Q$1</f>
        <v>0</v>
      </c>
      <c r="M52" s="13">
        <f>M42*$I14*2/MAIN!$Q$1</f>
        <v>0</v>
      </c>
      <c r="N52" s="13">
        <f>N42*$I14*2/MAIN!$Q$1</f>
        <v>0</v>
      </c>
      <c r="O52" s="13">
        <f>O42*$I14*2/MAIN!$Q$1</f>
        <v>0</v>
      </c>
      <c r="P52" s="13">
        <f>P42*$I14*2/MAIN!$Q$1</f>
        <v>0</v>
      </c>
      <c r="Q52" s="13">
        <f>Q42*$I14*2/MAIN!$Q$1</f>
        <v>0</v>
      </c>
      <c r="R52" s="13">
        <f>R42*$I14*2/MAIN!$Q$1</f>
        <v>0</v>
      </c>
      <c r="S52" s="13">
        <f>S42*$I14*2/MAIN!$Q$1</f>
        <v>0</v>
      </c>
      <c r="T52" s="13">
        <f>T42*$I14*2/MAIN!$Q$1</f>
        <v>0</v>
      </c>
      <c r="U52" s="13">
        <f>U42*$I14*2/MAIN!$Q$1</f>
        <v>0</v>
      </c>
      <c r="V52" s="13">
        <f>V42*$I14*2/MAIN!$Q$1</f>
        <v>0</v>
      </c>
      <c r="W52" s="13">
        <f>W42*$I14*2/MAIN!$Q$1</f>
        <v>0</v>
      </c>
      <c r="X52" s="13">
        <f>X42*$I14*2/MAIN!$Q$1</f>
        <v>0</v>
      </c>
      <c r="Y52" s="13">
        <f>Y42*$I14*2/MAIN!$Q$1</f>
        <v>0</v>
      </c>
      <c r="Z52" s="13">
        <f>Z42*$I14*2/MAIN!$Q$1</f>
        <v>0</v>
      </c>
      <c r="AA52" s="13">
        <f>AA42*$I14*2/MAIN!$Q$1</f>
        <v>0</v>
      </c>
      <c r="AB52" s="13">
        <f>AB42*$I14*2/MAIN!$Q$1</f>
        <v>0</v>
      </c>
      <c r="AC52" s="13">
        <f>AC42*$I14*2/MAIN!$Q$1</f>
        <v>0</v>
      </c>
      <c r="AD52" s="13">
        <f>AD42*$I14*2/MAIN!$Q$1</f>
        <v>0</v>
      </c>
      <c r="AE52" s="13">
        <f>AE42*$I14*2/MAIN!$Q$1</f>
        <v>0</v>
      </c>
      <c r="AF52" s="13">
        <f>AF42*$I14*2/MAIN!$Q$1</f>
        <v>0</v>
      </c>
      <c r="AG52" s="13">
        <f>AG42*$I14*2/MAIN!$Q$1</f>
        <v>0</v>
      </c>
      <c r="AH52" s="13">
        <f>AH42*$I14*2/MAIN!$Q$1</f>
        <v>0</v>
      </c>
      <c r="AI52" s="13">
        <f>AI42*$I14*2/MAIN!$Q$1</f>
        <v>0</v>
      </c>
      <c r="AJ52" s="13">
        <f>AJ42*$I14*2/MAIN!$Q$1</f>
        <v>0</v>
      </c>
      <c r="AK52" s="13">
        <f>AK42*$I14*2/MAIN!$Q$1</f>
        <v>0</v>
      </c>
      <c r="AL52" s="13">
        <f>AL42*$I14*2/MAIN!$Q$1</f>
        <v>0</v>
      </c>
      <c r="AM52" s="13">
        <f>AM42*$I14*2/MAIN!$Q$1</f>
        <v>0</v>
      </c>
      <c r="AN52" s="13">
        <f>AN42*$I14*2/MAIN!$Q$1</f>
        <v>0</v>
      </c>
      <c r="AO52" s="13">
        <f>AO42*$I14*2/MAIN!$Q$1</f>
        <v>0</v>
      </c>
      <c r="AP52" s="13">
        <f>AP42*$I14*2/MAIN!$Q$1</f>
        <v>0</v>
      </c>
      <c r="AQ52" s="13">
        <f>AQ42*$I14*2/MAIN!$Q$1</f>
        <v>0</v>
      </c>
      <c r="AR52" s="59">
        <f>AR42*$I14*2/MAIN!$Q$1</f>
        <v>0</v>
      </c>
      <c r="AS52" s="13">
        <f>AS42*$I14*2/MAIN!$Q$1</f>
        <v>0</v>
      </c>
      <c r="AT52" s="13">
        <f>AT42*$I14*2/MAIN!$Q$1</f>
        <v>0</v>
      </c>
      <c r="AU52" s="13">
        <f>AU42*$I14*2/MAIN!$Q$1</f>
        <v>0</v>
      </c>
      <c r="AV52" s="13">
        <f>AV42*$I14*2/MAIN!$Q$1</f>
        <v>0</v>
      </c>
      <c r="AW52" s="13">
        <f>AW42*$I14*2/MAIN!$Q$1</f>
        <v>0</v>
      </c>
      <c r="AX52" s="13">
        <f>AX42*$I14*2/MAIN!$Q$1</f>
        <v>0</v>
      </c>
      <c r="AY52" s="13">
        <f>AY42*$I14*2/MAIN!$Q$1</f>
        <v>0</v>
      </c>
      <c r="AZ52" s="13">
        <f>AZ42*$I14*2/MAIN!$Q$1</f>
        <v>0</v>
      </c>
      <c r="BA52" s="13">
        <f>BA42*$I14*2/MAIN!$Q$1</f>
        <v>0</v>
      </c>
      <c r="BB52" s="13">
        <f>BB42*$I14*2/MAIN!$Q$1</f>
        <v>0</v>
      </c>
      <c r="BC52" s="13">
        <f>BC42*$I14*2/MAIN!$Q$1</f>
        <v>0</v>
      </c>
      <c r="BD52" s="13">
        <f>BD42*$I14*2/MAIN!$Q$1</f>
        <v>0</v>
      </c>
      <c r="BE52" s="13">
        <f>BE42*$I14*2/MAIN!$Q$1</f>
        <v>0</v>
      </c>
      <c r="BF52" s="13">
        <f>BF42*$I14*2/MAIN!$Q$1</f>
        <v>0</v>
      </c>
      <c r="BG52" s="13">
        <f>BG42*$I14*2/MAIN!$Q$1</f>
        <v>0</v>
      </c>
      <c r="BH52" s="13">
        <f>BH42*$I14*2/MAIN!$Q$1</f>
        <v>0</v>
      </c>
      <c r="BI52" s="13">
        <f>BI42*$I14*2/MAIN!$Q$1</f>
        <v>0</v>
      </c>
      <c r="BJ52" s="13">
        <f>BJ42*$I14*2/MAIN!$Q$1</f>
        <v>0</v>
      </c>
      <c r="BK52" s="13">
        <f>BK42*$I14*2/MAIN!$Q$1</f>
        <v>0</v>
      </c>
      <c r="BL52" s="13">
        <f>BL42*$I14*2/MAIN!$Q$1</f>
        <v>0</v>
      </c>
      <c r="BM52" s="13">
        <f>BM42*$I14*2/MAIN!$Q$1</f>
        <v>0</v>
      </c>
      <c r="BN52" s="13">
        <f>BN42*$I14*2/MAIN!$Q$1</f>
        <v>0</v>
      </c>
      <c r="BO52" s="3">
        <f>BO42*$I14*2/MAIN!$Q$1</f>
        <v>0</v>
      </c>
      <c r="BS52"/>
      <c r="BT52"/>
    </row>
    <row r="53" spans="1:72" ht="16.5">
      <c r="B53" s="14">
        <f t="shared" si="33"/>
        <v>6</v>
      </c>
      <c r="C53" s="298" t="s">
        <v>66</v>
      </c>
      <c r="D53" s="3">
        <f>D43*$I14*2/MAIN!$Q$1</f>
        <v>0</v>
      </c>
      <c r="E53" s="13">
        <f>E43*$I14*2/MAIN!$Q$1</f>
        <v>0</v>
      </c>
      <c r="F53" s="13">
        <f>F43*$I14*2/MAIN!$Q$1</f>
        <v>0</v>
      </c>
      <c r="G53" s="13">
        <f>G43*$I14*2/MAIN!$Q$1</f>
        <v>0</v>
      </c>
      <c r="H53" s="13">
        <f>H43*$I14*2/MAIN!$Q$1</f>
        <v>0</v>
      </c>
      <c r="I53" s="13">
        <f>I43*$I14*2/MAIN!$Q$1</f>
        <v>0</v>
      </c>
      <c r="J53" s="13">
        <f>J43*$I14*2/MAIN!$Q$1</f>
        <v>0</v>
      </c>
      <c r="K53" s="13">
        <f>K43*$I14*2/MAIN!$Q$1</f>
        <v>0</v>
      </c>
      <c r="L53" s="13">
        <f>L43*$I14*2/MAIN!$Q$1</f>
        <v>0</v>
      </c>
      <c r="M53" s="13">
        <f>M43*$I14*2/MAIN!$Q$1</f>
        <v>0</v>
      </c>
      <c r="N53" s="13">
        <f>N43*$I14*2/MAIN!$Q$1</f>
        <v>0</v>
      </c>
      <c r="O53" s="13">
        <f>O43*$I14*2/MAIN!$Q$1</f>
        <v>0</v>
      </c>
      <c r="P53" s="13">
        <f>P43*$I14*2/MAIN!$Q$1</f>
        <v>0</v>
      </c>
      <c r="Q53" s="13">
        <f>Q43*$I14*2/MAIN!$Q$1</f>
        <v>0</v>
      </c>
      <c r="R53" s="13">
        <f>R43*$I14*2/MAIN!$Q$1</f>
        <v>0</v>
      </c>
      <c r="S53" s="13">
        <f>S43*$I14*2/MAIN!$Q$1</f>
        <v>0</v>
      </c>
      <c r="T53" s="13">
        <f>T43*$I14*2/MAIN!$Q$1</f>
        <v>0</v>
      </c>
      <c r="U53" s="13">
        <f>U43*$I14*2/MAIN!$Q$1</f>
        <v>0</v>
      </c>
      <c r="V53" s="13">
        <f>V43*$I14*2/MAIN!$Q$1</f>
        <v>0</v>
      </c>
      <c r="W53" s="13">
        <f>W43*$I14*2/MAIN!$Q$1</f>
        <v>0</v>
      </c>
      <c r="X53" s="13">
        <f>X43*$I14*2/MAIN!$Q$1</f>
        <v>0</v>
      </c>
      <c r="Y53" s="13">
        <f>Y43*$I14*2/MAIN!$Q$1</f>
        <v>0</v>
      </c>
      <c r="Z53" s="13">
        <f>Z43*$I14*2/MAIN!$Q$1</f>
        <v>0</v>
      </c>
      <c r="AA53" s="13">
        <f>AA43*$I14*2/MAIN!$Q$1</f>
        <v>0</v>
      </c>
      <c r="AB53" s="13">
        <f>AB43*$I14*2/MAIN!$Q$1</f>
        <v>0</v>
      </c>
      <c r="AC53" s="13">
        <f>AC43*$I14*2/MAIN!$Q$1</f>
        <v>0</v>
      </c>
      <c r="AD53" s="13">
        <f>AD43*$I14*2/MAIN!$Q$1</f>
        <v>0</v>
      </c>
      <c r="AE53" s="13">
        <f>AE43*$I14*2/MAIN!$Q$1</f>
        <v>0</v>
      </c>
      <c r="AF53" s="13">
        <f>AF43*$I14*2/MAIN!$Q$1</f>
        <v>0</v>
      </c>
      <c r="AG53" s="13">
        <f>AG43*$I14*2/MAIN!$Q$1</f>
        <v>0</v>
      </c>
      <c r="AH53" s="13">
        <f>AH43*$I14*2/MAIN!$Q$1</f>
        <v>0</v>
      </c>
      <c r="AI53" s="13">
        <f>AI43*$I14*2/MAIN!$Q$1</f>
        <v>0</v>
      </c>
      <c r="AJ53" s="13">
        <f>AJ43*$I14*2/MAIN!$Q$1</f>
        <v>0</v>
      </c>
      <c r="AK53" s="13">
        <f>AK43*$I14*2/MAIN!$Q$1</f>
        <v>0</v>
      </c>
      <c r="AL53" s="13">
        <f>AL43*$I14*2/MAIN!$Q$1</f>
        <v>0</v>
      </c>
      <c r="AM53" s="13">
        <f>AM43*$I14*2/MAIN!$Q$1</f>
        <v>0</v>
      </c>
      <c r="AN53" s="13">
        <f>AN43*$I14*2/MAIN!$Q$1</f>
        <v>0</v>
      </c>
      <c r="AO53" s="13">
        <f>AO43*$I14*2/MAIN!$Q$1</f>
        <v>0</v>
      </c>
      <c r="AP53" s="13">
        <f>AP43*$I14*2/MAIN!$Q$1</f>
        <v>0</v>
      </c>
      <c r="AQ53" s="13">
        <f>AQ43*$I14*2/MAIN!$Q$1</f>
        <v>0</v>
      </c>
      <c r="AR53" s="59">
        <f>AR43*$I14*2/MAIN!$Q$1</f>
        <v>0</v>
      </c>
      <c r="AS53" s="13">
        <f>AS43*$I14*2/MAIN!$Q$1</f>
        <v>0</v>
      </c>
      <c r="AT53" s="13">
        <f>AT43*$I14*2/MAIN!$Q$1</f>
        <v>0</v>
      </c>
      <c r="AU53" s="13">
        <f>AU43*$I14*2/MAIN!$Q$1</f>
        <v>0</v>
      </c>
      <c r="AV53" s="13">
        <f>AV43*$I14*2/MAIN!$Q$1</f>
        <v>0</v>
      </c>
      <c r="AW53" s="13">
        <f>AW43*$I14*2/MAIN!$Q$1</f>
        <v>0</v>
      </c>
      <c r="AX53" s="13">
        <f>AX43*$I14*2/MAIN!$Q$1</f>
        <v>0</v>
      </c>
      <c r="AY53" s="13">
        <f>AY43*$I14*2/MAIN!$Q$1</f>
        <v>0</v>
      </c>
      <c r="AZ53" s="13">
        <f>AZ43*$I14*2/MAIN!$Q$1</f>
        <v>0</v>
      </c>
      <c r="BA53" s="13">
        <f>BA43*$I14*2/MAIN!$Q$1</f>
        <v>0</v>
      </c>
      <c r="BB53" s="13">
        <f>BB43*$I14*2/MAIN!$Q$1</f>
        <v>0</v>
      </c>
      <c r="BC53" s="13">
        <f>BC43*$I14*2/MAIN!$Q$1</f>
        <v>0</v>
      </c>
      <c r="BD53" s="13">
        <f>BD43*$I14*2/MAIN!$Q$1</f>
        <v>0</v>
      </c>
      <c r="BE53" s="13">
        <f>BE43*$I14*2/MAIN!$Q$1</f>
        <v>0</v>
      </c>
      <c r="BF53" s="13">
        <f>BF43*$I14*2/MAIN!$Q$1</f>
        <v>0</v>
      </c>
      <c r="BG53" s="13">
        <f>BG43*$I14*2/MAIN!$Q$1</f>
        <v>0</v>
      </c>
      <c r="BH53" s="13">
        <f>BH43*$I14*2/MAIN!$Q$1</f>
        <v>0</v>
      </c>
      <c r="BI53" s="13">
        <f>BI43*$I14*2/MAIN!$Q$1</f>
        <v>0</v>
      </c>
      <c r="BJ53" s="13">
        <f>BJ43*$I14*2/MAIN!$Q$1</f>
        <v>0</v>
      </c>
      <c r="BK53" s="13">
        <f>BK43*$I14*2/MAIN!$Q$1</f>
        <v>0</v>
      </c>
      <c r="BL53" s="13">
        <f>BL43*$I14*2/MAIN!$Q$1</f>
        <v>0</v>
      </c>
      <c r="BM53" s="13">
        <f>BM43*$I14*2/MAIN!$Q$1</f>
        <v>0</v>
      </c>
      <c r="BN53" s="13">
        <f>BN43*$I14*2/MAIN!$Q$1</f>
        <v>0</v>
      </c>
      <c r="BO53" s="3">
        <f>BO43*$I14*2/MAIN!$Q$1</f>
        <v>0</v>
      </c>
      <c r="BS53"/>
      <c r="BT53"/>
    </row>
    <row r="54" spans="1:72" ht="16.5">
      <c r="B54" s="14">
        <f t="shared" si="33"/>
        <v>7</v>
      </c>
      <c r="C54" s="298" t="s">
        <v>66</v>
      </c>
      <c r="D54" s="3">
        <f>D44*$I14*2/MAIN!$Q$1</f>
        <v>0</v>
      </c>
      <c r="E54" s="13">
        <f>E44*$I14*2/MAIN!$Q$1</f>
        <v>0</v>
      </c>
      <c r="F54" s="13">
        <f>F44*$I14*2/MAIN!$Q$1</f>
        <v>0</v>
      </c>
      <c r="G54" s="13">
        <f>G44*$I14*2/MAIN!$Q$1</f>
        <v>0</v>
      </c>
      <c r="H54" s="13">
        <f>H44*$I14*2/MAIN!$Q$1</f>
        <v>0</v>
      </c>
      <c r="I54" s="13">
        <f>I44*$I14*2/MAIN!$Q$1</f>
        <v>0</v>
      </c>
      <c r="J54" s="13">
        <f>J44*$I14*2/MAIN!$Q$1</f>
        <v>0</v>
      </c>
      <c r="K54" s="13">
        <f>K44*$I14*2/MAIN!$Q$1</f>
        <v>0</v>
      </c>
      <c r="L54" s="13">
        <f>L44*$I14*2/MAIN!$Q$1</f>
        <v>0</v>
      </c>
      <c r="M54" s="13">
        <f>M44*$I14*2/MAIN!$Q$1</f>
        <v>0</v>
      </c>
      <c r="N54" s="13">
        <f>N44*$I14*2/MAIN!$Q$1</f>
        <v>0</v>
      </c>
      <c r="O54" s="13">
        <f>O44*$I14*2/MAIN!$Q$1</f>
        <v>0</v>
      </c>
      <c r="P54" s="13">
        <f>P44*$I14*2/MAIN!$Q$1</f>
        <v>0</v>
      </c>
      <c r="Q54" s="13">
        <f>Q44*$I14*2/MAIN!$Q$1</f>
        <v>0</v>
      </c>
      <c r="R54" s="13">
        <f>R44*$I14*2/MAIN!$Q$1</f>
        <v>0</v>
      </c>
      <c r="S54" s="13">
        <f>S44*$I14*2/MAIN!$Q$1</f>
        <v>0</v>
      </c>
      <c r="T54" s="13">
        <f>T44*$I14*2/MAIN!$Q$1</f>
        <v>0</v>
      </c>
      <c r="U54" s="13">
        <f>U44*$I14*2/MAIN!$Q$1</f>
        <v>0</v>
      </c>
      <c r="V54" s="13">
        <f>V44*$I14*2/MAIN!$Q$1</f>
        <v>0</v>
      </c>
      <c r="W54" s="13">
        <f>W44*$I14*2/MAIN!$Q$1</f>
        <v>0</v>
      </c>
      <c r="X54" s="13">
        <f>X44*$I14*2/MAIN!$Q$1</f>
        <v>0</v>
      </c>
      <c r="Y54" s="13">
        <f>Y44*$I14*2/MAIN!$Q$1</f>
        <v>0</v>
      </c>
      <c r="Z54" s="13">
        <f>Z44*$I14*2/MAIN!$Q$1</f>
        <v>0</v>
      </c>
      <c r="AA54" s="13">
        <f>AA44*$I14*2/MAIN!$Q$1</f>
        <v>0</v>
      </c>
      <c r="AB54" s="13">
        <f>AB44*$I14*2/MAIN!$Q$1</f>
        <v>0</v>
      </c>
      <c r="AC54" s="13">
        <f>AC44*$I14*2/MAIN!$Q$1</f>
        <v>0</v>
      </c>
      <c r="AD54" s="13">
        <f>AD44*$I14*2/MAIN!$Q$1</f>
        <v>0</v>
      </c>
      <c r="AE54" s="13">
        <f>AE44*$I14*2/MAIN!$Q$1</f>
        <v>0</v>
      </c>
      <c r="AF54" s="13">
        <f>AF44*$I14*2/MAIN!$Q$1</f>
        <v>0</v>
      </c>
      <c r="AG54" s="13">
        <f>AG44*$I14*2/MAIN!$Q$1</f>
        <v>0</v>
      </c>
      <c r="AH54" s="13">
        <f>AH44*$I14*2/MAIN!$Q$1</f>
        <v>0</v>
      </c>
      <c r="AI54" s="13">
        <f>AI44*$I14*2/MAIN!$Q$1</f>
        <v>0</v>
      </c>
      <c r="AJ54" s="13">
        <f>AJ44*$I14*2/MAIN!$Q$1</f>
        <v>0</v>
      </c>
      <c r="AK54" s="13">
        <f>AK44*$I14*2/MAIN!$Q$1</f>
        <v>0</v>
      </c>
      <c r="AL54" s="13">
        <f>AL44*$I14*2/MAIN!$Q$1</f>
        <v>0</v>
      </c>
      <c r="AM54" s="13">
        <f>AM44*$I14*2/MAIN!$Q$1</f>
        <v>0</v>
      </c>
      <c r="AN54" s="13">
        <f>AN44*$I14*2/MAIN!$Q$1</f>
        <v>0</v>
      </c>
      <c r="AO54" s="13">
        <f>AO44*$I14*2/MAIN!$Q$1</f>
        <v>0</v>
      </c>
      <c r="AP54" s="13">
        <f>AP44*$I14*2/MAIN!$Q$1</f>
        <v>0</v>
      </c>
      <c r="AQ54" s="13">
        <f>AQ44*$I14*2/MAIN!$Q$1</f>
        <v>0</v>
      </c>
      <c r="AR54" s="59">
        <f>AR44*$I14*2/MAIN!$Q$1</f>
        <v>0</v>
      </c>
      <c r="AS54" s="13">
        <f>AS44*$I14*2/MAIN!$Q$1</f>
        <v>0</v>
      </c>
      <c r="AT54" s="13">
        <f>AT44*$I14*2/MAIN!$Q$1</f>
        <v>0</v>
      </c>
      <c r="AU54" s="13">
        <f>AU44*$I14*2/MAIN!$Q$1</f>
        <v>0</v>
      </c>
      <c r="AV54" s="13">
        <f>AV44*$I14*2/MAIN!$Q$1</f>
        <v>0</v>
      </c>
      <c r="AW54" s="13">
        <f>AW44*$I14*2/MAIN!$Q$1</f>
        <v>0</v>
      </c>
      <c r="AX54" s="13">
        <f>AX44*$I14*2/MAIN!$Q$1</f>
        <v>0</v>
      </c>
      <c r="AY54" s="13">
        <f>AY44*$I14*2/MAIN!$Q$1</f>
        <v>0</v>
      </c>
      <c r="AZ54" s="13">
        <f>AZ44*$I14*2/MAIN!$Q$1</f>
        <v>0</v>
      </c>
      <c r="BA54" s="13">
        <f>BA44*$I14*2/MAIN!$Q$1</f>
        <v>0</v>
      </c>
      <c r="BB54" s="13">
        <f>BB44*$I14*2/MAIN!$Q$1</f>
        <v>0</v>
      </c>
      <c r="BC54" s="13">
        <f>BC44*$I14*2/MAIN!$Q$1</f>
        <v>0</v>
      </c>
      <c r="BD54" s="13">
        <f>BD44*$I14*2/MAIN!$Q$1</f>
        <v>0</v>
      </c>
      <c r="BE54" s="13">
        <f>BE44*$I14*2/MAIN!$Q$1</f>
        <v>0</v>
      </c>
      <c r="BF54" s="13">
        <f>BF44*$I14*2/MAIN!$Q$1</f>
        <v>0</v>
      </c>
      <c r="BG54" s="13">
        <f>BG44*$I14*2/MAIN!$Q$1</f>
        <v>0</v>
      </c>
      <c r="BH54" s="13">
        <f>BH44*$I14*2/MAIN!$Q$1</f>
        <v>0</v>
      </c>
      <c r="BI54" s="13">
        <f>BI44*$I14*2/MAIN!$Q$1</f>
        <v>0</v>
      </c>
      <c r="BJ54" s="13">
        <f>BJ44*$I14*2/MAIN!$Q$1</f>
        <v>0</v>
      </c>
      <c r="BK54" s="13">
        <f>BK44*$I14*2/MAIN!$Q$1</f>
        <v>0</v>
      </c>
      <c r="BL54" s="13">
        <f>BL44*$I14*2/MAIN!$Q$1</f>
        <v>0</v>
      </c>
      <c r="BM54" s="13">
        <f>BM44*$I14*2/MAIN!$Q$1</f>
        <v>0</v>
      </c>
      <c r="BN54" s="13">
        <f>BN44*$I14*2/MAIN!$Q$1</f>
        <v>0</v>
      </c>
      <c r="BO54" s="3">
        <f>BO44*$I14*2/MAIN!$Q$1</f>
        <v>0</v>
      </c>
      <c r="BS54"/>
      <c r="BT54"/>
    </row>
    <row r="55" spans="1:72" ht="16.5">
      <c r="B55" s="14">
        <f t="shared" si="33"/>
        <v>8</v>
      </c>
      <c r="C55" s="298" t="s">
        <v>66</v>
      </c>
      <c r="D55" s="3">
        <f>D45*$I14*2/MAIN!$Q$1</f>
        <v>0</v>
      </c>
      <c r="E55" s="13">
        <f>E45*$I14*2/MAIN!$Q$1</f>
        <v>0</v>
      </c>
      <c r="F55" s="13">
        <f>F45*$I14*2/MAIN!$Q$1</f>
        <v>0</v>
      </c>
      <c r="G55" s="13">
        <f>G45*$I14*2/MAIN!$Q$1</f>
        <v>0</v>
      </c>
      <c r="H55" s="13">
        <f>H45*$I14*2/MAIN!$Q$1</f>
        <v>0</v>
      </c>
      <c r="I55" s="13">
        <f>I45*$I14*2/MAIN!$Q$1</f>
        <v>0</v>
      </c>
      <c r="J55" s="13">
        <f>J45*$I14*2/MAIN!$Q$1</f>
        <v>0</v>
      </c>
      <c r="K55" s="13">
        <f>K45*$I14*2/MAIN!$Q$1</f>
        <v>0</v>
      </c>
      <c r="L55" s="13">
        <f>L45*$I14*2/MAIN!$Q$1</f>
        <v>0</v>
      </c>
      <c r="M55" s="13">
        <f>M45*$I14*2/MAIN!$Q$1</f>
        <v>0</v>
      </c>
      <c r="N55" s="13">
        <f>N45*$I14*2/MAIN!$Q$1</f>
        <v>0</v>
      </c>
      <c r="O55" s="13">
        <f>O45*$I14*2/MAIN!$Q$1</f>
        <v>0</v>
      </c>
      <c r="P55" s="13">
        <f>P45*$I14*2/MAIN!$Q$1</f>
        <v>0</v>
      </c>
      <c r="Q55" s="13">
        <f>Q45*$I14*2/MAIN!$Q$1</f>
        <v>0</v>
      </c>
      <c r="R55" s="13">
        <f>R45*$I14*2/MAIN!$Q$1</f>
        <v>0</v>
      </c>
      <c r="S55" s="13">
        <f>S45*$I14*2/MAIN!$Q$1</f>
        <v>0</v>
      </c>
      <c r="T55" s="13">
        <f>T45*$I14*2/MAIN!$Q$1</f>
        <v>0</v>
      </c>
      <c r="U55" s="13">
        <f>U45*$I14*2/MAIN!$Q$1</f>
        <v>0</v>
      </c>
      <c r="V55" s="13">
        <f>V45*$I14*2/MAIN!$Q$1</f>
        <v>0</v>
      </c>
      <c r="W55" s="13">
        <f>W45*$I14*2/MAIN!$Q$1</f>
        <v>0</v>
      </c>
      <c r="X55" s="13">
        <f>X45*$I14*2/MAIN!$Q$1</f>
        <v>0</v>
      </c>
      <c r="Y55" s="13">
        <f>Y45*$I14*2/MAIN!$Q$1</f>
        <v>0</v>
      </c>
      <c r="Z55" s="13">
        <f>Z45*$I14*2/MAIN!$Q$1</f>
        <v>0</v>
      </c>
      <c r="AA55" s="13">
        <f>AA45*$I14*2/MAIN!$Q$1</f>
        <v>0</v>
      </c>
      <c r="AB55" s="13">
        <f>AB45*$I14*2/MAIN!$Q$1</f>
        <v>0</v>
      </c>
      <c r="AC55" s="13">
        <f>AC45*$I14*2/MAIN!$Q$1</f>
        <v>0</v>
      </c>
      <c r="AD55" s="13">
        <f>AD45*$I14*2/MAIN!$Q$1</f>
        <v>0</v>
      </c>
      <c r="AE55" s="13">
        <f>AE45*$I14*2/MAIN!$Q$1</f>
        <v>0</v>
      </c>
      <c r="AF55" s="13">
        <f>AF45*$I14*2/MAIN!$Q$1</f>
        <v>0</v>
      </c>
      <c r="AG55" s="13">
        <f>AG45*$I14*2/MAIN!$Q$1</f>
        <v>0</v>
      </c>
      <c r="AH55" s="13">
        <f>AH45*$I14*2/MAIN!$Q$1</f>
        <v>0</v>
      </c>
      <c r="AI55" s="13">
        <f>AI45*$I14*2/MAIN!$Q$1</f>
        <v>0</v>
      </c>
      <c r="AJ55" s="13">
        <f>AJ45*$I14*2/MAIN!$Q$1</f>
        <v>0</v>
      </c>
      <c r="AK55" s="13">
        <f>AK45*$I14*2/MAIN!$Q$1</f>
        <v>0</v>
      </c>
      <c r="AL55" s="13">
        <f>AL45*$I14*2/MAIN!$Q$1</f>
        <v>0</v>
      </c>
      <c r="AM55" s="13">
        <f>AM45*$I14*2/MAIN!$Q$1</f>
        <v>0</v>
      </c>
      <c r="AN55" s="13">
        <f>AN45*$I14*2/MAIN!$Q$1</f>
        <v>0</v>
      </c>
      <c r="AO55" s="13">
        <f>AO45*$I14*2/MAIN!$Q$1</f>
        <v>0</v>
      </c>
      <c r="AP55" s="13">
        <f>AP45*$I14*2/MAIN!$Q$1</f>
        <v>0</v>
      </c>
      <c r="AQ55" s="13">
        <f>AQ45*$I14*2/MAIN!$Q$1</f>
        <v>0</v>
      </c>
      <c r="AR55" s="59">
        <f>AR45*$I14*2/MAIN!$Q$1</f>
        <v>0</v>
      </c>
      <c r="AS55" s="13">
        <f>AS45*$I14*2/MAIN!$Q$1</f>
        <v>0</v>
      </c>
      <c r="AT55" s="13">
        <f>AT45*$I14*2/MAIN!$Q$1</f>
        <v>0</v>
      </c>
      <c r="AU55" s="13">
        <f>AU45*$I14*2/MAIN!$Q$1</f>
        <v>0</v>
      </c>
      <c r="AV55" s="13">
        <f>AV45*$I14*2/MAIN!$Q$1</f>
        <v>0</v>
      </c>
      <c r="AW55" s="13">
        <f>AW45*$I14*2/MAIN!$Q$1</f>
        <v>0</v>
      </c>
      <c r="AX55" s="13">
        <f>AX45*$I14*2/MAIN!$Q$1</f>
        <v>0</v>
      </c>
      <c r="AY55" s="13">
        <f>AY45*$I14*2/MAIN!$Q$1</f>
        <v>0</v>
      </c>
      <c r="AZ55" s="13">
        <f>AZ45*$I14*2/MAIN!$Q$1</f>
        <v>0</v>
      </c>
      <c r="BA55" s="13">
        <f>BA45*$I14*2/MAIN!$Q$1</f>
        <v>0</v>
      </c>
      <c r="BB55" s="13">
        <f>BB45*$I14*2/MAIN!$Q$1</f>
        <v>0</v>
      </c>
      <c r="BC55" s="13">
        <f>BC45*$I14*2/MAIN!$Q$1</f>
        <v>0</v>
      </c>
      <c r="BD55" s="13">
        <f>BD45*$I14*2/MAIN!$Q$1</f>
        <v>0</v>
      </c>
      <c r="BE55" s="13">
        <f>BE45*$I14*2/MAIN!$Q$1</f>
        <v>0</v>
      </c>
      <c r="BF55" s="13">
        <f>BF45*$I14*2/MAIN!$Q$1</f>
        <v>0</v>
      </c>
      <c r="BG55" s="13">
        <f>BG45*$I14*2/MAIN!$Q$1</f>
        <v>0</v>
      </c>
      <c r="BH55" s="13">
        <f>BH45*$I14*2/MAIN!$Q$1</f>
        <v>0</v>
      </c>
      <c r="BI55" s="13">
        <f>BI45*$I14*2/MAIN!$Q$1</f>
        <v>0</v>
      </c>
      <c r="BJ55" s="13">
        <f>BJ45*$I14*2/MAIN!$Q$1</f>
        <v>0</v>
      </c>
      <c r="BK55" s="13">
        <f>BK45*$I14*2/MAIN!$Q$1</f>
        <v>0</v>
      </c>
      <c r="BL55" s="13">
        <f>BL45*$I14*2/MAIN!$Q$1</f>
        <v>0</v>
      </c>
      <c r="BM55" s="13">
        <f>BM45*$I14*2/MAIN!$Q$1</f>
        <v>0</v>
      </c>
      <c r="BN55" s="13">
        <f>BN45*$I14*2/MAIN!$Q$1</f>
        <v>0</v>
      </c>
      <c r="BO55" s="3">
        <f>BO45*$I14*2/MAIN!$Q$1</f>
        <v>0</v>
      </c>
      <c r="BS55"/>
      <c r="BT55"/>
    </row>
    <row r="56" spans="1:72" ht="16.5">
      <c r="B56" s="14">
        <f t="shared" si="33"/>
        <v>9</v>
      </c>
      <c r="C56" s="298" t="s">
        <v>66</v>
      </c>
      <c r="D56" s="3">
        <f>D46*$I14*2/MAIN!$Q$1</f>
        <v>0</v>
      </c>
      <c r="E56" s="13">
        <f>E46*$I14*2/MAIN!$Q$1</f>
        <v>0</v>
      </c>
      <c r="F56" s="13">
        <f>F46*$I14*2/MAIN!$Q$1</f>
        <v>0</v>
      </c>
      <c r="G56" s="13">
        <f>G46*$I14*2/MAIN!$Q$1</f>
        <v>0</v>
      </c>
      <c r="H56" s="13">
        <f>H46*$I14*2/MAIN!$Q$1</f>
        <v>0</v>
      </c>
      <c r="I56" s="13">
        <f>I46*$I14*2/MAIN!$Q$1</f>
        <v>0</v>
      </c>
      <c r="J56" s="13">
        <f>J46*$I14*2/MAIN!$Q$1</f>
        <v>0</v>
      </c>
      <c r="K56" s="13">
        <f>K46*$I14*2/MAIN!$Q$1</f>
        <v>0</v>
      </c>
      <c r="L56" s="13">
        <f>L46*$I14*2/MAIN!$Q$1</f>
        <v>0</v>
      </c>
      <c r="M56" s="13">
        <f>M46*$I14*2/MAIN!$Q$1</f>
        <v>0</v>
      </c>
      <c r="N56" s="13">
        <f>N46*$I14*2/MAIN!$Q$1</f>
        <v>0</v>
      </c>
      <c r="O56" s="13">
        <f>O46*$I14*2/MAIN!$Q$1</f>
        <v>0</v>
      </c>
      <c r="P56" s="13">
        <f>P46*$I14*2/MAIN!$Q$1</f>
        <v>0</v>
      </c>
      <c r="Q56" s="13">
        <f>Q46*$I14*2/MAIN!$Q$1</f>
        <v>0</v>
      </c>
      <c r="R56" s="13">
        <f>R46*$I14*2/MAIN!$Q$1</f>
        <v>0</v>
      </c>
      <c r="S56" s="13">
        <f>S46*$I14*2/MAIN!$Q$1</f>
        <v>0</v>
      </c>
      <c r="T56" s="13">
        <f>T46*$I14*2/MAIN!$Q$1</f>
        <v>0</v>
      </c>
      <c r="U56" s="13">
        <f>U46*$I14*2/MAIN!$Q$1</f>
        <v>0</v>
      </c>
      <c r="V56" s="13">
        <f>V46*$I14*2/MAIN!$Q$1</f>
        <v>0</v>
      </c>
      <c r="W56" s="13">
        <f>W46*$I14*2/MAIN!$Q$1</f>
        <v>0</v>
      </c>
      <c r="X56" s="13">
        <f>X46*$I14*2/MAIN!$Q$1</f>
        <v>0</v>
      </c>
      <c r="Y56" s="13">
        <f>Y46*$I14*2/MAIN!$Q$1</f>
        <v>0</v>
      </c>
      <c r="Z56" s="13">
        <f>Z46*$I14*2/MAIN!$Q$1</f>
        <v>0</v>
      </c>
      <c r="AA56" s="13">
        <f>AA46*$I14*2/MAIN!$Q$1</f>
        <v>0</v>
      </c>
      <c r="AB56" s="13">
        <f>AB46*$I14*2/MAIN!$Q$1</f>
        <v>0</v>
      </c>
      <c r="AC56" s="13">
        <f>AC46*$I14*2/MAIN!$Q$1</f>
        <v>0</v>
      </c>
      <c r="AD56" s="13">
        <f>AD46*$I14*2/MAIN!$Q$1</f>
        <v>0</v>
      </c>
      <c r="AE56" s="13">
        <f>AE46*$I14*2/MAIN!$Q$1</f>
        <v>0</v>
      </c>
      <c r="AF56" s="13">
        <f>AF46*$I14*2/MAIN!$Q$1</f>
        <v>0</v>
      </c>
      <c r="AG56" s="13">
        <f>AG46*$I14*2/MAIN!$Q$1</f>
        <v>0</v>
      </c>
      <c r="AH56" s="13">
        <f>AH46*$I14*2/MAIN!$Q$1</f>
        <v>0</v>
      </c>
      <c r="AI56" s="13">
        <f>AI46*$I14*2/MAIN!$Q$1</f>
        <v>0</v>
      </c>
      <c r="AJ56" s="13">
        <f>AJ46*$I14*2/MAIN!$Q$1</f>
        <v>0</v>
      </c>
      <c r="AK56" s="13">
        <f>AK46*$I14*2/MAIN!$Q$1</f>
        <v>0</v>
      </c>
      <c r="AL56" s="13">
        <f>AL46*$I14*2/MAIN!$Q$1</f>
        <v>0</v>
      </c>
      <c r="AM56" s="13">
        <f>AM46*$I14*2/MAIN!$Q$1</f>
        <v>0</v>
      </c>
      <c r="AN56" s="13">
        <f>AN46*$I14*2/MAIN!$Q$1</f>
        <v>0</v>
      </c>
      <c r="AO56" s="13">
        <f>AO46*$I14*2/MAIN!$Q$1</f>
        <v>0</v>
      </c>
      <c r="AP56" s="13">
        <f>AP46*$I14*2/MAIN!$Q$1</f>
        <v>0</v>
      </c>
      <c r="AQ56" s="13">
        <f>AQ46*$I14*2/MAIN!$Q$1</f>
        <v>0</v>
      </c>
      <c r="AR56" s="59">
        <f>AR46*$I14*2/MAIN!$Q$1</f>
        <v>0</v>
      </c>
      <c r="AS56" s="13">
        <f>AS46*$I14*2/MAIN!$Q$1</f>
        <v>0</v>
      </c>
      <c r="AT56" s="13">
        <f>AT46*$I14*2/MAIN!$Q$1</f>
        <v>0</v>
      </c>
      <c r="AU56" s="13">
        <f>AU46*$I14*2/MAIN!$Q$1</f>
        <v>0</v>
      </c>
      <c r="AV56" s="13">
        <f>AV46*$I14*2/MAIN!$Q$1</f>
        <v>0</v>
      </c>
      <c r="AW56" s="13">
        <f>AW46*$I14*2/MAIN!$Q$1</f>
        <v>0</v>
      </c>
      <c r="AX56" s="13">
        <f>AX46*$I14*2/MAIN!$Q$1</f>
        <v>0</v>
      </c>
      <c r="AY56" s="13">
        <f>AY46*$I14*2/MAIN!$Q$1</f>
        <v>0</v>
      </c>
      <c r="AZ56" s="13">
        <f>AZ46*$I14*2/MAIN!$Q$1</f>
        <v>0</v>
      </c>
      <c r="BA56" s="13">
        <f>BA46*$I14*2/MAIN!$Q$1</f>
        <v>0</v>
      </c>
      <c r="BB56" s="13">
        <f>BB46*$I14*2/MAIN!$Q$1</f>
        <v>0</v>
      </c>
      <c r="BC56" s="13">
        <f>BC46*$I14*2/MAIN!$Q$1</f>
        <v>0</v>
      </c>
      <c r="BD56" s="13">
        <f>BD46*$I14*2/MAIN!$Q$1</f>
        <v>0</v>
      </c>
      <c r="BE56" s="13">
        <f>BE46*$I14*2/MAIN!$Q$1</f>
        <v>0</v>
      </c>
      <c r="BF56" s="13">
        <f>BF46*$I14*2/MAIN!$Q$1</f>
        <v>0</v>
      </c>
      <c r="BG56" s="13">
        <f>BG46*$I14*2/MAIN!$Q$1</f>
        <v>0</v>
      </c>
      <c r="BH56" s="13">
        <f>BH46*$I14*2/MAIN!$Q$1</f>
        <v>0</v>
      </c>
      <c r="BI56" s="13">
        <f>BI46*$I14*2/MAIN!$Q$1</f>
        <v>0</v>
      </c>
      <c r="BJ56" s="13">
        <f>BJ46*$I14*2/MAIN!$Q$1</f>
        <v>0</v>
      </c>
      <c r="BK56" s="13">
        <f>BK46*$I14*2/MAIN!$Q$1</f>
        <v>0</v>
      </c>
      <c r="BL56" s="13">
        <f>BL46*$I14*2/MAIN!$Q$1</f>
        <v>0</v>
      </c>
      <c r="BM56" s="13">
        <f>BM46*$I14*2/MAIN!$Q$1</f>
        <v>0</v>
      </c>
      <c r="BN56" s="13">
        <f>BN46*$I14*2/MAIN!$Q$1</f>
        <v>0</v>
      </c>
      <c r="BO56" s="3">
        <f>BO46*$I14*2/MAIN!$Q$1</f>
        <v>0</v>
      </c>
      <c r="BS56"/>
      <c r="BT56"/>
    </row>
    <row r="57" spans="1:72" ht="16.5">
      <c r="B57" s="290" t="s">
        <v>67</v>
      </c>
      <c r="C57" s="298" t="s">
        <v>68</v>
      </c>
      <c r="D57" s="3">
        <f>D47*$I14*MAIN!$C$16/MAIN!$Q$1</f>
        <v>-2185455.759018987</v>
      </c>
      <c r="E57" s="13">
        <f>E47*$I14*MAIN!$C$16/MAIN!$Q$1</f>
        <v>-2185455.759018987</v>
      </c>
      <c r="F57" s="13">
        <f>F47*$I14*MAIN!$C$16/MAIN!$Q$1</f>
        <v>-2185455.759018987</v>
      </c>
      <c r="G57" s="13">
        <f>G47*$I14*MAIN!$C$16/MAIN!$Q$1</f>
        <v>-2185455.759018987</v>
      </c>
      <c r="H57" s="13">
        <f>H47*$I14*MAIN!$C$16/MAIN!$Q$1</f>
        <v>-2185455.759018987</v>
      </c>
      <c r="I57" s="13">
        <f>I47*$I14*MAIN!$C$16/MAIN!$Q$1</f>
        <v>-2185455.759018987</v>
      </c>
      <c r="J57" s="13">
        <f>J47*$I14*MAIN!$C$16/MAIN!$Q$1</f>
        <v>-2185455.759018987</v>
      </c>
      <c r="K57" s="13">
        <f>K47*$I14*MAIN!$C$16/MAIN!$Q$1</f>
        <v>-2185455.759018987</v>
      </c>
      <c r="L57" s="13">
        <f>L47*$I14*MAIN!$C$16/MAIN!$Q$1</f>
        <v>-2185455.759018987</v>
      </c>
      <c r="M57" s="13">
        <f>M47*$I14*MAIN!$C$16/MAIN!$Q$1</f>
        <v>-2185455.759018987</v>
      </c>
      <c r="N57" s="13">
        <f>N47*$I14*MAIN!$C$16/MAIN!$Q$1</f>
        <v>-2185455.759018987</v>
      </c>
      <c r="O57" s="13">
        <f>O47*$I14*MAIN!$C$16/MAIN!$Q$1</f>
        <v>-2185455.759018987</v>
      </c>
      <c r="P57" s="13">
        <f>P47*$I14*MAIN!$C$16/MAIN!$Q$1</f>
        <v>-2185455.759018987</v>
      </c>
      <c r="Q57" s="13">
        <f>Q47*$I14*MAIN!$C$16/MAIN!$Q$1</f>
        <v>-2185455.759018987</v>
      </c>
      <c r="R57" s="13">
        <f>R47*$I14*MAIN!$C$16/MAIN!$Q$1</f>
        <v>-2185455.759018987</v>
      </c>
      <c r="S57" s="13">
        <f>S47*$I14*MAIN!$C$16/MAIN!$Q$1</f>
        <v>-2185455.759018987</v>
      </c>
      <c r="T57" s="13">
        <f>T47*$I14*MAIN!$C$16/MAIN!$Q$1</f>
        <v>-2185455.759018987</v>
      </c>
      <c r="U57" s="13">
        <f>U47*$I14*MAIN!$C$16/MAIN!$Q$1</f>
        <v>-2185455.759018987</v>
      </c>
      <c r="V57" s="13">
        <f>V47*$I14*MAIN!$C$16/MAIN!$Q$1</f>
        <v>-2185455.759018987</v>
      </c>
      <c r="W57" s="13">
        <f>W47*$I14*MAIN!$C$16/MAIN!$Q$1</f>
        <v>-2185455.759018987</v>
      </c>
      <c r="X57" s="13">
        <f>X47*$I14*MAIN!$C$16/MAIN!$Q$1</f>
        <v>-2185455.759018987</v>
      </c>
      <c r="Y57" s="13">
        <f>Y47*$I14*MAIN!$C$16/MAIN!$Q$1</f>
        <v>-2185455.759018987</v>
      </c>
      <c r="Z57" s="13">
        <f>Z47*$I14*MAIN!$C$16/MAIN!$Q$1</f>
        <v>-2185455.759018987</v>
      </c>
      <c r="AA57" s="13">
        <f>AA47*$I14*MAIN!$C$16/MAIN!$Q$1</f>
        <v>-2185455.759018987</v>
      </c>
      <c r="AB57" s="13">
        <f>AB47*$I14*MAIN!$C$16/MAIN!$Q$1</f>
        <v>-2185455.759018987</v>
      </c>
      <c r="AC57" s="13">
        <f>AC47*$I14*MAIN!$C$16/MAIN!$Q$1</f>
        <v>-2185455.759018987</v>
      </c>
      <c r="AD57" s="13">
        <f>AD47*$I14*MAIN!$C$16/MAIN!$Q$1</f>
        <v>-2185455.759018987</v>
      </c>
      <c r="AE57" s="13">
        <f>AE47*$I14*MAIN!$C$16/MAIN!$Q$1</f>
        <v>-2185455.759018987</v>
      </c>
      <c r="AF57" s="13">
        <f>AF47*$I14*MAIN!$C$16/MAIN!$Q$1</f>
        <v>-2185455.759018987</v>
      </c>
      <c r="AG57" s="13">
        <f>AG47*$I14*MAIN!$C$16/MAIN!$Q$1</f>
        <v>-2185455.759018987</v>
      </c>
      <c r="AH57" s="13">
        <f>AH47*$I14*MAIN!$C$16/MAIN!$Q$1</f>
        <v>-2185455.759018987</v>
      </c>
      <c r="AI57" s="13">
        <f>AI47*$I14*MAIN!$C$16/MAIN!$Q$1</f>
        <v>-2185455.759018987</v>
      </c>
      <c r="AJ57" s="13">
        <f>AJ47*$I14*MAIN!$C$16/MAIN!$Q$1</f>
        <v>-2185455.759018987</v>
      </c>
      <c r="AK57" s="13">
        <f>AK47*$I14*MAIN!$C$16/MAIN!$Q$1</f>
        <v>-2185455.759018987</v>
      </c>
      <c r="AL57" s="13">
        <f>AL47*$I14*MAIN!$C$16/MAIN!$Q$1</f>
        <v>-2185455.759018987</v>
      </c>
      <c r="AM57" s="13">
        <f>AM47*$I14*MAIN!$C$16/MAIN!$Q$1</f>
        <v>-2185455.759018987</v>
      </c>
      <c r="AN57" s="13">
        <f>AN47*$I14*MAIN!$C$16/MAIN!$Q$1</f>
        <v>-2185455.759018987</v>
      </c>
      <c r="AO57" s="13">
        <f>AO47*$I14*MAIN!$C$16/MAIN!$Q$1</f>
        <v>-2185455.759018987</v>
      </c>
      <c r="AP57" s="13">
        <f>AP47*$I14*MAIN!$C$16/MAIN!$Q$1</f>
        <v>-2185455.759018987</v>
      </c>
      <c r="AQ57" s="13">
        <f>AQ47*$I14*MAIN!$C$16/MAIN!$Q$1</f>
        <v>-2185455.759018987</v>
      </c>
      <c r="AR57" s="59">
        <f>AR47*$I14*MAIN!$C$16/MAIN!$Q$1</f>
        <v>-2185455.759018987</v>
      </c>
      <c r="AS57" s="13">
        <f>AS47*$I14*MAIN!$C$16/MAIN!$Q$1</f>
        <v>-1759591.2380412547</v>
      </c>
      <c r="AT57" s="13">
        <f>AT47*$I14*MAIN!$C$16/MAIN!$Q$1</f>
        <v>-1392899.124555907</v>
      </c>
      <c r="AU57" s="13">
        <f>AU47*$I14*MAIN!$C$16/MAIN!$Q$1</f>
        <v>-1073847.8511999745</v>
      </c>
      <c r="AV57" s="13">
        <f>AV47*$I14*MAIN!$C$16/MAIN!$Q$1</f>
        <v>-793719.45329917234</v>
      </c>
      <c r="AW57" s="13">
        <f>AW47*$I14*MAIN!$C$16/MAIN!$Q$1</f>
        <v>-545800.7845634555</v>
      </c>
      <c r="AX57" s="13">
        <f>AX47*$I14*MAIN!$C$16/MAIN!$Q$1</f>
        <v>-324838.55248175841</v>
      </c>
      <c r="AY57" s="13">
        <f>AY47*$I14*MAIN!$C$16/MAIN!$Q$1</f>
        <v>-126662.95140768982</v>
      </c>
      <c r="AZ57" s="13">
        <f>AZ47*$I14*MAIN!$C$16/MAIN!$Q$1</f>
        <v>52077.975765477364</v>
      </c>
      <c r="BA57" s="13">
        <f>BA47*$I14*MAIN!$C$16/MAIN!$Q$1</f>
        <v>214109.47709010725</v>
      </c>
      <c r="BB57" s="13">
        <f>BB47*$I14*MAIN!$C$16/MAIN!$Q$1</f>
        <v>361670.01931007236</v>
      </c>
      <c r="BC57" s="13">
        <f>BC47*$I14*MAIN!$C$16/MAIN!$Q$1</f>
        <v>496615.3275318637</v>
      </c>
      <c r="BD57" s="13">
        <f>BD47*$I14*MAIN!$C$16/MAIN!$Q$1</f>
        <v>620496.83510241029</v>
      </c>
      <c r="BE57" s="13">
        <f>BE47*$I14*MAIN!$C$16/MAIN!$Q$1</f>
        <v>612708.57527432533</v>
      </c>
      <c r="BF57" s="13">
        <f>BF47*$I14*MAIN!$C$16/MAIN!$Q$1</f>
        <v>687341.22186267865</v>
      </c>
      <c r="BG57" s="13">
        <f>BG47*$I14*MAIN!$C$16/MAIN!$Q$1</f>
        <v>751913.12935743376</v>
      </c>
      <c r="BH57" s="13">
        <f>BH47*$I14*MAIN!$C$16/MAIN!$Q$1</f>
        <v>808330.17220359819</v>
      </c>
      <c r="BI57" s="13">
        <f>BI47*$I14*MAIN!$C$16/MAIN!$Q$1</f>
        <v>858045.42666407803</v>
      </c>
      <c r="BJ57" s="13">
        <f>BJ47*$I14*MAIN!$C$16/MAIN!$Q$1</f>
        <v>902186.10165200324</v>
      </c>
      <c r="BK57" s="13">
        <f>BK47*$I14*MAIN!$C$16/MAIN!$Q$1</f>
        <v>941640.03803598101</v>
      </c>
      <c r="BL57" s="13">
        <f>BL47*$I14*MAIN!$C$16/MAIN!$Q$1</f>
        <v>1249516.1180877807</v>
      </c>
      <c r="BM57" s="13">
        <f>BM47*$I14*MAIN!$C$16/MAIN!$Q$1</f>
        <v>1369989.366803702</v>
      </c>
      <c r="BN57" s="13">
        <f>BN47*$I14*MAIN!$C$16/MAIN!$Q$1</f>
        <v>1434241.7661188603</v>
      </c>
      <c r="BO57" s="3">
        <f>BO47*$I14*MAIN!$C$16/MAIN!$Q$1</f>
        <v>1645356.7924400945</v>
      </c>
      <c r="BS57"/>
      <c r="BT57"/>
    </row>
    <row r="58" spans="1:72" ht="16.5">
      <c r="B58" s="290" t="s">
        <v>69</v>
      </c>
      <c r="C58" s="298" t="s">
        <v>70</v>
      </c>
      <c r="D58" s="3">
        <f>MAX($F14-$C$8/2*D17,$F14-MAIN!$C$14/2)</f>
        <v>216.19504144894398</v>
      </c>
      <c r="E58" s="304">
        <f>MAX($F14-$C$8/2*E17,$F14-MAIN!$C$14/2)</f>
        <v>215.30970564260542</v>
      </c>
      <c r="F58" s="304">
        <f>MAX($F14-$C$8/2*F17,$F14-MAIN!$C$14/2)</f>
        <v>214.42436983626689</v>
      </c>
      <c r="G58" s="304">
        <f>MAX($F14-$C$8/2*G17,$F14-MAIN!$C$14/2)</f>
        <v>213.53903402992836</v>
      </c>
      <c r="H58" s="304">
        <f>MAX($F14-$C$8/2*H17,$F14-MAIN!$C$14/2)</f>
        <v>212.6536982235898</v>
      </c>
      <c r="I58" s="304">
        <f>MAX($F14-$C$8/2*I17,$F14-MAIN!$C$14/2)</f>
        <v>211.76836241725127</v>
      </c>
      <c r="J58" s="304">
        <f>MAX($F14-$C$8/2*J17,$F14-MAIN!$C$14/2)</f>
        <v>210.88302661091274</v>
      </c>
      <c r="K58" s="304">
        <f>MAX($F14-$C$8/2*K17,$F14-MAIN!$C$14/2)</f>
        <v>209.99769080457418</v>
      </c>
      <c r="L58" s="304">
        <f>MAX($F14-$C$8/2*L17,$F14-MAIN!$C$14/2)</f>
        <v>209.11235499823565</v>
      </c>
      <c r="M58" s="304">
        <f>MAX($F14-$C$8/2*M17,$F14-MAIN!$C$14/2)</f>
        <v>208.22701919189709</v>
      </c>
      <c r="N58" s="304">
        <f>MAX($F14-$C$8/2*N17,$F14-MAIN!$C$14/2)</f>
        <v>207.34168338555855</v>
      </c>
      <c r="O58" s="304">
        <f>MAX($F14-$C$8/2*O17,$F14-MAIN!$C$14/2)</f>
        <v>206.45634757921999</v>
      </c>
      <c r="P58" s="304">
        <f>MAX($F14-$C$8/2*P17,$F14-MAIN!$C$14/2)</f>
        <v>205.57101177288146</v>
      </c>
      <c r="Q58" s="304">
        <f>MAX($F14-$C$8/2*Q17,$F14-MAIN!$C$14/2)</f>
        <v>204.68567596654293</v>
      </c>
      <c r="R58" s="304">
        <f>MAX($F14-$C$8/2*R17,$F14-MAIN!$C$14/2)</f>
        <v>203.80034016020437</v>
      </c>
      <c r="S58" s="304">
        <f>MAX($F14-$C$8/2*S17,$F14-MAIN!$C$14/2)</f>
        <v>202.91500435386584</v>
      </c>
      <c r="T58" s="304">
        <f>MAX($F14-$C$8/2*T17,$F14-MAIN!$C$14/2)</f>
        <v>202.02966854752731</v>
      </c>
      <c r="U58" s="304">
        <f>MAX($F14-$C$8/2*U17,$F14-MAIN!$C$14/2)</f>
        <v>201.14433274118875</v>
      </c>
      <c r="V58" s="304">
        <f>MAX($F14-$C$8/2*V17,$F14-MAIN!$C$14/2)</f>
        <v>200.25899693485022</v>
      </c>
      <c r="W58" s="304">
        <f>MAX($F14-$C$8/2*W17,$F14-MAIN!$C$14/2)</f>
        <v>199.37366112851166</v>
      </c>
      <c r="X58" s="304">
        <f>MAX($F14-$C$8/2*X17,$F14-MAIN!$C$14/2)</f>
        <v>198.48832532217313</v>
      </c>
      <c r="Y58" s="304">
        <f>MAX($F14-$C$8/2*Y17,$F14-MAIN!$C$14/2)</f>
        <v>197.60298951583457</v>
      </c>
      <c r="Z58" s="304">
        <f>MAX($F14-$C$8/2*Z17,$F14-MAIN!$C$14/2)</f>
        <v>196.71765370949603</v>
      </c>
      <c r="AA58" s="304">
        <f>MAX($F14-$C$8/2*AA17,$F14-MAIN!$C$14/2)</f>
        <v>195.8323179031575</v>
      </c>
      <c r="AB58" s="304">
        <f>MAX($F14-$C$8/2*AB17,$F14-MAIN!$C$14/2)</f>
        <v>194.94698209681894</v>
      </c>
      <c r="AC58" s="304">
        <f>MAX($F14-$C$8/2*AC17,$F14-MAIN!$C$14/2)</f>
        <v>194.06164629048041</v>
      </c>
      <c r="AD58" s="304">
        <f>MAX($F14-$C$8/2*AD17,$F14-MAIN!$C$14/2)</f>
        <v>193.17631048414188</v>
      </c>
      <c r="AE58" s="304">
        <f>MAX($F14-$C$8/2*AE17,$F14-MAIN!$C$14/2)</f>
        <v>192.29097467780332</v>
      </c>
      <c r="AF58" s="304">
        <f>MAX($F14-$C$8/2*AF17,$F14-MAIN!$C$14/2)</f>
        <v>191.40563887146479</v>
      </c>
      <c r="AG58" s="304">
        <f>MAX($F14-$C$8/2*AG17,$F14-MAIN!$C$14/2)</f>
        <v>190.52030306512623</v>
      </c>
      <c r="AH58" s="304">
        <f>MAX($F14-$C$8/2*AH17,$F14-MAIN!$C$14/2)</f>
        <v>189.6349672587877</v>
      </c>
      <c r="AI58" s="304">
        <f>MAX($F14-$C$8/2*AI17,$F14-MAIN!$C$14/2)</f>
        <v>188.74963145244917</v>
      </c>
      <c r="AJ58" s="304">
        <f>MAX($F14-$C$8/2*AJ17,$F14-MAIN!$C$14/2)</f>
        <v>187.86429564611063</v>
      </c>
      <c r="AK58" s="304">
        <f>MAX($F14-$C$8/2*AK17,$F14-MAIN!$C$14/2)</f>
        <v>186.97895983977207</v>
      </c>
      <c r="AL58" s="304">
        <f>MAX($F14-$C$8/2*AL17,$F14-MAIN!$C$14/2)</f>
        <v>186.09362403343354</v>
      </c>
      <c r="AM58" s="304">
        <f>MAX($F14-$C$8/2*AM17,$F14-MAIN!$C$14/2)</f>
        <v>185.20828822709501</v>
      </c>
      <c r="AN58" s="304">
        <f>MAX($F14-$C$8/2*AN17,$F14-MAIN!$C$14/2)</f>
        <v>184.32295242075648</v>
      </c>
      <c r="AO58" s="304">
        <f>MAX($F14-$C$8/2*AO17,$F14-MAIN!$C$14/2)</f>
        <v>183.43761661441795</v>
      </c>
      <c r="AP58" s="304">
        <f>MAX($F14-$C$8/2*AP17,$F14-MAIN!$C$14/2)</f>
        <v>182.55228080807939</v>
      </c>
      <c r="AQ58" s="304">
        <f>MAX($F14-$C$8/2*AQ17,$F14-MAIN!$C$14/2)</f>
        <v>181.66694500174086</v>
      </c>
      <c r="AR58" s="56">
        <f>MAX($F14-$C$8/2*AR17,$F14-MAIN!$C$14/2)</f>
        <v>180.7816091954023</v>
      </c>
      <c r="AS58" s="304">
        <f>MAX($F14-$C$8/2*AS17,$F14-MAIN!$C$14/2)</f>
        <v>176.00362976406535</v>
      </c>
      <c r="AT58" s="304">
        <f>MAX($F14-$C$8/2*AT17,$F14-MAIN!$C$14/2)</f>
        <v>171.22565033272838</v>
      </c>
      <c r="AU58" s="304">
        <f>MAX($F14-$C$8/2*AU17,$F14-MAIN!$C$14/2)</f>
        <v>166.4476709013914</v>
      </c>
      <c r="AV58" s="304">
        <f>MAX($F14-$C$8/2*AV17,$F14-MAIN!$C$14/2)</f>
        <v>161.66969147005443</v>
      </c>
      <c r="AW58" s="304">
        <f>MAX($F14-$C$8/2*AW17,$F14-MAIN!$C$14/2)</f>
        <v>156.89171203871749</v>
      </c>
      <c r="AX58" s="304">
        <f>MAX($F14-$C$8/2*AX17,$F14-MAIN!$C$14/2)</f>
        <v>152.11373260738054</v>
      </c>
      <c r="AY58" s="304">
        <f>MAX($F14-$C$8/2*AY17,$F14-MAIN!$C$14/2)</f>
        <v>147.33575317604357</v>
      </c>
      <c r="AZ58" s="304">
        <f>MAX($F14-$C$8/2*AZ17,$F14-MAIN!$C$14/2)</f>
        <v>142.55777374470659</v>
      </c>
      <c r="BA58" s="304">
        <f>MAX($F14-$C$8/2*BA17,$F14-MAIN!$C$14/2)</f>
        <v>137.77979431336962</v>
      </c>
      <c r="BB58" s="304">
        <f>MAX($F14-$C$8/2*BB17,$F14-MAIN!$C$14/2)</f>
        <v>133.00181488203268</v>
      </c>
      <c r="BC58" s="304">
        <f>MAX($F14-$C$8/2*BC17,$F14-MAIN!$C$14/2)</f>
        <v>128.22383545069573</v>
      </c>
      <c r="BD58" s="304">
        <f>MAX($F14-$C$8/2*BD17,$F14-MAIN!$C$14/2)</f>
        <v>123.44585601935876</v>
      </c>
      <c r="BE58" s="304">
        <f>MAX($F14-$C$8/2*BE17,$F14-MAIN!$C$14/2)</f>
        <v>118.66787658802178</v>
      </c>
      <c r="BF58" s="304">
        <f>MAX($F14-$C$8/2*BF17,$F14-MAIN!$C$14/2)</f>
        <v>113.88989715668482</v>
      </c>
      <c r="BG58" s="304">
        <f>MAX($F14-$C$8/2*BG17,$F14-MAIN!$C$14/2)</f>
        <v>109.11191772534787</v>
      </c>
      <c r="BH58" s="304">
        <f>MAX($F14-$C$8/2*BH17,$F14-MAIN!$C$14/2)</f>
        <v>104.33393829401089</v>
      </c>
      <c r="BI58" s="304">
        <f>MAX($F14-$C$8/2*BI17,$F14-MAIN!$C$14/2)</f>
        <v>99.555958862673947</v>
      </c>
      <c r="BJ58" s="304">
        <f>MAX($F14-$C$8/2*BJ17,$F14-MAIN!$C$14/2)</f>
        <v>94.777979431336973</v>
      </c>
      <c r="BK58" s="304">
        <f>MAX($F14-$C$8/2*BK17,$F14-MAIN!$C$14/2)</f>
        <v>90</v>
      </c>
      <c r="BL58" s="304">
        <f>MAX($F14-$C$8/2*BL17,$F14-MAIN!$C$14/2)</f>
        <v>90</v>
      </c>
      <c r="BM58" s="304">
        <f>MAX($F14-$C$8/2*BM17,$F14-MAIN!$C$14/2)</f>
        <v>90</v>
      </c>
      <c r="BN58" s="304">
        <f>MAX($F14-$C$8/2*BN17,$F14-MAIN!$C$14/2)</f>
        <v>90</v>
      </c>
      <c r="BO58" s="3">
        <f>$F14-MAIN!$C$14/2</f>
        <v>90</v>
      </c>
      <c r="BS58"/>
      <c r="BT58"/>
    </row>
    <row r="59" spans="1:72" ht="16.5">
      <c r="A59" s="227">
        <f>IF(I14=0,0,1)</f>
        <v>1</v>
      </c>
      <c r="B59" s="295" t="s">
        <v>31</v>
      </c>
      <c r="C59" s="298" t="s">
        <v>71</v>
      </c>
      <c r="D59" s="3">
        <f>$A59*(D18+SUM(D48:D57))/1000</f>
        <v>-919.29486794997172</v>
      </c>
      <c r="E59" s="304">
        <f t="shared" ref="E59:BO59" si="34">$A59*(E18+SUM(E48:E57))/1000</f>
        <v>-743.93073799683009</v>
      </c>
      <c r="F59" s="304">
        <f t="shared" si="34"/>
        <v>-577.37314476781012</v>
      </c>
      <c r="G59" s="304">
        <f t="shared" si="34"/>
        <v>-418.73813614636521</v>
      </c>
      <c r="H59" s="304">
        <f t="shared" si="34"/>
        <v>-267.25623172276607</v>
      </c>
      <c r="I59" s="304">
        <f t="shared" si="34"/>
        <v>-122.25447379972087</v>
      </c>
      <c r="J59" s="304">
        <f t="shared" si="34"/>
        <v>16.858247040353483</v>
      </c>
      <c r="K59" s="304">
        <f t="shared" si="34"/>
        <v>36.668174637707878</v>
      </c>
      <c r="L59" s="304">
        <f t="shared" si="34"/>
        <v>165.50706094779656</v>
      </c>
      <c r="M59" s="304">
        <f t="shared" si="34"/>
        <v>289.84993226481299</v>
      </c>
      <c r="N59" s="304">
        <f t="shared" si="34"/>
        <v>410.06243662011741</v>
      </c>
      <c r="O59" s="304">
        <f t="shared" si="34"/>
        <v>526.47161905805831</v>
      </c>
      <c r="P59" s="304">
        <f t="shared" si="34"/>
        <v>639.37088498348714</v>
      </c>
      <c r="Q59" s="304">
        <f t="shared" si="34"/>
        <v>749.02421691773316</v>
      </c>
      <c r="R59" s="304">
        <f t="shared" si="34"/>
        <v>855.66977247886155</v>
      </c>
      <c r="S59" s="304">
        <f t="shared" si="34"/>
        <v>959.5229669911165</v>
      </c>
      <c r="T59" s="304">
        <f t="shared" si="34"/>
        <v>1060.779124840109</v>
      </c>
      <c r="U59" s="304">
        <f t="shared" si="34"/>
        <v>1159.6157683573736</v>
      </c>
      <c r="V59" s="304">
        <f t="shared" si="34"/>
        <v>1256.1946007592296</v>
      </c>
      <c r="W59" s="304">
        <f t="shared" si="34"/>
        <v>1350.6632298104896</v>
      </c>
      <c r="X59" s="304">
        <f t="shared" si="34"/>
        <v>1443.1566709206327</v>
      </c>
      <c r="Y59" s="304">
        <f t="shared" si="34"/>
        <v>1533.7986619137575</v>
      </c>
      <c r="Z59" s="304">
        <f t="shared" si="34"/>
        <v>1622.7028164376472</v>
      </c>
      <c r="AA59" s="304">
        <f t="shared" si="34"/>
        <v>1709.973638653177</v>
      </c>
      <c r="AB59" s="304">
        <f t="shared" si="34"/>
        <v>1795.7074182858894</v>
      </c>
      <c r="AC59" s="304">
        <f t="shared" si="34"/>
        <v>1879.9930221795785</v>
      </c>
      <c r="AD59" s="304">
        <f t="shared" si="34"/>
        <v>1962.9125960503695</v>
      </c>
      <c r="AE59" s="304">
        <f t="shared" si="34"/>
        <v>2044.5421881061422</v>
      </c>
      <c r="AF59" s="304">
        <f t="shared" si="34"/>
        <v>2124.9523044959942</v>
      </c>
      <c r="AG59" s="304">
        <f t="shared" si="34"/>
        <v>2204.2084051280631</v>
      </c>
      <c r="AH59" s="304">
        <f t="shared" si="34"/>
        <v>2282.3713471932901</v>
      </c>
      <c r="AI59" s="304">
        <f t="shared" si="34"/>
        <v>2359.4977827186954</v>
      </c>
      <c r="AJ59" s="304">
        <f t="shared" si="34"/>
        <v>2435.6405156146443</v>
      </c>
      <c r="AK59" s="304">
        <f t="shared" si="34"/>
        <v>2510.8488229506574</v>
      </c>
      <c r="AL59" s="304">
        <f t="shared" si="34"/>
        <v>2585.1687445722109</v>
      </c>
      <c r="AM59" s="304">
        <f t="shared" si="34"/>
        <v>2658.6433446394149</v>
      </c>
      <c r="AN59" s="304">
        <f t="shared" si="34"/>
        <v>2731.3129482129107</v>
      </c>
      <c r="AO59" s="304">
        <f t="shared" si="34"/>
        <v>2803.2153556209628</v>
      </c>
      <c r="AP59" s="304">
        <f t="shared" si="34"/>
        <v>2874.3860370047009</v>
      </c>
      <c r="AQ59" s="304">
        <f t="shared" si="34"/>
        <v>2944.8583091473683</v>
      </c>
      <c r="AR59" s="61">
        <f t="shared" si="34"/>
        <v>3014.6634964416185</v>
      </c>
      <c r="AS59" s="304">
        <f t="shared" si="34"/>
        <v>3793.331968242388</v>
      </c>
      <c r="AT59" s="304">
        <f t="shared" si="34"/>
        <v>4419.9461627924666</v>
      </c>
      <c r="AU59" s="304">
        <f t="shared" si="34"/>
        <v>4998.9195172131303</v>
      </c>
      <c r="AV59" s="304">
        <f t="shared" si="34"/>
        <v>5538.9699961786637</v>
      </c>
      <c r="AW59" s="304">
        <f t="shared" si="34"/>
        <v>6046.8107459791099</v>
      </c>
      <c r="AX59" s="304">
        <f t="shared" si="34"/>
        <v>6527.6950591255381</v>
      </c>
      <c r="AY59" s="304">
        <f t="shared" si="34"/>
        <v>6985.7927412643376</v>
      </c>
      <c r="AZ59" s="304">
        <f t="shared" si="34"/>
        <v>7424.4557495022364</v>
      </c>
      <c r="BA59" s="304">
        <f t="shared" si="34"/>
        <v>7846.4093318915966</v>
      </c>
      <c r="BB59" s="304">
        <f t="shared" si="34"/>
        <v>8253.891955176292</v>
      </c>
      <c r="BC59" s="304">
        <f t="shared" si="34"/>
        <v>8648.7593444628146</v>
      </c>
      <c r="BD59" s="304">
        <f t="shared" si="34"/>
        <v>9032.5629330980901</v>
      </c>
      <c r="BE59" s="304">
        <f t="shared" si="34"/>
        <v>9284.6967543347382</v>
      </c>
      <c r="BF59" s="304">
        <f t="shared" si="34"/>
        <v>9619.2514819878234</v>
      </c>
      <c r="BG59" s="304">
        <f t="shared" si="34"/>
        <v>9943.7454705473065</v>
      </c>
      <c r="BH59" s="304">
        <f t="shared" si="34"/>
        <v>10260.084594458203</v>
      </c>
      <c r="BI59" s="304">
        <f t="shared" si="34"/>
        <v>10569.721929983412</v>
      </c>
      <c r="BJ59" s="304">
        <f t="shared" si="34"/>
        <v>10873.78468603607</v>
      </c>
      <c r="BK59" s="304">
        <f t="shared" si="34"/>
        <v>11173.160703484777</v>
      </c>
      <c r="BL59" s="304">
        <f>$A59*(BL18+SUM(BL48:BL57))/1000</f>
        <v>11450.713584880188</v>
      </c>
      <c r="BM59" s="304">
        <f>$A59*(BM18+SUM(BM48:BM57))/1000</f>
        <v>11450.713584880188</v>
      </c>
      <c r="BN59" s="304">
        <f>$A59*(BN18+SUM(BN48:BN57))/1000</f>
        <v>11450.713584880188</v>
      </c>
      <c r="BO59" s="3">
        <f t="shared" si="34"/>
        <v>11450.713584880188</v>
      </c>
      <c r="BS59"/>
      <c r="BT59"/>
    </row>
    <row r="60" spans="1:72" ht="16.5">
      <c r="B60" s="295" t="s">
        <v>72</v>
      </c>
      <c r="C60" s="298" t="s">
        <v>73</v>
      </c>
      <c r="D60" s="3">
        <f>$A59*IF(D59+E59=0,0,IF(D59=0,2*E60-F60,(D18*D58+D48*($F14-$C14)+D49*($F14-$D19)+D50*($F14-$D20)+D51*($F14-$D21)+D52*($F14-$D22)+D53*($F14-$D23)+D54*($F14-$D24)+D55*($F14-$D25)+D56*($F14-$D26))/1000000-D59*($F14-MAIN!$C$14/2)/1000))</f>
        <v>357.51770601057535</v>
      </c>
      <c r="E60" s="304">
        <f>$A59*IF(E59+F59=0,0,IF(E59=0,2*F60-G60,(E18*E58+E48*($F14-$C14)+E49*($F14-$D19)+E50*($F14-$D20)+E51*($F14-$D21)+E52*($F14-$D22)+E53*($F14-$D23)+E54*($F14-$D24)+E55*($F14-$D25)+E56*($F14-$D26))/1000000-E59*($F14-MAIN!$C$14/2)/1000))</f>
        <v>373.85457241749822</v>
      </c>
      <c r="F60" s="304">
        <f>$A59*IF(F59+G59=0,0,IF(F59=0,2*G60-H60,(F18*F58+F48*($F14-$C14)+F49*($F14-$D19)+F50*($F14-$D20)+F51*($F14-$D21)+F52*($F14-$D22)+F53*($F14-$D23)+F54*($F14-$D24)+F55*($F14-$D25)+F56*($F14-$D26))/1000000-F59*($F14-MAIN!$C$14/2)/1000))</f>
        <v>389.31357095873977</v>
      </c>
      <c r="G60" s="304">
        <f>$A59*IF(G59+H59=0,0,IF(G59=0,2*H60-I60,(G18*G58+G48*($F14-$C14)+G49*($F14-$D19)+G50*($F14-$D20)+G51*($F14-$D21)+G52*($F14-$D22)+G53*($F14-$D23)+G54*($F14-$D24)+G55*($F14-$D25)+G56*($F14-$D26))/1000000-G59*($F14-MAIN!$C$14/2)/1000))</f>
        <v>403.97425732478933</v>
      </c>
      <c r="H60" s="304">
        <f>$A59*IF(H59+I59=0,0,IF(H59=0,2*I60-J60,(H18*H58+H48*($F14-$C14)+H49*($F14-$D19)+H50*($F14-$D20)+H51*($F14-$D21)+H52*($F14-$D22)+H53*($F14-$D23)+H54*($F14-$D24)+H55*($F14-$D25)+H56*($F14-$D26))/1000000-H59*($F14-MAIN!$C$14/2)/1000))</f>
        <v>417.90588475252218</v>
      </c>
      <c r="I60" s="304">
        <f>$A59*IF(I59+J59=0,0,IF(I59=0,2*J60-K60,(I18*I58+I48*($F14-$C14)+I49*($F14-$D19)+I50*($F14-$D20)+I51*($F14-$D21)+I52*($F14-$D22)+I53*($F14-$D23)+I54*($F14-$D24)+I55*($F14-$D25)+I56*($F14-$D26))/1000000-I59*($F14-MAIN!$C$14/2)/1000))</f>
        <v>431.16901943469492</v>
      </c>
      <c r="J60" s="304">
        <f>$A59*IF(J59+K59=0,0,IF(J59=0,2*K60-L60,(J18*J58+J48*($F14-$C14)+J49*($F14-$D19)+J50*($F14-$D20)+J51*($F14-$D21)+J52*($F14-$D22)+J53*($F14-$D23)+J54*($F14-$D24)+J55*($F14-$D25)+J56*($F14-$D26))/1000000-J59*($F14-MAIN!$C$14/2)/1000))</f>
        <v>443.81686121888998</v>
      </c>
      <c r="K60" s="304">
        <f>$A59*IF(K59+L59=0,0,IF(K59=0,2*L60-M60,(K18*K58+K48*($F14-$C14)+K49*($F14-$D19)+K50*($F14-$D20)+K51*($F14-$D21)+K52*($F14-$D22)+K53*($F14-$D23)+K54*($F14-$D24)+K55*($F14-$D25)+K56*($F14-$D26))/1000000-K59*($F14-MAIN!$C$14/2)/1000))</f>
        <v>445.64217205072976</v>
      </c>
      <c r="L60" s="304">
        <f>$A59*IF(L59+M59=0,0,IF(L59=0,2*M60-N60,(L18*L58+L48*($F14-$C14)+L49*($F14-$D19)+L50*($F14-$D20)+L51*($F14-$D21)+L52*($F14-$D22)+L53*($F14-$D23)+L54*($F14-$D24)+L55*($F14-$D25)+L56*($F14-$D26))/1000000-L59*($F14-MAIN!$C$14/2)/1000))</f>
        <v>457.19480960620518</v>
      </c>
      <c r="M60" s="304">
        <f>$A59*IF(M59+N59=0,0,IF(M59=0,2*N60-O60,(M18*M58+M48*($F14-$C14)+M49*($F14-$D19)+M50*($F14-$D20)+M51*($F14-$D21)+M52*($F14-$D22)+M53*($F14-$D23)+M54*($F14-$D24)+M55*($F14-$D25)+M56*($F14-$D26))/1000000-M59*($F14-MAIN!$C$14/2)/1000))</f>
        <v>468.25752625179371</v>
      </c>
      <c r="N60" s="304">
        <f>$A59*IF(N59+O59=0,0,IF(N59=0,2*O60-P60,(N18*N58+N48*($F14-$C14)+N49*($F14-$D19)+N50*($F14-$D20)+N51*($F14-$D21)+N52*($F14-$D22)+N53*($F14-$D23)+N54*($F14-$D24)+N55*($F14-$D25)+N56*($F14-$D26))/1000000-N59*($F14-MAIN!$C$14/2)/1000))</f>
        <v>478.86323031031793</v>
      </c>
      <c r="O60" s="304">
        <f>$A59*IF(O59+P59=0,0,IF(O59=0,2*P60-Q60,(O18*O58+O48*($F14-$C14)+O49*($F14-$D19)+O50*($F14-$D20)+O51*($F14-$D21)+O52*($F14-$D22)+O53*($F14-$D23)+O54*($F14-$D24)+O55*($F14-$D25)+O56*($F14-$D26))/1000000-O59*($F14-MAIN!$C$14/2)/1000))</f>
        <v>489.04135583576897</v>
      </c>
      <c r="P60" s="304">
        <f>$A59*IF(P59+Q59=0,0,IF(P59=0,2*Q60-R60,(P18*P58+P48*($F14-$C14)+P49*($F14-$D19)+P50*($F14-$D20)+P51*($F14-$D21)+P52*($F14-$D22)+P53*($F14-$D23)+P54*($F14-$D24)+P55*($F14-$D25)+P56*($F14-$D26))/1000000-P59*($F14-MAIN!$C$14/2)/1000))</f>
        <v>498.81830931458359</v>
      </c>
      <c r="Q60" s="304">
        <f>$A59*IF(Q59+R59=0,0,IF(Q59=0,2*R60-S60,(Q18*Q58+Q48*($F14-$C14)+Q49*($F14-$D19)+Q50*($F14-$D20)+Q51*($F14-$D21)+Q52*($F14-$D22)+Q53*($F14-$D23)+Q54*($F14-$D24)+Q55*($F14-$D25)+Q56*($F14-$D26))/1000000-Q59*($F14-MAIN!$C$14/2)/1000))</f>
        <v>508.21784917368137</v>
      </c>
      <c r="R60" s="304">
        <f>$A59*IF(R59+S59=0,0,IF(R59=0,2*S60-T60,(R18*R58+R48*($F14-$C14)+R49*($F14-$D19)+R50*($F14-$D20)+R51*($F14-$D21)+R52*($F14-$D22)+R53*($F14-$D23)+R54*($F14-$D24)+R55*($F14-$D25)+R56*($F14-$D26))/1000000-R59*($F14-MAIN!$C$14/2)/1000))</f>
        <v>517.26140959868803</v>
      </c>
      <c r="S60" s="304">
        <f>$A59*IF(S59+T59=0,0,IF(S59=0,2*T60-U60,(S18*S58+S48*($F14-$C14)+S49*($F14-$D19)+S50*($F14-$D20)+S51*($F14-$D21)+S52*($F14-$D22)+S53*($F14-$D23)+S54*($F14-$D24)+S55*($F14-$D25)+S56*($F14-$D26))/1000000-S59*($F14-MAIN!$C$14/2)/1000))</f>
        <v>525.96837796878583</v>
      </c>
      <c r="T60" s="304">
        <f>$A59*IF(T59+U59=0,0,IF(T59=0,2*U60-V60,(T18*T58+T48*($F14-$C14)+T49*($F14-$D19)+T50*($F14-$D20)+T51*($F14-$D21)+T52*($F14-$D22)+T53*($F14-$D23)+T54*($F14-$D24)+T55*($F14-$D25)+T56*($F14-$D26))/1000000-T59*($F14-MAIN!$C$14/2)/1000))</f>
        <v>534.35633347867974</v>
      </c>
      <c r="U60" s="304">
        <f>$A59*IF(U59+V59=0,0,IF(U59=0,2*V60-W60,(U18*U58+U48*($F14-$C14)+U49*($F14-$D19)+U50*($F14-$D20)+U51*($F14-$D21)+U52*($F14-$D22)+U53*($F14-$D23)+U54*($F14-$D24)+U55*($F14-$D25)+U56*($F14-$D26))/1000000-U59*($F14-MAIN!$C$14/2)/1000))</f>
        <v>542.44125313820746</v>
      </c>
      <c r="V60" s="304">
        <f>$A59*IF(V59+W59=0,0,IF(V59=0,2*W60-X60,(V18*V58+V48*($F14-$C14)+V49*($F14-$D19)+V50*($F14-$D20)+V51*($F14-$D21)+V52*($F14-$D22)+V53*($F14-$D23)+V54*($F14-$D24)+V55*($F14-$D25)+V56*($F14-$D26))/1000000-V59*($F14-MAIN!$C$14/2)/1000))</f>
        <v>550.23769023683838</v>
      </c>
      <c r="W60" s="304">
        <f>$A59*IF(W59+X59=0,0,IF(W59=0,2*X60-Y60,(W18*W58+W48*($F14-$C14)+W49*($F14-$D19)+W50*($F14-$D20)+W51*($F14-$D21)+W52*($F14-$D22)+W53*($F14-$D23)+W54*($F14-$D24)+W55*($F14-$D25)+W56*($F14-$D26))/1000000-W59*($F14-MAIN!$C$14/2)/1000))</f>
        <v>557.75892947340503</v>
      </c>
      <c r="X60" s="304">
        <f>$A59*IF(X59+Y59=0,0,IF(X59=0,2*Y60-Z60,(X18*X58+X48*($F14-$C14)+X49*($F14-$D19)+X50*($F14-$D20)+X51*($F14-$D21)+X52*($F14-$D22)+X53*($F14-$D23)+X54*($F14-$D24)+X55*($F14-$D25)+X56*($F14-$D26))/1000000-X59*($F14-MAIN!$C$14/2)/1000))</f>
        <v>565.0171222347609</v>
      </c>
      <c r="Y60" s="304">
        <f>$A59*IF(Y59+Z59=0,0,IF(Y59=0,2*Z60-AA60,(Y18*Y58+Y48*($F14-$C14)+Y49*($F14-$D19)+Y50*($F14-$D20)+Y51*($F14-$D21)+Y52*($F14-$D22)+Y53*($F14-$D23)+Y54*($F14-$D24)+Y55*($F14-$D25)+Y56*($F14-$D26))/1000000-Y59*($F14-MAIN!$C$14/2)/1000))</f>
        <v>572.0234049250746</v>
      </c>
      <c r="Z60" s="304">
        <f>$A59*IF(Z59+AA59=0,0,IF(Z59=0,2*AA60-AB60,(Z18*Z58+Z48*($F14-$C14)+Z49*($F14-$D19)+Z50*($F14-$D20)+Z51*($F14-$D21)+Z52*($F14-$D22)+Z53*($F14-$D23)+Z54*($F14-$D24)+Z55*($F14-$D25)+Z56*($F14-$D26))/1000000-Z59*($F14-MAIN!$C$14/2)/1000))</f>
        <v>578.78800277264691</v>
      </c>
      <c r="AA60" s="304">
        <f>$A59*IF(AA59+AB59=0,0,IF(AA59=0,2*AB60-AC60,(AA18*AA58+AA48*($F14-$C14)+AA49*($F14-$D19)+AA50*($F14-$D20)+AA51*($F14-$D21)+AA52*($F14-$D22)+AA53*($F14-$D23)+AA54*($F14-$D24)+AA55*($F14-$D25)+AA56*($F14-$D26))/1000000-AA59*($F14-MAIN!$C$14/2)/1000))</f>
        <v>585.32032115195636</v>
      </c>
      <c r="AB60" s="304">
        <f>$A59*IF(AB59+AC59=0,0,IF(AB59=0,2*AC60-AD60,(AB18*AB58+AB48*($F14-$C14)+AB49*($F14-$D19)+AB50*($F14-$D20)+AB51*($F14-$D21)+AB52*($F14-$D22)+AB53*($F14-$D23)+AB54*($F14-$D24)+AB55*($F14-$D25)+AB56*($F14-$D26))/1000000-AB59*($F14-MAIN!$C$14/2)/1000))</f>
        <v>591.62902613830181</v>
      </c>
      <c r="AC60" s="304">
        <f>$A59*IF(AC59+AD59=0,0,IF(AC59=0,2*AD60-AE60,(AC18*AC58+AC48*($F14-$C14)+AC49*($F14-$D19)+AC50*($F14-$D20)+AC51*($F14-$D21)+AC52*($F14-$D22)+AC53*($F14-$D23)+AC54*($F14-$D24)+AC55*($F14-$D25)+AC56*($F14-$D26))/1000000-AC59*($F14-MAIN!$C$14/2)/1000))</f>
        <v>597.72211574762491</v>
      </c>
      <c r="AD60" s="304">
        <f>$A59*IF(AD59+AE59=0,0,IF(AD59=0,2*AE60-AF60,(AD18*AD58+AD48*($F14-$C14)+AD49*($F14-$D19)+AD50*($F14-$D20)+AD51*($F14-$D21)+AD52*($F14-$D22)+AD53*($F14-$D23)+AD54*($F14-$D24)+AD55*($F14-$D25)+AD56*($F14-$D26))/1000000-AD59*($F14-MAIN!$C$14/2)/1000))</f>
        <v>603.6069830943768</v>
      </c>
      <c r="AE60" s="304">
        <f>$A59*IF(AE59+AF59=0,0,IF(AE59=0,2*AF60-AG60,(AE18*AE58+AE48*($F14-$C14)+AE49*($F14-$D19)+AE50*($F14-$D20)+AE51*($F14-$D21)+AE52*($F14-$D22)+AE53*($F14-$D23)+AE54*($F14-$D24)+AE55*($F14-$D25)+AE56*($F14-$D26))/1000000-AE59*($F14-MAIN!$C$14/2)/1000))</f>
        <v>609.29047251726649</v>
      </c>
      <c r="AF60" s="304">
        <f>$A59*IF(AF59+AG59=0,0,IF(AF59=0,2*AG60-AH60,(AF18*AF58+AF48*($F14-$C14)+AF49*($F14-$D19)+AF50*($F14-$D20)+AF51*($F14-$D21)+AF52*($F14-$D22)+AF53*($F14-$D23)+AF54*($F14-$D24)+AF55*($F14-$D25)+AF56*($F14-$D26))/1000000-AF59*($F14-MAIN!$C$14/2)/1000))</f>
        <v>614.77892956971311</v>
      </c>
      <c r="AG60" s="304">
        <f>$A59*IF(AG59+AH59=0,0,IF(AG59=0,2*AH60-AI60,(AG18*AG58+AG48*($F14-$C14)+AG49*($F14-$D19)+AG50*($F14-$D20)+AG51*($F14-$D21)+AG52*($F14-$D22)+AG53*($F14-$D23)+AG54*($F14-$D24)+AG55*($F14-$D25)+AG56*($F14-$D26))/1000000-AG59*($F14-MAIN!$C$14/2)/1000))</f>
        <v>620.07824564344889</v>
      </c>
      <c r="AH60" s="304">
        <f>$A59*IF(AH59+AI59=0,0,IF(AH59=0,2*AI60-AJ60,(AH18*AH58+AH48*($F14-$C14)+AH49*($F14-$D19)+AH50*($F14-$D20)+AH51*($F14-$D21)+AH52*($F14-$D22)+AH53*($F14-$D23)+AH54*($F14-$D24)+AH55*($F14-$D25)+AH56*($F14-$D26))/1000000-AH59*($F14-MAIN!$C$14/2)/1000))</f>
        <v>625.19389788565832</v>
      </c>
      <c r="AI60" s="304">
        <f>$A59*IF(AI59+AJ59=0,0,IF(AI59=0,2*AJ60-AK60,(AI18*AI58+AI48*($F14-$C14)+AI49*($F14-$D19)+AI50*($F14-$D20)+AI51*($F14-$D21)+AI52*($F14-$D22)+AI53*($F14-$D23)+AI54*($F14-$D24)+AI55*($F14-$D25)+AI56*($F14-$D26))/1000000-AI59*($F14-MAIN!$C$14/2)/1000))</f>
        <v>630.13098497877354</v>
      </c>
      <c r="AJ60" s="304">
        <f>$A59*IF(AJ59+AK59=0,0,IF(AJ59=0,2*AK60-AL60,(AJ18*AJ58+AJ48*($F14-$C14)+AJ49*($F14-$D19)+AJ50*($F14-$D20)+AJ51*($F14-$D21)+AJ52*($F14-$D22)+AJ53*($F14-$D23)+AJ54*($F14-$D24)+AJ55*($F14-$D25)+AJ56*($F14-$D26))/1000000-AJ59*($F14-MAIN!$C$14/2)/1000))</f>
        <v>634.89425927472735</v>
      </c>
      <c r="AK60" s="304">
        <f>$A59*IF(AK59+AL59=0,0,IF(AK59=0,2*AL60-AM60,(AK18*AK58+AK48*($F14-$C14)+AK49*($F14-$D19)+AK50*($F14-$D20)+AK51*($F14-$D21)+AK52*($F14-$D22)+AK53*($F14-$D23)+AK54*($F14-$D24)+AK55*($F14-$D25)+AK56*($F14-$D26))/1000000-AK59*($F14-MAIN!$C$14/2)/1000))</f>
        <v>639.48815570977661</v>
      </c>
      <c r="AL60" s="304">
        <f>$A59*IF(AL59+AM59=0,0,IF(AL59=0,2*AM60-AN60,(AL18*AL58+AL48*($F14-$C14)+AL49*($F14-$D19)+AL50*($F14-$D20)+AL51*($F14-$D21)+AL52*($F14-$D22)+AL53*($F14-$D23)+AL54*($F14-$D24)+AL55*($F14-$D25)+AL56*($F14-$D26))/1000000-AL59*($F14-MAIN!$C$14/2)/1000))</f>
        <v>643.91681787001392</v>
      </c>
      <c r="AM60" s="304">
        <f>$A59*IF(AM59+AN59=0,0,IF(AM59=0,2*AN60-AO60,(AM18*AM58+AM48*($F14-$C14)+AM49*($F14-$D19)+AM50*($F14-$D20)+AM51*($F14-$D21)+AM52*($F14-$D22)+AM53*($F14-$D23)+AM54*($F14-$D24)+AM55*($F14-$D25)+AM56*($F14-$D26))/1000000-AM59*($F14-MAIN!$C$14/2)/1000))</f>
        <v>648.18412152984979</v>
      </c>
      <c r="AN60" s="304">
        <f>$A59*IF(AN59+AO59=0,0,IF(AN59=0,2*AO60-AP60,(AN18*AN58+AN48*($F14-$C14)+AN49*($F14-$D19)+AN50*($F14-$D20)+AN51*($F14-$D21)+AN52*($F14-$D22)+AN53*($F14-$D23)+AN54*($F14-$D24)+AN55*($F14-$D25)+AN56*($F14-$D26))/1000000-AN59*($F14-MAIN!$C$14/2)/1000))</f>
        <v>652.2936959447411</v>
      </c>
      <c r="AO60" s="304">
        <f>$A59*IF(AO59+AP59=0,0,IF(AO59=0,2*AP60-AQ60,(AO18*AO58+AO48*($F14-$C14)+AO49*($F14-$D19)+AO50*($F14-$D20)+AO51*($F14-$D21)+AO52*($F14-$D22)+AO53*($F14-$D23)+AO54*($F14-$D24)+AO55*($F14-$D25)+AO56*($F14-$D26))/1000000-AO59*($F14-MAIN!$C$14/2)/1000))</f>
        <v>656.24894314423227</v>
      </c>
      <c r="AP60" s="304">
        <f>$A59*IF(AP59+AQ59=0,0,IF(AP59=0,2*AQ60-AR60,(AP18*AP58+AP48*($F14-$C14)+AP49*($F14-$D19)+AP50*($F14-$D20)+AP51*($F14-$D21)+AP52*($F14-$D22)+AP53*($F14-$D23)+AP54*($F14-$D24)+AP55*($F14-$D25)+AP56*($F14-$D26))/1000000-AP59*($F14-MAIN!$C$14/2)/1000))</f>
        <v>660.05305544102487</v>
      </c>
      <c r="AQ60" s="304">
        <f>$A59*IF(AQ59+AR59=0,0,IF(AQ59=0,2*AR60-AS60,(AQ18*AQ58+AQ48*($F14-$C14)+AQ49*($F14-$D19)+AQ50*($F14-$D20)+AQ51*($F14-$D21)+AQ52*($F14-$D22)+AQ53*($F14-$D23)+AQ54*($F14-$D24)+AQ55*($F14-$D25)+AQ56*($F14-$D26))/1000000-AQ59*($F14-MAIN!$C$14/2)/1000))</f>
        <v>663.70903134561058</v>
      </c>
      <c r="AR60" s="56">
        <f>$A59*IF(AR59+AS59=0,0,IF(AR59=0,2*AS60-AT60,(AR18*AR58+AR48*($F14-$C14)+AR49*($F14-$D19)+AR50*($F14-$D20)+AR51*($F14-$D21)+AR52*($F14-$D22)+AR53*($F14-$D23)+AR54*($F14-$D24)+AR55*($F14-$D25)+AR56*($F14-$D26))/1000000-AR59*($F14-MAIN!$C$14/2)/1000))</f>
        <v>667.21969005332858</v>
      </c>
      <c r="AS60" s="304">
        <f>$A59*IF(AS59+AT59=0,0,IF(AS59=0,2*AT60-AU60,(AS18*AS58+AS48*($F14-$C14)+AS49*($F14-$D19)+AS50*($F14-$D20)+AS51*($F14-$D21)+AS52*($F14-$D22)+AS53*($F14-$D23)+AS54*($F14-$D24)+AS55*($F14-$D25)+AS56*($F14-$D26))/1000000-AS59*($F14-MAIN!$C$14/2)/1000))</f>
        <v>644.21332649574128</v>
      </c>
      <c r="AT60" s="304">
        <f>$A59*IF(AT59+AU59=0,0,IF(AT59=0,2*AU60-AV60,(AT18*AT58+AT48*($F14-$C14)+AT49*($F14-$D19)+AT50*($F14-$D20)+AT51*($F14-$D21)+AT52*($F14-$D22)+AT53*($F14-$D23)+AT54*($F14-$D24)+AT55*($F14-$D25)+AT56*($F14-$D26))/1000000-AT59*($F14-MAIN!$C$14/2)/1000))</f>
        <v>615.68930662006551</v>
      </c>
      <c r="AU60" s="304">
        <f>$A59*IF(AU59+AV59=0,0,IF(AU59=0,2*AV60-AW60,(AU18*AU58+AU48*($F14-$C14)+AU49*($F14-$D19)+AU50*($F14-$D20)+AU51*($F14-$D21)+AU52*($F14-$D22)+AU53*($F14-$D23)+AU54*($F14-$D24)+AU55*($F14-$D25)+AU56*($F14-$D26))/1000000-AU59*($F14-MAIN!$C$14/2)/1000))</f>
        <v>588.96915764188225</v>
      </c>
      <c r="AV60" s="304">
        <f>$A59*IF(AV59+AW59=0,0,IF(AV59=0,2*AW60-AX60,(AV18*AV58+AV48*($F14-$C14)+AV49*($F14-$D19)+AV50*($F14-$D20)+AV51*($F14-$D21)+AV52*($F14-$D22)+AV53*($F14-$D23)+AV54*($F14-$D24)+AV55*($F14-$D25)+AV56*($F14-$D26))/1000000-AV59*($F14-MAIN!$C$14/2)/1000))</f>
        <v>563.26826274050541</v>
      </c>
      <c r="AW60" s="304">
        <f>$A59*IF(AW59+AX59=0,0,IF(AW59=0,2*AX60-AY60,(AW18*AW58+AW48*($F14-$C14)+AW49*($F14-$D19)+AW50*($F14-$D20)+AW51*($F14-$D21)+AW52*($F14-$D22)+AW53*($F14-$D23)+AW54*($F14-$D24)+AW55*($F14-$D25)+AW56*($F14-$D26))/1000000-AW59*($F14-MAIN!$C$14/2)/1000))</f>
        <v>537.98243874983132</v>
      </c>
      <c r="AX60" s="304">
        <f>$A59*IF(AX59+AY59=0,0,IF(AX59=0,2*AY60-AZ60,(AX18*AX58+AX48*($F14-$C14)+AX49*($F14-$D19)+AX50*($F14-$D20)+AX51*($F14-$D21)+AX52*($F14-$D22)+AX53*($F14-$D23)+AX54*($F14-$D24)+AX55*($F14-$D25)+AX56*($F14-$D26))/1000000-AX59*($F14-MAIN!$C$14/2)/1000))</f>
        <v>512.63888934386364</v>
      </c>
      <c r="AY60" s="304">
        <f>$A59*IF(AY59+AZ59=0,0,IF(AY59=0,2*AZ60-BA60,(AY18*AY58+AY48*($F14-$C14)+AY49*($F14-$D19)+AY50*($F14-$D20)+AY51*($F14-$D21)+AY52*($F14-$D22)+AY53*($F14-$D23)+AY54*($F14-$D24)+AY55*($F14-$D25)+AY56*($F14-$D26))/1000000-AY59*($F14-MAIN!$C$14/2)/1000))</f>
        <v>486.86233201442735</v>
      </c>
      <c r="AZ60" s="304">
        <f>$A59*IF(AZ59+BA59=0,0,IF(AZ59=0,2*BA60-BB60,(AZ18*AZ58+AZ48*($F14-$C14)+AZ49*($F14-$D19)+AZ50*($F14-$D20)+AZ51*($F14-$D21)+AZ52*($F14-$D22)+AZ53*($F14-$D23)+AZ54*($F14-$D24)+AZ55*($F14-$D25)+AZ56*($F14-$D26))/1000000-AZ59*($F14-MAIN!$C$14/2)/1000))</f>
        <v>460.35109062191714</v>
      </c>
      <c r="BA60" s="304">
        <f>$A59*IF(BA59+BB59=0,0,IF(BA59=0,2*BB60-BC60,(BA18*BA58+BA48*($F14-$C14)+BA49*($F14-$D19)+BA50*($F14-$D20)+BA51*($F14-$D21)+BA52*($F14-$D22)+BA53*($F14-$D23)+BA54*($F14-$D24)+BA55*($F14-$D25)+BA56*($F14-$D26))/1000000-BA59*($F14-MAIN!$C$14/2)/1000))</f>
        <v>432.85989284162008</v>
      </c>
      <c r="BB60" s="304">
        <f>$A59*IF(BB59+BC59=0,0,IF(BB59=0,2*BC60-BD60,(BB18*BB58+BB48*($F14-$C14)+BB49*($F14-$D19)+BB50*($F14-$D20)+BB51*($F14-$D21)+BB52*($F14-$D22)+BB53*($F14-$D23)+BB54*($F14-$D24)+BB55*($F14-$D25)+BB56*($F14-$D26))/1000000-BB59*($F14-MAIN!$C$14/2)/1000))</f>
        <v>404.18727666658765</v>
      </c>
      <c r="BC60" s="304">
        <f>$A59*IF(BC59+BD59=0,0,IF(BC59=0,2*BD60-BE60,(BC18*BC58+BC48*($F14-$C14)+BC49*($F14-$D19)+BC50*($F14-$D20)+BC51*($F14-$D21)+BC52*($F14-$D22)+BC53*($F14-$D23)+BC54*($F14-$D24)+BC55*($F14-$D25)+BC56*($F14-$D26))/1000000-BC59*($F14-MAIN!$C$14/2)/1000))</f>
        <v>374.16622683723585</v>
      </c>
      <c r="BD60" s="304">
        <f>$A59*IF(BD59+BE59=0,0,IF(BD59=0,2*BE60-BF60,(BD18*BD58+BD48*($F14-$C14)+BD49*($F14-$D19)+BD50*($F14-$D20)+BD51*($F14-$D21)+BD52*($F14-$D22)+BD53*($F14-$D23)+BD54*($F14-$D24)+BD55*($F14-$D25)+BD56*($F14-$D26))/1000000-BD59*($F14-MAIN!$C$14/2)/1000))</f>
        <v>342.65711435234084</v>
      </c>
      <c r="BE60" s="304">
        <f>$A59*IF(BE59+BF59=0,0,IF(BE59=0,2*BF60-BG60,(BE18*BE58+BE48*($F14-$C14)+BE49*($F14-$D19)+BE50*($F14-$D20)+BE51*($F14-$D21)+BE52*($F14-$D22)+BE53*($F14-$D23)+BE54*($F14-$D24)+BE55*($F14-$D25)+BE56*($F14-$D26))/1000000-BE59*($F14-MAIN!$C$14/2)/1000))</f>
        <v>320.51447621916725</v>
      </c>
      <c r="BF60" s="304">
        <f>$A59*IF(BF59+BG59=0,0,IF(BF59=0,2*BG60-BH60,(BF18*BF58+BF48*($F14-$C14)+BF49*($F14-$D19)+BF50*($F14-$D20)+BF51*($F14-$D21)+BF52*($F14-$D22)+BF53*($F14-$D23)+BF54*($F14-$D24)+BF55*($F14-$D25)+BF56*($F14-$D26))/1000000-BF59*($F14-MAIN!$C$14/2)/1000))</f>
        <v>288.47015179435914</v>
      </c>
      <c r="BG60" s="304">
        <f>$A59*IF(BG59+BH59=0,0,IF(BG59=0,2*BH60-BI60,(BG18*BG58+BG48*($F14-$C14)+BG49*($F14-$D19)+BG50*($F14-$D20)+BG51*($F14-$D21)+BG52*($F14-$D22)+BG53*($F14-$D23)+BG54*($F14-$D24)+BG55*($F14-$D25)+BG56*($F14-$D26))/1000000-BG59*($F14-MAIN!$C$14/2)/1000))</f>
        <v>254.84748917382001</v>
      </c>
      <c r="BH60" s="304">
        <f>$A59*IF(BH59+BI59=0,0,IF(BH59=0,2*BI60-BJ60,(BH18*BH58+BH48*($F14-$C14)+BH49*($F14-$D19)+BH50*($F14-$D20)+BH51*($F14-$D21)+BH52*($F14-$D22)+BH53*($F14-$D23)+BH54*($F14-$D24)+BH55*($F14-$D25)+BH56*($F14-$D26))/1000000-BH59*($F14-MAIN!$C$14/2)/1000))</f>
        <v>219.4749596574984</v>
      </c>
      <c r="BI60" s="304">
        <f>$A59*IF(BI59+BJ59=0,0,IF(BI59=0,2*BJ60-BK60,(BI18*BI58+BI48*($F14-$C14)+BI49*($F14-$D19)+BI50*($F14-$D20)+BI51*($F14-$D21)+BI52*($F14-$D22)+BI53*($F14-$D23)+BI54*($F14-$D24)+BI55*($F14-$D25)+BI56*($F14-$D26))/1000000-BI59*($F14-MAIN!$C$14/2)/1000))</f>
        <v>182.22178638173398</v>
      </c>
      <c r="BJ60" s="304">
        <f>$A59*IF(BJ59+BK59=0,0,IF(BJ59=0,2*BK60-BO60,(BJ18*BJ58+BJ48*($F14-$C14)+BJ49*($F14-$D19)+BJ50*($F14-$D20)+BJ51*($F14-$D21)+BJ52*($F14-$D22)+BJ53*($F14-$D23)+BJ54*($F14-$D24)+BJ55*($F14-$D25)+BJ56*($F14-$D26))/1000000-BJ59*($F14-MAIN!$C$14/2)/1000))</f>
        <v>142.98652054434353</v>
      </c>
      <c r="BK60" s="304">
        <f>$A59*IF(BK59+BO59=0,0,IF(BK59=0,2*BO60-BP60,(BK18*BK58+BK48*($F14-$C14)+BK49*($F14-$D19)+BK50*($F14-$D20)+BK51*($F14-$D21)+BK52*($F14-$D22)+BK53*($F14-$D23)+BK54*($F14-$D24)+BK55*($F14-$D25)+BK56*($F14-$D26))/1000000-BK59*($F14-MAIN!$C$14/2)/1000))</f>
        <v>101.68925646715365</v>
      </c>
      <c r="BL60" s="304">
        <f>$A59*IF(BL59+BP59=0,0,IF(BL59=0,2*BP60-BQ60,(BL18*BL58+BL48*($F14-$C14)+BL49*($F14-$D19)+BL50*($F14-$D20)+BL51*($F14-$D21)+BL52*($F14-$D22)+BL53*($F14-$D23)+BL54*($F14-$D24)+BL55*($F14-$D25)+BL56*($F14-$D26))/1000000-BL59*($F14-MAIN!$C$14/2)/1000))</f>
        <v>71.251321383416553</v>
      </c>
      <c r="BM60" s="304">
        <f>$A59*IF(BM59+BQ59=0,0,IF(BM59=0,2*BQ60-BR60,(BM18*BM58+BM48*($F14-$C14)+BM49*($F14-$D19)+BM50*($F14-$D20)+BM51*($F14-$D21)+BM52*($F14-$D22)+BM53*($F14-$D23)+BM54*($F14-$D24)+BM55*($F14-$D25)+BM56*($F14-$D26))/1000000-BM59*($F14-MAIN!$C$14/2)/1000))</f>
        <v>49.566136614550715</v>
      </c>
      <c r="BN60" s="304">
        <f>$A59*IF(BN59+BR59=0,0,IF(BN59=0,2*BR60-BS60,(BN18*BN58+BN48*($F14-$C14)+BN49*($F14-$D19)+BN50*($F14-$D20)+BN51*($F14-$D21)+BN52*($F14-$D22)+BN53*($F14-$D23)+BN54*($F14-$D24)+BN55*($F14-$D25)+BN56*($F14-$D26))/1000000-BN59*($F14-MAIN!$C$14/2)/1000))</f>
        <v>38.000704737822161</v>
      </c>
      <c r="BO60" s="3">
        <v>0</v>
      </c>
      <c r="BS60"/>
      <c r="BT60"/>
    </row>
    <row r="61" spans="1:72" ht="16.5">
      <c r="B61" s="296" t="s">
        <v>74</v>
      </c>
      <c r="C61" s="303" t="s">
        <v>75</v>
      </c>
      <c r="D61" s="15"/>
      <c r="E61" s="308"/>
      <c r="F61" s="308"/>
      <c r="G61" s="308"/>
      <c r="H61" s="308"/>
      <c r="I61" s="308"/>
      <c r="J61" s="308"/>
      <c r="K61" s="308"/>
      <c r="L61" s="308"/>
      <c r="M61" s="308"/>
      <c r="N61" s="308"/>
      <c r="O61" s="308"/>
      <c r="P61" s="308"/>
      <c r="Q61" s="308"/>
      <c r="R61" s="308"/>
      <c r="S61" s="308"/>
      <c r="T61" s="308"/>
      <c r="U61" s="308"/>
      <c r="V61" s="308"/>
      <c r="W61" s="308"/>
      <c r="X61" s="308"/>
      <c r="Y61" s="308"/>
      <c r="Z61" s="308"/>
      <c r="AA61" s="308"/>
      <c r="AB61" s="308"/>
      <c r="AC61" s="308"/>
      <c r="AD61" s="308"/>
      <c r="AE61" s="309" t="str">
        <f>FIXED(MAIN!$Q$1,0)&amp;MAIN!R$1&amp;FIXED(B13,0)</f>
        <v>8H40</v>
      </c>
      <c r="AF61" s="308"/>
      <c r="AG61" s="308"/>
      <c r="AH61" s="308"/>
      <c r="AI61" s="308"/>
      <c r="AJ61" s="308"/>
      <c r="AK61" s="308"/>
      <c r="AL61" s="308"/>
      <c r="AM61" s="308"/>
      <c r="AN61" s="308"/>
      <c r="AO61" s="308"/>
      <c r="AP61" s="308"/>
      <c r="AQ61" s="308"/>
      <c r="AR61" s="60"/>
      <c r="AS61" s="308"/>
      <c r="AT61" s="308"/>
      <c r="AU61" s="308"/>
      <c r="AV61" s="308"/>
      <c r="AW61" s="308"/>
      <c r="AX61" s="308"/>
      <c r="AY61" s="308"/>
      <c r="AZ61" s="308"/>
      <c r="BA61" s="308"/>
      <c r="BB61" s="308"/>
      <c r="BC61" s="308"/>
      <c r="BD61" s="308"/>
      <c r="BE61" s="308"/>
      <c r="BF61" s="308"/>
      <c r="BG61" s="308"/>
      <c r="BH61" s="308"/>
      <c r="BI61" s="308"/>
      <c r="BJ61" s="308"/>
      <c r="BK61" s="308"/>
      <c r="BL61" s="621"/>
      <c r="BM61" s="621"/>
      <c r="BN61" s="621"/>
      <c r="BO61" s="15"/>
      <c r="BS61"/>
      <c r="BT61"/>
    </row>
    <row r="62" spans="1:72">
      <c r="B62"/>
      <c r="C62" s="65" t="s">
        <v>135</v>
      </c>
      <c r="D62" s="66">
        <f t="shared" ref="D62:BJ63" si="35">E59-D59</f>
        <v>175.36412995314163</v>
      </c>
      <c r="E62" s="66">
        <f t="shared" si="35"/>
        <v>166.55759322901997</v>
      </c>
      <c r="F62" s="66">
        <f t="shared" si="35"/>
        <v>158.63500862144491</v>
      </c>
      <c r="G62" s="66">
        <f t="shared" si="35"/>
        <v>151.48190442359913</v>
      </c>
      <c r="H62" s="66">
        <f t="shared" si="35"/>
        <v>145.0017579230452</v>
      </c>
      <c r="I62" s="66">
        <f t="shared" si="35"/>
        <v>139.11272084007436</v>
      </c>
      <c r="J62" s="66">
        <f t="shared" si="35"/>
        <v>19.809927597354395</v>
      </c>
      <c r="K62" s="66">
        <f t="shared" si="35"/>
        <v>128.8388863100887</v>
      </c>
      <c r="L62" s="66">
        <f t="shared" si="35"/>
        <v>124.34287131701643</v>
      </c>
      <c r="M62" s="66">
        <f t="shared" si="35"/>
        <v>120.21250435530442</v>
      </c>
      <c r="N62" s="66">
        <f t="shared" si="35"/>
        <v>116.4091824379409</v>
      </c>
      <c r="O62" s="66">
        <f t="shared" si="35"/>
        <v>112.89926592542884</v>
      </c>
      <c r="P62" s="66">
        <f t="shared" si="35"/>
        <v>109.65333193424601</v>
      </c>
      <c r="Q62" s="66">
        <f t="shared" si="35"/>
        <v>106.64555556112839</v>
      </c>
      <c r="R62" s="66">
        <f t="shared" si="35"/>
        <v>103.85319451225496</v>
      </c>
      <c r="S62" s="66">
        <f t="shared" si="35"/>
        <v>101.25615784899253</v>
      </c>
      <c r="T62" s="66">
        <f t="shared" si="35"/>
        <v>98.83664351726452</v>
      </c>
      <c r="U62" s="66">
        <f t="shared" si="35"/>
        <v>96.578832401856062</v>
      </c>
      <c r="V62" s="66">
        <f t="shared" si="35"/>
        <v>94.468629051259995</v>
      </c>
      <c r="W62" s="66">
        <f t="shared" si="35"/>
        <v>92.493441110143067</v>
      </c>
      <c r="X62" s="66">
        <f t="shared" si="35"/>
        <v>90.641990993124864</v>
      </c>
      <c r="Y62" s="66">
        <f t="shared" si="35"/>
        <v>88.904154523889702</v>
      </c>
      <c r="Z62" s="66">
        <f t="shared" si="35"/>
        <v>87.270822215529734</v>
      </c>
      <c r="AA62" s="66">
        <f t="shared" si="35"/>
        <v>85.733779632712412</v>
      </c>
      <c r="AB62" s="66">
        <f t="shared" si="35"/>
        <v>84.285603893689085</v>
      </c>
      <c r="AC62" s="66">
        <f t="shared" si="35"/>
        <v>82.919573870791055</v>
      </c>
      <c r="AD62" s="66">
        <f t="shared" si="35"/>
        <v>81.629592055772719</v>
      </c>
      <c r="AE62" s="66">
        <f t="shared" si="35"/>
        <v>80.410116389851964</v>
      </c>
      <c r="AF62" s="66">
        <f t="shared" si="35"/>
        <v>79.256100632068865</v>
      </c>
      <c r="AG62" s="66">
        <f t="shared" si="35"/>
        <v>78.162942065227071</v>
      </c>
      <c r="AH62" s="66">
        <f t="shared" si="35"/>
        <v>77.126435525405213</v>
      </c>
      <c r="AI62" s="66">
        <f t="shared" si="35"/>
        <v>76.142732895948939</v>
      </c>
      <c r="AJ62" s="66">
        <f t="shared" si="35"/>
        <v>75.208307336013149</v>
      </c>
      <c r="AK62" s="66">
        <f t="shared" si="35"/>
        <v>74.319921621553476</v>
      </c>
      <c r="AL62" s="66">
        <f t="shared" si="35"/>
        <v>73.474600067203937</v>
      </c>
      <c r="AM62" s="66">
        <f t="shared" si="35"/>
        <v>72.669603573495806</v>
      </c>
      <c r="AN62" s="66">
        <f t="shared" si="35"/>
        <v>71.902407408052113</v>
      </c>
      <c r="AO62" s="66">
        <f t="shared" si="35"/>
        <v>71.170681383738156</v>
      </c>
      <c r="AP62" s="66">
        <f t="shared" si="35"/>
        <v>70.472272142667407</v>
      </c>
      <c r="AQ62" s="66">
        <f t="shared" si="35"/>
        <v>69.805187294250118</v>
      </c>
      <c r="AR62" s="66">
        <f t="shared" si="35"/>
        <v>778.66847180076957</v>
      </c>
      <c r="AS62" s="66">
        <f t="shared" si="35"/>
        <v>626.61419455007854</v>
      </c>
      <c r="AT62" s="66">
        <f t="shared" si="35"/>
        <v>578.97335442066378</v>
      </c>
      <c r="AU62" s="66">
        <f t="shared" si="35"/>
        <v>540.05047896553333</v>
      </c>
      <c r="AV62" s="66">
        <f t="shared" si="35"/>
        <v>507.84074980044625</v>
      </c>
      <c r="AW62" s="66">
        <f t="shared" si="35"/>
        <v>480.88431314642821</v>
      </c>
      <c r="AX62" s="66">
        <f t="shared" si="35"/>
        <v>458.09768213879943</v>
      </c>
      <c r="AY62" s="66">
        <f t="shared" si="35"/>
        <v>438.66300823789879</v>
      </c>
      <c r="AZ62" s="66">
        <f t="shared" si="35"/>
        <v>421.95358238936024</v>
      </c>
      <c r="BA62" s="66">
        <f t="shared" si="35"/>
        <v>407.48262328469536</v>
      </c>
      <c r="BB62" s="66">
        <f t="shared" si="35"/>
        <v>394.86738928652267</v>
      </c>
      <c r="BC62" s="66">
        <f t="shared" si="35"/>
        <v>383.80358863527545</v>
      </c>
      <c r="BD62" s="66">
        <f t="shared" si="35"/>
        <v>252.13382123664815</v>
      </c>
      <c r="BE62" s="66">
        <f t="shared" si="35"/>
        <v>334.55472765308514</v>
      </c>
      <c r="BF62" s="66">
        <f t="shared" si="35"/>
        <v>324.49398855948311</v>
      </c>
      <c r="BG62" s="66">
        <f t="shared" si="35"/>
        <v>316.33912391089689</v>
      </c>
      <c r="BH62" s="66">
        <f t="shared" si="35"/>
        <v>309.63733552520898</v>
      </c>
      <c r="BI62" s="66">
        <f t="shared" si="35"/>
        <v>304.06275605265728</v>
      </c>
      <c r="BJ62" s="66">
        <f t="shared" si="35"/>
        <v>299.37601744870699</v>
      </c>
      <c r="BK62" s="66">
        <f t="shared" ref="BK62:BN63" si="36">BL59-BK59</f>
        <v>277.55288139541153</v>
      </c>
      <c r="BL62" s="66">
        <f t="shared" si="36"/>
        <v>0</v>
      </c>
      <c r="BM62" s="66">
        <f t="shared" si="36"/>
        <v>0</v>
      </c>
      <c r="BN62" s="66">
        <f t="shared" si="36"/>
        <v>0</v>
      </c>
      <c r="BO62" s="65">
        <v>0</v>
      </c>
      <c r="BS62"/>
      <c r="BT62"/>
    </row>
    <row r="63" spans="1:72">
      <c r="B63"/>
      <c r="C63" s="65" t="s">
        <v>136</v>
      </c>
      <c r="D63" s="66">
        <f t="shared" si="35"/>
        <v>16.336866406922866</v>
      </c>
      <c r="E63" s="66">
        <f t="shared" si="35"/>
        <v>15.458998541241556</v>
      </c>
      <c r="F63" s="66">
        <f t="shared" si="35"/>
        <v>14.660686366049561</v>
      </c>
      <c r="G63" s="66">
        <f t="shared" si="35"/>
        <v>13.931627427732849</v>
      </c>
      <c r="H63" s="66">
        <f t="shared" si="35"/>
        <v>13.263134682172733</v>
      </c>
      <c r="I63" s="66">
        <f t="shared" si="35"/>
        <v>12.647841784195066</v>
      </c>
      <c r="J63" s="66">
        <f t="shared" si="35"/>
        <v>1.8253108318397722</v>
      </c>
      <c r="K63" s="66">
        <f t="shared" si="35"/>
        <v>11.552637555475428</v>
      </c>
      <c r="L63" s="66">
        <f t="shared" si="35"/>
        <v>11.062716645588523</v>
      </c>
      <c r="M63" s="66">
        <f t="shared" si="35"/>
        <v>10.605704058524225</v>
      </c>
      <c r="N63" s="66">
        <f t="shared" si="35"/>
        <v>10.178125525451037</v>
      </c>
      <c r="O63" s="66">
        <f t="shared" si="35"/>
        <v>9.7769534788146188</v>
      </c>
      <c r="P63" s="66">
        <f t="shared" si="35"/>
        <v>9.3995398590977857</v>
      </c>
      <c r="Q63" s="66">
        <f t="shared" si="35"/>
        <v>9.0435604250066604</v>
      </c>
      <c r="R63" s="66">
        <f t="shared" si="35"/>
        <v>8.7069683700977976</v>
      </c>
      <c r="S63" s="66">
        <f t="shared" si="35"/>
        <v>8.3879555098939136</v>
      </c>
      <c r="T63" s="66">
        <f t="shared" si="35"/>
        <v>8.0849196595277135</v>
      </c>
      <c r="U63" s="66">
        <f t="shared" si="35"/>
        <v>7.7964370986309177</v>
      </c>
      <c r="V63" s="66">
        <f t="shared" si="35"/>
        <v>7.5212392365666574</v>
      </c>
      <c r="W63" s="66">
        <f t="shared" si="35"/>
        <v>7.2581927613558719</v>
      </c>
      <c r="X63" s="66">
        <f t="shared" si="35"/>
        <v>7.0062826903136965</v>
      </c>
      <c r="Y63" s="66">
        <f t="shared" si="35"/>
        <v>6.7645978475723041</v>
      </c>
      <c r="Z63" s="66">
        <f t="shared" si="35"/>
        <v>6.5323183793094586</v>
      </c>
      <c r="AA63" s="66">
        <f t="shared" si="35"/>
        <v>6.3087049863454467</v>
      </c>
      <c r="AB63" s="66">
        <f t="shared" si="35"/>
        <v>6.0930896093231013</v>
      </c>
      <c r="AC63" s="66">
        <f t="shared" si="35"/>
        <v>5.8848673467518893</v>
      </c>
      <c r="AD63" s="66">
        <f t="shared" si="35"/>
        <v>5.6834894228896928</v>
      </c>
      <c r="AE63" s="66">
        <f t="shared" si="35"/>
        <v>5.4884570524466199</v>
      </c>
      <c r="AF63" s="66">
        <f t="shared" si="35"/>
        <v>5.2993160737357812</v>
      </c>
      <c r="AG63" s="66">
        <f t="shared" si="35"/>
        <v>5.1156522422094213</v>
      </c>
      <c r="AH63" s="66">
        <f t="shared" si="35"/>
        <v>4.937087093115224</v>
      </c>
      <c r="AI63" s="66">
        <f t="shared" si="35"/>
        <v>4.7632742959538064</v>
      </c>
      <c r="AJ63" s="66">
        <f t="shared" si="35"/>
        <v>4.5938964350492597</v>
      </c>
      <c r="AK63" s="66">
        <f t="shared" si="35"/>
        <v>4.4286621602373089</v>
      </c>
      <c r="AL63" s="66">
        <f t="shared" si="35"/>
        <v>4.2673036598358749</v>
      </c>
      <c r="AM63" s="66">
        <f t="shared" si="35"/>
        <v>4.1095744148913127</v>
      </c>
      <c r="AN63" s="66">
        <f t="shared" si="35"/>
        <v>3.9552471994911684</v>
      </c>
      <c r="AO63" s="66">
        <f t="shared" si="35"/>
        <v>3.8041122967925958</v>
      </c>
      <c r="AP63" s="66">
        <f t="shared" si="35"/>
        <v>3.6559759045857163</v>
      </c>
      <c r="AQ63" s="66">
        <f t="shared" si="35"/>
        <v>3.5106587077179938</v>
      </c>
      <c r="AR63" s="66">
        <f t="shared" si="35"/>
        <v>-23.006363557587292</v>
      </c>
      <c r="AS63" s="66">
        <f t="shared" si="35"/>
        <v>-28.524019875675776</v>
      </c>
      <c r="AT63" s="66">
        <f t="shared" si="35"/>
        <v>-26.720148978183261</v>
      </c>
      <c r="AU63" s="66">
        <f t="shared" si="35"/>
        <v>-25.700894901376842</v>
      </c>
      <c r="AV63" s="66">
        <f t="shared" si="35"/>
        <v>-25.285823990674089</v>
      </c>
      <c r="AW63" s="66">
        <f t="shared" si="35"/>
        <v>-25.343549405967678</v>
      </c>
      <c r="AX63" s="66">
        <f t="shared" si="35"/>
        <v>-25.776557329436287</v>
      </c>
      <c r="AY63" s="66">
        <f t="shared" si="35"/>
        <v>-26.511241392510215</v>
      </c>
      <c r="AZ63" s="66">
        <f t="shared" si="35"/>
        <v>-27.491197780297057</v>
      </c>
      <c r="BA63" s="66">
        <f t="shared" si="35"/>
        <v>-28.672616175032431</v>
      </c>
      <c r="BB63" s="66">
        <f t="shared" si="35"/>
        <v>-30.021049829351796</v>
      </c>
      <c r="BC63" s="66">
        <f t="shared" si="35"/>
        <v>-31.509112484895013</v>
      </c>
      <c r="BD63" s="66">
        <f t="shared" si="35"/>
        <v>-22.142638133173591</v>
      </c>
      <c r="BE63" s="66">
        <f t="shared" si="35"/>
        <v>-32.04432442480811</v>
      </c>
      <c r="BF63" s="66">
        <f t="shared" si="35"/>
        <v>-33.622662620539131</v>
      </c>
      <c r="BG63" s="66">
        <f t="shared" si="35"/>
        <v>-35.372529516321606</v>
      </c>
      <c r="BH63" s="66">
        <f t="shared" si="35"/>
        <v>-37.253173275764425</v>
      </c>
      <c r="BI63" s="66">
        <f t="shared" si="35"/>
        <v>-39.235265837390443</v>
      </c>
      <c r="BJ63" s="66">
        <f t="shared" si="35"/>
        <v>-41.29726407718988</v>
      </c>
      <c r="BK63" s="66">
        <f t="shared" si="36"/>
        <v>-30.437935083737102</v>
      </c>
      <c r="BL63" s="66">
        <f t="shared" si="36"/>
        <v>-21.685184768865838</v>
      </c>
      <c r="BM63" s="66">
        <f t="shared" si="36"/>
        <v>-11.565431876728553</v>
      </c>
      <c r="BN63" s="66">
        <f t="shared" si="36"/>
        <v>-38.000704737822161</v>
      </c>
      <c r="BO63" s="65">
        <v>0</v>
      </c>
      <c r="BS63"/>
      <c r="BT63"/>
    </row>
    <row r="64" spans="1:72">
      <c r="B64"/>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S64"/>
      <c r="BT64"/>
    </row>
    <row r="65" spans="2:72" ht="18.75">
      <c r="B65" s="275">
        <f>MAIN!C$34</f>
        <v>32</v>
      </c>
      <c r="C65" s="276" t="s">
        <v>43</v>
      </c>
      <c r="D65" s="258"/>
      <c r="E65" s="259"/>
      <c r="F65" s="259"/>
      <c r="G65" s="259"/>
      <c r="H65" s="259"/>
      <c r="I65" s="259"/>
      <c r="J65" s="259"/>
      <c r="K65" s="277"/>
      <c r="L65" s="259"/>
      <c r="M65" s="259"/>
      <c r="N65" s="278" t="s">
        <v>93</v>
      </c>
      <c r="O65" s="279">
        <f>$C$8*$C$9*MAIN!C$13</f>
        <v>21760.000000000004</v>
      </c>
      <c r="P65" s="73"/>
      <c r="Q65" s="73"/>
      <c r="R65" s="73"/>
      <c r="S65" s="73"/>
      <c r="T65" s="73"/>
      <c r="U65" s="73"/>
      <c r="V65" s="73"/>
      <c r="W65" s="73"/>
      <c r="X65" s="73"/>
      <c r="Y65" s="73"/>
      <c r="Z65" s="73"/>
      <c r="AA65" s="73"/>
      <c r="AB65" s="73"/>
      <c r="AC65" s="73"/>
      <c r="AD65" s="73"/>
      <c r="AE65" s="73"/>
      <c r="AF65" s="73"/>
      <c r="AG65" s="73"/>
      <c r="AH65" s="73"/>
      <c r="AI65" s="73"/>
      <c r="AJ65" s="73"/>
      <c r="AK65" s="73"/>
      <c r="AL65" s="73"/>
      <c r="AM65" s="73"/>
      <c r="AN65" s="73"/>
      <c r="AO65" s="73"/>
      <c r="AP65" s="73"/>
      <c r="AQ65" s="73"/>
      <c r="AS65" s="73"/>
      <c r="BS65"/>
      <c r="BT65"/>
    </row>
    <row r="66" spans="2:72" ht="18.75">
      <c r="B66" s="260" t="str">
        <f>B14</f>
        <v>d' =</v>
      </c>
      <c r="C66" s="261">
        <f>MAIN!I$8+MAIN!E34+MAIN!C34/2</f>
        <v>54</v>
      </c>
      <c r="D66" s="262" t="str">
        <f>D14</f>
        <v>mm</v>
      </c>
      <c r="E66" s="263" t="str">
        <f>E14</f>
        <v>d =</v>
      </c>
      <c r="F66" s="261">
        <f>IF(I66=0,0,MAIN!C$14-C66)</f>
        <v>246</v>
      </c>
      <c r="G66" s="262" t="str">
        <f>G14</f>
        <v>mm</v>
      </c>
      <c r="H66" s="263" t="str">
        <f>H14</f>
        <v>Asc =</v>
      </c>
      <c r="I66" s="264">
        <f>IF(MAIN!I34="ok",MAIN!C$13*MAIN!C$14*MAIN!D34/100,0)</f>
        <v>6433.9817545518981</v>
      </c>
      <c r="J66" s="262" t="str">
        <f>J14</f>
        <v>mm²</v>
      </c>
      <c r="K66" s="263" t="s">
        <v>48</v>
      </c>
      <c r="L66" s="261">
        <f>(F66-C66)/(MAIN!C$15-1)</f>
        <v>192</v>
      </c>
      <c r="M66" s="262" t="s">
        <v>14</v>
      </c>
      <c r="N66" s="263" t="s">
        <v>17</v>
      </c>
      <c r="O66" s="280">
        <f>I66*MAIN!C$16/MAIN!Q$1*(200000*F$8-C$9-C$10)</f>
        <v>780283.46843609109</v>
      </c>
      <c r="P66" s="45"/>
      <c r="Q66" s="45"/>
      <c r="R66" s="45"/>
      <c r="S66" s="45"/>
      <c r="T66" s="45"/>
      <c r="U66" s="45"/>
      <c r="V66" s="45"/>
      <c r="W66" s="45"/>
      <c r="X66" s="45"/>
      <c r="Y66" s="45"/>
      <c r="Z66" s="45"/>
      <c r="AA66" s="45"/>
      <c r="AB66" s="45"/>
      <c r="AC66" s="45"/>
      <c r="AD66" s="45"/>
      <c r="AE66" s="45"/>
      <c r="AF66" s="45"/>
      <c r="AG66" s="45"/>
      <c r="AH66" s="45"/>
      <c r="AI66" s="289"/>
      <c r="AJ66" s="45"/>
      <c r="AK66" s="45"/>
      <c r="AL66" s="45"/>
      <c r="AM66" s="45"/>
      <c r="AN66" s="45"/>
      <c r="AO66" s="45"/>
      <c r="AP66" s="45"/>
      <c r="AQ66" s="45"/>
      <c r="AS66" s="45"/>
      <c r="BS66"/>
      <c r="BT66"/>
    </row>
    <row r="67" spans="2:72" ht="18.75">
      <c r="B67" s="265"/>
      <c r="C67" s="266"/>
      <c r="D67" s="267"/>
      <c r="E67" s="268" t="str">
        <f>E15</f>
        <v>Interval =</v>
      </c>
      <c r="F67" s="269">
        <f>(AR69-D69)/40</f>
        <v>2.6147599716591929</v>
      </c>
      <c r="G67" s="270" t="s">
        <v>50</v>
      </c>
      <c r="H67" s="281"/>
      <c r="I67" s="281"/>
      <c r="J67" s="281"/>
      <c r="K67" s="281"/>
      <c r="L67" s="281"/>
      <c r="M67" s="281"/>
      <c r="N67" s="282" t="s">
        <v>120</v>
      </c>
      <c r="O67" s="283">
        <f>-100000*F$8*C66*I66*MAIN!C$16/MAIN!Q$1*2</f>
        <v>-121602255.16103087</v>
      </c>
      <c r="P67" s="49"/>
      <c r="Q67" s="49"/>
      <c r="R67" s="49"/>
      <c r="S67" s="49"/>
      <c r="T67" s="49"/>
      <c r="U67" s="49"/>
      <c r="V67" s="49"/>
      <c r="W67" s="49"/>
      <c r="X67" s="49"/>
      <c r="Y67" s="49"/>
      <c r="Z67" s="49"/>
      <c r="AA67" s="49"/>
      <c r="AB67" s="49"/>
      <c r="AC67" s="49"/>
      <c r="AD67" s="49"/>
      <c r="AE67" s="49"/>
      <c r="AF67" s="49"/>
      <c r="AG67" s="289"/>
      <c r="AH67" s="49"/>
      <c r="AI67" s="310"/>
      <c r="AJ67" s="49"/>
      <c r="AK67" s="49"/>
      <c r="AL67" s="49"/>
      <c r="AM67" s="49"/>
      <c r="AN67" s="49"/>
      <c r="AO67" s="49"/>
      <c r="AP67" s="49"/>
      <c r="AQ67" s="49"/>
      <c r="AR67" s="49" t="s">
        <v>49</v>
      </c>
      <c r="AS67" s="50">
        <f>IF(I66=0,0,(BK69-AR69)/19)</f>
        <v>11.750151240169389</v>
      </c>
      <c r="AT67" s="46" t="s">
        <v>121</v>
      </c>
      <c r="BS67"/>
      <c r="BT67"/>
    </row>
    <row r="68" spans="2:72" ht="15.75">
      <c r="C68" s="51"/>
      <c r="D68" s="52"/>
      <c r="E68" s="52"/>
      <c r="F68" s="52"/>
      <c r="G68" s="52"/>
      <c r="H68" s="52"/>
      <c r="I68" s="52"/>
      <c r="J68" s="52"/>
      <c r="K68" s="52"/>
      <c r="L68" s="52"/>
      <c r="M68" s="52"/>
      <c r="N68" s="45"/>
      <c r="O68" s="52"/>
      <c r="P68" s="52"/>
      <c r="Q68" s="52"/>
      <c r="R68" s="52"/>
      <c r="S68" s="52"/>
      <c r="T68" s="52"/>
      <c r="U68" s="52"/>
      <c r="V68" s="52"/>
      <c r="W68" s="52"/>
      <c r="X68" s="52"/>
      <c r="Y68" s="52"/>
      <c r="Z68" s="52"/>
      <c r="AA68" s="52"/>
      <c r="AB68" s="52"/>
      <c r="AC68" s="52"/>
      <c r="AD68" s="52"/>
      <c r="AE68" s="52"/>
      <c r="AF68" s="52"/>
      <c r="AG68" s="52"/>
      <c r="AH68" s="52"/>
      <c r="AI68" s="52"/>
      <c r="AJ68" s="52"/>
      <c r="AK68" s="52"/>
      <c r="AL68" s="52"/>
      <c r="AM68" s="52"/>
      <c r="AN68" s="52"/>
      <c r="AO68" s="52"/>
      <c r="AP68" s="52"/>
      <c r="AQ68" s="52"/>
      <c r="AR68" s="52"/>
      <c r="AS68" s="52"/>
      <c r="BK68" s="53"/>
      <c r="BL68" s="53"/>
      <c r="BM68" s="53"/>
      <c r="BN68" s="53"/>
      <c r="BO68" s="288" t="s">
        <v>51</v>
      </c>
      <c r="BS68"/>
      <c r="BT68"/>
    </row>
    <row r="69" spans="2:72" ht="16.5">
      <c r="B69" s="284" t="s">
        <v>115</v>
      </c>
      <c r="C69" s="297" t="s">
        <v>52</v>
      </c>
      <c r="D69" s="285">
        <f>0.8*(-O66+SQRT(O66^2-4*O65*O67))/2/O65</f>
        <v>47.156727570413878</v>
      </c>
      <c r="E69" s="286">
        <f t="shared" ref="E69:AQ69" si="37">D69+$F67</f>
        <v>49.771487542073068</v>
      </c>
      <c r="F69" s="286">
        <f t="shared" si="37"/>
        <v>52.386247513732258</v>
      </c>
      <c r="G69" s="286">
        <f t="shared" si="37"/>
        <v>55.001007485391447</v>
      </c>
      <c r="H69" s="286">
        <f t="shared" si="37"/>
        <v>57.615767457050637</v>
      </c>
      <c r="I69" s="286">
        <f t="shared" si="37"/>
        <v>60.230527428709827</v>
      </c>
      <c r="J69" s="286">
        <f t="shared" si="37"/>
        <v>62.845287400369017</v>
      </c>
      <c r="K69" s="286">
        <f t="shared" si="37"/>
        <v>65.460047372028214</v>
      </c>
      <c r="L69" s="286">
        <f t="shared" si="37"/>
        <v>68.074807343687411</v>
      </c>
      <c r="M69" s="286">
        <f t="shared" si="37"/>
        <v>70.689567315346608</v>
      </c>
      <c r="N69" s="286">
        <f t="shared" si="37"/>
        <v>73.304327287005805</v>
      </c>
      <c r="O69" s="286">
        <f t="shared" si="37"/>
        <v>75.919087258665002</v>
      </c>
      <c r="P69" s="286">
        <f t="shared" si="37"/>
        <v>78.533847230324199</v>
      </c>
      <c r="Q69" s="286">
        <f t="shared" si="37"/>
        <v>81.148607201983395</v>
      </c>
      <c r="R69" s="286">
        <f t="shared" si="37"/>
        <v>83.763367173642592</v>
      </c>
      <c r="S69" s="286">
        <f t="shared" si="37"/>
        <v>86.378127145301789</v>
      </c>
      <c r="T69" s="286">
        <f t="shared" si="37"/>
        <v>88.992887116960986</v>
      </c>
      <c r="U69" s="286">
        <f t="shared" si="37"/>
        <v>91.607647088620183</v>
      </c>
      <c r="V69" s="286">
        <f t="shared" si="37"/>
        <v>94.22240706027938</v>
      </c>
      <c r="W69" s="286">
        <f t="shared" si="37"/>
        <v>96.837167031938577</v>
      </c>
      <c r="X69" s="286">
        <f t="shared" si="37"/>
        <v>99.451927003597774</v>
      </c>
      <c r="Y69" s="286">
        <f t="shared" si="37"/>
        <v>102.06668697525697</v>
      </c>
      <c r="Z69" s="286">
        <f t="shared" si="37"/>
        <v>104.68144694691617</v>
      </c>
      <c r="AA69" s="286">
        <f t="shared" si="37"/>
        <v>107.29620691857536</v>
      </c>
      <c r="AB69" s="286">
        <f t="shared" si="37"/>
        <v>109.91096689023456</v>
      </c>
      <c r="AC69" s="286">
        <f t="shared" si="37"/>
        <v>112.52572686189376</v>
      </c>
      <c r="AD69" s="286">
        <f t="shared" si="37"/>
        <v>115.14048683355296</v>
      </c>
      <c r="AE69" s="286">
        <f t="shared" si="37"/>
        <v>117.75524680521215</v>
      </c>
      <c r="AF69" s="286">
        <f t="shared" si="37"/>
        <v>120.37000677687135</v>
      </c>
      <c r="AG69" s="286">
        <f t="shared" si="37"/>
        <v>122.98476674853055</v>
      </c>
      <c r="AH69" s="286">
        <f t="shared" si="37"/>
        <v>125.59952672018974</v>
      </c>
      <c r="AI69" s="286">
        <f t="shared" si="37"/>
        <v>128.21428669184894</v>
      </c>
      <c r="AJ69" s="286">
        <f t="shared" si="37"/>
        <v>130.82904666350814</v>
      </c>
      <c r="AK69" s="286">
        <f t="shared" si="37"/>
        <v>133.44380663516733</v>
      </c>
      <c r="AL69" s="286">
        <f t="shared" si="37"/>
        <v>136.05856660682653</v>
      </c>
      <c r="AM69" s="286">
        <f t="shared" si="37"/>
        <v>138.67332657848573</v>
      </c>
      <c r="AN69" s="286">
        <f t="shared" si="37"/>
        <v>141.28808655014493</v>
      </c>
      <c r="AO69" s="286">
        <f t="shared" si="37"/>
        <v>143.90284652180412</v>
      </c>
      <c r="AP69" s="286">
        <f t="shared" si="37"/>
        <v>146.51760649346332</v>
      </c>
      <c r="AQ69" s="286">
        <f t="shared" si="37"/>
        <v>149.13236646512252</v>
      </c>
      <c r="AR69" s="62">
        <f>200000*F$8/C$10*F66/(1+200000*F$8/C$10)</f>
        <v>151.7471264367816</v>
      </c>
      <c r="AS69" s="286">
        <f t="shared" ref="AS69:BJ69" si="38">AR69+$AS67</f>
        <v>163.497277676951</v>
      </c>
      <c r="AT69" s="286">
        <f t="shared" si="38"/>
        <v>175.2474289171204</v>
      </c>
      <c r="AU69" s="286">
        <f t="shared" si="38"/>
        <v>186.9975801572898</v>
      </c>
      <c r="AV69" s="286">
        <f t="shared" si="38"/>
        <v>198.74773139745921</v>
      </c>
      <c r="AW69" s="286">
        <f t="shared" si="38"/>
        <v>210.49788263762861</v>
      </c>
      <c r="AX69" s="286">
        <f t="shared" si="38"/>
        <v>222.24803387779801</v>
      </c>
      <c r="AY69" s="286">
        <f t="shared" si="38"/>
        <v>233.99818511796741</v>
      </c>
      <c r="AZ69" s="286">
        <f t="shared" si="38"/>
        <v>245.74833635813681</v>
      </c>
      <c r="BA69" s="286">
        <f t="shared" si="38"/>
        <v>257.49848759830621</v>
      </c>
      <c r="BB69" s="286">
        <f t="shared" si="38"/>
        <v>269.24863883847559</v>
      </c>
      <c r="BC69" s="286">
        <f t="shared" si="38"/>
        <v>280.99879007864496</v>
      </c>
      <c r="BD69" s="286">
        <f t="shared" si="38"/>
        <v>292.74894131881433</v>
      </c>
      <c r="BE69" s="286">
        <f t="shared" si="38"/>
        <v>304.4990925589837</v>
      </c>
      <c r="BF69" s="286">
        <f t="shared" si="38"/>
        <v>316.24924379915308</v>
      </c>
      <c r="BG69" s="286">
        <f t="shared" si="38"/>
        <v>327.99939503932245</v>
      </c>
      <c r="BH69" s="286">
        <f t="shared" si="38"/>
        <v>339.74954627949182</v>
      </c>
      <c r="BI69" s="286">
        <f t="shared" si="38"/>
        <v>351.4996975196612</v>
      </c>
      <c r="BJ69" s="286">
        <f t="shared" si="38"/>
        <v>363.24984875983057</v>
      </c>
      <c r="BK69" s="286">
        <f>BK17</f>
        <v>375</v>
      </c>
      <c r="BL69" s="286">
        <f>BL17</f>
        <v>550</v>
      </c>
      <c r="BM69" s="286">
        <f>BM17</f>
        <v>725</v>
      </c>
      <c r="BN69" s="286">
        <f>BN17</f>
        <v>900</v>
      </c>
      <c r="BO69" s="287"/>
      <c r="BS69"/>
      <c r="BT69"/>
    </row>
    <row r="70" spans="2:72" ht="16.5">
      <c r="B70" s="290" t="s">
        <v>53</v>
      </c>
      <c r="C70" s="298" t="s">
        <v>54</v>
      </c>
      <c r="D70" s="3">
        <f>MIN($C$8*D69,MAIN!$C$14)*MAIN!$C$13*$C$9</f>
        <v>1026130.3919322062</v>
      </c>
      <c r="E70" s="304">
        <f>MIN($C$8*E69,MAIN!$C$14)*MAIN!$C$13*$C$9</f>
        <v>1083027.5689155101</v>
      </c>
      <c r="F70" s="304">
        <f>MIN($C$8*F69,MAIN!$C$14)*MAIN!$C$13*$C$9</f>
        <v>1139924.7458988142</v>
      </c>
      <c r="G70" s="304">
        <f>MIN($C$8*G69,MAIN!$C$14)*MAIN!$C$13*$C$9</f>
        <v>1196821.922882118</v>
      </c>
      <c r="H70" s="304">
        <f>MIN($C$8*H69,MAIN!$C$14)*MAIN!$C$13*$C$9</f>
        <v>1253719.0998654219</v>
      </c>
      <c r="I70" s="304">
        <f>MIN($C$8*I69,MAIN!$C$14)*MAIN!$C$13*$C$9</f>
        <v>1310616.276848726</v>
      </c>
      <c r="J70" s="304">
        <f>MIN($C$8*J69,MAIN!$C$14)*MAIN!$C$13*$C$9</f>
        <v>1367513.4538320298</v>
      </c>
      <c r="K70" s="304">
        <f>MIN($C$8*K69,MAIN!$C$14)*MAIN!$C$13*$C$9</f>
        <v>1424410.6308153342</v>
      </c>
      <c r="L70" s="304">
        <f>MIN($C$8*L69,MAIN!$C$14)*MAIN!$C$13*$C$9</f>
        <v>1481307.8077986382</v>
      </c>
      <c r="M70" s="304">
        <f>MIN($C$8*M69,MAIN!$C$14)*MAIN!$C$13*$C$9</f>
        <v>1538204.9847819423</v>
      </c>
      <c r="N70" s="304">
        <f>MIN($C$8*N69,MAIN!$C$14)*MAIN!$C$13*$C$9</f>
        <v>1595102.1617652467</v>
      </c>
      <c r="O70" s="304">
        <f>MIN($C$8*O69,MAIN!$C$14)*MAIN!$C$13*$C$9</f>
        <v>1651999.3387485505</v>
      </c>
      <c r="P70" s="304">
        <f>MIN($C$8*P69,MAIN!$C$14)*MAIN!$C$13*$C$9</f>
        <v>1708896.5157318546</v>
      </c>
      <c r="Q70" s="304">
        <f>MIN($C$8*Q69,MAIN!$C$14)*MAIN!$C$13*$C$9</f>
        <v>1765793.6927151587</v>
      </c>
      <c r="R70" s="304">
        <f>MIN($C$8*R69,MAIN!$C$14)*MAIN!$C$13*$C$9</f>
        <v>1822690.869698463</v>
      </c>
      <c r="S70" s="304">
        <f>MIN($C$8*S69,MAIN!$C$14)*MAIN!$C$13*$C$9</f>
        <v>1879588.0466817671</v>
      </c>
      <c r="T70" s="304">
        <f>MIN($C$8*T69,MAIN!$C$14)*MAIN!$C$13*$C$9</f>
        <v>1936485.2236650712</v>
      </c>
      <c r="U70" s="304">
        <f>MIN($C$8*U69,MAIN!$C$14)*MAIN!$C$13*$C$9</f>
        <v>1993382.4006483755</v>
      </c>
      <c r="V70" s="304">
        <f>MIN($C$8*V69,MAIN!$C$14)*MAIN!$C$13*$C$9</f>
        <v>2050279.5776316796</v>
      </c>
      <c r="W70" s="304">
        <f>MIN($C$8*W69,MAIN!$C$14)*MAIN!$C$13*$C$9</f>
        <v>2107176.7546149837</v>
      </c>
      <c r="X70" s="304">
        <f>MIN($C$8*X69,MAIN!$C$14)*MAIN!$C$13*$C$9</f>
        <v>2164073.9315982875</v>
      </c>
      <c r="Y70" s="304">
        <f>MIN($C$8*Y69,MAIN!$C$14)*MAIN!$C$13*$C$9</f>
        <v>2220971.1085815923</v>
      </c>
      <c r="Z70" s="304">
        <f>MIN($C$8*Z69,MAIN!$C$14)*MAIN!$C$13*$C$9</f>
        <v>2277868.2855648962</v>
      </c>
      <c r="AA70" s="304">
        <f>MIN($C$8*AA69,MAIN!$C$14)*MAIN!$C$13*$C$9</f>
        <v>2334765.4625482</v>
      </c>
      <c r="AB70" s="304">
        <f>MIN($C$8*AB69,MAIN!$C$14)*MAIN!$C$13*$C$9</f>
        <v>2391662.6395315048</v>
      </c>
      <c r="AC70" s="304">
        <f>MIN($C$8*AC69,MAIN!$C$14)*MAIN!$C$13*$C$9</f>
        <v>2448559.8165148087</v>
      </c>
      <c r="AD70" s="304">
        <f>MIN($C$8*AD69,MAIN!$C$14)*MAIN!$C$13*$C$9</f>
        <v>2505456.9934981125</v>
      </c>
      <c r="AE70" s="304">
        <f>MIN($C$8*AE69,MAIN!$C$14)*MAIN!$C$13*$C$9</f>
        <v>2562354.1704814164</v>
      </c>
      <c r="AF70" s="304">
        <f>MIN($C$8*AF69,MAIN!$C$14)*MAIN!$C$13*$C$9</f>
        <v>2619251.3474647212</v>
      </c>
      <c r="AG70" s="304">
        <f>MIN($C$8*AG69,MAIN!$C$14)*MAIN!$C$13*$C$9</f>
        <v>2676148.524448025</v>
      </c>
      <c r="AH70" s="304">
        <f>MIN($C$8*AH69,MAIN!$C$14)*MAIN!$C$13*$C$9</f>
        <v>2733045.7014313289</v>
      </c>
      <c r="AI70" s="304">
        <f>MIN($C$8*AI69,MAIN!$C$14)*MAIN!$C$13*$C$9</f>
        <v>2789942.8784146332</v>
      </c>
      <c r="AJ70" s="304">
        <f>MIN($C$8*AJ69,MAIN!$C$14)*MAIN!$C$13*$C$9</f>
        <v>2846840.0553979375</v>
      </c>
      <c r="AK70" s="304">
        <f>MIN($C$8*AK69,MAIN!$C$14)*MAIN!$C$13*$C$9</f>
        <v>2903737.2323812414</v>
      </c>
      <c r="AL70" s="304">
        <f>MIN($C$8*AL69,MAIN!$C$14)*MAIN!$C$13*$C$9</f>
        <v>2960634.4093645457</v>
      </c>
      <c r="AM70" s="304">
        <f>MIN($C$8*AM69,MAIN!$C$14)*MAIN!$C$13*$C$9</f>
        <v>3017531.58634785</v>
      </c>
      <c r="AN70" s="304">
        <f>MIN($C$8*AN69,MAIN!$C$14)*MAIN!$C$13*$C$9</f>
        <v>3074428.7633311539</v>
      </c>
      <c r="AO70" s="304">
        <f>MIN($C$8*AO69,MAIN!$C$14)*MAIN!$C$13*$C$9</f>
        <v>3131325.9403144578</v>
      </c>
      <c r="AP70" s="304">
        <f>MIN($C$8*AP69,MAIN!$C$14)*MAIN!$C$13*$C$9</f>
        <v>3188223.1172977625</v>
      </c>
      <c r="AQ70" s="304">
        <f>MIN($C$8*AQ69,MAIN!$C$14)*MAIN!$C$13*$C$9</f>
        <v>3245120.2942810664</v>
      </c>
      <c r="AR70" s="56">
        <f>MIN($C$8*AR69,MAIN!$C$14)*MAIN!$C$13*$C$9</f>
        <v>3302017.4712643679</v>
      </c>
      <c r="AS70" s="304">
        <f>MIN($C$8*AS69,MAIN!$C$14)*MAIN!$C$13*$C$9</f>
        <v>3557700.7622504542</v>
      </c>
      <c r="AT70" s="304">
        <f>MIN($C$8*AT69,MAIN!$C$14)*MAIN!$C$13*$C$9</f>
        <v>3813384.0532365399</v>
      </c>
      <c r="AU70" s="304">
        <f>MIN($C$8*AU69,MAIN!$C$14)*MAIN!$C$13*$C$9</f>
        <v>4069067.3442226266</v>
      </c>
      <c r="AV70" s="304">
        <f>MIN($C$8*AV69,MAIN!$C$14)*MAIN!$C$13*$C$9</f>
        <v>4324750.6352087129</v>
      </c>
      <c r="AW70" s="304">
        <f>MIN($C$8*AW69,MAIN!$C$14)*MAIN!$C$13*$C$9</f>
        <v>4580433.9261947991</v>
      </c>
      <c r="AX70" s="304">
        <f>MIN($C$8*AX69,MAIN!$C$14)*MAIN!$C$13*$C$9</f>
        <v>4836117.2171808844</v>
      </c>
      <c r="AY70" s="304">
        <f>MIN($C$8*AY69,MAIN!$C$14)*MAIN!$C$13*$C$9</f>
        <v>5091800.5081669716</v>
      </c>
      <c r="AZ70" s="304">
        <f>MIN($C$8*AZ69,MAIN!$C$14)*MAIN!$C$13*$C$9</f>
        <v>5347483.7991530579</v>
      </c>
      <c r="BA70" s="304">
        <f>MIN($C$8*BA69,MAIN!$C$14)*MAIN!$C$13*$C$9</f>
        <v>5603167.0901391441</v>
      </c>
      <c r="BB70" s="304">
        <f>MIN($C$8*BB69,MAIN!$C$14)*MAIN!$C$13*$C$9</f>
        <v>5858850.3811252294</v>
      </c>
      <c r="BC70" s="304">
        <f>MIN($C$8*BC69,MAIN!$C$14)*MAIN!$C$13*$C$9</f>
        <v>6114533.6721113157</v>
      </c>
      <c r="BD70" s="304">
        <f>MIN($C$8*BD69,MAIN!$C$14)*MAIN!$C$13*$C$9</f>
        <v>6370216.963097401</v>
      </c>
      <c r="BE70" s="304">
        <f>MIN($C$8*BE69,MAIN!$C$14)*MAIN!$C$13*$C$9</f>
        <v>6625900.2540834863</v>
      </c>
      <c r="BF70" s="304">
        <f>MIN($C$8*BF69,MAIN!$C$14)*MAIN!$C$13*$C$9</f>
        <v>6881583.5450695716</v>
      </c>
      <c r="BG70" s="304">
        <f>MIN($C$8*BG69,MAIN!$C$14)*MAIN!$C$13*$C$9</f>
        <v>7137266.8360556569</v>
      </c>
      <c r="BH70" s="304">
        <f>MIN($C$8*BH69,MAIN!$C$14)*MAIN!$C$13*$C$9</f>
        <v>7392950.1270417422</v>
      </c>
      <c r="BI70" s="304">
        <f>MIN($C$8*BI69,MAIN!$C$14)*MAIN!$C$13*$C$9</f>
        <v>7648633.4180278275</v>
      </c>
      <c r="BJ70" s="304">
        <f>MIN($C$8*BJ69,MAIN!$C$14)*MAIN!$C$13*$C$9</f>
        <v>7904316.7090139138</v>
      </c>
      <c r="BK70" s="304">
        <f>MIN($C$8*BK69,MAIN!$C$14)*MAIN!$C$13*$C$9</f>
        <v>8160000</v>
      </c>
      <c r="BL70" s="304">
        <f>MIN($C$8*BL69,MAIN!$C$14)*MAIN!$C$13*$C$9</f>
        <v>8160000</v>
      </c>
      <c r="BM70" s="304">
        <f>MIN($C$8*BM69,MAIN!$C$14)*MAIN!$C$13*$C$9</f>
        <v>8160000</v>
      </c>
      <c r="BN70" s="304">
        <f>MIN($C$8*BN69,MAIN!$C$14)*MAIN!$C$13*$C$9</f>
        <v>8160000</v>
      </c>
      <c r="BO70" s="3">
        <f>MAIN!$C$13*MAIN!$C$14*$C$9</f>
        <v>8160000</v>
      </c>
      <c r="BS70"/>
      <c r="BT70"/>
    </row>
    <row r="71" spans="2:72" ht="16.5">
      <c r="B71" s="4">
        <v>2</v>
      </c>
      <c r="C71" s="299" t="s">
        <v>55</v>
      </c>
      <c r="D71" s="5">
        <f>IF(C66+L66&gt;=F66,0,C66+L66)</f>
        <v>0</v>
      </c>
      <c r="E71" s="6"/>
      <c r="F71" s="6"/>
      <c r="G71" s="6"/>
      <c r="H71" s="6"/>
      <c r="I71" s="6"/>
      <c r="J71" s="6"/>
      <c r="K71" s="6"/>
      <c r="L71" s="6"/>
      <c r="M71" s="6"/>
      <c r="N71" s="6"/>
      <c r="O71" s="6"/>
      <c r="P71" s="6"/>
      <c r="Q71" s="6"/>
      <c r="R71" s="6"/>
      <c r="S71" s="6"/>
      <c r="T71" s="6"/>
      <c r="U71" s="6"/>
      <c r="V71" s="6"/>
      <c r="W71" s="6"/>
      <c r="X71" s="6"/>
      <c r="Y71" s="6"/>
      <c r="Z71" s="6"/>
      <c r="AA71" s="6"/>
      <c r="AB71" s="6"/>
      <c r="AC71" s="6"/>
      <c r="AD71" s="6"/>
      <c r="AE71" s="6"/>
      <c r="AF71" s="6"/>
      <c r="AG71" s="6"/>
      <c r="AH71" s="6"/>
      <c r="AI71" s="6"/>
      <c r="AJ71" s="6"/>
      <c r="AK71" s="6"/>
      <c r="AL71" s="6"/>
      <c r="AM71" s="6"/>
      <c r="AN71" s="6"/>
      <c r="AO71" s="6"/>
      <c r="AP71" s="6"/>
      <c r="AQ71" s="6"/>
      <c r="AR71" s="57"/>
      <c r="AS71" s="6"/>
      <c r="AT71" s="6"/>
      <c r="AU71" s="6"/>
      <c r="AV71" s="6"/>
      <c r="AW71" s="6"/>
      <c r="AX71" s="6"/>
      <c r="AY71" s="6"/>
      <c r="AZ71" s="6"/>
      <c r="BA71" s="6"/>
      <c r="BB71" s="6"/>
      <c r="BC71" s="6"/>
      <c r="BD71" s="6"/>
      <c r="BE71" s="6"/>
      <c r="BF71" s="6"/>
      <c r="BG71" s="6"/>
      <c r="BH71" s="6"/>
      <c r="BI71" s="6"/>
      <c r="BJ71" s="6"/>
      <c r="BK71" s="6"/>
      <c r="BL71" s="6"/>
      <c r="BM71" s="6"/>
      <c r="BN71" s="6"/>
      <c r="BO71" s="7"/>
      <c r="BS71"/>
      <c r="BT71"/>
    </row>
    <row r="72" spans="2:72" ht="16.5">
      <c r="B72" s="4">
        <f t="shared" ref="B72:B78" si="39">1+B71</f>
        <v>3</v>
      </c>
      <c r="C72" s="299" t="s">
        <v>55</v>
      </c>
      <c r="D72" s="5">
        <f>IF(C66+B71*L66&gt;=F66,0,C66+B71*L66)</f>
        <v>0</v>
      </c>
      <c r="E72" s="6"/>
      <c r="F72" s="6"/>
      <c r="G72" s="6"/>
      <c r="H72" s="6"/>
      <c r="I72" s="6"/>
      <c r="J72" s="6"/>
      <c r="K72" s="6"/>
      <c r="L72" s="6"/>
      <c r="M72" s="6"/>
      <c r="N72" s="6"/>
      <c r="O72" s="6"/>
      <c r="P72" s="6"/>
      <c r="Q72" s="6"/>
      <c r="R72" s="6"/>
      <c r="S72" s="6"/>
      <c r="T72" s="6"/>
      <c r="U72" s="6"/>
      <c r="V72" s="6"/>
      <c r="W72" s="6"/>
      <c r="X72" s="6"/>
      <c r="Y72" s="6"/>
      <c r="Z72" s="6"/>
      <c r="AA72" s="6"/>
      <c r="AB72" s="6"/>
      <c r="AC72" s="6"/>
      <c r="AD72" s="6"/>
      <c r="AE72" s="6"/>
      <c r="AF72" s="6"/>
      <c r="AG72" s="6"/>
      <c r="AH72" s="6"/>
      <c r="AI72" s="6"/>
      <c r="AJ72" s="6"/>
      <c r="AK72" s="6"/>
      <c r="AL72" s="6"/>
      <c r="AM72" s="6"/>
      <c r="AN72" s="6"/>
      <c r="AO72" s="6"/>
      <c r="AP72" s="6"/>
      <c r="AQ72" s="6"/>
      <c r="AR72" s="57"/>
      <c r="AS72" s="6"/>
      <c r="AT72" s="6"/>
      <c r="AU72" s="6"/>
      <c r="AV72" s="6"/>
      <c r="AW72" s="6"/>
      <c r="AX72" s="6"/>
      <c r="AY72" s="6"/>
      <c r="AZ72" s="6"/>
      <c r="BA72" s="6"/>
      <c r="BB72" s="6"/>
      <c r="BC72" s="6"/>
      <c r="BD72" s="6"/>
      <c r="BE72" s="6"/>
      <c r="BF72" s="6"/>
      <c r="BG72" s="6"/>
      <c r="BH72" s="6"/>
      <c r="BI72" s="6"/>
      <c r="BJ72" s="6"/>
      <c r="BK72" s="6"/>
      <c r="BL72" s="6"/>
      <c r="BM72" s="6"/>
      <c r="BN72" s="6"/>
      <c r="BO72" s="7"/>
      <c r="BS72"/>
      <c r="BT72"/>
    </row>
    <row r="73" spans="2:72" ht="16.5">
      <c r="B73" s="4">
        <f t="shared" si="39"/>
        <v>4</v>
      </c>
      <c r="C73" s="299" t="s">
        <v>55</v>
      </c>
      <c r="D73" s="5">
        <f>IF(C66+B72*L66&gt;=F66,0,C66+B72*L66)</f>
        <v>0</v>
      </c>
      <c r="E73" s="6"/>
      <c r="F73" s="6"/>
      <c r="G73" s="6"/>
      <c r="H73" s="6"/>
      <c r="I73" s="6"/>
      <c r="J73" s="6"/>
      <c r="K73" s="6"/>
      <c r="L73" s="6"/>
      <c r="M73" s="6"/>
      <c r="N73" s="6"/>
      <c r="O73" s="6"/>
      <c r="P73" s="6"/>
      <c r="Q73" s="6"/>
      <c r="R73" s="6"/>
      <c r="S73" s="6"/>
      <c r="T73" s="6"/>
      <c r="U73" s="6"/>
      <c r="V73" s="6"/>
      <c r="W73" s="6"/>
      <c r="X73" s="6"/>
      <c r="Y73" s="6"/>
      <c r="Z73" s="6"/>
      <c r="AA73" s="6"/>
      <c r="AB73" s="6"/>
      <c r="AC73" s="6"/>
      <c r="AD73" s="6"/>
      <c r="AE73" s="6"/>
      <c r="AF73" s="6"/>
      <c r="AG73" s="6"/>
      <c r="AH73" s="6"/>
      <c r="AI73" s="6"/>
      <c r="AJ73" s="6"/>
      <c r="AK73" s="6"/>
      <c r="AL73" s="6"/>
      <c r="AM73" s="6"/>
      <c r="AN73" s="6"/>
      <c r="AO73" s="6"/>
      <c r="AP73" s="6"/>
      <c r="AQ73" s="6"/>
      <c r="AR73" s="57"/>
      <c r="AS73" s="6"/>
      <c r="AT73" s="6"/>
      <c r="AU73" s="6"/>
      <c r="AV73" s="6"/>
      <c r="AW73" s="6"/>
      <c r="AX73" s="6"/>
      <c r="AY73" s="6"/>
      <c r="AZ73" s="6"/>
      <c r="BA73" s="6"/>
      <c r="BB73" s="6"/>
      <c r="BC73" s="6"/>
      <c r="BD73" s="6"/>
      <c r="BE73" s="6"/>
      <c r="BF73" s="6"/>
      <c r="BG73" s="6"/>
      <c r="BH73" s="6"/>
      <c r="BI73" s="6"/>
      <c r="BJ73" s="6"/>
      <c r="BK73" s="6"/>
      <c r="BL73" s="6"/>
      <c r="BM73" s="6"/>
      <c r="BN73" s="6"/>
      <c r="BO73" s="7"/>
      <c r="BS73"/>
      <c r="BT73"/>
    </row>
    <row r="74" spans="2:72" ht="16.5">
      <c r="B74" s="4">
        <f t="shared" si="39"/>
        <v>5</v>
      </c>
      <c r="C74" s="299" t="s">
        <v>55</v>
      </c>
      <c r="D74" s="5">
        <f>IF(C66+B73*L66&gt;=F66,0,C66+B73*L66)</f>
        <v>0</v>
      </c>
      <c r="E74" s="6"/>
      <c r="F74" s="6"/>
      <c r="G74" s="6"/>
      <c r="H74" s="6"/>
      <c r="I74" s="6"/>
      <c r="J74" s="6"/>
      <c r="K74" s="6"/>
      <c r="L74" s="6"/>
      <c r="M74" s="6"/>
      <c r="N74" s="6"/>
      <c r="O74" s="6"/>
      <c r="P74" s="6"/>
      <c r="Q74" s="6"/>
      <c r="R74" s="6"/>
      <c r="S74" s="6"/>
      <c r="T74" s="6"/>
      <c r="U74" s="6"/>
      <c r="V74" s="6"/>
      <c r="W74" s="6"/>
      <c r="X74" s="6"/>
      <c r="Y74" s="6"/>
      <c r="Z74" s="6"/>
      <c r="AA74" s="6"/>
      <c r="AB74" s="6"/>
      <c r="AC74" s="6"/>
      <c r="AD74" s="6"/>
      <c r="AE74" s="6"/>
      <c r="AF74" s="6"/>
      <c r="AG74" s="6"/>
      <c r="AH74" s="6"/>
      <c r="AI74" s="6"/>
      <c r="AJ74" s="6"/>
      <c r="AK74" s="6"/>
      <c r="AL74" s="6"/>
      <c r="AM74" s="6"/>
      <c r="AN74" s="6"/>
      <c r="AO74" s="6"/>
      <c r="AP74" s="6"/>
      <c r="AQ74" s="6"/>
      <c r="AR74" s="57"/>
      <c r="AS74" s="6"/>
      <c r="AT74" s="6"/>
      <c r="AU74" s="6"/>
      <c r="AV74" s="6"/>
      <c r="AW74" s="6"/>
      <c r="AX74" s="6"/>
      <c r="AY74" s="6"/>
      <c r="AZ74" s="6"/>
      <c r="BA74" s="6"/>
      <c r="BB74" s="6"/>
      <c r="BC74" s="6"/>
      <c r="BD74" s="6"/>
      <c r="BE74" s="6"/>
      <c r="BF74" s="6"/>
      <c r="BG74" s="6"/>
      <c r="BH74" s="6"/>
      <c r="BI74" s="6"/>
      <c r="BJ74" s="6"/>
      <c r="BK74" s="6"/>
      <c r="BL74" s="6"/>
      <c r="BM74" s="6"/>
      <c r="BN74" s="6"/>
      <c r="BO74" s="7"/>
      <c r="BS74"/>
      <c r="BT74"/>
    </row>
    <row r="75" spans="2:72" ht="16.5">
      <c r="B75" s="4">
        <f t="shared" si="39"/>
        <v>6</v>
      </c>
      <c r="C75" s="299" t="s">
        <v>55</v>
      </c>
      <c r="D75" s="5">
        <f>IF(C66+B74*L66&gt;=F66,0,C66+B74*L66)</f>
        <v>0</v>
      </c>
      <c r="E75" s="6"/>
      <c r="F75" s="6"/>
      <c r="G75" s="6"/>
      <c r="H75" s="6"/>
      <c r="I75" s="6"/>
      <c r="J75" s="6"/>
      <c r="K75" s="6"/>
      <c r="L75" s="6"/>
      <c r="M75" s="6"/>
      <c r="N75" s="6"/>
      <c r="O75" s="6"/>
      <c r="P75" s="6"/>
      <c r="Q75" s="6"/>
      <c r="R75" s="6"/>
      <c r="S75" s="6"/>
      <c r="T75" s="6"/>
      <c r="U75" s="6"/>
      <c r="V75" s="6"/>
      <c r="W75" s="6"/>
      <c r="X75" s="6"/>
      <c r="Y75" s="6"/>
      <c r="Z75" s="6"/>
      <c r="AA75" s="6"/>
      <c r="AB75" s="6"/>
      <c r="AC75" s="6"/>
      <c r="AD75" s="6"/>
      <c r="AE75" s="6"/>
      <c r="AF75" s="6"/>
      <c r="AG75" s="6"/>
      <c r="AH75" s="6"/>
      <c r="AI75" s="6"/>
      <c r="AJ75" s="6"/>
      <c r="AK75" s="6"/>
      <c r="AL75" s="6"/>
      <c r="AM75" s="6"/>
      <c r="AN75" s="6"/>
      <c r="AO75" s="6"/>
      <c r="AP75" s="6"/>
      <c r="AQ75" s="6"/>
      <c r="AR75" s="57"/>
      <c r="AS75" s="6"/>
      <c r="AT75" s="6"/>
      <c r="AU75" s="6"/>
      <c r="AV75" s="6"/>
      <c r="AW75" s="6"/>
      <c r="AX75" s="6"/>
      <c r="AY75" s="6"/>
      <c r="AZ75" s="6"/>
      <c r="BA75" s="6"/>
      <c r="BB75" s="6"/>
      <c r="BC75" s="6"/>
      <c r="BD75" s="6"/>
      <c r="BE75" s="6"/>
      <c r="BF75" s="6"/>
      <c r="BG75" s="6"/>
      <c r="BH75" s="6"/>
      <c r="BI75" s="6"/>
      <c r="BJ75" s="6"/>
      <c r="BK75" s="6"/>
      <c r="BL75" s="6"/>
      <c r="BM75" s="6"/>
      <c r="BN75" s="6"/>
      <c r="BO75" s="7"/>
      <c r="BS75"/>
      <c r="BT75"/>
    </row>
    <row r="76" spans="2:72" ht="16.5">
      <c r="B76" s="4">
        <f t="shared" si="39"/>
        <v>7</v>
      </c>
      <c r="C76" s="299" t="s">
        <v>55</v>
      </c>
      <c r="D76" s="5">
        <f>IF(C66+B75*L66&gt;=F66,0,C66+B75*L66)</f>
        <v>0</v>
      </c>
      <c r="E76" s="6"/>
      <c r="F76" s="6"/>
      <c r="G76" s="6"/>
      <c r="H76" s="6"/>
      <c r="I76" s="6"/>
      <c r="J76" s="6"/>
      <c r="K76" s="6"/>
      <c r="L76" s="6"/>
      <c r="M76" s="6"/>
      <c r="N76" s="6"/>
      <c r="O76" s="6"/>
      <c r="P76" s="6"/>
      <c r="Q76" s="6"/>
      <c r="R76" s="6"/>
      <c r="S76" s="6"/>
      <c r="T76" s="6"/>
      <c r="U76" s="6"/>
      <c r="V76" s="6"/>
      <c r="W76" s="6"/>
      <c r="X76" s="6"/>
      <c r="Y76" s="6"/>
      <c r="Z76" s="6"/>
      <c r="AA76" s="6"/>
      <c r="AB76" s="6"/>
      <c r="AC76" s="6"/>
      <c r="AD76" s="6"/>
      <c r="AE76" s="6"/>
      <c r="AF76" s="6"/>
      <c r="AG76" s="6"/>
      <c r="AH76" s="6"/>
      <c r="AI76" s="6"/>
      <c r="AJ76" s="6"/>
      <c r="AK76" s="6"/>
      <c r="AL76" s="6"/>
      <c r="AM76" s="6"/>
      <c r="AN76" s="6"/>
      <c r="AO76" s="6"/>
      <c r="AP76" s="6"/>
      <c r="AQ76" s="6"/>
      <c r="AR76" s="57"/>
      <c r="AS76" s="6"/>
      <c r="AT76" s="6"/>
      <c r="AU76" s="6"/>
      <c r="AV76" s="6"/>
      <c r="AW76" s="6"/>
      <c r="AX76" s="6"/>
      <c r="AY76" s="6"/>
      <c r="AZ76" s="6"/>
      <c r="BA76" s="6"/>
      <c r="BB76" s="6"/>
      <c r="BC76" s="6"/>
      <c r="BD76" s="6"/>
      <c r="BE76" s="6"/>
      <c r="BF76" s="6"/>
      <c r="BG76" s="6"/>
      <c r="BH76" s="6"/>
      <c r="BI76" s="6"/>
      <c r="BJ76" s="6"/>
      <c r="BK76" s="6"/>
      <c r="BL76" s="6"/>
      <c r="BM76" s="6"/>
      <c r="BN76" s="6"/>
      <c r="BO76" s="7"/>
      <c r="BS76"/>
      <c r="BT76"/>
    </row>
    <row r="77" spans="2:72" ht="16.5">
      <c r="B77" s="4">
        <f t="shared" si="39"/>
        <v>8</v>
      </c>
      <c r="C77" s="299" t="s">
        <v>55</v>
      </c>
      <c r="D77" s="5">
        <f>IF(C66+B76*L66&gt;=F66,0,C66+B76*L66)</f>
        <v>0</v>
      </c>
      <c r="E77" s="6"/>
      <c r="F77" s="6"/>
      <c r="G77" s="6"/>
      <c r="H77" s="6"/>
      <c r="I77" s="6"/>
      <c r="J77" s="6"/>
      <c r="K77" s="6"/>
      <c r="L77" s="6"/>
      <c r="M77" s="6"/>
      <c r="N77" s="6"/>
      <c r="O77" s="6"/>
      <c r="P77" s="6"/>
      <c r="Q77" s="6"/>
      <c r="R77" s="6"/>
      <c r="S77" s="6"/>
      <c r="T77" s="6"/>
      <c r="U77" s="6"/>
      <c r="V77" s="6"/>
      <c r="W77" s="6"/>
      <c r="X77" s="6"/>
      <c r="Y77" s="6"/>
      <c r="Z77" s="6"/>
      <c r="AA77" s="6"/>
      <c r="AB77" s="6"/>
      <c r="AC77" s="6"/>
      <c r="AD77" s="6"/>
      <c r="AE77" s="6"/>
      <c r="AF77" s="6"/>
      <c r="AG77" s="6"/>
      <c r="AH77" s="6"/>
      <c r="AI77" s="6"/>
      <c r="AJ77" s="6"/>
      <c r="AK77" s="6"/>
      <c r="AL77" s="6"/>
      <c r="AM77" s="6"/>
      <c r="AN77" s="6"/>
      <c r="AO77" s="6"/>
      <c r="AP77" s="6"/>
      <c r="AQ77" s="6"/>
      <c r="AR77" s="57"/>
      <c r="AS77" s="6"/>
      <c r="AT77" s="6"/>
      <c r="AU77" s="6"/>
      <c r="AV77" s="6"/>
      <c r="AW77" s="6"/>
      <c r="AX77" s="6"/>
      <c r="AY77" s="6"/>
      <c r="AZ77" s="6"/>
      <c r="BA77" s="6"/>
      <c r="BB77" s="6"/>
      <c r="BC77" s="6"/>
      <c r="BD77" s="6"/>
      <c r="BE77" s="6"/>
      <c r="BF77" s="6"/>
      <c r="BG77" s="6"/>
      <c r="BH77" s="6"/>
      <c r="BI77" s="6"/>
      <c r="BJ77" s="6"/>
      <c r="BK77" s="6"/>
      <c r="BL77" s="6"/>
      <c r="BM77" s="6"/>
      <c r="BN77" s="6"/>
      <c r="BO77" s="7"/>
      <c r="BS77"/>
      <c r="BT77"/>
    </row>
    <row r="78" spans="2:72" ht="16.5">
      <c r="B78" s="4">
        <f t="shared" si="39"/>
        <v>9</v>
      </c>
      <c r="C78" s="299" t="s">
        <v>55</v>
      </c>
      <c r="D78" s="5">
        <f>IF(C66+B77*L66&gt;=F66,0,C66+B77*L66)</f>
        <v>0</v>
      </c>
      <c r="E78" s="6"/>
      <c r="F78" s="6"/>
      <c r="G78" s="6"/>
      <c r="H78" s="6"/>
      <c r="I78" s="6"/>
      <c r="J78" s="6"/>
      <c r="K78" s="6"/>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57"/>
      <c r="AS78" s="6"/>
      <c r="AT78" s="6"/>
      <c r="AU78" s="6"/>
      <c r="AV78" s="6"/>
      <c r="AW78" s="6"/>
      <c r="AX78" s="6"/>
      <c r="AY78" s="6"/>
      <c r="AZ78" s="6"/>
      <c r="BA78" s="6"/>
      <c r="BB78" s="6"/>
      <c r="BC78" s="6"/>
      <c r="BD78" s="6"/>
      <c r="BE78" s="6"/>
      <c r="BF78" s="6"/>
      <c r="BG78" s="6"/>
      <c r="BH78" s="6"/>
      <c r="BI78" s="6"/>
      <c r="BJ78" s="6"/>
      <c r="BK78" s="6"/>
      <c r="BL78" s="6"/>
      <c r="BM78" s="6"/>
      <c r="BN78" s="6"/>
      <c r="BO78" s="7"/>
      <c r="BS78"/>
      <c r="BT78"/>
    </row>
    <row r="79" spans="2:72" ht="16.5">
      <c r="B79" s="291" t="s">
        <v>116</v>
      </c>
      <c r="C79" s="298" t="s">
        <v>117</v>
      </c>
      <c r="D79" s="3">
        <f>IF(D69&gt;MAIN!$C$14,MAX($F$9,$F$9*D69/(D69-$F$10)),$F$8)</f>
        <v>3.5000000000000001E-3</v>
      </c>
      <c r="E79" s="304">
        <f>IF(E69&gt;MAIN!$C$14,MAX($F$9,$F$9*E69/(E69-$F$10)),$F$8)</f>
        <v>3.5000000000000001E-3</v>
      </c>
      <c r="F79" s="304">
        <f>IF(F69&gt;MAIN!$C$14,MAX($F$9,$F$9*F69/(F69-$F$10)),$F$8)</f>
        <v>3.5000000000000001E-3</v>
      </c>
      <c r="G79" s="304">
        <f>IF(G69&gt;MAIN!$C$14,MAX($F$9,$F$9*G69/(G69-$F$10)),$F$8)</f>
        <v>3.5000000000000001E-3</v>
      </c>
      <c r="H79" s="304">
        <f>IF(H69&gt;MAIN!$C$14,MAX($F$9,$F$9*H69/(H69-$F$10)),$F$8)</f>
        <v>3.5000000000000001E-3</v>
      </c>
      <c r="I79" s="304">
        <f>IF(I69&gt;MAIN!$C$14,MAX($F$9,$F$9*I69/(I69-$F$10)),$F$8)</f>
        <v>3.5000000000000001E-3</v>
      </c>
      <c r="J79" s="304">
        <f>IF(J69&gt;MAIN!$C$14,MAX($F$9,$F$9*J69/(J69-$F$10)),$F$8)</f>
        <v>3.5000000000000001E-3</v>
      </c>
      <c r="K79" s="304">
        <f>IF(K69&gt;MAIN!$C$14,MAX($F$9,$F$9*K69/(K69-$F$10)),$F$8)</f>
        <v>3.5000000000000001E-3</v>
      </c>
      <c r="L79" s="304">
        <f>IF(L69&gt;MAIN!$C$14,MAX($F$9,$F$9*L69/(L69-$F$10)),$F$8)</f>
        <v>3.5000000000000001E-3</v>
      </c>
      <c r="M79" s="304">
        <f>IF(M69&gt;MAIN!$C$14,MAX($F$9,$F$9*M69/(M69-$F$10)),$F$8)</f>
        <v>3.5000000000000001E-3</v>
      </c>
      <c r="N79" s="304">
        <f>IF(N69&gt;MAIN!$C$14,MAX($F$9,$F$9*N69/(N69-$F$10)),$F$8)</f>
        <v>3.5000000000000001E-3</v>
      </c>
      <c r="O79" s="304">
        <f>IF(O69&gt;MAIN!$C$14,MAX($F$9,$F$9*O69/(O69-$F$10)),$F$8)</f>
        <v>3.5000000000000001E-3</v>
      </c>
      <c r="P79" s="304">
        <f>IF(P69&gt;MAIN!$C$14,MAX($F$9,$F$9*P69/(P69-$F$10)),$F$8)</f>
        <v>3.5000000000000001E-3</v>
      </c>
      <c r="Q79" s="304">
        <f>IF(Q69&gt;MAIN!$C$14,MAX($F$9,$F$9*Q69/(Q69-$F$10)),$F$8)</f>
        <v>3.5000000000000001E-3</v>
      </c>
      <c r="R79" s="304">
        <f>IF(R69&gt;MAIN!$C$14,MAX($F$9,$F$9*R69/(R69-$F$10)),$F$8)</f>
        <v>3.5000000000000001E-3</v>
      </c>
      <c r="S79" s="304">
        <f>IF(S69&gt;MAIN!$C$14,MAX($F$9,$F$9*S69/(S69-$F$10)),$F$8)</f>
        <v>3.5000000000000001E-3</v>
      </c>
      <c r="T79" s="304">
        <f>IF(T69&gt;MAIN!$C$14,MAX($F$9,$F$9*T69/(T69-$F$10)),$F$8)</f>
        <v>3.5000000000000001E-3</v>
      </c>
      <c r="U79" s="304">
        <f>IF(U69&gt;MAIN!$C$14,MAX($F$9,$F$9*U69/(U69-$F$10)),$F$8)</f>
        <v>3.5000000000000001E-3</v>
      </c>
      <c r="V79" s="304">
        <f>IF(V69&gt;MAIN!$C$14,MAX($F$9,$F$9*V69/(V69-$F$10)),$F$8)</f>
        <v>3.5000000000000001E-3</v>
      </c>
      <c r="W79" s="304">
        <f>IF(W69&gt;MAIN!$C$14,MAX($F$9,$F$9*W69/(W69-$F$10)),$F$8)</f>
        <v>3.5000000000000001E-3</v>
      </c>
      <c r="X79" s="304">
        <f>IF(X69&gt;MAIN!$C$14,MAX($F$9,$F$9*X69/(X69-$F$10)),$F$8)</f>
        <v>3.5000000000000001E-3</v>
      </c>
      <c r="Y79" s="304">
        <f>IF(Y69&gt;MAIN!$C$14,MAX($F$9,$F$9*Y69/(Y69-$F$10)),$F$8)</f>
        <v>3.5000000000000001E-3</v>
      </c>
      <c r="Z79" s="304">
        <f>IF(Z69&gt;MAIN!$C$14,MAX($F$9,$F$9*Z69/(Z69-$F$10)),$F$8)</f>
        <v>3.5000000000000001E-3</v>
      </c>
      <c r="AA79" s="304">
        <f>IF(AA69&gt;MAIN!$C$14,MAX($F$9,$F$9*AA69/(AA69-$F$10)),$F$8)</f>
        <v>3.5000000000000001E-3</v>
      </c>
      <c r="AB79" s="304">
        <f>IF(AB69&gt;MAIN!$C$14,MAX($F$9,$F$9*AB69/(AB69-$F$10)),$F$8)</f>
        <v>3.5000000000000001E-3</v>
      </c>
      <c r="AC79" s="304">
        <f>IF(AC69&gt;MAIN!$C$14,MAX($F$9,$F$9*AC69/(AC69-$F$10)),$F$8)</f>
        <v>3.5000000000000001E-3</v>
      </c>
      <c r="AD79" s="304">
        <f>IF(AD69&gt;MAIN!$C$14,MAX($F$9,$F$9*AD69/(AD69-$F$10)),$F$8)</f>
        <v>3.5000000000000001E-3</v>
      </c>
      <c r="AE79" s="304">
        <f>IF(AE69&gt;MAIN!$C$14,MAX($F$9,$F$9*AE69/(AE69-$F$10)),$F$8)</f>
        <v>3.5000000000000001E-3</v>
      </c>
      <c r="AF79" s="304">
        <f>IF(AF69&gt;MAIN!$C$14,MAX($F$9,$F$9*AF69/(AF69-$F$10)),$F$8)</f>
        <v>3.5000000000000001E-3</v>
      </c>
      <c r="AG79" s="304">
        <f>IF(AG69&gt;MAIN!$C$14,MAX($F$9,$F$9*AG69/(AG69-$F$10)),$F$8)</f>
        <v>3.5000000000000001E-3</v>
      </c>
      <c r="AH79" s="304">
        <f>IF(AH69&gt;MAIN!$C$14,MAX($F$9,$F$9*AH69/(AH69-$F$10)),$F$8)</f>
        <v>3.5000000000000001E-3</v>
      </c>
      <c r="AI79" s="304">
        <f>IF(AI69&gt;MAIN!$C$14,MAX($F$9,$F$9*AI69/(AI69-$F$10)),$F$8)</f>
        <v>3.5000000000000001E-3</v>
      </c>
      <c r="AJ79" s="304">
        <f>IF(AJ69&gt;MAIN!$C$14,MAX($F$9,$F$9*AJ69/(AJ69-$F$10)),$F$8)</f>
        <v>3.5000000000000001E-3</v>
      </c>
      <c r="AK79" s="304">
        <f>IF(AK69&gt;MAIN!$C$14,MAX($F$9,$F$9*AK69/(AK69-$F$10)),$F$8)</f>
        <v>3.5000000000000001E-3</v>
      </c>
      <c r="AL79" s="304">
        <f>IF(AL69&gt;MAIN!$C$14,MAX($F$9,$F$9*AL69/(AL69-$F$10)),$F$8)</f>
        <v>3.5000000000000001E-3</v>
      </c>
      <c r="AM79" s="304">
        <f>IF(AM69&gt;MAIN!$C$14,MAX($F$9,$F$9*AM69/(AM69-$F$10)),$F$8)</f>
        <v>3.5000000000000001E-3</v>
      </c>
      <c r="AN79" s="304">
        <f>IF(AN69&gt;MAIN!$C$14,MAX($F$9,$F$9*AN69/(AN69-$F$10)),$F$8)</f>
        <v>3.5000000000000001E-3</v>
      </c>
      <c r="AO79" s="304">
        <f>IF(AO69&gt;MAIN!$C$14,MAX($F$9,$F$9*AO69/(AO69-$F$10)),$F$8)</f>
        <v>3.5000000000000001E-3</v>
      </c>
      <c r="AP79" s="304">
        <f>IF(AP69&gt;MAIN!$C$14,MAX($F$9,$F$9*AP69/(AP69-$F$10)),$F$8)</f>
        <v>3.5000000000000001E-3</v>
      </c>
      <c r="AQ79" s="304">
        <f>IF(AQ69&gt;MAIN!$C$14,MAX($F$9,$F$9*AQ69/(AQ69-$F$10)),$F$8)</f>
        <v>3.5000000000000001E-3</v>
      </c>
      <c r="AR79" s="56">
        <f>IF(AR69&gt;MAIN!$C$14,MAX($F$9,$F$9*AR69/(AR69-$F$10)),$F$8)</f>
        <v>3.5000000000000001E-3</v>
      </c>
      <c r="AS79" s="304">
        <f>IF(AS69&gt;MAIN!$C$14,MAX($F$9,$F$9*AS69/(AS69-$F$10)),$F$8)</f>
        <v>3.5000000000000001E-3</v>
      </c>
      <c r="AT79" s="304">
        <f>IF(AT69&gt;MAIN!$C$14,MAX($F$9,$F$9*AT69/(AT69-$F$10)),$F$8)</f>
        <v>3.5000000000000001E-3</v>
      </c>
      <c r="AU79" s="304">
        <f>IF(AU69&gt;MAIN!$C$14,MAX($F$9,$F$9*AU69/(AU69-$F$10)),$F$8)</f>
        <v>3.5000000000000001E-3</v>
      </c>
      <c r="AV79" s="304">
        <f>IF(AV69&gt;MAIN!$C$14,MAX($F$9,$F$9*AV69/(AV69-$F$10)),$F$8)</f>
        <v>3.5000000000000001E-3</v>
      </c>
      <c r="AW79" s="304">
        <f>IF(AW69&gt;MAIN!$C$14,MAX($F$9,$F$9*AW69/(AW69-$F$10)),$F$8)</f>
        <v>3.5000000000000001E-3</v>
      </c>
      <c r="AX79" s="304">
        <f>IF(AX69&gt;MAIN!$C$14,MAX($F$9,$F$9*AX69/(AX69-$F$10)),$F$8)</f>
        <v>3.5000000000000001E-3</v>
      </c>
      <c r="AY79" s="304">
        <f>IF(AY69&gt;MAIN!$C$14,MAX($F$9,$F$9*AY69/(AY69-$F$10)),$F$8)</f>
        <v>3.5000000000000001E-3</v>
      </c>
      <c r="AZ79" s="304">
        <f>IF(AZ69&gt;MAIN!$C$14,MAX($F$9,$F$9*AZ69/(AZ69-$F$10)),$F$8)</f>
        <v>3.5000000000000001E-3</v>
      </c>
      <c r="BA79" s="304">
        <f>IF(BA69&gt;MAIN!$C$14,MAX($F$9,$F$9*BA69/(BA69-$F$10)),$F$8)</f>
        <v>3.5000000000000001E-3</v>
      </c>
      <c r="BB79" s="304">
        <f>IF(BB69&gt;MAIN!$C$14,MAX($F$9,$F$9*BB69/(BB69-$F$10)),$F$8)</f>
        <v>3.5000000000000001E-3</v>
      </c>
      <c r="BC79" s="304">
        <f>IF(BC69&gt;MAIN!$C$14,MAX($F$9,$F$9*BC69/(BC69-$F$10)),$F$8)</f>
        <v>3.5000000000000001E-3</v>
      </c>
      <c r="BD79" s="304">
        <f>IF(BD69&gt;MAIN!$C$14,MAX($F$9,$F$9*BD69/(BD69-$F$10)),$F$8)</f>
        <v>3.5000000000000001E-3</v>
      </c>
      <c r="BE79" s="304">
        <f>IF(BE69&gt;MAIN!$C$14,MAX($F$9,$F$9*BE69/(BE69-$F$10)),$F$8)</f>
        <v>3.4490391053577508E-3</v>
      </c>
      <c r="BF79" s="304">
        <f>IF(BF69&gt;MAIN!$C$14,MAX($F$9,$F$9*BF69/(BF69-$F$10)),$F$8)</f>
        <v>3.3289545504166509E-3</v>
      </c>
      <c r="BG79" s="304">
        <f>IF(BG69&gt;MAIN!$C$14,MAX($F$9,$F$9*BG69/(BG69-$F$10)),$F$8)</f>
        <v>3.2247241132028022E-3</v>
      </c>
      <c r="BH79" s="304">
        <f>IF(BH69&gt;MAIN!$C$14,MAX($F$9,$F$9*BH69/(BH69-$F$10)),$F$8)</f>
        <v>3.1334025174076059E-3</v>
      </c>
      <c r="BI79" s="304">
        <f>IF(BI69&gt;MAIN!$C$14,MAX($F$9,$F$9*BI69/(BI69-$F$10)),$F$8)</f>
        <v>3.0527314841223858E-3</v>
      </c>
      <c r="BJ79" s="304">
        <f>IF(BJ69&gt;MAIN!$C$14,MAX($F$9,$F$9*BJ69/(BJ69-$F$10)),$F$8)</f>
        <v>2.9809504626924104E-3</v>
      </c>
      <c r="BK79" s="304">
        <f>IF(BK69&gt;MAIN!$C$14,MAX($F$9,$F$9*BK69/(BK69-$F$10)),$F$8)</f>
        <v>2.9166666666666668E-3</v>
      </c>
      <c r="BL79" s="304">
        <f>IF(BL69&gt;MAIN!$C$14,MAX($F$9,$F$9*BL69/(BL69-$F$10)),$F$8)</f>
        <v>2.40625E-3</v>
      </c>
      <c r="BM79" s="304">
        <f>IF(BM69&gt;MAIN!$C$14,MAX($F$9,$F$9*BM69/(BM69-$F$10)),$F$8)</f>
        <v>2.2065217391304347E-3</v>
      </c>
      <c r="BN79" s="304">
        <f>IF(BN69&gt;MAIN!$C$14,MAX($F$9,$F$9*BN69/(BN69-$F$10)),$F$8)</f>
        <v>2.0999999999999999E-3</v>
      </c>
      <c r="BO79" s="3">
        <f>$F$9</f>
        <v>1.75E-3</v>
      </c>
      <c r="BS79"/>
      <c r="BT79"/>
    </row>
    <row r="80" spans="2:72" ht="16.5">
      <c r="B80" s="292" t="s">
        <v>118</v>
      </c>
      <c r="C80" s="300" t="s">
        <v>56</v>
      </c>
      <c r="D80" s="8">
        <f t="shared" ref="D80:AI80" si="40">D79*(D69-$C66)/D69</f>
        <v>-5.0791169653974385E-4</v>
      </c>
      <c r="E80" s="305">
        <f t="shared" si="40"/>
        <v>-2.9735485784373295E-4</v>
      </c>
      <c r="F80" s="305">
        <f t="shared" si="40"/>
        <v>-1.0781710792429876E-4</v>
      </c>
      <c r="G80" s="305">
        <f t="shared" si="40"/>
        <v>6.3699309504478092E-5</v>
      </c>
      <c r="H80" s="305">
        <f t="shared" si="40"/>
        <v>2.1964796544819039E-4</v>
      </c>
      <c r="I80" s="305">
        <f t="shared" si="40"/>
        <v>3.6205636794888531E-4</v>
      </c>
      <c r="J80" s="305">
        <f t="shared" si="40"/>
        <v>4.9261459660553282E-4</v>
      </c>
      <c r="K80" s="305">
        <f t="shared" si="40"/>
        <v>6.1274269439710578E-4</v>
      </c>
      <c r="L80" s="305">
        <f t="shared" si="40"/>
        <v>7.2364252834678042E-4</v>
      </c>
      <c r="M80" s="305">
        <f t="shared" si="40"/>
        <v>8.2633814043775651E-4</v>
      </c>
      <c r="N80" s="305">
        <f t="shared" si="40"/>
        <v>9.2170746264384816E-4</v>
      </c>
      <c r="O80" s="305">
        <f t="shared" si="40"/>
        <v>1.0105074780989475E-3</v>
      </c>
      <c r="P80" s="305">
        <f t="shared" si="40"/>
        <v>1.0933943558667069E-3</v>
      </c>
      <c r="Q80" s="305">
        <f t="shared" si="40"/>
        <v>1.1709396930304856E-3</v>
      </c>
      <c r="R80" s="305">
        <f t="shared" si="40"/>
        <v>1.2436437147016733E-3</v>
      </c>
      <c r="S80" s="305">
        <f t="shared" si="40"/>
        <v>1.3119460765562577E-3</v>
      </c>
      <c r="T80" s="305">
        <f t="shared" si="40"/>
        <v>1.3762347629917623E-3</v>
      </c>
      <c r="U80" s="305">
        <f t="shared" si="40"/>
        <v>1.436853461401933E-3</v>
      </c>
      <c r="V80" s="305">
        <f t="shared" si="40"/>
        <v>1.4941077085932856E-3</v>
      </c>
      <c r="W80" s="305">
        <f t="shared" si="40"/>
        <v>1.548270041422582E-3</v>
      </c>
      <c r="X80" s="305">
        <f t="shared" si="40"/>
        <v>1.5995843349203005E-3</v>
      </c>
      <c r="Y80" s="305">
        <f t="shared" si="40"/>
        <v>1.6482694736058455E-3</v>
      </c>
      <c r="Z80" s="305">
        <f t="shared" si="40"/>
        <v>1.6945224725844526E-3</v>
      </c>
      <c r="AA80" s="305">
        <f t="shared" si="40"/>
        <v>1.7385211422857867E-3</v>
      </c>
      <c r="AB80" s="305">
        <f t="shared" si="40"/>
        <v>1.7804263728409399E-3</v>
      </c>
      <c r="AC80" s="305">
        <f t="shared" si="40"/>
        <v>1.8203840999670641E-3</v>
      </c>
      <c r="AD80" s="305">
        <f t="shared" si="40"/>
        <v>1.8585270029888069E-3</v>
      </c>
      <c r="AE80" s="305">
        <f t="shared" si="40"/>
        <v>1.8949759766319443E-3</v>
      </c>
      <c r="AF80" s="305">
        <f t="shared" si="40"/>
        <v>1.9298414109891397E-3</v>
      </c>
      <c r="AG80" s="305">
        <f t="shared" si="40"/>
        <v>1.9632243082067869E-3</v>
      </c>
      <c r="AH80" s="305">
        <f t="shared" si="40"/>
        <v>1.9952172596871833E-3</v>
      </c>
      <c r="AI80" s="305">
        <f t="shared" si="40"/>
        <v>2.0259053037182681E-3</v>
      </c>
      <c r="AJ80" s="305">
        <f t="shared" ref="AJ80:BK80" si="41">AJ79*(AJ69-$C66)/AJ69</f>
        <v>2.0553666802594125E-3</v>
      </c>
      <c r="AK80" s="305">
        <f t="shared" si="41"/>
        <v>2.0836734969894694E-3</v>
      </c>
      <c r="AL80" s="305">
        <f t="shared" si="41"/>
        <v>2.1108923185545509E-3</v>
      </c>
      <c r="AM80" s="305">
        <f t="shared" si="41"/>
        <v>2.1370846891523108E-3</v>
      </c>
      <c r="AN80" s="305">
        <f t="shared" si="41"/>
        <v>2.1623075970887218E-3</v>
      </c>
      <c r="AO80" s="305">
        <f t="shared" si="41"/>
        <v>2.1866138886879991E-3</v>
      </c>
      <c r="AP80" s="305">
        <f t="shared" si="41"/>
        <v>2.210052637882588E-3</v>
      </c>
      <c r="AQ80" s="305">
        <f t="shared" si="41"/>
        <v>2.2326694769226954E-3</v>
      </c>
      <c r="AR80" s="58">
        <f t="shared" si="41"/>
        <v>2.2545068928950156E-3</v>
      </c>
      <c r="AS80" s="305">
        <f t="shared" si="41"/>
        <v>2.3440174497985282E-3</v>
      </c>
      <c r="AT80" s="305">
        <f t="shared" si="41"/>
        <v>2.4215248339570015E-3</v>
      </c>
      <c r="AU80" s="305">
        <f t="shared" si="41"/>
        <v>2.4892917339303221E-3</v>
      </c>
      <c r="AV80" s="305">
        <f t="shared" si="41"/>
        <v>2.5490457492466445E-3</v>
      </c>
      <c r="AW80" s="305">
        <f t="shared" si="41"/>
        <v>2.6021287357775335E-3</v>
      </c>
      <c r="AX80" s="305">
        <f t="shared" si="41"/>
        <v>2.6495987761857064E-3</v>
      </c>
      <c r="AY80" s="305">
        <f t="shared" si="41"/>
        <v>2.6923014278733919E-3</v>
      </c>
      <c r="AZ80" s="305">
        <f t="shared" si="41"/>
        <v>2.7309205311381464E-3</v>
      </c>
      <c r="BA80" s="305">
        <f t="shared" si="41"/>
        <v>2.7660151064854521E-3</v>
      </c>
      <c r="BB80" s="305">
        <f t="shared" si="41"/>
        <v>2.7980465906333419E-3</v>
      </c>
      <c r="BC80" s="305">
        <f t="shared" si="41"/>
        <v>2.8273992391671743E-3</v>
      </c>
      <c r="BD80" s="305">
        <f t="shared" si="41"/>
        <v>2.8543956157499064E-3</v>
      </c>
      <c r="BE80" s="305">
        <f t="shared" si="41"/>
        <v>2.8373850274289606E-3</v>
      </c>
      <c r="BF80" s="305">
        <f t="shared" si="41"/>
        <v>2.7605309122666565E-3</v>
      </c>
      <c r="BG80" s="305">
        <f t="shared" si="41"/>
        <v>2.6938234324497936E-3</v>
      </c>
      <c r="BH80" s="305">
        <f t="shared" si="41"/>
        <v>2.6353776111408679E-3</v>
      </c>
      <c r="BI80" s="305">
        <f t="shared" si="41"/>
        <v>2.5837481498383269E-3</v>
      </c>
      <c r="BJ80" s="305">
        <f t="shared" si="41"/>
        <v>2.5378082961231428E-3</v>
      </c>
      <c r="BK80" s="305">
        <f t="shared" si="41"/>
        <v>2.4966666666666666E-3</v>
      </c>
      <c r="BL80" s="305">
        <f>BL79*(BL69-$C66)/BL69</f>
        <v>2.1700000000000001E-3</v>
      </c>
      <c r="BM80" s="305">
        <f>BM79*(BM69-$C66)/BM69</f>
        <v>2.0421739130434781E-3</v>
      </c>
      <c r="BN80" s="305">
        <f>BN79*(BN69-$C66)/BN69</f>
        <v>1.9740000000000001E-3</v>
      </c>
      <c r="BO80" s="8">
        <f>BO79</f>
        <v>1.75E-3</v>
      </c>
      <c r="BS80"/>
      <c r="BT80"/>
    </row>
    <row r="81" spans="2:72" ht="16.5">
      <c r="B81" s="9">
        <v>2</v>
      </c>
      <c r="C81" s="300" t="s">
        <v>57</v>
      </c>
      <c r="D81" s="8">
        <f>IF($D71=0,0,D79*(D69-$D71)/D69)</f>
        <v>0</v>
      </c>
      <c r="E81" s="305">
        <f t="shared" ref="E81:BK81" si="42">IF($D71=0,0,E79*(E69-$D71)/E69)</f>
        <v>0</v>
      </c>
      <c r="F81" s="305">
        <f t="shared" si="42"/>
        <v>0</v>
      </c>
      <c r="G81" s="305">
        <f t="shared" si="42"/>
        <v>0</v>
      </c>
      <c r="H81" s="305">
        <f t="shared" si="42"/>
        <v>0</v>
      </c>
      <c r="I81" s="305">
        <f t="shared" si="42"/>
        <v>0</v>
      </c>
      <c r="J81" s="305">
        <f t="shared" si="42"/>
        <v>0</v>
      </c>
      <c r="K81" s="305">
        <f t="shared" si="42"/>
        <v>0</v>
      </c>
      <c r="L81" s="305">
        <f t="shared" si="42"/>
        <v>0</v>
      </c>
      <c r="M81" s="305">
        <f t="shared" si="42"/>
        <v>0</v>
      </c>
      <c r="N81" s="305">
        <f t="shared" si="42"/>
        <v>0</v>
      </c>
      <c r="O81" s="305">
        <f t="shared" si="42"/>
        <v>0</v>
      </c>
      <c r="P81" s="305">
        <f t="shared" si="42"/>
        <v>0</v>
      </c>
      <c r="Q81" s="305">
        <f t="shared" si="42"/>
        <v>0</v>
      </c>
      <c r="R81" s="305">
        <f t="shared" si="42"/>
        <v>0</v>
      </c>
      <c r="S81" s="305">
        <f t="shared" si="42"/>
        <v>0</v>
      </c>
      <c r="T81" s="305">
        <f t="shared" si="42"/>
        <v>0</v>
      </c>
      <c r="U81" s="305">
        <f t="shared" si="42"/>
        <v>0</v>
      </c>
      <c r="V81" s="305">
        <f t="shared" si="42"/>
        <v>0</v>
      </c>
      <c r="W81" s="305">
        <f t="shared" si="42"/>
        <v>0</v>
      </c>
      <c r="X81" s="305">
        <f t="shared" si="42"/>
        <v>0</v>
      </c>
      <c r="Y81" s="305">
        <f t="shared" si="42"/>
        <v>0</v>
      </c>
      <c r="Z81" s="305">
        <f t="shared" si="42"/>
        <v>0</v>
      </c>
      <c r="AA81" s="305">
        <f t="shared" si="42"/>
        <v>0</v>
      </c>
      <c r="AB81" s="305">
        <f t="shared" si="42"/>
        <v>0</v>
      </c>
      <c r="AC81" s="305">
        <f t="shared" si="42"/>
        <v>0</v>
      </c>
      <c r="AD81" s="305">
        <f t="shared" si="42"/>
        <v>0</v>
      </c>
      <c r="AE81" s="305">
        <f t="shared" si="42"/>
        <v>0</v>
      </c>
      <c r="AF81" s="305">
        <f t="shared" si="42"/>
        <v>0</v>
      </c>
      <c r="AG81" s="305">
        <f t="shared" si="42"/>
        <v>0</v>
      </c>
      <c r="AH81" s="305">
        <f t="shared" si="42"/>
        <v>0</v>
      </c>
      <c r="AI81" s="305">
        <f t="shared" si="42"/>
        <v>0</v>
      </c>
      <c r="AJ81" s="305">
        <f t="shared" si="42"/>
        <v>0</v>
      </c>
      <c r="AK81" s="305">
        <f t="shared" si="42"/>
        <v>0</v>
      </c>
      <c r="AL81" s="305">
        <f t="shared" si="42"/>
        <v>0</v>
      </c>
      <c r="AM81" s="305">
        <f t="shared" si="42"/>
        <v>0</v>
      </c>
      <c r="AN81" s="305">
        <f t="shared" si="42"/>
        <v>0</v>
      </c>
      <c r="AO81" s="305">
        <f t="shared" si="42"/>
        <v>0</v>
      </c>
      <c r="AP81" s="305">
        <f t="shared" si="42"/>
        <v>0</v>
      </c>
      <c r="AQ81" s="305">
        <f t="shared" si="42"/>
        <v>0</v>
      </c>
      <c r="AR81" s="58">
        <f t="shared" si="42"/>
        <v>0</v>
      </c>
      <c r="AS81" s="305">
        <f t="shared" si="42"/>
        <v>0</v>
      </c>
      <c r="AT81" s="305">
        <f t="shared" si="42"/>
        <v>0</v>
      </c>
      <c r="AU81" s="305">
        <f t="shared" si="42"/>
        <v>0</v>
      </c>
      <c r="AV81" s="305">
        <f t="shared" si="42"/>
        <v>0</v>
      </c>
      <c r="AW81" s="305">
        <f t="shared" si="42"/>
        <v>0</v>
      </c>
      <c r="AX81" s="305">
        <f t="shared" si="42"/>
        <v>0</v>
      </c>
      <c r="AY81" s="305">
        <f t="shared" si="42"/>
        <v>0</v>
      </c>
      <c r="AZ81" s="305">
        <f t="shared" si="42"/>
        <v>0</v>
      </c>
      <c r="BA81" s="305">
        <f t="shared" si="42"/>
        <v>0</v>
      </c>
      <c r="BB81" s="305">
        <f t="shared" si="42"/>
        <v>0</v>
      </c>
      <c r="BC81" s="305">
        <f t="shared" si="42"/>
        <v>0</v>
      </c>
      <c r="BD81" s="305">
        <f t="shared" si="42"/>
        <v>0</v>
      </c>
      <c r="BE81" s="305">
        <f t="shared" si="42"/>
        <v>0</v>
      </c>
      <c r="BF81" s="305">
        <f t="shared" si="42"/>
        <v>0</v>
      </c>
      <c r="BG81" s="305">
        <f t="shared" si="42"/>
        <v>0</v>
      </c>
      <c r="BH81" s="305">
        <f t="shared" si="42"/>
        <v>0</v>
      </c>
      <c r="BI81" s="305">
        <f t="shared" si="42"/>
        <v>0</v>
      </c>
      <c r="BJ81" s="305">
        <f t="shared" si="42"/>
        <v>0</v>
      </c>
      <c r="BK81" s="305">
        <f t="shared" si="42"/>
        <v>0</v>
      </c>
      <c r="BL81" s="305">
        <f>IF($D71=0,0,BL79*(BL69-$D71)/BL69)</f>
        <v>0</v>
      </c>
      <c r="BM81" s="305">
        <f>IF($D71=0,0,BM79*(BM69-$D71)/BM69)</f>
        <v>0</v>
      </c>
      <c r="BN81" s="305">
        <f>IF($D71=0,0,BN79*(BN69-$D71)/BN69)</f>
        <v>0</v>
      </c>
      <c r="BO81" s="8">
        <f>IF(D81=0,0,BO80)</f>
        <v>0</v>
      </c>
      <c r="BS81"/>
      <c r="BT81"/>
    </row>
    <row r="82" spans="2:72" ht="16.5">
      <c r="B82" s="9">
        <f t="shared" ref="B82:B88" si="43">1+B81</f>
        <v>3</v>
      </c>
      <c r="C82" s="300" t="s">
        <v>57</v>
      </c>
      <c r="D82" s="8">
        <f>IF($D72=0,0,D79*(D69-$D72)/D69)</f>
        <v>0</v>
      </c>
      <c r="E82" s="305">
        <f t="shared" ref="E82:BK82" si="44">IF($D72=0,0,E79*(E69-$D72)/E69)</f>
        <v>0</v>
      </c>
      <c r="F82" s="305">
        <f t="shared" si="44"/>
        <v>0</v>
      </c>
      <c r="G82" s="305">
        <f t="shared" si="44"/>
        <v>0</v>
      </c>
      <c r="H82" s="305">
        <f t="shared" si="44"/>
        <v>0</v>
      </c>
      <c r="I82" s="305">
        <f t="shared" si="44"/>
        <v>0</v>
      </c>
      <c r="J82" s="305">
        <f t="shared" si="44"/>
        <v>0</v>
      </c>
      <c r="K82" s="305">
        <f t="shared" si="44"/>
        <v>0</v>
      </c>
      <c r="L82" s="305">
        <f t="shared" si="44"/>
        <v>0</v>
      </c>
      <c r="M82" s="305">
        <f t="shared" si="44"/>
        <v>0</v>
      </c>
      <c r="N82" s="305">
        <f t="shared" si="44"/>
        <v>0</v>
      </c>
      <c r="O82" s="305">
        <f t="shared" si="44"/>
        <v>0</v>
      </c>
      <c r="P82" s="305">
        <f t="shared" si="44"/>
        <v>0</v>
      </c>
      <c r="Q82" s="305">
        <f t="shared" si="44"/>
        <v>0</v>
      </c>
      <c r="R82" s="305">
        <f t="shared" si="44"/>
        <v>0</v>
      </c>
      <c r="S82" s="305">
        <f t="shared" si="44"/>
        <v>0</v>
      </c>
      <c r="T82" s="305">
        <f t="shared" si="44"/>
        <v>0</v>
      </c>
      <c r="U82" s="305">
        <f t="shared" si="44"/>
        <v>0</v>
      </c>
      <c r="V82" s="305">
        <f t="shared" si="44"/>
        <v>0</v>
      </c>
      <c r="W82" s="305">
        <f t="shared" si="44"/>
        <v>0</v>
      </c>
      <c r="X82" s="305">
        <f t="shared" si="44"/>
        <v>0</v>
      </c>
      <c r="Y82" s="305">
        <f t="shared" si="44"/>
        <v>0</v>
      </c>
      <c r="Z82" s="305">
        <f t="shared" si="44"/>
        <v>0</v>
      </c>
      <c r="AA82" s="305">
        <f t="shared" si="44"/>
        <v>0</v>
      </c>
      <c r="AB82" s="305">
        <f t="shared" si="44"/>
        <v>0</v>
      </c>
      <c r="AC82" s="305">
        <f t="shared" si="44"/>
        <v>0</v>
      </c>
      <c r="AD82" s="305">
        <f t="shared" si="44"/>
        <v>0</v>
      </c>
      <c r="AE82" s="305">
        <f t="shared" si="44"/>
        <v>0</v>
      </c>
      <c r="AF82" s="305">
        <f t="shared" si="44"/>
        <v>0</v>
      </c>
      <c r="AG82" s="305">
        <f t="shared" si="44"/>
        <v>0</v>
      </c>
      <c r="AH82" s="305">
        <f t="shared" si="44"/>
        <v>0</v>
      </c>
      <c r="AI82" s="305">
        <f t="shared" si="44"/>
        <v>0</v>
      </c>
      <c r="AJ82" s="305">
        <f t="shared" si="44"/>
        <v>0</v>
      </c>
      <c r="AK82" s="305">
        <f t="shared" si="44"/>
        <v>0</v>
      </c>
      <c r="AL82" s="305">
        <f t="shared" si="44"/>
        <v>0</v>
      </c>
      <c r="AM82" s="305">
        <f t="shared" si="44"/>
        <v>0</v>
      </c>
      <c r="AN82" s="305">
        <f t="shared" si="44"/>
        <v>0</v>
      </c>
      <c r="AO82" s="305">
        <f t="shared" si="44"/>
        <v>0</v>
      </c>
      <c r="AP82" s="305">
        <f t="shared" si="44"/>
        <v>0</v>
      </c>
      <c r="AQ82" s="305">
        <f t="shared" si="44"/>
        <v>0</v>
      </c>
      <c r="AR82" s="58">
        <f t="shared" si="44"/>
        <v>0</v>
      </c>
      <c r="AS82" s="305">
        <f t="shared" si="44"/>
        <v>0</v>
      </c>
      <c r="AT82" s="305">
        <f t="shared" si="44"/>
        <v>0</v>
      </c>
      <c r="AU82" s="305">
        <f t="shared" si="44"/>
        <v>0</v>
      </c>
      <c r="AV82" s="305">
        <f t="shared" si="44"/>
        <v>0</v>
      </c>
      <c r="AW82" s="305">
        <f t="shared" si="44"/>
        <v>0</v>
      </c>
      <c r="AX82" s="305">
        <f t="shared" si="44"/>
        <v>0</v>
      </c>
      <c r="AY82" s="305">
        <f t="shared" si="44"/>
        <v>0</v>
      </c>
      <c r="AZ82" s="305">
        <f t="shared" si="44"/>
        <v>0</v>
      </c>
      <c r="BA82" s="305">
        <f t="shared" si="44"/>
        <v>0</v>
      </c>
      <c r="BB82" s="305">
        <f t="shared" si="44"/>
        <v>0</v>
      </c>
      <c r="BC82" s="305">
        <f t="shared" si="44"/>
        <v>0</v>
      </c>
      <c r="BD82" s="305">
        <f t="shared" si="44"/>
        <v>0</v>
      </c>
      <c r="BE82" s="305">
        <f t="shared" si="44"/>
        <v>0</v>
      </c>
      <c r="BF82" s="305">
        <f t="shared" si="44"/>
        <v>0</v>
      </c>
      <c r="BG82" s="305">
        <f t="shared" si="44"/>
        <v>0</v>
      </c>
      <c r="BH82" s="305">
        <f t="shared" si="44"/>
        <v>0</v>
      </c>
      <c r="BI82" s="305">
        <f t="shared" si="44"/>
        <v>0</v>
      </c>
      <c r="BJ82" s="305">
        <f t="shared" si="44"/>
        <v>0</v>
      </c>
      <c r="BK82" s="305">
        <f t="shared" si="44"/>
        <v>0</v>
      </c>
      <c r="BL82" s="305">
        <f>IF($D72=0,0,BL79*(BL69-$D72)/BL69)</f>
        <v>0</v>
      </c>
      <c r="BM82" s="305">
        <f>IF($D72=0,0,BM79*(BM69-$D72)/BM69)</f>
        <v>0</v>
      </c>
      <c r="BN82" s="305">
        <f>IF($D72=0,0,BN79*(BN69-$D72)/BN69)</f>
        <v>0</v>
      </c>
      <c r="BO82" s="8">
        <f>IF(D82=0,0,BO80)</f>
        <v>0</v>
      </c>
      <c r="BS82"/>
      <c r="BT82"/>
    </row>
    <row r="83" spans="2:72" ht="16.5">
      <c r="B83" s="9">
        <f t="shared" si="43"/>
        <v>4</v>
      </c>
      <c r="C83" s="300" t="s">
        <v>57</v>
      </c>
      <c r="D83" s="8">
        <f>IF($D73=0,0,D79*(D69-$D73)/D69)</f>
        <v>0</v>
      </c>
      <c r="E83" s="305">
        <f t="shared" ref="E83:BK83" si="45">IF($D73=0,0,E79*(E69-$D73)/E69)</f>
        <v>0</v>
      </c>
      <c r="F83" s="305">
        <f t="shared" si="45"/>
        <v>0</v>
      </c>
      <c r="G83" s="305">
        <f t="shared" si="45"/>
        <v>0</v>
      </c>
      <c r="H83" s="305">
        <f t="shared" si="45"/>
        <v>0</v>
      </c>
      <c r="I83" s="305">
        <f t="shared" si="45"/>
        <v>0</v>
      </c>
      <c r="J83" s="305">
        <f t="shared" si="45"/>
        <v>0</v>
      </c>
      <c r="K83" s="305">
        <f t="shared" si="45"/>
        <v>0</v>
      </c>
      <c r="L83" s="305">
        <f t="shared" si="45"/>
        <v>0</v>
      </c>
      <c r="M83" s="305">
        <f t="shared" si="45"/>
        <v>0</v>
      </c>
      <c r="N83" s="305">
        <f t="shared" si="45"/>
        <v>0</v>
      </c>
      <c r="O83" s="305">
        <f t="shared" si="45"/>
        <v>0</v>
      </c>
      <c r="P83" s="305">
        <f t="shared" si="45"/>
        <v>0</v>
      </c>
      <c r="Q83" s="305">
        <f t="shared" si="45"/>
        <v>0</v>
      </c>
      <c r="R83" s="305">
        <f t="shared" si="45"/>
        <v>0</v>
      </c>
      <c r="S83" s="305">
        <f t="shared" si="45"/>
        <v>0</v>
      </c>
      <c r="T83" s="305">
        <f t="shared" si="45"/>
        <v>0</v>
      </c>
      <c r="U83" s="305">
        <f t="shared" si="45"/>
        <v>0</v>
      </c>
      <c r="V83" s="305">
        <f t="shared" si="45"/>
        <v>0</v>
      </c>
      <c r="W83" s="305">
        <f t="shared" si="45"/>
        <v>0</v>
      </c>
      <c r="X83" s="305">
        <f t="shared" si="45"/>
        <v>0</v>
      </c>
      <c r="Y83" s="305">
        <f t="shared" si="45"/>
        <v>0</v>
      </c>
      <c r="Z83" s="305">
        <f t="shared" si="45"/>
        <v>0</v>
      </c>
      <c r="AA83" s="305">
        <f t="shared" si="45"/>
        <v>0</v>
      </c>
      <c r="AB83" s="305">
        <f t="shared" si="45"/>
        <v>0</v>
      </c>
      <c r="AC83" s="305">
        <f t="shared" si="45"/>
        <v>0</v>
      </c>
      <c r="AD83" s="305">
        <f t="shared" si="45"/>
        <v>0</v>
      </c>
      <c r="AE83" s="305">
        <f t="shared" si="45"/>
        <v>0</v>
      </c>
      <c r="AF83" s="305">
        <f t="shared" si="45"/>
        <v>0</v>
      </c>
      <c r="AG83" s="305">
        <f t="shared" si="45"/>
        <v>0</v>
      </c>
      <c r="AH83" s="305">
        <f t="shared" si="45"/>
        <v>0</v>
      </c>
      <c r="AI83" s="305">
        <f t="shared" si="45"/>
        <v>0</v>
      </c>
      <c r="AJ83" s="305">
        <f t="shared" si="45"/>
        <v>0</v>
      </c>
      <c r="AK83" s="305">
        <f t="shared" si="45"/>
        <v>0</v>
      </c>
      <c r="AL83" s="305">
        <f t="shared" si="45"/>
        <v>0</v>
      </c>
      <c r="AM83" s="305">
        <f t="shared" si="45"/>
        <v>0</v>
      </c>
      <c r="AN83" s="305">
        <f t="shared" si="45"/>
        <v>0</v>
      </c>
      <c r="AO83" s="305">
        <f t="shared" si="45"/>
        <v>0</v>
      </c>
      <c r="AP83" s="305">
        <f t="shared" si="45"/>
        <v>0</v>
      </c>
      <c r="AQ83" s="305">
        <f t="shared" si="45"/>
        <v>0</v>
      </c>
      <c r="AR83" s="58">
        <f t="shared" si="45"/>
        <v>0</v>
      </c>
      <c r="AS83" s="305">
        <f t="shared" si="45"/>
        <v>0</v>
      </c>
      <c r="AT83" s="305">
        <f t="shared" si="45"/>
        <v>0</v>
      </c>
      <c r="AU83" s="305">
        <f t="shared" si="45"/>
        <v>0</v>
      </c>
      <c r="AV83" s="305">
        <f t="shared" si="45"/>
        <v>0</v>
      </c>
      <c r="AW83" s="305">
        <f t="shared" si="45"/>
        <v>0</v>
      </c>
      <c r="AX83" s="305">
        <f t="shared" si="45"/>
        <v>0</v>
      </c>
      <c r="AY83" s="305">
        <f t="shared" si="45"/>
        <v>0</v>
      </c>
      <c r="AZ83" s="305">
        <f t="shared" si="45"/>
        <v>0</v>
      </c>
      <c r="BA83" s="305">
        <f t="shared" si="45"/>
        <v>0</v>
      </c>
      <c r="BB83" s="305">
        <f t="shared" si="45"/>
        <v>0</v>
      </c>
      <c r="BC83" s="305">
        <f t="shared" si="45"/>
        <v>0</v>
      </c>
      <c r="BD83" s="305">
        <f t="shared" si="45"/>
        <v>0</v>
      </c>
      <c r="BE83" s="305">
        <f t="shared" si="45"/>
        <v>0</v>
      </c>
      <c r="BF83" s="305">
        <f t="shared" si="45"/>
        <v>0</v>
      </c>
      <c r="BG83" s="305">
        <f t="shared" si="45"/>
        <v>0</v>
      </c>
      <c r="BH83" s="305">
        <f t="shared" si="45"/>
        <v>0</v>
      </c>
      <c r="BI83" s="305">
        <f t="shared" si="45"/>
        <v>0</v>
      </c>
      <c r="BJ83" s="305">
        <f t="shared" si="45"/>
        <v>0</v>
      </c>
      <c r="BK83" s="305">
        <f t="shared" si="45"/>
        <v>0</v>
      </c>
      <c r="BL83" s="305">
        <f>IF($D73=0,0,BL79*(BL69-$D73)/BL69)</f>
        <v>0</v>
      </c>
      <c r="BM83" s="305">
        <f>IF($D73=0,0,BM79*(BM69-$D73)/BM69)</f>
        <v>0</v>
      </c>
      <c r="BN83" s="305">
        <f>IF($D73=0,0,BN79*(BN69-$D73)/BN69)</f>
        <v>0</v>
      </c>
      <c r="BO83" s="8">
        <f>IF(D83=0,0,BO80)</f>
        <v>0</v>
      </c>
      <c r="BS83"/>
      <c r="BT83"/>
    </row>
    <row r="84" spans="2:72" ht="16.5">
      <c r="B84" s="9">
        <f t="shared" si="43"/>
        <v>5</v>
      </c>
      <c r="C84" s="300" t="s">
        <v>57</v>
      </c>
      <c r="D84" s="8">
        <f>IF($D74=0,0,D79*(D69-$D74)/D69)</f>
        <v>0</v>
      </c>
      <c r="E84" s="305">
        <f t="shared" ref="E84:BK84" si="46">IF($D74=0,0,E79*(E69-$D74)/E69)</f>
        <v>0</v>
      </c>
      <c r="F84" s="305">
        <f t="shared" si="46"/>
        <v>0</v>
      </c>
      <c r="G84" s="305">
        <f t="shared" si="46"/>
        <v>0</v>
      </c>
      <c r="H84" s="305">
        <f t="shared" si="46"/>
        <v>0</v>
      </c>
      <c r="I84" s="305">
        <f t="shared" si="46"/>
        <v>0</v>
      </c>
      <c r="J84" s="305">
        <f t="shared" si="46"/>
        <v>0</v>
      </c>
      <c r="K84" s="305">
        <f t="shared" si="46"/>
        <v>0</v>
      </c>
      <c r="L84" s="305">
        <f t="shared" si="46"/>
        <v>0</v>
      </c>
      <c r="M84" s="305">
        <f t="shared" si="46"/>
        <v>0</v>
      </c>
      <c r="N84" s="305">
        <f t="shared" si="46"/>
        <v>0</v>
      </c>
      <c r="O84" s="305">
        <f t="shared" si="46"/>
        <v>0</v>
      </c>
      <c r="P84" s="305">
        <f t="shared" si="46"/>
        <v>0</v>
      </c>
      <c r="Q84" s="305">
        <f t="shared" si="46"/>
        <v>0</v>
      </c>
      <c r="R84" s="305">
        <f t="shared" si="46"/>
        <v>0</v>
      </c>
      <c r="S84" s="305">
        <f t="shared" si="46"/>
        <v>0</v>
      </c>
      <c r="T84" s="305">
        <f t="shared" si="46"/>
        <v>0</v>
      </c>
      <c r="U84" s="305">
        <f t="shared" si="46"/>
        <v>0</v>
      </c>
      <c r="V84" s="305">
        <f t="shared" si="46"/>
        <v>0</v>
      </c>
      <c r="W84" s="305">
        <f t="shared" si="46"/>
        <v>0</v>
      </c>
      <c r="X84" s="305">
        <f t="shared" si="46"/>
        <v>0</v>
      </c>
      <c r="Y84" s="305">
        <f t="shared" si="46"/>
        <v>0</v>
      </c>
      <c r="Z84" s="305">
        <f t="shared" si="46"/>
        <v>0</v>
      </c>
      <c r="AA84" s="305">
        <f t="shared" si="46"/>
        <v>0</v>
      </c>
      <c r="AB84" s="305">
        <f t="shared" si="46"/>
        <v>0</v>
      </c>
      <c r="AC84" s="305">
        <f t="shared" si="46"/>
        <v>0</v>
      </c>
      <c r="AD84" s="305">
        <f t="shared" si="46"/>
        <v>0</v>
      </c>
      <c r="AE84" s="305">
        <f t="shared" si="46"/>
        <v>0</v>
      </c>
      <c r="AF84" s="305">
        <f t="shared" si="46"/>
        <v>0</v>
      </c>
      <c r="AG84" s="305">
        <f t="shared" si="46"/>
        <v>0</v>
      </c>
      <c r="AH84" s="305">
        <f t="shared" si="46"/>
        <v>0</v>
      </c>
      <c r="AI84" s="305">
        <f t="shared" si="46"/>
        <v>0</v>
      </c>
      <c r="AJ84" s="305">
        <f t="shared" si="46"/>
        <v>0</v>
      </c>
      <c r="AK84" s="305">
        <f t="shared" si="46"/>
        <v>0</v>
      </c>
      <c r="AL84" s="305">
        <f t="shared" si="46"/>
        <v>0</v>
      </c>
      <c r="AM84" s="305">
        <f t="shared" si="46"/>
        <v>0</v>
      </c>
      <c r="AN84" s="305">
        <f t="shared" si="46"/>
        <v>0</v>
      </c>
      <c r="AO84" s="305">
        <f t="shared" si="46"/>
        <v>0</v>
      </c>
      <c r="AP84" s="305">
        <f t="shared" si="46"/>
        <v>0</v>
      </c>
      <c r="AQ84" s="305">
        <f t="shared" si="46"/>
        <v>0</v>
      </c>
      <c r="AR84" s="58">
        <f t="shared" si="46"/>
        <v>0</v>
      </c>
      <c r="AS84" s="305">
        <f t="shared" si="46"/>
        <v>0</v>
      </c>
      <c r="AT84" s="305">
        <f t="shared" si="46"/>
        <v>0</v>
      </c>
      <c r="AU84" s="305">
        <f t="shared" si="46"/>
        <v>0</v>
      </c>
      <c r="AV84" s="305">
        <f t="shared" si="46"/>
        <v>0</v>
      </c>
      <c r="AW84" s="305">
        <f t="shared" si="46"/>
        <v>0</v>
      </c>
      <c r="AX84" s="305">
        <f t="shared" si="46"/>
        <v>0</v>
      </c>
      <c r="AY84" s="305">
        <f t="shared" si="46"/>
        <v>0</v>
      </c>
      <c r="AZ84" s="305">
        <f t="shared" si="46"/>
        <v>0</v>
      </c>
      <c r="BA84" s="305">
        <f t="shared" si="46"/>
        <v>0</v>
      </c>
      <c r="BB84" s="305">
        <f t="shared" si="46"/>
        <v>0</v>
      </c>
      <c r="BC84" s="305">
        <f t="shared" si="46"/>
        <v>0</v>
      </c>
      <c r="BD84" s="305">
        <f t="shared" si="46"/>
        <v>0</v>
      </c>
      <c r="BE84" s="305">
        <f t="shared" si="46"/>
        <v>0</v>
      </c>
      <c r="BF84" s="305">
        <f t="shared" si="46"/>
        <v>0</v>
      </c>
      <c r="BG84" s="305">
        <f t="shared" si="46"/>
        <v>0</v>
      </c>
      <c r="BH84" s="305">
        <f t="shared" si="46"/>
        <v>0</v>
      </c>
      <c r="BI84" s="305">
        <f t="shared" si="46"/>
        <v>0</v>
      </c>
      <c r="BJ84" s="305">
        <f t="shared" si="46"/>
        <v>0</v>
      </c>
      <c r="BK84" s="305">
        <f t="shared" si="46"/>
        <v>0</v>
      </c>
      <c r="BL84" s="305">
        <f>IF($D74=0,0,BL79*(BL69-$D74)/BL69)</f>
        <v>0</v>
      </c>
      <c r="BM84" s="305">
        <f>IF($D74=0,0,BM79*(BM69-$D74)/BM69)</f>
        <v>0</v>
      </c>
      <c r="BN84" s="305">
        <f>IF($D74=0,0,BN79*(BN69-$D74)/BN69)</f>
        <v>0</v>
      </c>
      <c r="BO84" s="8">
        <f>IF(D84=0,0,BO80)</f>
        <v>0</v>
      </c>
      <c r="BS84"/>
      <c r="BT84"/>
    </row>
    <row r="85" spans="2:72" ht="16.5">
      <c r="B85" s="9">
        <f t="shared" si="43"/>
        <v>6</v>
      </c>
      <c r="C85" s="300" t="s">
        <v>57</v>
      </c>
      <c r="D85" s="8">
        <f>IF($D75=0,0,D79*(D69-$D75)/D69)</f>
        <v>0</v>
      </c>
      <c r="E85" s="305">
        <f t="shared" ref="E85:BK85" si="47">IF($D75=0,0,E79*(E69-$D75)/E69)</f>
        <v>0</v>
      </c>
      <c r="F85" s="306">
        <f t="shared" si="47"/>
        <v>0</v>
      </c>
      <c r="G85" s="306">
        <f t="shared" si="47"/>
        <v>0</v>
      </c>
      <c r="H85" s="306">
        <f t="shared" si="47"/>
        <v>0</v>
      </c>
      <c r="I85" s="305">
        <f t="shared" si="47"/>
        <v>0</v>
      </c>
      <c r="J85" s="305">
        <f t="shared" si="47"/>
        <v>0</v>
      </c>
      <c r="K85" s="305">
        <f t="shared" si="47"/>
        <v>0</v>
      </c>
      <c r="L85" s="305">
        <f t="shared" si="47"/>
        <v>0</v>
      </c>
      <c r="M85" s="305">
        <f t="shared" si="47"/>
        <v>0</v>
      </c>
      <c r="N85" s="305">
        <f t="shared" si="47"/>
        <v>0</v>
      </c>
      <c r="O85" s="305">
        <f t="shared" si="47"/>
        <v>0</v>
      </c>
      <c r="P85" s="305">
        <f t="shared" si="47"/>
        <v>0</v>
      </c>
      <c r="Q85" s="305">
        <f t="shared" si="47"/>
        <v>0</v>
      </c>
      <c r="R85" s="305">
        <f t="shared" si="47"/>
        <v>0</v>
      </c>
      <c r="S85" s="305">
        <f t="shared" si="47"/>
        <v>0</v>
      </c>
      <c r="T85" s="305">
        <f t="shared" si="47"/>
        <v>0</v>
      </c>
      <c r="U85" s="305">
        <f t="shared" si="47"/>
        <v>0</v>
      </c>
      <c r="V85" s="305">
        <f t="shared" si="47"/>
        <v>0</v>
      </c>
      <c r="W85" s="305">
        <f t="shared" si="47"/>
        <v>0</v>
      </c>
      <c r="X85" s="305">
        <f t="shared" si="47"/>
        <v>0</v>
      </c>
      <c r="Y85" s="305">
        <f t="shared" si="47"/>
        <v>0</v>
      </c>
      <c r="Z85" s="305">
        <f t="shared" si="47"/>
        <v>0</v>
      </c>
      <c r="AA85" s="305">
        <f t="shared" si="47"/>
        <v>0</v>
      </c>
      <c r="AB85" s="305">
        <f t="shared" si="47"/>
        <v>0</v>
      </c>
      <c r="AC85" s="305">
        <f t="shared" si="47"/>
        <v>0</v>
      </c>
      <c r="AD85" s="305">
        <f t="shared" si="47"/>
        <v>0</v>
      </c>
      <c r="AE85" s="305">
        <f t="shared" si="47"/>
        <v>0</v>
      </c>
      <c r="AF85" s="305">
        <f t="shared" si="47"/>
        <v>0</v>
      </c>
      <c r="AG85" s="305">
        <f t="shared" si="47"/>
        <v>0</v>
      </c>
      <c r="AH85" s="305">
        <f t="shared" si="47"/>
        <v>0</v>
      </c>
      <c r="AI85" s="305">
        <f t="shared" si="47"/>
        <v>0</v>
      </c>
      <c r="AJ85" s="305">
        <f t="shared" si="47"/>
        <v>0</v>
      </c>
      <c r="AK85" s="305">
        <f t="shared" si="47"/>
        <v>0</v>
      </c>
      <c r="AL85" s="305">
        <f t="shared" si="47"/>
        <v>0</v>
      </c>
      <c r="AM85" s="305">
        <f t="shared" si="47"/>
        <v>0</v>
      </c>
      <c r="AN85" s="305">
        <f t="shared" si="47"/>
        <v>0</v>
      </c>
      <c r="AO85" s="305">
        <f t="shared" si="47"/>
        <v>0</v>
      </c>
      <c r="AP85" s="305">
        <f t="shared" si="47"/>
        <v>0</v>
      </c>
      <c r="AQ85" s="305">
        <f t="shared" si="47"/>
        <v>0</v>
      </c>
      <c r="AR85" s="58">
        <f t="shared" si="47"/>
        <v>0</v>
      </c>
      <c r="AS85" s="305">
        <f t="shared" si="47"/>
        <v>0</v>
      </c>
      <c r="AT85" s="305">
        <f t="shared" si="47"/>
        <v>0</v>
      </c>
      <c r="AU85" s="305">
        <f t="shared" si="47"/>
        <v>0</v>
      </c>
      <c r="AV85" s="305">
        <f t="shared" si="47"/>
        <v>0</v>
      </c>
      <c r="AW85" s="305">
        <f t="shared" si="47"/>
        <v>0</v>
      </c>
      <c r="AX85" s="305">
        <f t="shared" si="47"/>
        <v>0</v>
      </c>
      <c r="AY85" s="305">
        <f t="shared" si="47"/>
        <v>0</v>
      </c>
      <c r="AZ85" s="305">
        <f t="shared" si="47"/>
        <v>0</v>
      </c>
      <c r="BA85" s="305">
        <f t="shared" si="47"/>
        <v>0</v>
      </c>
      <c r="BB85" s="305">
        <f t="shared" si="47"/>
        <v>0</v>
      </c>
      <c r="BC85" s="305">
        <f t="shared" si="47"/>
        <v>0</v>
      </c>
      <c r="BD85" s="305">
        <f t="shared" si="47"/>
        <v>0</v>
      </c>
      <c r="BE85" s="305">
        <f t="shared" si="47"/>
        <v>0</v>
      </c>
      <c r="BF85" s="305">
        <f t="shared" si="47"/>
        <v>0</v>
      </c>
      <c r="BG85" s="305">
        <f t="shared" si="47"/>
        <v>0</v>
      </c>
      <c r="BH85" s="305">
        <f t="shared" si="47"/>
        <v>0</v>
      </c>
      <c r="BI85" s="305">
        <f t="shared" si="47"/>
        <v>0</v>
      </c>
      <c r="BJ85" s="305">
        <f t="shared" si="47"/>
        <v>0</v>
      </c>
      <c r="BK85" s="305">
        <f t="shared" si="47"/>
        <v>0</v>
      </c>
      <c r="BL85" s="305">
        <f>IF($D75=0,0,BL79*(BL69-$D75)/BL69)</f>
        <v>0</v>
      </c>
      <c r="BM85" s="305">
        <f>IF($D75=0,0,BM79*(BM69-$D75)/BM69)</f>
        <v>0</v>
      </c>
      <c r="BN85" s="305">
        <f>IF($D75=0,0,BN79*(BN69-$D75)/BN69)</f>
        <v>0</v>
      </c>
      <c r="BO85" s="8">
        <f>IF(D85=0,0,BO80)</f>
        <v>0</v>
      </c>
      <c r="BS85"/>
      <c r="BT85"/>
    </row>
    <row r="86" spans="2:72" ht="16.5">
      <c r="B86" s="9">
        <f t="shared" si="43"/>
        <v>7</v>
      </c>
      <c r="C86" s="300" t="s">
        <v>57</v>
      </c>
      <c r="D86" s="8">
        <f>IF($D76=0,0,D79*(D69-$D76)/D69)</f>
        <v>0</v>
      </c>
      <c r="E86" s="305">
        <f t="shared" ref="E86:BK86" si="48">IF($D76=0,0,E79*(E69-$D76)/E69)</f>
        <v>0</v>
      </c>
      <c r="F86" s="306">
        <f t="shared" si="48"/>
        <v>0</v>
      </c>
      <c r="G86" s="306">
        <f t="shared" si="48"/>
        <v>0</v>
      </c>
      <c r="H86" s="306">
        <f t="shared" si="48"/>
        <v>0</v>
      </c>
      <c r="I86" s="305">
        <f t="shared" si="48"/>
        <v>0</v>
      </c>
      <c r="J86" s="305">
        <f t="shared" si="48"/>
        <v>0</v>
      </c>
      <c r="K86" s="305">
        <f t="shared" si="48"/>
        <v>0</v>
      </c>
      <c r="L86" s="305">
        <f t="shared" si="48"/>
        <v>0</v>
      </c>
      <c r="M86" s="305">
        <f t="shared" si="48"/>
        <v>0</v>
      </c>
      <c r="N86" s="305">
        <f t="shared" si="48"/>
        <v>0</v>
      </c>
      <c r="O86" s="305">
        <f t="shared" si="48"/>
        <v>0</v>
      </c>
      <c r="P86" s="305">
        <f t="shared" si="48"/>
        <v>0</v>
      </c>
      <c r="Q86" s="305">
        <f t="shared" si="48"/>
        <v>0</v>
      </c>
      <c r="R86" s="305">
        <f t="shared" si="48"/>
        <v>0</v>
      </c>
      <c r="S86" s="305">
        <f t="shared" si="48"/>
        <v>0</v>
      </c>
      <c r="T86" s="305">
        <f t="shared" si="48"/>
        <v>0</v>
      </c>
      <c r="U86" s="305">
        <f t="shared" si="48"/>
        <v>0</v>
      </c>
      <c r="V86" s="305">
        <f t="shared" si="48"/>
        <v>0</v>
      </c>
      <c r="W86" s="305">
        <f t="shared" si="48"/>
        <v>0</v>
      </c>
      <c r="X86" s="305">
        <f t="shared" si="48"/>
        <v>0</v>
      </c>
      <c r="Y86" s="305">
        <f t="shared" si="48"/>
        <v>0</v>
      </c>
      <c r="Z86" s="305">
        <f t="shared" si="48"/>
        <v>0</v>
      </c>
      <c r="AA86" s="305">
        <f t="shared" si="48"/>
        <v>0</v>
      </c>
      <c r="AB86" s="305">
        <f t="shared" si="48"/>
        <v>0</v>
      </c>
      <c r="AC86" s="305">
        <f t="shared" si="48"/>
        <v>0</v>
      </c>
      <c r="AD86" s="305">
        <f t="shared" si="48"/>
        <v>0</v>
      </c>
      <c r="AE86" s="305">
        <f t="shared" si="48"/>
        <v>0</v>
      </c>
      <c r="AF86" s="305">
        <f t="shared" si="48"/>
        <v>0</v>
      </c>
      <c r="AG86" s="305">
        <f t="shared" si="48"/>
        <v>0</v>
      </c>
      <c r="AH86" s="305">
        <f t="shared" si="48"/>
        <v>0</v>
      </c>
      <c r="AI86" s="305">
        <f t="shared" si="48"/>
        <v>0</v>
      </c>
      <c r="AJ86" s="305">
        <f t="shared" si="48"/>
        <v>0</v>
      </c>
      <c r="AK86" s="305">
        <f t="shared" si="48"/>
        <v>0</v>
      </c>
      <c r="AL86" s="305">
        <f t="shared" si="48"/>
        <v>0</v>
      </c>
      <c r="AM86" s="305">
        <f t="shared" si="48"/>
        <v>0</v>
      </c>
      <c r="AN86" s="305">
        <f t="shared" si="48"/>
        <v>0</v>
      </c>
      <c r="AO86" s="305">
        <f t="shared" si="48"/>
        <v>0</v>
      </c>
      <c r="AP86" s="305">
        <f t="shared" si="48"/>
        <v>0</v>
      </c>
      <c r="AQ86" s="305">
        <f t="shared" si="48"/>
        <v>0</v>
      </c>
      <c r="AR86" s="58">
        <f t="shared" si="48"/>
        <v>0</v>
      </c>
      <c r="AS86" s="305">
        <f t="shared" si="48"/>
        <v>0</v>
      </c>
      <c r="AT86" s="305">
        <f t="shared" si="48"/>
        <v>0</v>
      </c>
      <c r="AU86" s="305">
        <f t="shared" si="48"/>
        <v>0</v>
      </c>
      <c r="AV86" s="305">
        <f t="shared" si="48"/>
        <v>0</v>
      </c>
      <c r="AW86" s="305">
        <f t="shared" si="48"/>
        <v>0</v>
      </c>
      <c r="AX86" s="305">
        <f t="shared" si="48"/>
        <v>0</v>
      </c>
      <c r="AY86" s="305">
        <f t="shared" si="48"/>
        <v>0</v>
      </c>
      <c r="AZ86" s="305">
        <f t="shared" si="48"/>
        <v>0</v>
      </c>
      <c r="BA86" s="305">
        <f t="shared" si="48"/>
        <v>0</v>
      </c>
      <c r="BB86" s="305">
        <f t="shared" si="48"/>
        <v>0</v>
      </c>
      <c r="BC86" s="305">
        <f t="shared" si="48"/>
        <v>0</v>
      </c>
      <c r="BD86" s="305">
        <f t="shared" si="48"/>
        <v>0</v>
      </c>
      <c r="BE86" s="305">
        <f t="shared" si="48"/>
        <v>0</v>
      </c>
      <c r="BF86" s="305">
        <f t="shared" si="48"/>
        <v>0</v>
      </c>
      <c r="BG86" s="305">
        <f t="shared" si="48"/>
        <v>0</v>
      </c>
      <c r="BH86" s="305">
        <f t="shared" si="48"/>
        <v>0</v>
      </c>
      <c r="BI86" s="305">
        <f t="shared" si="48"/>
        <v>0</v>
      </c>
      <c r="BJ86" s="305">
        <f t="shared" si="48"/>
        <v>0</v>
      </c>
      <c r="BK86" s="305">
        <f t="shared" si="48"/>
        <v>0</v>
      </c>
      <c r="BL86" s="305">
        <f>IF($D76=0,0,BL79*(BL69-$D76)/BL69)</f>
        <v>0</v>
      </c>
      <c r="BM86" s="305">
        <f>IF($D76=0,0,BM79*(BM69-$D76)/BM69)</f>
        <v>0</v>
      </c>
      <c r="BN86" s="305">
        <f>IF($D76=0,0,BN79*(BN69-$D76)/BN69)</f>
        <v>0</v>
      </c>
      <c r="BO86" s="8">
        <f>IF(D86=0,0,BO80)</f>
        <v>0</v>
      </c>
      <c r="BS86"/>
      <c r="BT86"/>
    </row>
    <row r="87" spans="2:72" ht="16.5">
      <c r="B87" s="9">
        <f t="shared" si="43"/>
        <v>8</v>
      </c>
      <c r="C87" s="300" t="s">
        <v>57</v>
      </c>
      <c r="D87" s="8">
        <f>IF($D77=0,0,D79*(D69-$D77)/D69)</f>
        <v>0</v>
      </c>
      <c r="E87" s="305">
        <f t="shared" ref="E87:BK87" si="49">IF($D77=0,0,E79*(E69-$D77)/E69)</f>
        <v>0</v>
      </c>
      <c r="F87" s="306">
        <f t="shared" si="49"/>
        <v>0</v>
      </c>
      <c r="G87" s="306">
        <f t="shared" si="49"/>
        <v>0</v>
      </c>
      <c r="H87" s="306">
        <f t="shared" si="49"/>
        <v>0</v>
      </c>
      <c r="I87" s="305">
        <f t="shared" si="49"/>
        <v>0</v>
      </c>
      <c r="J87" s="305">
        <f t="shared" si="49"/>
        <v>0</v>
      </c>
      <c r="K87" s="305">
        <f t="shared" si="49"/>
        <v>0</v>
      </c>
      <c r="L87" s="305">
        <f t="shared" si="49"/>
        <v>0</v>
      </c>
      <c r="M87" s="305">
        <f t="shared" si="49"/>
        <v>0</v>
      </c>
      <c r="N87" s="305">
        <f t="shared" si="49"/>
        <v>0</v>
      </c>
      <c r="O87" s="305">
        <f t="shared" si="49"/>
        <v>0</v>
      </c>
      <c r="P87" s="305">
        <f t="shared" si="49"/>
        <v>0</v>
      </c>
      <c r="Q87" s="305">
        <f t="shared" si="49"/>
        <v>0</v>
      </c>
      <c r="R87" s="305">
        <f t="shared" si="49"/>
        <v>0</v>
      </c>
      <c r="S87" s="305">
        <f t="shared" si="49"/>
        <v>0</v>
      </c>
      <c r="T87" s="305">
        <f t="shared" si="49"/>
        <v>0</v>
      </c>
      <c r="U87" s="305">
        <f t="shared" si="49"/>
        <v>0</v>
      </c>
      <c r="V87" s="305">
        <f t="shared" si="49"/>
        <v>0</v>
      </c>
      <c r="W87" s="305">
        <f t="shared" si="49"/>
        <v>0</v>
      </c>
      <c r="X87" s="305">
        <f t="shared" si="49"/>
        <v>0</v>
      </c>
      <c r="Y87" s="305">
        <f t="shared" si="49"/>
        <v>0</v>
      </c>
      <c r="Z87" s="305">
        <f t="shared" si="49"/>
        <v>0</v>
      </c>
      <c r="AA87" s="305">
        <f t="shared" si="49"/>
        <v>0</v>
      </c>
      <c r="AB87" s="305">
        <f t="shared" si="49"/>
        <v>0</v>
      </c>
      <c r="AC87" s="305">
        <f t="shared" si="49"/>
        <v>0</v>
      </c>
      <c r="AD87" s="305">
        <f t="shared" si="49"/>
        <v>0</v>
      </c>
      <c r="AE87" s="305">
        <f t="shared" si="49"/>
        <v>0</v>
      </c>
      <c r="AF87" s="305">
        <f t="shared" si="49"/>
        <v>0</v>
      </c>
      <c r="AG87" s="305">
        <f t="shared" si="49"/>
        <v>0</v>
      </c>
      <c r="AH87" s="305">
        <f t="shared" si="49"/>
        <v>0</v>
      </c>
      <c r="AI87" s="305">
        <f t="shared" si="49"/>
        <v>0</v>
      </c>
      <c r="AJ87" s="305">
        <f t="shared" si="49"/>
        <v>0</v>
      </c>
      <c r="AK87" s="305">
        <f t="shared" si="49"/>
        <v>0</v>
      </c>
      <c r="AL87" s="305">
        <f t="shared" si="49"/>
        <v>0</v>
      </c>
      <c r="AM87" s="305">
        <f t="shared" si="49"/>
        <v>0</v>
      </c>
      <c r="AN87" s="305">
        <f t="shared" si="49"/>
        <v>0</v>
      </c>
      <c r="AO87" s="305">
        <f t="shared" si="49"/>
        <v>0</v>
      </c>
      <c r="AP87" s="305">
        <f t="shared" si="49"/>
        <v>0</v>
      </c>
      <c r="AQ87" s="305">
        <f t="shared" si="49"/>
        <v>0</v>
      </c>
      <c r="AR87" s="58">
        <f t="shared" si="49"/>
        <v>0</v>
      </c>
      <c r="AS87" s="305">
        <f t="shared" si="49"/>
        <v>0</v>
      </c>
      <c r="AT87" s="305">
        <f t="shared" si="49"/>
        <v>0</v>
      </c>
      <c r="AU87" s="305">
        <f t="shared" si="49"/>
        <v>0</v>
      </c>
      <c r="AV87" s="305">
        <f t="shared" si="49"/>
        <v>0</v>
      </c>
      <c r="AW87" s="305">
        <f t="shared" si="49"/>
        <v>0</v>
      </c>
      <c r="AX87" s="305">
        <f t="shared" si="49"/>
        <v>0</v>
      </c>
      <c r="AY87" s="305">
        <f t="shared" si="49"/>
        <v>0</v>
      </c>
      <c r="AZ87" s="305">
        <f t="shared" si="49"/>
        <v>0</v>
      </c>
      <c r="BA87" s="305">
        <f t="shared" si="49"/>
        <v>0</v>
      </c>
      <c r="BB87" s="305">
        <f t="shared" si="49"/>
        <v>0</v>
      </c>
      <c r="BC87" s="305">
        <f t="shared" si="49"/>
        <v>0</v>
      </c>
      <c r="BD87" s="305">
        <f t="shared" si="49"/>
        <v>0</v>
      </c>
      <c r="BE87" s="305">
        <f t="shared" si="49"/>
        <v>0</v>
      </c>
      <c r="BF87" s="305">
        <f t="shared" si="49"/>
        <v>0</v>
      </c>
      <c r="BG87" s="305">
        <f t="shared" si="49"/>
        <v>0</v>
      </c>
      <c r="BH87" s="305">
        <f t="shared" si="49"/>
        <v>0</v>
      </c>
      <c r="BI87" s="305">
        <f t="shared" si="49"/>
        <v>0</v>
      </c>
      <c r="BJ87" s="305">
        <f t="shared" si="49"/>
        <v>0</v>
      </c>
      <c r="BK87" s="305">
        <f t="shared" si="49"/>
        <v>0</v>
      </c>
      <c r="BL87" s="305">
        <f>IF($D77=0,0,BL79*(BL69-$D77)/BL69)</f>
        <v>0</v>
      </c>
      <c r="BM87" s="305">
        <f>IF($D77=0,0,BM79*(BM69-$D77)/BM69)</f>
        <v>0</v>
      </c>
      <c r="BN87" s="305">
        <f>IF($D77=0,0,BN79*(BN69-$D77)/BN69)</f>
        <v>0</v>
      </c>
      <c r="BO87" s="8">
        <f>IF(D87=0,0,BO80)</f>
        <v>0</v>
      </c>
      <c r="BS87"/>
      <c r="BT87"/>
    </row>
    <row r="88" spans="2:72" ht="16.5">
      <c r="B88" s="9">
        <f t="shared" si="43"/>
        <v>9</v>
      </c>
      <c r="C88" s="300" t="s">
        <v>57</v>
      </c>
      <c r="D88" s="8">
        <f>IF($D78=0,0,D79*(D69-$D78)/D69)</f>
        <v>0</v>
      </c>
      <c r="E88" s="305">
        <f t="shared" ref="E88:BK88" si="50">IF($D78=0,0,E79*(E69-$D78)/E69)</f>
        <v>0</v>
      </c>
      <c r="F88" s="306">
        <f t="shared" si="50"/>
        <v>0</v>
      </c>
      <c r="G88" s="306">
        <f t="shared" si="50"/>
        <v>0</v>
      </c>
      <c r="H88" s="306">
        <f t="shared" si="50"/>
        <v>0</v>
      </c>
      <c r="I88" s="305">
        <f t="shared" si="50"/>
        <v>0</v>
      </c>
      <c r="J88" s="305">
        <f t="shared" si="50"/>
        <v>0</v>
      </c>
      <c r="K88" s="305">
        <f t="shared" si="50"/>
        <v>0</v>
      </c>
      <c r="L88" s="305">
        <f t="shared" si="50"/>
        <v>0</v>
      </c>
      <c r="M88" s="305">
        <f t="shared" si="50"/>
        <v>0</v>
      </c>
      <c r="N88" s="305">
        <f t="shared" si="50"/>
        <v>0</v>
      </c>
      <c r="O88" s="305">
        <f t="shared" si="50"/>
        <v>0</v>
      </c>
      <c r="P88" s="305">
        <f t="shared" si="50"/>
        <v>0</v>
      </c>
      <c r="Q88" s="305">
        <f t="shared" si="50"/>
        <v>0</v>
      </c>
      <c r="R88" s="305">
        <f t="shared" si="50"/>
        <v>0</v>
      </c>
      <c r="S88" s="305">
        <f t="shared" si="50"/>
        <v>0</v>
      </c>
      <c r="T88" s="305">
        <f t="shared" si="50"/>
        <v>0</v>
      </c>
      <c r="U88" s="305">
        <f t="shared" si="50"/>
        <v>0</v>
      </c>
      <c r="V88" s="305">
        <f t="shared" si="50"/>
        <v>0</v>
      </c>
      <c r="W88" s="305">
        <f t="shared" si="50"/>
        <v>0</v>
      </c>
      <c r="X88" s="305">
        <f t="shared" si="50"/>
        <v>0</v>
      </c>
      <c r="Y88" s="305">
        <f t="shared" si="50"/>
        <v>0</v>
      </c>
      <c r="Z88" s="305">
        <f t="shared" si="50"/>
        <v>0</v>
      </c>
      <c r="AA88" s="305">
        <f t="shared" si="50"/>
        <v>0</v>
      </c>
      <c r="AB88" s="305">
        <f t="shared" si="50"/>
        <v>0</v>
      </c>
      <c r="AC88" s="305">
        <f t="shared" si="50"/>
        <v>0</v>
      </c>
      <c r="AD88" s="305">
        <f t="shared" si="50"/>
        <v>0</v>
      </c>
      <c r="AE88" s="305">
        <f t="shared" si="50"/>
        <v>0</v>
      </c>
      <c r="AF88" s="305">
        <f t="shared" si="50"/>
        <v>0</v>
      </c>
      <c r="AG88" s="305">
        <f t="shared" si="50"/>
        <v>0</v>
      </c>
      <c r="AH88" s="305">
        <f t="shared" si="50"/>
        <v>0</v>
      </c>
      <c r="AI88" s="305">
        <f t="shared" si="50"/>
        <v>0</v>
      </c>
      <c r="AJ88" s="305">
        <f t="shared" si="50"/>
        <v>0</v>
      </c>
      <c r="AK88" s="305">
        <f t="shared" si="50"/>
        <v>0</v>
      </c>
      <c r="AL88" s="305">
        <f t="shared" si="50"/>
        <v>0</v>
      </c>
      <c r="AM88" s="305">
        <f t="shared" si="50"/>
        <v>0</v>
      </c>
      <c r="AN88" s="305">
        <f t="shared" si="50"/>
        <v>0</v>
      </c>
      <c r="AO88" s="305">
        <f t="shared" si="50"/>
        <v>0</v>
      </c>
      <c r="AP88" s="305">
        <f t="shared" si="50"/>
        <v>0</v>
      </c>
      <c r="AQ88" s="305">
        <f t="shared" si="50"/>
        <v>0</v>
      </c>
      <c r="AR88" s="58">
        <f t="shared" si="50"/>
        <v>0</v>
      </c>
      <c r="AS88" s="305">
        <f t="shared" si="50"/>
        <v>0</v>
      </c>
      <c r="AT88" s="305">
        <f t="shared" si="50"/>
        <v>0</v>
      </c>
      <c r="AU88" s="305">
        <f t="shared" si="50"/>
        <v>0</v>
      </c>
      <c r="AV88" s="305">
        <f t="shared" si="50"/>
        <v>0</v>
      </c>
      <c r="AW88" s="305">
        <f t="shared" si="50"/>
        <v>0</v>
      </c>
      <c r="AX88" s="305">
        <f t="shared" si="50"/>
        <v>0</v>
      </c>
      <c r="AY88" s="305">
        <f t="shared" si="50"/>
        <v>0</v>
      </c>
      <c r="AZ88" s="305">
        <f t="shared" si="50"/>
        <v>0</v>
      </c>
      <c r="BA88" s="305">
        <f t="shared" si="50"/>
        <v>0</v>
      </c>
      <c r="BB88" s="305">
        <f t="shared" si="50"/>
        <v>0</v>
      </c>
      <c r="BC88" s="305">
        <f t="shared" si="50"/>
        <v>0</v>
      </c>
      <c r="BD88" s="305">
        <f t="shared" si="50"/>
        <v>0</v>
      </c>
      <c r="BE88" s="305">
        <f t="shared" si="50"/>
        <v>0</v>
      </c>
      <c r="BF88" s="305">
        <f t="shared" si="50"/>
        <v>0</v>
      </c>
      <c r="BG88" s="305">
        <f t="shared" si="50"/>
        <v>0</v>
      </c>
      <c r="BH88" s="305">
        <f t="shared" si="50"/>
        <v>0</v>
      </c>
      <c r="BI88" s="305">
        <f t="shared" si="50"/>
        <v>0</v>
      </c>
      <c r="BJ88" s="305">
        <f t="shared" si="50"/>
        <v>0</v>
      </c>
      <c r="BK88" s="305">
        <f t="shared" si="50"/>
        <v>0</v>
      </c>
      <c r="BL88" s="305">
        <f>IF($D78=0,0,BL79*(BL69-$D78)/BL69)</f>
        <v>0</v>
      </c>
      <c r="BM88" s="305">
        <f>IF($D78=0,0,BM79*(BM69-$D78)/BM69)</f>
        <v>0</v>
      </c>
      <c r="BN88" s="305">
        <f>IF($D78=0,0,BN79*(BN69-$D78)/BN69)</f>
        <v>0</v>
      </c>
      <c r="BO88" s="8">
        <f>IF(D88=0,0,BO80)</f>
        <v>0</v>
      </c>
      <c r="BS88"/>
      <c r="BT88"/>
    </row>
    <row r="89" spans="2:72" ht="16.5">
      <c r="B89" s="292" t="s">
        <v>119</v>
      </c>
      <c r="C89" s="300" t="s">
        <v>58</v>
      </c>
      <c r="D89" s="8">
        <f>D79*(D69-$F66)/D69</f>
        <v>-1.4758264395347723E-2</v>
      </c>
      <c r="E89" s="10">
        <f t="shared" ref="E89:BK89" si="51">E79*(E69-$F66)/E69</f>
        <v>-1.3799061019065896E-2</v>
      </c>
      <c r="F89" s="32">
        <f t="shared" si="51"/>
        <v>-1.2935611269432917E-2</v>
      </c>
      <c r="G89" s="32">
        <f t="shared" si="51"/>
        <v>-1.2154258701146267E-2</v>
      </c>
      <c r="H89" s="32">
        <f t="shared" si="51"/>
        <v>-1.1443825935180466E-2</v>
      </c>
      <c r="I89" s="10">
        <f t="shared" si="51"/>
        <v>-1.0795076546010633E-2</v>
      </c>
      <c r="J89" s="10">
        <f t="shared" si="51"/>
        <v>-1.020031128213035E-2</v>
      </c>
      <c r="K89" s="10">
        <f t="shared" si="51"/>
        <v>-9.6530610588576298E-3</v>
      </c>
      <c r="L89" s="10">
        <f t="shared" si="51"/>
        <v>-9.147850704198001E-3</v>
      </c>
      <c r="M89" s="10">
        <f t="shared" si="51"/>
        <v>-8.6800151380057762E-3</v>
      </c>
      <c r="N89" s="10">
        <f t="shared" si="51"/>
        <v>-8.2455548924002479E-3</v>
      </c>
      <c r="O89" s="10">
        <f t="shared" si="51"/>
        <v>-7.8410214886603501E-3</v>
      </c>
      <c r="P89" s="10">
        <f t="shared" si="51"/>
        <v>-7.4634257121627802E-3</v>
      </c>
      <c r="Q89" s="10">
        <f t="shared" si="51"/>
        <v>-7.1101636206388997E-3</v>
      </c>
      <c r="R89" s="10">
        <f t="shared" si="51"/>
        <v>-6.7789564108034894E-3</v>
      </c>
      <c r="S89" s="10">
        <f t="shared" si="51"/>
        <v>-6.4678012067992709E-3</v>
      </c>
      <c r="T89" s="10">
        <f t="shared" si="51"/>
        <v>-6.174930524148638E-3</v>
      </c>
      <c r="U89" s="10">
        <f t="shared" si="51"/>
        <v>-5.8987786758356378E-3</v>
      </c>
      <c r="V89" s="10">
        <f t="shared" si="51"/>
        <v>-5.637953771963921E-3</v>
      </c>
      <c r="W89" s="10">
        <f t="shared" si="51"/>
        <v>-5.3912142557415721E-3</v>
      </c>
      <c r="X89" s="10">
        <f t="shared" si="51"/>
        <v>-5.1574491409186315E-3</v>
      </c>
      <c r="Y89" s="10">
        <f t="shared" si="51"/>
        <v>-4.935661286906705E-3</v>
      </c>
      <c r="Z89" s="10">
        <f t="shared" si="51"/>
        <v>-4.7249531804486045E-3</v>
      </c>
      <c r="AA89" s="10">
        <f t="shared" si="51"/>
        <v>-4.524514796253638E-3</v>
      </c>
      <c r="AB89" s="10">
        <f t="shared" si="51"/>
        <v>-4.3336131903912731E-3</v>
      </c>
      <c r="AC89" s="10">
        <f t="shared" si="51"/>
        <v>-4.1515835445944862E-3</v>
      </c>
      <c r="AD89" s="10">
        <f t="shared" si="51"/>
        <v>-3.9778214308287688E-3</v>
      </c>
      <c r="AE89" s="10">
        <f t="shared" si="51"/>
        <v>-3.8117761064544761E-3</v>
      </c>
      <c r="AF89" s="10">
        <f t="shared" si="51"/>
        <v>-3.6529446832716966E-3</v>
      </c>
      <c r="AG89" s="10">
        <f t="shared" si="51"/>
        <v>-3.5008670403913048E-3</v>
      </c>
      <c r="AH89" s="10">
        <f t="shared" si="51"/>
        <v>-3.3551213725361664E-3</v>
      </c>
      <c r="AI89" s="10">
        <f t="shared" si="51"/>
        <v>-3.2153202830612244E-3</v>
      </c>
      <c r="AJ89" s="10">
        <f t="shared" si="51"/>
        <v>-3.081107345484899E-3</v>
      </c>
      <c r="AK89" s="10">
        <f t="shared" si="51"/>
        <v>-2.9521540692701957E-3</v>
      </c>
      <c r="AL89" s="10">
        <f t="shared" si="51"/>
        <v>-2.8281572154737126E-3</v>
      </c>
      <c r="AM89" s="10">
        <f t="shared" si="51"/>
        <v>-2.7088364160839174E-3</v>
      </c>
      <c r="AN89" s="10">
        <f t="shared" si="51"/>
        <v>-2.5939320577069336E-3</v>
      </c>
      <c r="AO89" s="10">
        <f t="shared" si="51"/>
        <v>-2.4832033959768926E-3</v>
      </c>
      <c r="AP89" s="10">
        <f t="shared" si="51"/>
        <v>-2.3764268718682101E-3</v>
      </c>
      <c r="AQ89" s="10">
        <f t="shared" si="51"/>
        <v>-2.2733946051299433E-3</v>
      </c>
      <c r="AR89" s="58">
        <f t="shared" si="51"/>
        <v>-2.1739130434782613E-3</v>
      </c>
      <c r="AS89" s="10">
        <f t="shared" si="51"/>
        <v>-1.7661427286955944E-3</v>
      </c>
      <c r="AT89" s="10">
        <f t="shared" si="51"/>
        <v>-1.413053534195882E-3</v>
      </c>
      <c r="AU89" s="10">
        <f t="shared" si="51"/>
        <v>-1.1043376565396442E-3</v>
      </c>
      <c r="AV89" s="10">
        <f t="shared" si="51"/>
        <v>-8.3212492009862029E-4</v>
      </c>
      <c r="AW89" s="10">
        <f t="shared" si="51"/>
        <v>-5.9030242590234791E-4</v>
      </c>
      <c r="AX89" s="10">
        <f t="shared" si="51"/>
        <v>-3.7405001959844842E-4</v>
      </c>
      <c r="AY89" s="10">
        <f t="shared" si="51"/>
        <v>-1.7951571746565925E-4</v>
      </c>
      <c r="AZ89" s="10">
        <f t="shared" si="51"/>
        <v>-3.5842470373329845E-6</v>
      </c>
      <c r="BA89" s="10">
        <f t="shared" si="51"/>
        <v>1.56291040655947E-4</v>
      </c>
      <c r="BB89" s="10">
        <f t="shared" si="51"/>
        <v>3.0221224621855639E-4</v>
      </c>
      <c r="BC89" s="10">
        <f t="shared" si="51"/>
        <v>4.3592986731712854E-4</v>
      </c>
      <c r="BD89" s="10">
        <f t="shared" si="51"/>
        <v>5.5891336063846112E-4</v>
      </c>
      <c r="BE89" s="10">
        <f t="shared" si="51"/>
        <v>6.6261497257103961E-4</v>
      </c>
      <c r="BF89" s="10">
        <f t="shared" si="51"/>
        <v>7.3946908773334314E-4</v>
      </c>
      <c r="BG89" s="10">
        <f t="shared" si="51"/>
        <v>8.0617656755020705E-4</v>
      </c>
      <c r="BH89" s="10">
        <f t="shared" si="51"/>
        <v>8.6462238885913229E-4</v>
      </c>
      <c r="BI89" s="10">
        <f t="shared" si="51"/>
        <v>9.1625185016167324E-4</v>
      </c>
      <c r="BJ89" s="10">
        <f t="shared" si="51"/>
        <v>9.6219170387685724E-4</v>
      </c>
      <c r="BK89" s="10">
        <f t="shared" si="51"/>
        <v>1.0033333333333335E-3</v>
      </c>
      <c r="BL89" s="10">
        <f>BL79*(BL69-$F66)/BL69</f>
        <v>1.33E-3</v>
      </c>
      <c r="BM89" s="10">
        <f>BM79*(BM69-$F66)/BM69</f>
        <v>1.4578260869565216E-3</v>
      </c>
      <c r="BN89" s="10">
        <f>BN79*(BN69-$F66)/BN69</f>
        <v>1.526E-3</v>
      </c>
      <c r="BO89" s="8">
        <f>BO80</f>
        <v>1.75E-3</v>
      </c>
      <c r="BS89"/>
      <c r="BT89"/>
    </row>
    <row r="90" spans="2:72" ht="16.5">
      <c r="B90" s="293" t="s">
        <v>59</v>
      </c>
      <c r="C90" s="301" t="s">
        <v>60</v>
      </c>
      <c r="D90" s="12">
        <f t="shared" ref="D90:BJ90" si="52">IF(D80&lt;0,MAX(-$C$10,200000*D80),MIN(200000*D80,$C$10)-IF(AND($C66&lt;$C$8*D69,$C66&gt;0),$C$9,0))</f>
        <v>-101.58233930794877</v>
      </c>
      <c r="E90" s="307">
        <f t="shared" si="52"/>
        <v>-59.470971568746592</v>
      </c>
      <c r="F90" s="307">
        <f t="shared" si="52"/>
        <v>-21.56342158485975</v>
      </c>
      <c r="G90" s="307">
        <f t="shared" si="52"/>
        <v>12.739861900895619</v>
      </c>
      <c r="H90" s="307">
        <f t="shared" si="52"/>
        <v>43.929593089638075</v>
      </c>
      <c r="I90" s="307">
        <f t="shared" si="52"/>
        <v>72.411273589777068</v>
      </c>
      <c r="J90" s="307">
        <f t="shared" si="52"/>
        <v>98.522919321106571</v>
      </c>
      <c r="K90" s="307">
        <f t="shared" si="52"/>
        <v>122.54853887942116</v>
      </c>
      <c r="L90" s="307">
        <f t="shared" si="52"/>
        <v>122.06183900268941</v>
      </c>
      <c r="M90" s="307">
        <f t="shared" si="52"/>
        <v>142.60096142088463</v>
      </c>
      <c r="N90" s="307">
        <f t="shared" si="52"/>
        <v>161.67482586210298</v>
      </c>
      <c r="O90" s="307">
        <f t="shared" si="52"/>
        <v>179.43482895312283</v>
      </c>
      <c r="P90" s="307">
        <f t="shared" si="52"/>
        <v>196.01220450667472</v>
      </c>
      <c r="Q90" s="307">
        <f t="shared" si="52"/>
        <v>211.52127193943048</v>
      </c>
      <c r="R90" s="307">
        <f t="shared" si="52"/>
        <v>226.062076273668</v>
      </c>
      <c r="S90" s="307">
        <f t="shared" si="52"/>
        <v>239.72254864458486</v>
      </c>
      <c r="T90" s="307">
        <f t="shared" si="52"/>
        <v>252.58028593168578</v>
      </c>
      <c r="U90" s="307">
        <f t="shared" si="52"/>
        <v>264.70402561371992</v>
      </c>
      <c r="V90" s="307">
        <f t="shared" si="52"/>
        <v>276.15487505199042</v>
      </c>
      <c r="W90" s="307">
        <f t="shared" si="52"/>
        <v>286.98734161784972</v>
      </c>
      <c r="X90" s="307">
        <f t="shared" si="52"/>
        <v>297.25020031739342</v>
      </c>
      <c r="Y90" s="307">
        <f t="shared" si="52"/>
        <v>306.9872280545024</v>
      </c>
      <c r="Z90" s="307">
        <f t="shared" si="52"/>
        <v>316.23782785022382</v>
      </c>
      <c r="AA90" s="307">
        <f t="shared" si="52"/>
        <v>325.03756179049066</v>
      </c>
      <c r="AB90" s="307">
        <f t="shared" si="52"/>
        <v>333.41860790152128</v>
      </c>
      <c r="AC90" s="307">
        <f t="shared" si="52"/>
        <v>341.41015332674613</v>
      </c>
      <c r="AD90" s="307">
        <f t="shared" si="52"/>
        <v>349.03873393109467</v>
      </c>
      <c r="AE90" s="307">
        <f t="shared" si="52"/>
        <v>356.32852865972217</v>
      </c>
      <c r="AF90" s="307">
        <f t="shared" si="52"/>
        <v>363.30161553116125</v>
      </c>
      <c r="AG90" s="307">
        <f t="shared" si="52"/>
        <v>369.97819497469067</v>
      </c>
      <c r="AH90" s="307">
        <f t="shared" si="52"/>
        <v>376.37678527076997</v>
      </c>
      <c r="AI90" s="307">
        <f t="shared" si="52"/>
        <v>382.51439407698695</v>
      </c>
      <c r="AJ90" s="307">
        <f t="shared" si="52"/>
        <v>388.40666938521582</v>
      </c>
      <c r="AK90" s="307">
        <f t="shared" si="52"/>
        <v>394.06803273122722</v>
      </c>
      <c r="AL90" s="307">
        <f t="shared" si="52"/>
        <v>399.51179704424351</v>
      </c>
      <c r="AM90" s="307">
        <f t="shared" si="52"/>
        <v>404.75027116379545</v>
      </c>
      <c r="AN90" s="307">
        <f t="shared" si="52"/>
        <v>409.79485275107766</v>
      </c>
      <c r="AO90" s="307">
        <f t="shared" si="52"/>
        <v>412.1159420289855</v>
      </c>
      <c r="AP90" s="307">
        <f t="shared" si="52"/>
        <v>412.1159420289855</v>
      </c>
      <c r="AQ90" s="307">
        <f t="shared" si="52"/>
        <v>412.1159420289855</v>
      </c>
      <c r="AR90" s="61">
        <f t="shared" si="52"/>
        <v>412.1159420289855</v>
      </c>
      <c r="AS90" s="307">
        <f t="shared" si="52"/>
        <v>412.1159420289855</v>
      </c>
      <c r="AT90" s="307">
        <f t="shared" si="52"/>
        <v>412.1159420289855</v>
      </c>
      <c r="AU90" s="307">
        <f t="shared" si="52"/>
        <v>412.1159420289855</v>
      </c>
      <c r="AV90" s="307">
        <f t="shared" si="52"/>
        <v>412.1159420289855</v>
      </c>
      <c r="AW90" s="307">
        <f t="shared" si="52"/>
        <v>412.1159420289855</v>
      </c>
      <c r="AX90" s="307">
        <f t="shared" si="52"/>
        <v>412.1159420289855</v>
      </c>
      <c r="AY90" s="307">
        <f t="shared" si="52"/>
        <v>412.1159420289855</v>
      </c>
      <c r="AZ90" s="307">
        <f t="shared" si="52"/>
        <v>412.1159420289855</v>
      </c>
      <c r="BA90" s="307">
        <f t="shared" si="52"/>
        <v>412.1159420289855</v>
      </c>
      <c r="BB90" s="307">
        <f t="shared" si="52"/>
        <v>412.1159420289855</v>
      </c>
      <c r="BC90" s="307">
        <f t="shared" si="52"/>
        <v>412.1159420289855</v>
      </c>
      <c r="BD90" s="307">
        <f t="shared" si="52"/>
        <v>412.1159420289855</v>
      </c>
      <c r="BE90" s="307">
        <f t="shared" si="52"/>
        <v>412.1159420289855</v>
      </c>
      <c r="BF90" s="307">
        <f t="shared" si="52"/>
        <v>412.1159420289855</v>
      </c>
      <c r="BG90" s="307">
        <f t="shared" si="52"/>
        <v>412.1159420289855</v>
      </c>
      <c r="BH90" s="307">
        <f t="shared" si="52"/>
        <v>412.1159420289855</v>
      </c>
      <c r="BI90" s="307">
        <f t="shared" si="52"/>
        <v>412.1159420289855</v>
      </c>
      <c r="BJ90" s="307">
        <f t="shared" si="52"/>
        <v>412.1159420289855</v>
      </c>
      <c r="BK90" s="307">
        <f>IF(BK80&lt;0,MAX(-$C$10,200000*BK80),MIN(200000*BK80,$C$10)-IF(AND($C66&lt;$C$8*BK69,$C66&gt;0),$C$9,0))</f>
        <v>412.1159420289855</v>
      </c>
      <c r="BL90" s="307">
        <f>IF(BL80&lt;0,MAX(-$C$10,200000*BL80),MIN(200000*BL80,$C$10)-IF(AND($C66&lt;$C$8*BL69,$C66&gt;0),$C$9,0))</f>
        <v>411.33333333333331</v>
      </c>
      <c r="BM90" s="307">
        <f>IF(BM80&lt;0,MAX(-$C$10,200000*BM80),MIN(200000*BM80,$C$10)-IF(AND($C66&lt;$C$8*BM69,$C66&gt;0),$C$9,0))</f>
        <v>385.76811594202894</v>
      </c>
      <c r="BN90" s="307">
        <f>IF(BN80&lt;0,MAX(-$C$10,200000*BN80),MIN(200000*BN80,$C$10)-IF(AND($C66&lt;$C$8*BN69,$C66&gt;0),$C$9,0))</f>
        <v>372.13333333333333</v>
      </c>
      <c r="BO90" s="12">
        <f>200000*BO80-C$9</f>
        <v>327.33333333333331</v>
      </c>
      <c r="BS90"/>
      <c r="BT90"/>
    </row>
    <row r="91" spans="2:72" ht="16.5">
      <c r="B91" s="11">
        <v>2</v>
      </c>
      <c r="C91" s="302" t="s">
        <v>61</v>
      </c>
      <c r="D91" s="12">
        <f t="shared" ref="D91:AI91" si="53">IF(D81&lt;0,MAX(-$C$10,200000*D81),MIN(200000*D81,$C$10)-IF(AND($D71&lt;$C$8*D69,$D71&gt;0),$C$9,0))</f>
        <v>0</v>
      </c>
      <c r="E91" s="307">
        <f t="shared" si="53"/>
        <v>0</v>
      </c>
      <c r="F91" s="307">
        <f t="shared" si="53"/>
        <v>0</v>
      </c>
      <c r="G91" s="307">
        <f t="shared" si="53"/>
        <v>0</v>
      </c>
      <c r="H91" s="307">
        <f t="shared" si="53"/>
        <v>0</v>
      </c>
      <c r="I91" s="307">
        <f t="shared" si="53"/>
        <v>0</v>
      </c>
      <c r="J91" s="307">
        <f t="shared" si="53"/>
        <v>0</v>
      </c>
      <c r="K91" s="307">
        <f t="shared" si="53"/>
        <v>0</v>
      </c>
      <c r="L91" s="307">
        <f t="shared" si="53"/>
        <v>0</v>
      </c>
      <c r="M91" s="307">
        <f t="shared" si="53"/>
        <v>0</v>
      </c>
      <c r="N91" s="307">
        <f t="shared" si="53"/>
        <v>0</v>
      </c>
      <c r="O91" s="307">
        <f t="shared" si="53"/>
        <v>0</v>
      </c>
      <c r="P91" s="307">
        <f t="shared" si="53"/>
        <v>0</v>
      </c>
      <c r="Q91" s="307">
        <f t="shared" si="53"/>
        <v>0</v>
      </c>
      <c r="R91" s="307">
        <f t="shared" si="53"/>
        <v>0</v>
      </c>
      <c r="S91" s="307">
        <f t="shared" si="53"/>
        <v>0</v>
      </c>
      <c r="T91" s="307">
        <f t="shared" si="53"/>
        <v>0</v>
      </c>
      <c r="U91" s="307">
        <f t="shared" si="53"/>
        <v>0</v>
      </c>
      <c r="V91" s="307">
        <f t="shared" si="53"/>
        <v>0</v>
      </c>
      <c r="W91" s="307">
        <f t="shared" si="53"/>
        <v>0</v>
      </c>
      <c r="X91" s="307">
        <f t="shared" si="53"/>
        <v>0</v>
      </c>
      <c r="Y91" s="307">
        <f t="shared" si="53"/>
        <v>0</v>
      </c>
      <c r="Z91" s="307">
        <f t="shared" si="53"/>
        <v>0</v>
      </c>
      <c r="AA91" s="307">
        <f t="shared" si="53"/>
        <v>0</v>
      </c>
      <c r="AB91" s="307">
        <f t="shared" si="53"/>
        <v>0</v>
      </c>
      <c r="AC91" s="307">
        <f t="shared" si="53"/>
        <v>0</v>
      </c>
      <c r="AD91" s="307">
        <f t="shared" si="53"/>
        <v>0</v>
      </c>
      <c r="AE91" s="307">
        <f t="shared" si="53"/>
        <v>0</v>
      </c>
      <c r="AF91" s="307">
        <f t="shared" si="53"/>
        <v>0</v>
      </c>
      <c r="AG91" s="307">
        <f t="shared" si="53"/>
        <v>0</v>
      </c>
      <c r="AH91" s="307">
        <f t="shared" si="53"/>
        <v>0</v>
      </c>
      <c r="AI91" s="307">
        <f t="shared" si="53"/>
        <v>0</v>
      </c>
      <c r="AJ91" s="307">
        <f t="shared" ref="AJ91:BK91" si="54">IF(AJ81&lt;0,MAX(-$C$10,200000*AJ81),MIN(200000*AJ81,$C$10)-IF(AND($D71&lt;$C$8*AJ69,$D71&gt;0),$C$9,0))</f>
        <v>0</v>
      </c>
      <c r="AK91" s="307">
        <f t="shared" si="54"/>
        <v>0</v>
      </c>
      <c r="AL91" s="307">
        <f t="shared" si="54"/>
        <v>0</v>
      </c>
      <c r="AM91" s="307">
        <f t="shared" si="54"/>
        <v>0</v>
      </c>
      <c r="AN91" s="307">
        <f t="shared" si="54"/>
        <v>0</v>
      </c>
      <c r="AO91" s="307">
        <f t="shared" si="54"/>
        <v>0</v>
      </c>
      <c r="AP91" s="307">
        <f t="shared" si="54"/>
        <v>0</v>
      </c>
      <c r="AQ91" s="307">
        <f t="shared" si="54"/>
        <v>0</v>
      </c>
      <c r="AR91" s="61">
        <f t="shared" si="54"/>
        <v>0</v>
      </c>
      <c r="AS91" s="307">
        <f t="shared" si="54"/>
        <v>0</v>
      </c>
      <c r="AT91" s="307">
        <f t="shared" si="54"/>
        <v>0</v>
      </c>
      <c r="AU91" s="307">
        <f t="shared" si="54"/>
        <v>0</v>
      </c>
      <c r="AV91" s="307">
        <f t="shared" si="54"/>
        <v>0</v>
      </c>
      <c r="AW91" s="307">
        <f t="shared" si="54"/>
        <v>0</v>
      </c>
      <c r="AX91" s="307">
        <f t="shared" si="54"/>
        <v>0</v>
      </c>
      <c r="AY91" s="307">
        <f t="shared" si="54"/>
        <v>0</v>
      </c>
      <c r="AZ91" s="307">
        <f t="shared" si="54"/>
        <v>0</v>
      </c>
      <c r="BA91" s="307">
        <f t="shared" si="54"/>
        <v>0</v>
      </c>
      <c r="BB91" s="307">
        <f t="shared" si="54"/>
        <v>0</v>
      </c>
      <c r="BC91" s="307">
        <f t="shared" si="54"/>
        <v>0</v>
      </c>
      <c r="BD91" s="307">
        <f t="shared" si="54"/>
        <v>0</v>
      </c>
      <c r="BE91" s="307">
        <f t="shared" si="54"/>
        <v>0</v>
      </c>
      <c r="BF91" s="307">
        <f t="shared" si="54"/>
        <v>0</v>
      </c>
      <c r="BG91" s="307">
        <f t="shared" si="54"/>
        <v>0</v>
      </c>
      <c r="BH91" s="307">
        <f t="shared" si="54"/>
        <v>0</v>
      </c>
      <c r="BI91" s="307">
        <f t="shared" si="54"/>
        <v>0</v>
      </c>
      <c r="BJ91" s="307">
        <f t="shared" si="54"/>
        <v>0</v>
      </c>
      <c r="BK91" s="307">
        <f t="shared" si="54"/>
        <v>0</v>
      </c>
      <c r="BL91" s="307">
        <f>IF(BL81&lt;0,MAX(-$C$10,200000*BL81),MIN(200000*BL81,$C$10)-IF(AND($D71&lt;$C$8*BL69,$D71&gt;0),$C$9,0))</f>
        <v>0</v>
      </c>
      <c r="BM91" s="307">
        <f>IF(BM81&lt;0,MAX(-$C$10,200000*BM81),MIN(200000*BM81,$C$10)-IF(AND($D71&lt;$C$8*BM69,$D71&gt;0),$C$9,0))</f>
        <v>0</v>
      </c>
      <c r="BN91" s="307">
        <f>IF(BN81&lt;0,MAX(-$C$10,200000*BN81),MIN(200000*BN81,$C$10)-IF(AND($D71&lt;$C$8*BN69,$D71&gt;0),$C$9,0))</f>
        <v>0</v>
      </c>
      <c r="BO91" s="12">
        <f>IF(D91=0,0,BO90)</f>
        <v>0</v>
      </c>
      <c r="BS91"/>
      <c r="BT91"/>
    </row>
    <row r="92" spans="2:72" ht="16.5">
      <c r="B92" s="11">
        <f t="shared" ref="B92:B98" si="55">1+B91</f>
        <v>3</v>
      </c>
      <c r="C92" s="302" t="s">
        <v>61</v>
      </c>
      <c r="D92" s="12">
        <f t="shared" ref="D92:AI92" si="56">IF(D82&lt;0,MAX(-$C$10,200000*D82),MIN(200000*D82,$C$10)-IF(AND($D72&lt;$C$8*D69,$D72&gt;0),$C$9,0))</f>
        <v>0</v>
      </c>
      <c r="E92" s="307">
        <f t="shared" si="56"/>
        <v>0</v>
      </c>
      <c r="F92" s="307">
        <f t="shared" si="56"/>
        <v>0</v>
      </c>
      <c r="G92" s="307">
        <f t="shared" si="56"/>
        <v>0</v>
      </c>
      <c r="H92" s="307">
        <f t="shared" si="56"/>
        <v>0</v>
      </c>
      <c r="I92" s="307">
        <f t="shared" si="56"/>
        <v>0</v>
      </c>
      <c r="J92" s="307">
        <f t="shared" si="56"/>
        <v>0</v>
      </c>
      <c r="K92" s="307">
        <f t="shared" si="56"/>
        <v>0</v>
      </c>
      <c r="L92" s="307">
        <f t="shared" si="56"/>
        <v>0</v>
      </c>
      <c r="M92" s="307">
        <f t="shared" si="56"/>
        <v>0</v>
      </c>
      <c r="N92" s="307">
        <f t="shared" si="56"/>
        <v>0</v>
      </c>
      <c r="O92" s="307">
        <f t="shared" si="56"/>
        <v>0</v>
      </c>
      <c r="P92" s="307">
        <f t="shared" si="56"/>
        <v>0</v>
      </c>
      <c r="Q92" s="307">
        <f t="shared" si="56"/>
        <v>0</v>
      </c>
      <c r="R92" s="307">
        <f t="shared" si="56"/>
        <v>0</v>
      </c>
      <c r="S92" s="307">
        <f t="shared" si="56"/>
        <v>0</v>
      </c>
      <c r="T92" s="307">
        <f t="shared" si="56"/>
        <v>0</v>
      </c>
      <c r="U92" s="307">
        <f t="shared" si="56"/>
        <v>0</v>
      </c>
      <c r="V92" s="307">
        <f t="shared" si="56"/>
        <v>0</v>
      </c>
      <c r="W92" s="307">
        <f t="shared" si="56"/>
        <v>0</v>
      </c>
      <c r="X92" s="307">
        <f t="shared" si="56"/>
        <v>0</v>
      </c>
      <c r="Y92" s="307">
        <f t="shared" si="56"/>
        <v>0</v>
      </c>
      <c r="Z92" s="307">
        <f t="shared" si="56"/>
        <v>0</v>
      </c>
      <c r="AA92" s="307">
        <f t="shared" si="56"/>
        <v>0</v>
      </c>
      <c r="AB92" s="307">
        <f t="shared" si="56"/>
        <v>0</v>
      </c>
      <c r="AC92" s="307">
        <f t="shared" si="56"/>
        <v>0</v>
      </c>
      <c r="AD92" s="307">
        <f t="shared" si="56"/>
        <v>0</v>
      </c>
      <c r="AE92" s="307">
        <f t="shared" si="56"/>
        <v>0</v>
      </c>
      <c r="AF92" s="307">
        <f t="shared" si="56"/>
        <v>0</v>
      </c>
      <c r="AG92" s="307">
        <f t="shared" si="56"/>
        <v>0</v>
      </c>
      <c r="AH92" s="307">
        <f t="shared" si="56"/>
        <v>0</v>
      </c>
      <c r="AI92" s="307">
        <f t="shared" si="56"/>
        <v>0</v>
      </c>
      <c r="AJ92" s="307">
        <f t="shared" ref="AJ92:BK92" si="57">IF(AJ82&lt;0,MAX(-$C$10,200000*AJ82),MIN(200000*AJ82,$C$10)-IF(AND($D72&lt;$C$8*AJ69,$D72&gt;0),$C$9,0))</f>
        <v>0</v>
      </c>
      <c r="AK92" s="307">
        <f t="shared" si="57"/>
        <v>0</v>
      </c>
      <c r="AL92" s="307">
        <f t="shared" si="57"/>
        <v>0</v>
      </c>
      <c r="AM92" s="307">
        <f t="shared" si="57"/>
        <v>0</v>
      </c>
      <c r="AN92" s="307">
        <f t="shared" si="57"/>
        <v>0</v>
      </c>
      <c r="AO92" s="307">
        <f t="shared" si="57"/>
        <v>0</v>
      </c>
      <c r="AP92" s="307">
        <f t="shared" si="57"/>
        <v>0</v>
      </c>
      <c r="AQ92" s="307">
        <f t="shared" si="57"/>
        <v>0</v>
      </c>
      <c r="AR92" s="61">
        <f t="shared" si="57"/>
        <v>0</v>
      </c>
      <c r="AS92" s="307">
        <f t="shared" si="57"/>
        <v>0</v>
      </c>
      <c r="AT92" s="307">
        <f t="shared" si="57"/>
        <v>0</v>
      </c>
      <c r="AU92" s="307">
        <f t="shared" si="57"/>
        <v>0</v>
      </c>
      <c r="AV92" s="307">
        <f t="shared" si="57"/>
        <v>0</v>
      </c>
      <c r="AW92" s="307">
        <f t="shared" si="57"/>
        <v>0</v>
      </c>
      <c r="AX92" s="307">
        <f t="shared" si="57"/>
        <v>0</v>
      </c>
      <c r="AY92" s="307">
        <f t="shared" si="57"/>
        <v>0</v>
      </c>
      <c r="AZ92" s="307">
        <f t="shared" si="57"/>
        <v>0</v>
      </c>
      <c r="BA92" s="307">
        <f t="shared" si="57"/>
        <v>0</v>
      </c>
      <c r="BB92" s="307">
        <f t="shared" si="57"/>
        <v>0</v>
      </c>
      <c r="BC92" s="307">
        <f t="shared" si="57"/>
        <v>0</v>
      </c>
      <c r="BD92" s="307">
        <f t="shared" si="57"/>
        <v>0</v>
      </c>
      <c r="BE92" s="307">
        <f t="shared" si="57"/>
        <v>0</v>
      </c>
      <c r="BF92" s="307">
        <f t="shared" si="57"/>
        <v>0</v>
      </c>
      <c r="BG92" s="307">
        <f t="shared" si="57"/>
        <v>0</v>
      </c>
      <c r="BH92" s="307">
        <f t="shared" si="57"/>
        <v>0</v>
      </c>
      <c r="BI92" s="307">
        <f t="shared" si="57"/>
        <v>0</v>
      </c>
      <c r="BJ92" s="307">
        <f t="shared" si="57"/>
        <v>0</v>
      </c>
      <c r="BK92" s="307">
        <f t="shared" si="57"/>
        <v>0</v>
      </c>
      <c r="BL92" s="307">
        <f>IF(BL82&lt;0,MAX(-$C$10,200000*BL82),MIN(200000*BL82,$C$10)-IF(AND($D72&lt;$C$8*BL69,$D72&gt;0),$C$9,0))</f>
        <v>0</v>
      </c>
      <c r="BM92" s="307">
        <f>IF(BM82&lt;0,MAX(-$C$10,200000*BM82),MIN(200000*BM82,$C$10)-IF(AND($D72&lt;$C$8*BM69,$D72&gt;0),$C$9,0))</f>
        <v>0</v>
      </c>
      <c r="BN92" s="307">
        <f>IF(BN82&lt;0,MAX(-$C$10,200000*BN82),MIN(200000*BN82,$C$10)-IF(AND($D72&lt;$C$8*BN69,$D72&gt;0),$C$9,0))</f>
        <v>0</v>
      </c>
      <c r="BO92" s="12">
        <f>IF(D92=0,0,BO90)</f>
        <v>0</v>
      </c>
      <c r="BS92"/>
      <c r="BT92"/>
    </row>
    <row r="93" spans="2:72" ht="16.5">
      <c r="B93" s="11">
        <f t="shared" si="55"/>
        <v>4</v>
      </c>
      <c r="C93" s="302" t="s">
        <v>61</v>
      </c>
      <c r="D93" s="12">
        <f t="shared" ref="D93:AI93" si="58">IF(D83&lt;0,MAX(-$C$10,200000*D83),MIN(200000*D83,$C$10)-IF(AND($D73&lt;$C$8*D69,$D73&gt;0),$C$9,0))</f>
        <v>0</v>
      </c>
      <c r="E93" s="307">
        <f t="shared" si="58"/>
        <v>0</v>
      </c>
      <c r="F93" s="307">
        <f t="shared" si="58"/>
        <v>0</v>
      </c>
      <c r="G93" s="307">
        <f t="shared" si="58"/>
        <v>0</v>
      </c>
      <c r="H93" s="307">
        <f t="shared" si="58"/>
        <v>0</v>
      </c>
      <c r="I93" s="307">
        <f t="shared" si="58"/>
        <v>0</v>
      </c>
      <c r="J93" s="307">
        <f t="shared" si="58"/>
        <v>0</v>
      </c>
      <c r="K93" s="307">
        <f t="shared" si="58"/>
        <v>0</v>
      </c>
      <c r="L93" s="307">
        <f t="shared" si="58"/>
        <v>0</v>
      </c>
      <c r="M93" s="307">
        <f t="shared" si="58"/>
        <v>0</v>
      </c>
      <c r="N93" s="307">
        <f t="shared" si="58"/>
        <v>0</v>
      </c>
      <c r="O93" s="307">
        <f t="shared" si="58"/>
        <v>0</v>
      </c>
      <c r="P93" s="307">
        <f t="shared" si="58"/>
        <v>0</v>
      </c>
      <c r="Q93" s="307">
        <f t="shared" si="58"/>
        <v>0</v>
      </c>
      <c r="R93" s="307">
        <f t="shared" si="58"/>
        <v>0</v>
      </c>
      <c r="S93" s="307">
        <f t="shared" si="58"/>
        <v>0</v>
      </c>
      <c r="T93" s="307">
        <f t="shared" si="58"/>
        <v>0</v>
      </c>
      <c r="U93" s="307">
        <f t="shared" si="58"/>
        <v>0</v>
      </c>
      <c r="V93" s="307">
        <f t="shared" si="58"/>
        <v>0</v>
      </c>
      <c r="W93" s="307">
        <f t="shared" si="58"/>
        <v>0</v>
      </c>
      <c r="X93" s="307">
        <f t="shared" si="58"/>
        <v>0</v>
      </c>
      <c r="Y93" s="307">
        <f t="shared" si="58"/>
        <v>0</v>
      </c>
      <c r="Z93" s="307">
        <f t="shared" si="58"/>
        <v>0</v>
      </c>
      <c r="AA93" s="307">
        <f t="shared" si="58"/>
        <v>0</v>
      </c>
      <c r="AB93" s="307">
        <f t="shared" si="58"/>
        <v>0</v>
      </c>
      <c r="AC93" s="307">
        <f t="shared" si="58"/>
        <v>0</v>
      </c>
      <c r="AD93" s="307">
        <f t="shared" si="58"/>
        <v>0</v>
      </c>
      <c r="AE93" s="307">
        <f t="shared" si="58"/>
        <v>0</v>
      </c>
      <c r="AF93" s="307">
        <f t="shared" si="58"/>
        <v>0</v>
      </c>
      <c r="AG93" s="307">
        <f t="shared" si="58"/>
        <v>0</v>
      </c>
      <c r="AH93" s="307">
        <f t="shared" si="58"/>
        <v>0</v>
      </c>
      <c r="AI93" s="307">
        <f t="shared" si="58"/>
        <v>0</v>
      </c>
      <c r="AJ93" s="307">
        <f t="shared" ref="AJ93:BK93" si="59">IF(AJ83&lt;0,MAX(-$C$10,200000*AJ83),MIN(200000*AJ83,$C$10)-IF(AND($D73&lt;$C$8*AJ69,$D73&gt;0),$C$9,0))</f>
        <v>0</v>
      </c>
      <c r="AK93" s="307">
        <f t="shared" si="59"/>
        <v>0</v>
      </c>
      <c r="AL93" s="307">
        <f t="shared" si="59"/>
        <v>0</v>
      </c>
      <c r="AM93" s="307">
        <f t="shared" si="59"/>
        <v>0</v>
      </c>
      <c r="AN93" s="307">
        <f t="shared" si="59"/>
        <v>0</v>
      </c>
      <c r="AO93" s="307">
        <f t="shared" si="59"/>
        <v>0</v>
      </c>
      <c r="AP93" s="307">
        <f t="shared" si="59"/>
        <v>0</v>
      </c>
      <c r="AQ93" s="307">
        <f t="shared" si="59"/>
        <v>0</v>
      </c>
      <c r="AR93" s="61">
        <f t="shared" si="59"/>
        <v>0</v>
      </c>
      <c r="AS93" s="307">
        <f t="shared" si="59"/>
        <v>0</v>
      </c>
      <c r="AT93" s="307">
        <f t="shared" si="59"/>
        <v>0</v>
      </c>
      <c r="AU93" s="307">
        <f t="shared" si="59"/>
        <v>0</v>
      </c>
      <c r="AV93" s="307">
        <f t="shared" si="59"/>
        <v>0</v>
      </c>
      <c r="AW93" s="307">
        <f t="shared" si="59"/>
        <v>0</v>
      </c>
      <c r="AX93" s="307">
        <f t="shared" si="59"/>
        <v>0</v>
      </c>
      <c r="AY93" s="307">
        <f t="shared" si="59"/>
        <v>0</v>
      </c>
      <c r="AZ93" s="307">
        <f t="shared" si="59"/>
        <v>0</v>
      </c>
      <c r="BA93" s="307">
        <f t="shared" si="59"/>
        <v>0</v>
      </c>
      <c r="BB93" s="307">
        <f t="shared" si="59"/>
        <v>0</v>
      </c>
      <c r="BC93" s="307">
        <f t="shared" si="59"/>
        <v>0</v>
      </c>
      <c r="BD93" s="307">
        <f t="shared" si="59"/>
        <v>0</v>
      </c>
      <c r="BE93" s="307">
        <f t="shared" si="59"/>
        <v>0</v>
      </c>
      <c r="BF93" s="307">
        <f t="shared" si="59"/>
        <v>0</v>
      </c>
      <c r="BG93" s="307">
        <f t="shared" si="59"/>
        <v>0</v>
      </c>
      <c r="BH93" s="307">
        <f t="shared" si="59"/>
        <v>0</v>
      </c>
      <c r="BI93" s="307">
        <f t="shared" si="59"/>
        <v>0</v>
      </c>
      <c r="BJ93" s="307">
        <f t="shared" si="59"/>
        <v>0</v>
      </c>
      <c r="BK93" s="307">
        <f t="shared" si="59"/>
        <v>0</v>
      </c>
      <c r="BL93" s="307">
        <f>IF(BL83&lt;0,MAX(-$C$10,200000*BL83),MIN(200000*BL83,$C$10)-IF(AND($D73&lt;$C$8*BL69,$D73&gt;0),$C$9,0))</f>
        <v>0</v>
      </c>
      <c r="BM93" s="307">
        <f>IF(BM83&lt;0,MAX(-$C$10,200000*BM83),MIN(200000*BM83,$C$10)-IF(AND($D73&lt;$C$8*BM69,$D73&gt;0),$C$9,0))</f>
        <v>0</v>
      </c>
      <c r="BN93" s="307">
        <f>IF(BN83&lt;0,MAX(-$C$10,200000*BN83),MIN(200000*BN83,$C$10)-IF(AND($D73&lt;$C$8*BN69,$D73&gt;0),$C$9,0))</f>
        <v>0</v>
      </c>
      <c r="BO93" s="12">
        <f>IF(D93=0,0,BO90)</f>
        <v>0</v>
      </c>
      <c r="BS93"/>
      <c r="BT93"/>
    </row>
    <row r="94" spans="2:72" ht="16.5">
      <c r="B94" s="11">
        <f t="shared" si="55"/>
        <v>5</v>
      </c>
      <c r="C94" s="302" t="s">
        <v>61</v>
      </c>
      <c r="D94" s="12">
        <f t="shared" ref="D94:AI94" si="60">IF(D84&lt;0,MAX(-$C$10,200000*D84),MIN(200000*D84,$C$10)-IF(AND($D74&lt;$C$8*D69,$D74&gt;0),$C$9,0))</f>
        <v>0</v>
      </c>
      <c r="E94" s="307">
        <f t="shared" si="60"/>
        <v>0</v>
      </c>
      <c r="F94" s="307">
        <f t="shared" si="60"/>
        <v>0</v>
      </c>
      <c r="G94" s="307">
        <f t="shared" si="60"/>
        <v>0</v>
      </c>
      <c r="H94" s="307">
        <f t="shared" si="60"/>
        <v>0</v>
      </c>
      <c r="I94" s="307">
        <f t="shared" si="60"/>
        <v>0</v>
      </c>
      <c r="J94" s="307">
        <f t="shared" si="60"/>
        <v>0</v>
      </c>
      <c r="K94" s="307">
        <f t="shared" si="60"/>
        <v>0</v>
      </c>
      <c r="L94" s="307">
        <f t="shared" si="60"/>
        <v>0</v>
      </c>
      <c r="M94" s="307">
        <f t="shared" si="60"/>
        <v>0</v>
      </c>
      <c r="N94" s="307">
        <f t="shared" si="60"/>
        <v>0</v>
      </c>
      <c r="O94" s="307">
        <f t="shared" si="60"/>
        <v>0</v>
      </c>
      <c r="P94" s="307">
        <f t="shared" si="60"/>
        <v>0</v>
      </c>
      <c r="Q94" s="307">
        <f t="shared" si="60"/>
        <v>0</v>
      </c>
      <c r="R94" s="307">
        <f t="shared" si="60"/>
        <v>0</v>
      </c>
      <c r="S94" s="307">
        <f t="shared" si="60"/>
        <v>0</v>
      </c>
      <c r="T94" s="307">
        <f t="shared" si="60"/>
        <v>0</v>
      </c>
      <c r="U94" s="307">
        <f t="shared" si="60"/>
        <v>0</v>
      </c>
      <c r="V94" s="307">
        <f t="shared" si="60"/>
        <v>0</v>
      </c>
      <c r="W94" s="307">
        <f t="shared" si="60"/>
        <v>0</v>
      </c>
      <c r="X94" s="307">
        <f t="shared" si="60"/>
        <v>0</v>
      </c>
      <c r="Y94" s="307">
        <f t="shared" si="60"/>
        <v>0</v>
      </c>
      <c r="Z94" s="307">
        <f t="shared" si="60"/>
        <v>0</v>
      </c>
      <c r="AA94" s="307">
        <f t="shared" si="60"/>
        <v>0</v>
      </c>
      <c r="AB94" s="307">
        <f t="shared" si="60"/>
        <v>0</v>
      </c>
      <c r="AC94" s="307">
        <f t="shared" si="60"/>
        <v>0</v>
      </c>
      <c r="AD94" s="307">
        <f t="shared" si="60"/>
        <v>0</v>
      </c>
      <c r="AE94" s="307">
        <f t="shared" si="60"/>
        <v>0</v>
      </c>
      <c r="AF94" s="307">
        <f t="shared" si="60"/>
        <v>0</v>
      </c>
      <c r="AG94" s="307">
        <f t="shared" si="60"/>
        <v>0</v>
      </c>
      <c r="AH94" s="307">
        <f t="shared" si="60"/>
        <v>0</v>
      </c>
      <c r="AI94" s="307">
        <f t="shared" si="60"/>
        <v>0</v>
      </c>
      <c r="AJ94" s="307">
        <f t="shared" ref="AJ94:BK94" si="61">IF(AJ84&lt;0,MAX(-$C$10,200000*AJ84),MIN(200000*AJ84,$C$10)-IF(AND($D74&lt;$C$8*AJ69,$D74&gt;0),$C$9,0))</f>
        <v>0</v>
      </c>
      <c r="AK94" s="307">
        <f t="shared" si="61"/>
        <v>0</v>
      </c>
      <c r="AL94" s="307">
        <f t="shared" si="61"/>
        <v>0</v>
      </c>
      <c r="AM94" s="307">
        <f t="shared" si="61"/>
        <v>0</v>
      </c>
      <c r="AN94" s="307">
        <f t="shared" si="61"/>
        <v>0</v>
      </c>
      <c r="AO94" s="307">
        <f t="shared" si="61"/>
        <v>0</v>
      </c>
      <c r="AP94" s="307">
        <f t="shared" si="61"/>
        <v>0</v>
      </c>
      <c r="AQ94" s="307">
        <f t="shared" si="61"/>
        <v>0</v>
      </c>
      <c r="AR94" s="61">
        <f t="shared" si="61"/>
        <v>0</v>
      </c>
      <c r="AS94" s="307">
        <f t="shared" si="61"/>
        <v>0</v>
      </c>
      <c r="AT94" s="307">
        <f t="shared" si="61"/>
        <v>0</v>
      </c>
      <c r="AU94" s="307">
        <f t="shared" si="61"/>
        <v>0</v>
      </c>
      <c r="AV94" s="307">
        <f t="shared" si="61"/>
        <v>0</v>
      </c>
      <c r="AW94" s="307">
        <f t="shared" si="61"/>
        <v>0</v>
      </c>
      <c r="AX94" s="307">
        <f t="shared" si="61"/>
        <v>0</v>
      </c>
      <c r="AY94" s="307">
        <f t="shared" si="61"/>
        <v>0</v>
      </c>
      <c r="AZ94" s="307">
        <f t="shared" si="61"/>
        <v>0</v>
      </c>
      <c r="BA94" s="307">
        <f t="shared" si="61"/>
        <v>0</v>
      </c>
      <c r="BB94" s="307">
        <f t="shared" si="61"/>
        <v>0</v>
      </c>
      <c r="BC94" s="307">
        <f t="shared" si="61"/>
        <v>0</v>
      </c>
      <c r="BD94" s="307">
        <f t="shared" si="61"/>
        <v>0</v>
      </c>
      <c r="BE94" s="307">
        <f t="shared" si="61"/>
        <v>0</v>
      </c>
      <c r="BF94" s="307">
        <f t="shared" si="61"/>
        <v>0</v>
      </c>
      <c r="BG94" s="307">
        <f t="shared" si="61"/>
        <v>0</v>
      </c>
      <c r="BH94" s="307">
        <f t="shared" si="61"/>
        <v>0</v>
      </c>
      <c r="BI94" s="307">
        <f t="shared" si="61"/>
        <v>0</v>
      </c>
      <c r="BJ94" s="307">
        <f t="shared" si="61"/>
        <v>0</v>
      </c>
      <c r="BK94" s="307">
        <f t="shared" si="61"/>
        <v>0</v>
      </c>
      <c r="BL94" s="307">
        <f>IF(BL84&lt;0,MAX(-$C$10,200000*BL84),MIN(200000*BL84,$C$10)-IF(AND($D74&lt;$C$8*BL69,$D74&gt;0),$C$9,0))</f>
        <v>0</v>
      </c>
      <c r="BM94" s="307">
        <f>IF(BM84&lt;0,MAX(-$C$10,200000*BM84),MIN(200000*BM84,$C$10)-IF(AND($D74&lt;$C$8*BM69,$D74&gt;0),$C$9,0))</f>
        <v>0</v>
      </c>
      <c r="BN94" s="307">
        <f>IF(BN84&lt;0,MAX(-$C$10,200000*BN84),MIN(200000*BN84,$C$10)-IF(AND($D74&lt;$C$8*BN69,$D74&gt;0),$C$9,0))</f>
        <v>0</v>
      </c>
      <c r="BO94" s="12">
        <f>IF(D94=0,0,BO90)</f>
        <v>0</v>
      </c>
      <c r="BS94"/>
      <c r="BT94"/>
    </row>
    <row r="95" spans="2:72" ht="16.5">
      <c r="B95" s="11">
        <f t="shared" si="55"/>
        <v>6</v>
      </c>
      <c r="C95" s="302" t="s">
        <v>61</v>
      </c>
      <c r="D95" s="12">
        <f t="shared" ref="D95:AI95" si="62">IF(D85&lt;0,MAX(-$C$10,200000*D85),MIN(200000*D85,$C$10)-IF(AND($D75&lt;$C$8*D69,$D75&gt;0),$C$9,0))</f>
        <v>0</v>
      </c>
      <c r="E95" s="307">
        <f t="shared" si="62"/>
        <v>0</v>
      </c>
      <c r="F95" s="307">
        <f t="shared" si="62"/>
        <v>0</v>
      </c>
      <c r="G95" s="307">
        <f t="shared" si="62"/>
        <v>0</v>
      </c>
      <c r="H95" s="307">
        <f t="shared" si="62"/>
        <v>0</v>
      </c>
      <c r="I95" s="307">
        <f t="shared" si="62"/>
        <v>0</v>
      </c>
      <c r="J95" s="307">
        <f t="shared" si="62"/>
        <v>0</v>
      </c>
      <c r="K95" s="307">
        <f t="shared" si="62"/>
        <v>0</v>
      </c>
      <c r="L95" s="307">
        <f t="shared" si="62"/>
        <v>0</v>
      </c>
      <c r="M95" s="307">
        <f t="shared" si="62"/>
        <v>0</v>
      </c>
      <c r="N95" s="307">
        <f t="shared" si="62"/>
        <v>0</v>
      </c>
      <c r="O95" s="307">
        <f t="shared" si="62"/>
        <v>0</v>
      </c>
      <c r="P95" s="307">
        <f t="shared" si="62"/>
        <v>0</v>
      </c>
      <c r="Q95" s="307">
        <f t="shared" si="62"/>
        <v>0</v>
      </c>
      <c r="R95" s="307">
        <f t="shared" si="62"/>
        <v>0</v>
      </c>
      <c r="S95" s="307">
        <f t="shared" si="62"/>
        <v>0</v>
      </c>
      <c r="T95" s="307">
        <f t="shared" si="62"/>
        <v>0</v>
      </c>
      <c r="U95" s="307">
        <f t="shared" si="62"/>
        <v>0</v>
      </c>
      <c r="V95" s="307">
        <f t="shared" si="62"/>
        <v>0</v>
      </c>
      <c r="W95" s="307">
        <f t="shared" si="62"/>
        <v>0</v>
      </c>
      <c r="X95" s="307">
        <f t="shared" si="62"/>
        <v>0</v>
      </c>
      <c r="Y95" s="307">
        <f t="shared" si="62"/>
        <v>0</v>
      </c>
      <c r="Z95" s="307">
        <f t="shared" si="62"/>
        <v>0</v>
      </c>
      <c r="AA95" s="307">
        <f t="shared" si="62"/>
        <v>0</v>
      </c>
      <c r="AB95" s="307">
        <f t="shared" si="62"/>
        <v>0</v>
      </c>
      <c r="AC95" s="307">
        <f t="shared" si="62"/>
        <v>0</v>
      </c>
      <c r="AD95" s="307">
        <f t="shared" si="62"/>
        <v>0</v>
      </c>
      <c r="AE95" s="307">
        <f t="shared" si="62"/>
        <v>0</v>
      </c>
      <c r="AF95" s="307">
        <f t="shared" si="62"/>
        <v>0</v>
      </c>
      <c r="AG95" s="307">
        <f t="shared" si="62"/>
        <v>0</v>
      </c>
      <c r="AH95" s="307">
        <f t="shared" si="62"/>
        <v>0</v>
      </c>
      <c r="AI95" s="307">
        <f t="shared" si="62"/>
        <v>0</v>
      </c>
      <c r="AJ95" s="307">
        <f t="shared" ref="AJ95:BK95" si="63">IF(AJ85&lt;0,MAX(-$C$10,200000*AJ85),MIN(200000*AJ85,$C$10)-IF(AND($D75&lt;$C$8*AJ69,$D75&gt;0),$C$9,0))</f>
        <v>0</v>
      </c>
      <c r="AK95" s="307">
        <f t="shared" si="63"/>
        <v>0</v>
      </c>
      <c r="AL95" s="307">
        <f t="shared" si="63"/>
        <v>0</v>
      </c>
      <c r="AM95" s="307">
        <f t="shared" si="63"/>
        <v>0</v>
      </c>
      <c r="AN95" s="307">
        <f t="shared" si="63"/>
        <v>0</v>
      </c>
      <c r="AO95" s="307">
        <f t="shared" si="63"/>
        <v>0</v>
      </c>
      <c r="AP95" s="307">
        <f t="shared" si="63"/>
        <v>0</v>
      </c>
      <c r="AQ95" s="307">
        <f t="shared" si="63"/>
        <v>0</v>
      </c>
      <c r="AR95" s="61">
        <f t="shared" si="63"/>
        <v>0</v>
      </c>
      <c r="AS95" s="307">
        <f t="shared" si="63"/>
        <v>0</v>
      </c>
      <c r="AT95" s="307">
        <f t="shared" si="63"/>
        <v>0</v>
      </c>
      <c r="AU95" s="307">
        <f t="shared" si="63"/>
        <v>0</v>
      </c>
      <c r="AV95" s="307">
        <f t="shared" si="63"/>
        <v>0</v>
      </c>
      <c r="AW95" s="307">
        <f t="shared" si="63"/>
        <v>0</v>
      </c>
      <c r="AX95" s="307">
        <f t="shared" si="63"/>
        <v>0</v>
      </c>
      <c r="AY95" s="307">
        <f t="shared" si="63"/>
        <v>0</v>
      </c>
      <c r="AZ95" s="307">
        <f t="shared" si="63"/>
        <v>0</v>
      </c>
      <c r="BA95" s="307">
        <f t="shared" si="63"/>
        <v>0</v>
      </c>
      <c r="BB95" s="307">
        <f t="shared" si="63"/>
        <v>0</v>
      </c>
      <c r="BC95" s="307">
        <f t="shared" si="63"/>
        <v>0</v>
      </c>
      <c r="BD95" s="307">
        <f t="shared" si="63"/>
        <v>0</v>
      </c>
      <c r="BE95" s="307">
        <f t="shared" si="63"/>
        <v>0</v>
      </c>
      <c r="BF95" s="307">
        <f t="shared" si="63"/>
        <v>0</v>
      </c>
      <c r="BG95" s="307">
        <f t="shared" si="63"/>
        <v>0</v>
      </c>
      <c r="BH95" s="307">
        <f t="shared" si="63"/>
        <v>0</v>
      </c>
      <c r="BI95" s="307">
        <f t="shared" si="63"/>
        <v>0</v>
      </c>
      <c r="BJ95" s="307">
        <f t="shared" si="63"/>
        <v>0</v>
      </c>
      <c r="BK95" s="307">
        <f t="shared" si="63"/>
        <v>0</v>
      </c>
      <c r="BL95" s="307">
        <f>IF(BL85&lt;0,MAX(-$C$10,200000*BL85),MIN(200000*BL85,$C$10)-IF(AND($D75&lt;$C$8*BL69,$D75&gt;0),$C$9,0))</f>
        <v>0</v>
      </c>
      <c r="BM95" s="307">
        <f>IF(BM85&lt;0,MAX(-$C$10,200000*BM85),MIN(200000*BM85,$C$10)-IF(AND($D75&lt;$C$8*BM69,$D75&gt;0),$C$9,0))</f>
        <v>0</v>
      </c>
      <c r="BN95" s="307">
        <f>IF(BN85&lt;0,MAX(-$C$10,200000*BN85),MIN(200000*BN85,$C$10)-IF(AND($D75&lt;$C$8*BN69,$D75&gt;0),$C$9,0))</f>
        <v>0</v>
      </c>
      <c r="BO95" s="12">
        <f>IF(D95=0,0,BO90)</f>
        <v>0</v>
      </c>
      <c r="BS95"/>
      <c r="BT95"/>
    </row>
    <row r="96" spans="2:72" ht="16.5">
      <c r="B96" s="11">
        <f t="shared" si="55"/>
        <v>7</v>
      </c>
      <c r="C96" s="302" t="s">
        <v>61</v>
      </c>
      <c r="D96" s="12">
        <f t="shared" ref="D96:AI96" si="64">IF(D86&lt;0,MAX(-$C$10,200000*D86),MIN(200000*D86,$C$10)-IF(AND($D76&lt;$C$8*D69,$D76&gt;0),$C$9,0))</f>
        <v>0</v>
      </c>
      <c r="E96" s="307">
        <f t="shared" si="64"/>
        <v>0</v>
      </c>
      <c r="F96" s="307">
        <f t="shared" si="64"/>
        <v>0</v>
      </c>
      <c r="G96" s="307">
        <f t="shared" si="64"/>
        <v>0</v>
      </c>
      <c r="H96" s="307">
        <f t="shared" si="64"/>
        <v>0</v>
      </c>
      <c r="I96" s="307">
        <f t="shared" si="64"/>
        <v>0</v>
      </c>
      <c r="J96" s="307">
        <f t="shared" si="64"/>
        <v>0</v>
      </c>
      <c r="K96" s="307">
        <f t="shared" si="64"/>
        <v>0</v>
      </c>
      <c r="L96" s="307">
        <f t="shared" si="64"/>
        <v>0</v>
      </c>
      <c r="M96" s="307">
        <f t="shared" si="64"/>
        <v>0</v>
      </c>
      <c r="N96" s="307">
        <f t="shared" si="64"/>
        <v>0</v>
      </c>
      <c r="O96" s="307">
        <f t="shared" si="64"/>
        <v>0</v>
      </c>
      <c r="P96" s="307">
        <f t="shared" si="64"/>
        <v>0</v>
      </c>
      <c r="Q96" s="307">
        <f t="shared" si="64"/>
        <v>0</v>
      </c>
      <c r="R96" s="307">
        <f t="shared" si="64"/>
        <v>0</v>
      </c>
      <c r="S96" s="307">
        <f t="shared" si="64"/>
        <v>0</v>
      </c>
      <c r="T96" s="307">
        <f t="shared" si="64"/>
        <v>0</v>
      </c>
      <c r="U96" s="307">
        <f t="shared" si="64"/>
        <v>0</v>
      </c>
      <c r="V96" s="307">
        <f t="shared" si="64"/>
        <v>0</v>
      </c>
      <c r="W96" s="307">
        <f t="shared" si="64"/>
        <v>0</v>
      </c>
      <c r="X96" s="307">
        <f t="shared" si="64"/>
        <v>0</v>
      </c>
      <c r="Y96" s="307">
        <f t="shared" si="64"/>
        <v>0</v>
      </c>
      <c r="Z96" s="307">
        <f t="shared" si="64"/>
        <v>0</v>
      </c>
      <c r="AA96" s="307">
        <f t="shared" si="64"/>
        <v>0</v>
      </c>
      <c r="AB96" s="307">
        <f t="shared" si="64"/>
        <v>0</v>
      </c>
      <c r="AC96" s="307">
        <f t="shared" si="64"/>
        <v>0</v>
      </c>
      <c r="AD96" s="307">
        <f t="shared" si="64"/>
        <v>0</v>
      </c>
      <c r="AE96" s="307">
        <f t="shared" si="64"/>
        <v>0</v>
      </c>
      <c r="AF96" s="307">
        <f t="shared" si="64"/>
        <v>0</v>
      </c>
      <c r="AG96" s="307">
        <f t="shared" si="64"/>
        <v>0</v>
      </c>
      <c r="AH96" s="307">
        <f t="shared" si="64"/>
        <v>0</v>
      </c>
      <c r="AI96" s="307">
        <f t="shared" si="64"/>
        <v>0</v>
      </c>
      <c r="AJ96" s="307">
        <f t="shared" ref="AJ96:BK96" si="65">IF(AJ86&lt;0,MAX(-$C$10,200000*AJ86),MIN(200000*AJ86,$C$10)-IF(AND($D76&lt;$C$8*AJ69,$D76&gt;0),$C$9,0))</f>
        <v>0</v>
      </c>
      <c r="AK96" s="307">
        <f t="shared" si="65"/>
        <v>0</v>
      </c>
      <c r="AL96" s="307">
        <f t="shared" si="65"/>
        <v>0</v>
      </c>
      <c r="AM96" s="307">
        <f t="shared" si="65"/>
        <v>0</v>
      </c>
      <c r="AN96" s="307">
        <f t="shared" si="65"/>
        <v>0</v>
      </c>
      <c r="AO96" s="307">
        <f t="shared" si="65"/>
        <v>0</v>
      </c>
      <c r="AP96" s="307">
        <f t="shared" si="65"/>
        <v>0</v>
      </c>
      <c r="AQ96" s="307">
        <f t="shared" si="65"/>
        <v>0</v>
      </c>
      <c r="AR96" s="61">
        <f t="shared" si="65"/>
        <v>0</v>
      </c>
      <c r="AS96" s="307">
        <f t="shared" si="65"/>
        <v>0</v>
      </c>
      <c r="AT96" s="307">
        <f t="shared" si="65"/>
        <v>0</v>
      </c>
      <c r="AU96" s="307">
        <f t="shared" si="65"/>
        <v>0</v>
      </c>
      <c r="AV96" s="307">
        <f t="shared" si="65"/>
        <v>0</v>
      </c>
      <c r="AW96" s="307">
        <f t="shared" si="65"/>
        <v>0</v>
      </c>
      <c r="AX96" s="307">
        <f t="shared" si="65"/>
        <v>0</v>
      </c>
      <c r="AY96" s="307">
        <f t="shared" si="65"/>
        <v>0</v>
      </c>
      <c r="AZ96" s="307">
        <f t="shared" si="65"/>
        <v>0</v>
      </c>
      <c r="BA96" s="307">
        <f t="shared" si="65"/>
        <v>0</v>
      </c>
      <c r="BB96" s="307">
        <f t="shared" si="65"/>
        <v>0</v>
      </c>
      <c r="BC96" s="307">
        <f t="shared" si="65"/>
        <v>0</v>
      </c>
      <c r="BD96" s="307">
        <f t="shared" si="65"/>
        <v>0</v>
      </c>
      <c r="BE96" s="307">
        <f t="shared" si="65"/>
        <v>0</v>
      </c>
      <c r="BF96" s="307">
        <f t="shared" si="65"/>
        <v>0</v>
      </c>
      <c r="BG96" s="307">
        <f t="shared" si="65"/>
        <v>0</v>
      </c>
      <c r="BH96" s="307">
        <f t="shared" si="65"/>
        <v>0</v>
      </c>
      <c r="BI96" s="307">
        <f t="shared" si="65"/>
        <v>0</v>
      </c>
      <c r="BJ96" s="307">
        <f t="shared" si="65"/>
        <v>0</v>
      </c>
      <c r="BK96" s="307">
        <f t="shared" si="65"/>
        <v>0</v>
      </c>
      <c r="BL96" s="307">
        <f>IF(BL86&lt;0,MAX(-$C$10,200000*BL86),MIN(200000*BL86,$C$10)-IF(AND($D76&lt;$C$8*BL69,$D76&gt;0),$C$9,0))</f>
        <v>0</v>
      </c>
      <c r="BM96" s="307">
        <f>IF(BM86&lt;0,MAX(-$C$10,200000*BM86),MIN(200000*BM86,$C$10)-IF(AND($D76&lt;$C$8*BM69,$D76&gt;0),$C$9,0))</f>
        <v>0</v>
      </c>
      <c r="BN96" s="307">
        <f>IF(BN86&lt;0,MAX(-$C$10,200000*BN86),MIN(200000*BN86,$C$10)-IF(AND($D76&lt;$C$8*BN69,$D76&gt;0),$C$9,0))</f>
        <v>0</v>
      </c>
      <c r="BO96" s="12">
        <f>IF(D96=0,0,BO90)</f>
        <v>0</v>
      </c>
      <c r="BS96"/>
      <c r="BT96"/>
    </row>
    <row r="97" spans="1:72" ht="16.5">
      <c r="B97" s="11">
        <f t="shared" si="55"/>
        <v>8</v>
      </c>
      <c r="C97" s="302" t="s">
        <v>61</v>
      </c>
      <c r="D97" s="12">
        <f t="shared" ref="D97:AI97" si="66">IF(D87&lt;0,MAX(-$C$10,200000*D87),MIN(200000*D87,$C$10)-IF(AND($D77&lt;$C$8*D69,$D77&gt;0),$C$9,0))</f>
        <v>0</v>
      </c>
      <c r="E97" s="307">
        <f t="shared" si="66"/>
        <v>0</v>
      </c>
      <c r="F97" s="307">
        <f t="shared" si="66"/>
        <v>0</v>
      </c>
      <c r="G97" s="307">
        <f t="shared" si="66"/>
        <v>0</v>
      </c>
      <c r="H97" s="307">
        <f t="shared" si="66"/>
        <v>0</v>
      </c>
      <c r="I97" s="307">
        <f t="shared" si="66"/>
        <v>0</v>
      </c>
      <c r="J97" s="307">
        <f t="shared" si="66"/>
        <v>0</v>
      </c>
      <c r="K97" s="307">
        <f t="shared" si="66"/>
        <v>0</v>
      </c>
      <c r="L97" s="307">
        <f t="shared" si="66"/>
        <v>0</v>
      </c>
      <c r="M97" s="307">
        <f t="shared" si="66"/>
        <v>0</v>
      </c>
      <c r="N97" s="307">
        <f t="shared" si="66"/>
        <v>0</v>
      </c>
      <c r="O97" s="307">
        <f t="shared" si="66"/>
        <v>0</v>
      </c>
      <c r="P97" s="307">
        <f t="shared" si="66"/>
        <v>0</v>
      </c>
      <c r="Q97" s="307">
        <f t="shared" si="66"/>
        <v>0</v>
      </c>
      <c r="R97" s="307">
        <f t="shared" si="66"/>
        <v>0</v>
      </c>
      <c r="S97" s="307">
        <f t="shared" si="66"/>
        <v>0</v>
      </c>
      <c r="T97" s="307">
        <f t="shared" si="66"/>
        <v>0</v>
      </c>
      <c r="U97" s="307">
        <f t="shared" si="66"/>
        <v>0</v>
      </c>
      <c r="V97" s="307">
        <f t="shared" si="66"/>
        <v>0</v>
      </c>
      <c r="W97" s="307">
        <f t="shared" si="66"/>
        <v>0</v>
      </c>
      <c r="X97" s="307">
        <f t="shared" si="66"/>
        <v>0</v>
      </c>
      <c r="Y97" s="307">
        <f t="shared" si="66"/>
        <v>0</v>
      </c>
      <c r="Z97" s="307">
        <f t="shared" si="66"/>
        <v>0</v>
      </c>
      <c r="AA97" s="307">
        <f t="shared" si="66"/>
        <v>0</v>
      </c>
      <c r="AB97" s="307">
        <f t="shared" si="66"/>
        <v>0</v>
      </c>
      <c r="AC97" s="307">
        <f t="shared" si="66"/>
        <v>0</v>
      </c>
      <c r="AD97" s="307">
        <f t="shared" si="66"/>
        <v>0</v>
      </c>
      <c r="AE97" s="307">
        <f t="shared" si="66"/>
        <v>0</v>
      </c>
      <c r="AF97" s="307">
        <f t="shared" si="66"/>
        <v>0</v>
      </c>
      <c r="AG97" s="307">
        <f t="shared" si="66"/>
        <v>0</v>
      </c>
      <c r="AH97" s="307">
        <f t="shared" si="66"/>
        <v>0</v>
      </c>
      <c r="AI97" s="307">
        <f t="shared" si="66"/>
        <v>0</v>
      </c>
      <c r="AJ97" s="307">
        <f t="shared" ref="AJ97:BK97" si="67">IF(AJ87&lt;0,MAX(-$C$10,200000*AJ87),MIN(200000*AJ87,$C$10)-IF(AND($D77&lt;$C$8*AJ69,$D77&gt;0),$C$9,0))</f>
        <v>0</v>
      </c>
      <c r="AK97" s="307">
        <f t="shared" si="67"/>
        <v>0</v>
      </c>
      <c r="AL97" s="307">
        <f t="shared" si="67"/>
        <v>0</v>
      </c>
      <c r="AM97" s="307">
        <f t="shared" si="67"/>
        <v>0</v>
      </c>
      <c r="AN97" s="307">
        <f t="shared" si="67"/>
        <v>0</v>
      </c>
      <c r="AO97" s="307">
        <f t="shared" si="67"/>
        <v>0</v>
      </c>
      <c r="AP97" s="307">
        <f t="shared" si="67"/>
        <v>0</v>
      </c>
      <c r="AQ97" s="307">
        <f t="shared" si="67"/>
        <v>0</v>
      </c>
      <c r="AR97" s="61">
        <f t="shared" si="67"/>
        <v>0</v>
      </c>
      <c r="AS97" s="307">
        <f t="shared" si="67"/>
        <v>0</v>
      </c>
      <c r="AT97" s="307">
        <f t="shared" si="67"/>
        <v>0</v>
      </c>
      <c r="AU97" s="307">
        <f t="shared" si="67"/>
        <v>0</v>
      </c>
      <c r="AV97" s="307">
        <f t="shared" si="67"/>
        <v>0</v>
      </c>
      <c r="AW97" s="307">
        <f t="shared" si="67"/>
        <v>0</v>
      </c>
      <c r="AX97" s="307">
        <f t="shared" si="67"/>
        <v>0</v>
      </c>
      <c r="AY97" s="307">
        <f t="shared" si="67"/>
        <v>0</v>
      </c>
      <c r="AZ97" s="307">
        <f t="shared" si="67"/>
        <v>0</v>
      </c>
      <c r="BA97" s="307">
        <f t="shared" si="67"/>
        <v>0</v>
      </c>
      <c r="BB97" s="307">
        <f t="shared" si="67"/>
        <v>0</v>
      </c>
      <c r="BC97" s="307">
        <f t="shared" si="67"/>
        <v>0</v>
      </c>
      <c r="BD97" s="307">
        <f t="shared" si="67"/>
        <v>0</v>
      </c>
      <c r="BE97" s="307">
        <f t="shared" si="67"/>
        <v>0</v>
      </c>
      <c r="BF97" s="307">
        <f t="shared" si="67"/>
        <v>0</v>
      </c>
      <c r="BG97" s="307">
        <f t="shared" si="67"/>
        <v>0</v>
      </c>
      <c r="BH97" s="307">
        <f t="shared" si="67"/>
        <v>0</v>
      </c>
      <c r="BI97" s="307">
        <f t="shared" si="67"/>
        <v>0</v>
      </c>
      <c r="BJ97" s="307">
        <f t="shared" si="67"/>
        <v>0</v>
      </c>
      <c r="BK97" s="307">
        <f t="shared" si="67"/>
        <v>0</v>
      </c>
      <c r="BL97" s="307">
        <f>IF(BL87&lt;0,MAX(-$C$10,200000*BL87),MIN(200000*BL87,$C$10)-IF(AND($D77&lt;$C$8*BL69,$D77&gt;0),$C$9,0))</f>
        <v>0</v>
      </c>
      <c r="BM97" s="307">
        <f>IF(BM87&lt;0,MAX(-$C$10,200000*BM87),MIN(200000*BM87,$C$10)-IF(AND($D77&lt;$C$8*BM69,$D77&gt;0),$C$9,0))</f>
        <v>0</v>
      </c>
      <c r="BN97" s="307">
        <f>IF(BN87&lt;0,MAX(-$C$10,200000*BN87),MIN(200000*BN87,$C$10)-IF(AND($D77&lt;$C$8*BN69,$D77&gt;0),$C$9,0))</f>
        <v>0</v>
      </c>
      <c r="BO97" s="12">
        <f>IF(D97=0,0,BO90)</f>
        <v>0</v>
      </c>
      <c r="BS97"/>
      <c r="BT97"/>
    </row>
    <row r="98" spans="1:72" ht="16.5">
      <c r="B98" s="11">
        <f t="shared" si="55"/>
        <v>9</v>
      </c>
      <c r="C98" s="302" t="s">
        <v>61</v>
      </c>
      <c r="D98" s="12">
        <f t="shared" ref="D98:AI98" si="68">IF(D88&lt;0,MAX(-$C$10,200000*D88),MIN(200000*D88,$C$10)-IF(AND($D78&lt;$C$8*D69,$D78&gt;0),$C$9,0))</f>
        <v>0</v>
      </c>
      <c r="E98" s="307">
        <f t="shared" si="68"/>
        <v>0</v>
      </c>
      <c r="F98" s="307">
        <f t="shared" si="68"/>
        <v>0</v>
      </c>
      <c r="G98" s="307">
        <f t="shared" si="68"/>
        <v>0</v>
      </c>
      <c r="H98" s="307">
        <f t="shared" si="68"/>
        <v>0</v>
      </c>
      <c r="I98" s="307">
        <f t="shared" si="68"/>
        <v>0</v>
      </c>
      <c r="J98" s="307">
        <f t="shared" si="68"/>
        <v>0</v>
      </c>
      <c r="K98" s="307">
        <f t="shared" si="68"/>
        <v>0</v>
      </c>
      <c r="L98" s="307">
        <f t="shared" si="68"/>
        <v>0</v>
      </c>
      <c r="M98" s="307">
        <f t="shared" si="68"/>
        <v>0</v>
      </c>
      <c r="N98" s="307">
        <f t="shared" si="68"/>
        <v>0</v>
      </c>
      <c r="O98" s="307">
        <f t="shared" si="68"/>
        <v>0</v>
      </c>
      <c r="P98" s="307">
        <f t="shared" si="68"/>
        <v>0</v>
      </c>
      <c r="Q98" s="307">
        <f t="shared" si="68"/>
        <v>0</v>
      </c>
      <c r="R98" s="307">
        <f t="shared" si="68"/>
        <v>0</v>
      </c>
      <c r="S98" s="307">
        <f t="shared" si="68"/>
        <v>0</v>
      </c>
      <c r="T98" s="307">
        <f t="shared" si="68"/>
        <v>0</v>
      </c>
      <c r="U98" s="307">
        <f t="shared" si="68"/>
        <v>0</v>
      </c>
      <c r="V98" s="307">
        <f t="shared" si="68"/>
        <v>0</v>
      </c>
      <c r="W98" s="307">
        <f t="shared" si="68"/>
        <v>0</v>
      </c>
      <c r="X98" s="307">
        <f t="shared" si="68"/>
        <v>0</v>
      </c>
      <c r="Y98" s="307">
        <f t="shared" si="68"/>
        <v>0</v>
      </c>
      <c r="Z98" s="307">
        <f t="shared" si="68"/>
        <v>0</v>
      </c>
      <c r="AA98" s="307">
        <f t="shared" si="68"/>
        <v>0</v>
      </c>
      <c r="AB98" s="307">
        <f t="shared" si="68"/>
        <v>0</v>
      </c>
      <c r="AC98" s="307">
        <f t="shared" si="68"/>
        <v>0</v>
      </c>
      <c r="AD98" s="307">
        <f t="shared" si="68"/>
        <v>0</v>
      </c>
      <c r="AE98" s="307">
        <f t="shared" si="68"/>
        <v>0</v>
      </c>
      <c r="AF98" s="307">
        <f t="shared" si="68"/>
        <v>0</v>
      </c>
      <c r="AG98" s="307">
        <f t="shared" si="68"/>
        <v>0</v>
      </c>
      <c r="AH98" s="307">
        <f t="shared" si="68"/>
        <v>0</v>
      </c>
      <c r="AI98" s="307">
        <f t="shared" si="68"/>
        <v>0</v>
      </c>
      <c r="AJ98" s="307">
        <f t="shared" ref="AJ98:BK98" si="69">IF(AJ88&lt;0,MAX(-$C$10,200000*AJ88),MIN(200000*AJ88,$C$10)-IF(AND($D78&lt;$C$8*AJ69,$D78&gt;0),$C$9,0))</f>
        <v>0</v>
      </c>
      <c r="AK98" s="307">
        <f t="shared" si="69"/>
        <v>0</v>
      </c>
      <c r="AL98" s="307">
        <f t="shared" si="69"/>
        <v>0</v>
      </c>
      <c r="AM98" s="307">
        <f t="shared" si="69"/>
        <v>0</v>
      </c>
      <c r="AN98" s="307">
        <f t="shared" si="69"/>
        <v>0</v>
      </c>
      <c r="AO98" s="307">
        <f t="shared" si="69"/>
        <v>0</v>
      </c>
      <c r="AP98" s="307">
        <f t="shared" si="69"/>
        <v>0</v>
      </c>
      <c r="AQ98" s="307">
        <f t="shared" si="69"/>
        <v>0</v>
      </c>
      <c r="AR98" s="61">
        <f t="shared" si="69"/>
        <v>0</v>
      </c>
      <c r="AS98" s="307">
        <f t="shared" si="69"/>
        <v>0</v>
      </c>
      <c r="AT98" s="307">
        <f t="shared" si="69"/>
        <v>0</v>
      </c>
      <c r="AU98" s="307">
        <f t="shared" si="69"/>
        <v>0</v>
      </c>
      <c r="AV98" s="307">
        <f t="shared" si="69"/>
        <v>0</v>
      </c>
      <c r="AW98" s="307">
        <f t="shared" si="69"/>
        <v>0</v>
      </c>
      <c r="AX98" s="307">
        <f t="shared" si="69"/>
        <v>0</v>
      </c>
      <c r="AY98" s="307">
        <f t="shared" si="69"/>
        <v>0</v>
      </c>
      <c r="AZ98" s="307">
        <f t="shared" si="69"/>
        <v>0</v>
      </c>
      <c r="BA98" s="307">
        <f t="shared" si="69"/>
        <v>0</v>
      </c>
      <c r="BB98" s="307">
        <f t="shared" si="69"/>
        <v>0</v>
      </c>
      <c r="BC98" s="307">
        <f t="shared" si="69"/>
        <v>0</v>
      </c>
      <c r="BD98" s="307">
        <f t="shared" si="69"/>
        <v>0</v>
      </c>
      <c r="BE98" s="307">
        <f t="shared" si="69"/>
        <v>0</v>
      </c>
      <c r="BF98" s="307">
        <f t="shared" si="69"/>
        <v>0</v>
      </c>
      <c r="BG98" s="307">
        <f t="shared" si="69"/>
        <v>0</v>
      </c>
      <c r="BH98" s="307">
        <f t="shared" si="69"/>
        <v>0</v>
      </c>
      <c r="BI98" s="307">
        <f t="shared" si="69"/>
        <v>0</v>
      </c>
      <c r="BJ98" s="307">
        <f t="shared" si="69"/>
        <v>0</v>
      </c>
      <c r="BK98" s="307">
        <f t="shared" si="69"/>
        <v>0</v>
      </c>
      <c r="BL98" s="307">
        <f>IF(BL88&lt;0,MAX(-$C$10,200000*BL88),MIN(200000*BL88,$C$10)-IF(AND($D78&lt;$C$8*BL69,$D78&gt;0),$C$9,0))</f>
        <v>0</v>
      </c>
      <c r="BM98" s="307">
        <f>IF(BM88&lt;0,MAX(-$C$10,200000*BM88),MIN(200000*BM88,$C$10)-IF(AND($D78&lt;$C$8*BM69,$D78&gt;0),$C$9,0))</f>
        <v>0</v>
      </c>
      <c r="BN98" s="307">
        <f>IF(BN88&lt;0,MAX(-$C$10,200000*BN88),MIN(200000*BN88,$C$10)-IF(AND($D78&lt;$C$8*BN69,$D78&gt;0),$C$9,0))</f>
        <v>0</v>
      </c>
      <c r="BO98" s="12">
        <f>IF(D98=0,0,BO90)</f>
        <v>0</v>
      </c>
      <c r="BS98"/>
      <c r="BT98"/>
    </row>
    <row r="99" spans="1:72" ht="16.5">
      <c r="B99" s="294" t="s">
        <v>62</v>
      </c>
      <c r="C99" s="302" t="s">
        <v>63</v>
      </c>
      <c r="D99" s="12">
        <f t="shared" ref="D99:BJ99" si="70">IF(D89&lt;0,MAX(-$C$10,200000*D89),MIN(200000*D89,$C$10)-IF(AND($F66&lt;$C$8*D69,$D79&gt;0),$C$9,0))</f>
        <v>-434.78260869565219</v>
      </c>
      <c r="E99" s="307">
        <f t="shared" si="70"/>
        <v>-434.78260869565219</v>
      </c>
      <c r="F99" s="307">
        <f t="shared" si="70"/>
        <v>-434.78260869565219</v>
      </c>
      <c r="G99" s="307">
        <f t="shared" si="70"/>
        <v>-434.78260869565219</v>
      </c>
      <c r="H99" s="307">
        <f t="shared" si="70"/>
        <v>-434.78260869565219</v>
      </c>
      <c r="I99" s="307">
        <f t="shared" si="70"/>
        <v>-434.78260869565219</v>
      </c>
      <c r="J99" s="307">
        <f t="shared" si="70"/>
        <v>-434.78260869565219</v>
      </c>
      <c r="K99" s="307">
        <f t="shared" si="70"/>
        <v>-434.78260869565219</v>
      </c>
      <c r="L99" s="307">
        <f t="shared" si="70"/>
        <v>-434.78260869565219</v>
      </c>
      <c r="M99" s="307">
        <f t="shared" si="70"/>
        <v>-434.78260869565219</v>
      </c>
      <c r="N99" s="307">
        <f t="shared" si="70"/>
        <v>-434.78260869565219</v>
      </c>
      <c r="O99" s="307">
        <f t="shared" si="70"/>
        <v>-434.78260869565219</v>
      </c>
      <c r="P99" s="307">
        <f t="shared" si="70"/>
        <v>-434.78260869565219</v>
      </c>
      <c r="Q99" s="307">
        <f t="shared" si="70"/>
        <v>-434.78260869565219</v>
      </c>
      <c r="R99" s="307">
        <f t="shared" si="70"/>
        <v>-434.78260869565219</v>
      </c>
      <c r="S99" s="307">
        <f t="shared" si="70"/>
        <v>-434.78260869565219</v>
      </c>
      <c r="T99" s="307">
        <f t="shared" si="70"/>
        <v>-434.78260869565219</v>
      </c>
      <c r="U99" s="307">
        <f t="shared" si="70"/>
        <v>-434.78260869565219</v>
      </c>
      <c r="V99" s="307">
        <f t="shared" si="70"/>
        <v>-434.78260869565219</v>
      </c>
      <c r="W99" s="307">
        <f t="shared" si="70"/>
        <v>-434.78260869565219</v>
      </c>
      <c r="X99" s="307">
        <f t="shared" si="70"/>
        <v>-434.78260869565219</v>
      </c>
      <c r="Y99" s="307">
        <f t="shared" si="70"/>
        <v>-434.78260869565219</v>
      </c>
      <c r="Z99" s="307">
        <f t="shared" si="70"/>
        <v>-434.78260869565219</v>
      </c>
      <c r="AA99" s="307">
        <f t="shared" si="70"/>
        <v>-434.78260869565219</v>
      </c>
      <c r="AB99" s="307">
        <f t="shared" si="70"/>
        <v>-434.78260869565219</v>
      </c>
      <c r="AC99" s="307">
        <f t="shared" si="70"/>
        <v>-434.78260869565219</v>
      </c>
      <c r="AD99" s="307">
        <f t="shared" si="70"/>
        <v>-434.78260869565219</v>
      </c>
      <c r="AE99" s="307">
        <f t="shared" si="70"/>
        <v>-434.78260869565219</v>
      </c>
      <c r="AF99" s="307">
        <f t="shared" si="70"/>
        <v>-434.78260869565219</v>
      </c>
      <c r="AG99" s="307">
        <f t="shared" si="70"/>
        <v>-434.78260869565219</v>
      </c>
      <c r="AH99" s="307">
        <f t="shared" si="70"/>
        <v>-434.78260869565219</v>
      </c>
      <c r="AI99" s="307">
        <f t="shared" si="70"/>
        <v>-434.78260869565219</v>
      </c>
      <c r="AJ99" s="307">
        <f t="shared" si="70"/>
        <v>-434.78260869565219</v>
      </c>
      <c r="AK99" s="307">
        <f t="shared" si="70"/>
        <v>-434.78260869565219</v>
      </c>
      <c r="AL99" s="307">
        <f t="shared" si="70"/>
        <v>-434.78260869565219</v>
      </c>
      <c r="AM99" s="307">
        <f t="shared" si="70"/>
        <v>-434.78260869565219</v>
      </c>
      <c r="AN99" s="307">
        <f t="shared" si="70"/>
        <v>-434.78260869565219</v>
      </c>
      <c r="AO99" s="307">
        <f t="shared" si="70"/>
        <v>-434.78260869565219</v>
      </c>
      <c r="AP99" s="307">
        <f t="shared" si="70"/>
        <v>-434.78260869565219</v>
      </c>
      <c r="AQ99" s="307">
        <f t="shared" si="70"/>
        <v>-434.78260869565219</v>
      </c>
      <c r="AR99" s="61">
        <f t="shared" si="70"/>
        <v>-434.78260869565219</v>
      </c>
      <c r="AS99" s="307">
        <f t="shared" si="70"/>
        <v>-353.22854573911889</v>
      </c>
      <c r="AT99" s="307">
        <f t="shared" si="70"/>
        <v>-282.61070683917643</v>
      </c>
      <c r="AU99" s="307">
        <f t="shared" si="70"/>
        <v>-220.86753130792883</v>
      </c>
      <c r="AV99" s="307">
        <f t="shared" si="70"/>
        <v>-166.42498401972406</v>
      </c>
      <c r="AW99" s="307">
        <f t="shared" si="70"/>
        <v>-118.06048518046958</v>
      </c>
      <c r="AX99" s="307">
        <f t="shared" si="70"/>
        <v>-74.810003919689677</v>
      </c>
      <c r="AY99" s="307">
        <f t="shared" si="70"/>
        <v>-35.90314349313185</v>
      </c>
      <c r="AZ99" s="307">
        <f t="shared" si="70"/>
        <v>-0.71684940746659687</v>
      </c>
      <c r="BA99" s="307">
        <f t="shared" si="70"/>
        <v>31.258208131189402</v>
      </c>
      <c r="BB99" s="307">
        <f t="shared" si="70"/>
        <v>60.44244924371128</v>
      </c>
      <c r="BC99" s="307">
        <f t="shared" si="70"/>
        <v>87.185973463425711</v>
      </c>
      <c r="BD99" s="307">
        <f t="shared" si="70"/>
        <v>111.78267212769222</v>
      </c>
      <c r="BE99" s="307">
        <f t="shared" si="70"/>
        <v>132.52299451420791</v>
      </c>
      <c r="BF99" s="307">
        <f t="shared" si="70"/>
        <v>125.22715088000196</v>
      </c>
      <c r="BG99" s="307">
        <f t="shared" si="70"/>
        <v>138.56864684337475</v>
      </c>
      <c r="BH99" s="307">
        <f t="shared" si="70"/>
        <v>150.25781110515979</v>
      </c>
      <c r="BI99" s="307">
        <f t="shared" si="70"/>
        <v>160.58370336566799</v>
      </c>
      <c r="BJ99" s="307">
        <f t="shared" si="70"/>
        <v>169.77167410870479</v>
      </c>
      <c r="BK99" s="307">
        <f>IF(BK89&lt;0,MAX(-$C$10,200000*BK89),MIN(200000*BK89,$C$10)-IF(AND($F66&lt;$C$8*BK69,$D79&gt;0),$C$9,0))</f>
        <v>178.00000000000006</v>
      </c>
      <c r="BL99" s="307">
        <f>IF(BL89&lt;0,MAX(-$C$10,200000*BL89),MIN(200000*BL89,$C$10)-IF(AND($F66&lt;$C$8*BL69,$D79&gt;0),$C$9,0))</f>
        <v>243.33333333333334</v>
      </c>
      <c r="BM99" s="307">
        <f>IF(BM89&lt;0,MAX(-$C$10,200000*BM89),MIN(200000*BM89,$C$10)-IF(AND($F66&lt;$C$8*BM69,$D79&gt;0),$C$9,0))</f>
        <v>268.89855072463763</v>
      </c>
      <c r="BN99" s="307">
        <f>IF(BN89&lt;0,MAX(-$C$10,200000*BN89),MIN(200000*BN89,$C$10)-IF(AND($F66&lt;$C$8*BN69,$D79&gt;0),$C$9,0))</f>
        <v>282.5333333333333</v>
      </c>
      <c r="BO99" s="12">
        <f>BO90</f>
        <v>327.33333333333331</v>
      </c>
      <c r="BS99"/>
      <c r="BT99"/>
    </row>
    <row r="100" spans="1:72" ht="16.5">
      <c r="B100" s="290" t="s">
        <v>64</v>
      </c>
      <c r="C100" s="298" t="s">
        <v>65</v>
      </c>
      <c r="D100" s="3">
        <f>D90*$I66*MAIN!$C$16/MAIN!$Q$1</f>
        <v>-326789.45884602127</v>
      </c>
      <c r="E100" s="13">
        <f>E90*$I66*MAIN!$C$16/MAIN!$Q$1</f>
        <v>-191317.57299939511</v>
      </c>
      <c r="F100" s="13">
        <f>F90*$I66*MAIN!$C$16/MAIN!$Q$1</f>
        <v>-69369.330521349097</v>
      </c>
      <c r="G100" s="13">
        <f>G90*$I66*MAIN!$C$16/MAIN!$Q$1</f>
        <v>40984.01951293664</v>
      </c>
      <c r="H100" s="13">
        <f>H90*$I66*MAIN!$C$16/MAIN!$Q$1</f>
        <v>141321.10021181026</v>
      </c>
      <c r="I100" s="13">
        <f>I90*$I66*MAIN!$C$16/MAIN!$Q$1</f>
        <v>232946.40655024568</v>
      </c>
      <c r="J100" s="13">
        <f>J90*$I66*MAIN!$C$16/MAIN!$Q$1</f>
        <v>316947.33265859418</v>
      </c>
      <c r="K100" s="13">
        <f>K90*$I66*MAIN!$C$16/MAIN!$Q$1</f>
        <v>394237.5315985948</v>
      </c>
      <c r="L100" s="13">
        <f>L90*$I66*MAIN!$C$16/MAIN!$Q$1</f>
        <v>392671.82253517746</v>
      </c>
      <c r="M100" s="13">
        <f>M90*$I66*MAIN!$C$16/MAIN!$Q$1</f>
        <v>458745.99198176543</v>
      </c>
      <c r="N100" s="13">
        <f>N90*$I66*MAIN!$C$16/MAIN!$Q$1</f>
        <v>520106.43988356297</v>
      </c>
      <c r="O100" s="13">
        <f>O90*$I66*MAIN!$C$16/MAIN!$Q$1</f>
        <v>577240.20780776651</v>
      </c>
      <c r="P100" s="13">
        <f>P90*$I66*MAIN!$C$16/MAIN!$Q$1</f>
        <v>630569.47373272025</v>
      </c>
      <c r="Q100" s="13">
        <f>Q90*$I66*MAIN!$C$16/MAIN!$Q$1</f>
        <v>680462.00217895303</v>
      </c>
      <c r="R100" s="13">
        <f>R90*$I66*MAIN!$C$16/MAIN!$Q$1</f>
        <v>727239.63707044977</v>
      </c>
      <c r="S100" s="13">
        <f>S90*$I66*MAIN!$C$16/MAIN!$Q$1</f>
        <v>771185.25206696941</v>
      </c>
      <c r="T100" s="13">
        <f>T90*$I66*MAIN!$C$16/MAIN!$Q$1</f>
        <v>812548.47562198387</v>
      </c>
      <c r="U100" s="13">
        <f>U90*$I66*MAIN!$C$16/MAIN!$Q$1</f>
        <v>851550.43557755614</v>
      </c>
      <c r="V100" s="13">
        <f>V90*$I66*MAIN!$C$16/MAIN!$Q$1</f>
        <v>888387.71375753277</v>
      </c>
      <c r="W100" s="13">
        <f>W90*$I66*MAIN!$C$16/MAIN!$Q$1</f>
        <v>923235.65987829887</v>
      </c>
      <c r="X100" s="13">
        <f>X90*$I66*MAIN!$C$16/MAIN!$Q$1</f>
        <v>956251.18268950307</v>
      </c>
      <c r="Y100" s="13">
        <f>Y90*$I66*MAIN!$C$16/MAIN!$Q$1</f>
        <v>987575.1120915655</v>
      </c>
      <c r="Z100" s="13">
        <f>Z90*$I66*MAIN!$C$16/MAIN!$Q$1</f>
        <v>1017334.2072437321</v>
      </c>
      <c r="AA100" s="13">
        <f>AA90*$I66*MAIN!$C$16/MAIN!$Q$1</f>
        <v>1045642.8710520261</v>
      </c>
      <c r="AB100" s="13">
        <f>AB90*$I66*MAIN!$C$16/MAIN!$Q$1</f>
        <v>1072604.6199332406</v>
      </c>
      <c r="AC100" s="13">
        <f>AC90*$I66*MAIN!$C$16/MAIN!$Q$1</f>
        <v>1098313.3486615254</v>
      </c>
      <c r="AD100" s="13">
        <f>AD90*$I66*MAIN!$C$16/MAIN!$Q$1</f>
        <v>1122854.4228722788</v>
      </c>
      <c r="AE100" s="13">
        <f>AE90*$I66*MAIN!$C$16/MAIN!$Q$1</f>
        <v>1146305.6260114878</v>
      </c>
      <c r="AF100" s="13">
        <f>AF90*$I66*MAIN!$C$16/MAIN!$Q$1</f>
        <v>1168737.9828633601</v>
      </c>
      <c r="AG100" s="13">
        <f>AG90*$I66*MAIN!$C$16/MAIN!$Q$1</f>
        <v>1190216.4780246022</v>
      </c>
      <c r="AH100" s="13">
        <f>AH90*$I66*MAIN!$C$16/MAIN!$Q$1</f>
        <v>1210800.6846345158</v>
      </c>
      <c r="AI100" s="13">
        <f>AI90*$I66*MAIN!$C$16/MAIN!$Q$1</f>
        <v>1230545.3161724042</v>
      </c>
      <c r="AJ100" s="13">
        <f>AJ90*$I66*MAIN!$C$16/MAIN!$Q$1</f>
        <v>1249500.7120853749</v>
      </c>
      <c r="AK100" s="13">
        <f>AK90*$I66*MAIN!$C$16/MAIN!$Q$1</f>
        <v>1267713.2663224381</v>
      </c>
      <c r="AL100" s="13">
        <f>AL90*$I66*MAIN!$C$16/MAIN!$Q$1</f>
        <v>1285225.8064554518</v>
      </c>
      <c r="AM100" s="13">
        <f>AM90*$I66*MAIN!$C$16/MAIN!$Q$1</f>
        <v>1302077.9299088966</v>
      </c>
      <c r="AN100" s="13">
        <f>AN90*$I66*MAIN!$C$16/MAIN!$Q$1</f>
        <v>1318306.3028548576</v>
      </c>
      <c r="AO100" s="13">
        <f>AO90*$I66*MAIN!$C$16/MAIN!$Q$1</f>
        <v>1325773.2258872301</v>
      </c>
      <c r="AP100" s="13">
        <f>AP90*$I66*MAIN!$C$16/MAIN!$Q$1</f>
        <v>1325773.2258872301</v>
      </c>
      <c r="AQ100" s="13">
        <f>AQ90*$I66*MAIN!$C$16/MAIN!$Q$1</f>
        <v>1325773.2258872301</v>
      </c>
      <c r="AR100" s="56">
        <f>AR90*$I66*MAIN!$C$16/MAIN!$Q$1</f>
        <v>1325773.2258872301</v>
      </c>
      <c r="AS100" s="13">
        <f>AS90*$I66*MAIN!$C$16/MAIN!$Q$1</f>
        <v>1325773.2258872301</v>
      </c>
      <c r="AT100" s="13">
        <f>AT90*$I66*MAIN!$C$16/MAIN!$Q$1</f>
        <v>1325773.2258872301</v>
      </c>
      <c r="AU100" s="13">
        <f>AU90*$I66*MAIN!$C$16/MAIN!$Q$1</f>
        <v>1325773.2258872301</v>
      </c>
      <c r="AV100" s="13">
        <f>AV90*$I66*MAIN!$C$16/MAIN!$Q$1</f>
        <v>1325773.2258872301</v>
      </c>
      <c r="AW100" s="13">
        <f>AW90*$I66*MAIN!$C$16/MAIN!$Q$1</f>
        <v>1325773.2258872301</v>
      </c>
      <c r="AX100" s="13">
        <f>AX90*$I66*MAIN!$C$16/MAIN!$Q$1</f>
        <v>1325773.2258872301</v>
      </c>
      <c r="AY100" s="13">
        <f>AY90*$I66*MAIN!$C$16/MAIN!$Q$1</f>
        <v>1325773.2258872301</v>
      </c>
      <c r="AZ100" s="13">
        <f>AZ90*$I66*MAIN!$C$16/MAIN!$Q$1</f>
        <v>1325773.2258872301</v>
      </c>
      <c r="BA100" s="13">
        <f>BA90*$I66*MAIN!$C$16/MAIN!$Q$1</f>
        <v>1325773.2258872301</v>
      </c>
      <c r="BB100" s="13">
        <f>BB90*$I66*MAIN!$C$16/MAIN!$Q$1</f>
        <v>1325773.2258872301</v>
      </c>
      <c r="BC100" s="13">
        <f>BC90*$I66*MAIN!$C$16/MAIN!$Q$1</f>
        <v>1325773.2258872301</v>
      </c>
      <c r="BD100" s="13">
        <f>BD90*$I66*MAIN!$C$16/MAIN!$Q$1</f>
        <v>1325773.2258872301</v>
      </c>
      <c r="BE100" s="13">
        <f>BE90*$I66*MAIN!$C$16/MAIN!$Q$1</f>
        <v>1325773.2258872301</v>
      </c>
      <c r="BF100" s="13">
        <f>BF90*$I66*MAIN!$C$16/MAIN!$Q$1</f>
        <v>1325773.2258872301</v>
      </c>
      <c r="BG100" s="13">
        <f>BG90*$I66*MAIN!$C$16/MAIN!$Q$1</f>
        <v>1325773.2258872301</v>
      </c>
      <c r="BH100" s="13">
        <f>BH90*$I66*MAIN!$C$16/MAIN!$Q$1</f>
        <v>1325773.2258872301</v>
      </c>
      <c r="BI100" s="13">
        <f>BI90*$I66*MAIN!$C$16/MAIN!$Q$1</f>
        <v>1325773.2258872301</v>
      </c>
      <c r="BJ100" s="13">
        <f>BJ90*$I66*MAIN!$C$16/MAIN!$Q$1</f>
        <v>1325773.2258872301</v>
      </c>
      <c r="BK100" s="13">
        <f>BK90*$I66*MAIN!$C$16/MAIN!$Q$1</f>
        <v>1325773.2258872301</v>
      </c>
      <c r="BL100" s="13">
        <f>BL90*$I66*MAIN!$C$16/MAIN!$Q$1</f>
        <v>1323255.5808528403</v>
      </c>
      <c r="BM100" s="13">
        <f>BM90*$I66*MAIN!$C$16/MAIN!$Q$1</f>
        <v>1241012.5097294378</v>
      </c>
      <c r="BN100" s="13">
        <f>BN90*$I66*MAIN!$C$16/MAIN!$Q$1</f>
        <v>1197149.5384636233</v>
      </c>
      <c r="BO100" s="3">
        <f>BO90*$I66*MAIN!$C$16/MAIN!$Q$1</f>
        <v>1053028.3471616607</v>
      </c>
      <c r="BS100"/>
      <c r="BT100"/>
    </row>
    <row r="101" spans="1:72" ht="16.5">
      <c r="B101" s="14">
        <v>2</v>
      </c>
      <c r="C101" s="298" t="s">
        <v>66</v>
      </c>
      <c r="D101" s="3">
        <f>D91*$I66*2/MAIN!$Q$1</f>
        <v>0</v>
      </c>
      <c r="E101" s="13">
        <f>E91*$I66*2/MAIN!$Q$1</f>
        <v>0</v>
      </c>
      <c r="F101" s="13">
        <f>F91*$I66*2/MAIN!$Q$1</f>
        <v>0</v>
      </c>
      <c r="G101" s="13">
        <f>G91*$I66*2/MAIN!$Q$1</f>
        <v>0</v>
      </c>
      <c r="H101" s="13">
        <f>H91*$I66*2/MAIN!$Q$1</f>
        <v>0</v>
      </c>
      <c r="I101" s="13">
        <f>I91*$I66*2/MAIN!$Q$1</f>
        <v>0</v>
      </c>
      <c r="J101" s="13">
        <f>J91*$I66*2/MAIN!$Q$1</f>
        <v>0</v>
      </c>
      <c r="K101" s="13">
        <f>K91*$I66*2/MAIN!$Q$1</f>
        <v>0</v>
      </c>
      <c r="L101" s="13">
        <f>L91*$I66*2/MAIN!$Q$1</f>
        <v>0</v>
      </c>
      <c r="M101" s="13">
        <f>M91*$I66*2/MAIN!$Q$1</f>
        <v>0</v>
      </c>
      <c r="N101" s="13">
        <f>N91*$I66*2/MAIN!$Q$1</f>
        <v>0</v>
      </c>
      <c r="O101" s="13">
        <f>O91*$I66*2/MAIN!$Q$1</f>
        <v>0</v>
      </c>
      <c r="P101" s="13">
        <f>P91*$I66*2/MAIN!$Q$1</f>
        <v>0</v>
      </c>
      <c r="Q101" s="13">
        <f>Q91*$I66*2/MAIN!$Q$1</f>
        <v>0</v>
      </c>
      <c r="R101" s="13">
        <f>R91*$I66*2/MAIN!$Q$1</f>
        <v>0</v>
      </c>
      <c r="S101" s="13">
        <f>S91*$I66*2/MAIN!$Q$1</f>
        <v>0</v>
      </c>
      <c r="T101" s="13">
        <f>T91*$I66*2/MAIN!$Q$1</f>
        <v>0</v>
      </c>
      <c r="U101" s="13">
        <f>U91*$I66*2/MAIN!$Q$1</f>
        <v>0</v>
      </c>
      <c r="V101" s="13">
        <f>V91*$I66*2/MAIN!$Q$1</f>
        <v>0</v>
      </c>
      <c r="W101" s="13">
        <f>W91*$I66*2/MAIN!$Q$1</f>
        <v>0</v>
      </c>
      <c r="X101" s="13">
        <f>X91*$I66*2/MAIN!$Q$1</f>
        <v>0</v>
      </c>
      <c r="Y101" s="13">
        <f>Y91*$I66*2/MAIN!$Q$1</f>
        <v>0</v>
      </c>
      <c r="Z101" s="13">
        <f>Z91*$I66*2/MAIN!$Q$1</f>
        <v>0</v>
      </c>
      <c r="AA101" s="13">
        <f>AA91*$I66*2/MAIN!$Q$1</f>
        <v>0</v>
      </c>
      <c r="AB101" s="13">
        <f>AB91*$I66*2/MAIN!$Q$1</f>
        <v>0</v>
      </c>
      <c r="AC101" s="13">
        <f>AC91*$I66*2/MAIN!$Q$1</f>
        <v>0</v>
      </c>
      <c r="AD101" s="13">
        <f>AD91*$I66*2/MAIN!$Q$1</f>
        <v>0</v>
      </c>
      <c r="AE101" s="13">
        <f>AE91*$I66*2/MAIN!$Q$1</f>
        <v>0</v>
      </c>
      <c r="AF101" s="13">
        <f>AF91*$I66*2/MAIN!$Q$1</f>
        <v>0</v>
      </c>
      <c r="AG101" s="13">
        <f>AG91*$I66*2/MAIN!$Q$1</f>
        <v>0</v>
      </c>
      <c r="AH101" s="13">
        <f>AH91*$I66*2/MAIN!$Q$1</f>
        <v>0</v>
      </c>
      <c r="AI101" s="13">
        <f>AI91*$I66*2/MAIN!$Q$1</f>
        <v>0</v>
      </c>
      <c r="AJ101" s="13">
        <f>AJ91*$I66*2/MAIN!$Q$1</f>
        <v>0</v>
      </c>
      <c r="AK101" s="13">
        <f>AK91*$I66*2/MAIN!$Q$1</f>
        <v>0</v>
      </c>
      <c r="AL101" s="13">
        <f>AL91*$I66*2/MAIN!$Q$1</f>
        <v>0</v>
      </c>
      <c r="AM101" s="13">
        <f>AM91*$I66*2/MAIN!$Q$1</f>
        <v>0</v>
      </c>
      <c r="AN101" s="13">
        <f>AN91*$I66*2/MAIN!$Q$1</f>
        <v>0</v>
      </c>
      <c r="AO101" s="13">
        <f>AO91*$I66*2/MAIN!$Q$1</f>
        <v>0</v>
      </c>
      <c r="AP101" s="13">
        <f>AP91*$I66*2/MAIN!$Q$1</f>
        <v>0</v>
      </c>
      <c r="AQ101" s="13">
        <f>AQ91*$I66*2/MAIN!$Q$1</f>
        <v>0</v>
      </c>
      <c r="AR101" s="56">
        <f>AR91*$I66*2/MAIN!$Q$1</f>
        <v>0</v>
      </c>
      <c r="AS101" s="13">
        <f>AS91*$I66*2/MAIN!$Q$1</f>
        <v>0</v>
      </c>
      <c r="AT101" s="13">
        <f>AT91*$I66*2/MAIN!$Q$1</f>
        <v>0</v>
      </c>
      <c r="AU101" s="13">
        <f>AU91*$I66*2/MAIN!$Q$1</f>
        <v>0</v>
      </c>
      <c r="AV101" s="13">
        <f>AV91*$I66*2/MAIN!$Q$1</f>
        <v>0</v>
      </c>
      <c r="AW101" s="13">
        <f>AW91*$I66*2/MAIN!$Q$1</f>
        <v>0</v>
      </c>
      <c r="AX101" s="13">
        <f>AX91*$I66*2/MAIN!$Q$1</f>
        <v>0</v>
      </c>
      <c r="AY101" s="13">
        <f>AY91*$I66*2/MAIN!$Q$1</f>
        <v>0</v>
      </c>
      <c r="AZ101" s="13">
        <f>AZ91*$I66*2/MAIN!$Q$1</f>
        <v>0</v>
      </c>
      <c r="BA101" s="13">
        <f>BA91*$I66*2/MAIN!$Q$1</f>
        <v>0</v>
      </c>
      <c r="BB101" s="13">
        <f>BB91*$I66*2/MAIN!$Q$1</f>
        <v>0</v>
      </c>
      <c r="BC101" s="13">
        <f>BC91*$I66*2/MAIN!$Q$1</f>
        <v>0</v>
      </c>
      <c r="BD101" s="13">
        <f>BD91*$I66*2/MAIN!$Q$1</f>
        <v>0</v>
      </c>
      <c r="BE101" s="13">
        <f>BE91*$I66*2/MAIN!$Q$1</f>
        <v>0</v>
      </c>
      <c r="BF101" s="13">
        <f>BF91*$I66*2/MAIN!$Q$1</f>
        <v>0</v>
      </c>
      <c r="BG101" s="13">
        <f>BG91*$I66*2/MAIN!$Q$1</f>
        <v>0</v>
      </c>
      <c r="BH101" s="13">
        <f>BH91*$I66*2/MAIN!$Q$1</f>
        <v>0</v>
      </c>
      <c r="BI101" s="13">
        <f>BI91*$I66*2/MAIN!$Q$1</f>
        <v>0</v>
      </c>
      <c r="BJ101" s="13">
        <f>BJ91*$I66*2/MAIN!$Q$1</f>
        <v>0</v>
      </c>
      <c r="BK101" s="13">
        <f>BK91*$I66*2/MAIN!$Q$1</f>
        <v>0</v>
      </c>
      <c r="BL101" s="13">
        <f>BL91*$I66*2/MAIN!$Q$1</f>
        <v>0</v>
      </c>
      <c r="BM101" s="13">
        <f>BM91*$I66*2/MAIN!$Q$1</f>
        <v>0</v>
      </c>
      <c r="BN101" s="13">
        <f>BN91*$I66*2/MAIN!$Q$1</f>
        <v>0</v>
      </c>
      <c r="BO101" s="3">
        <f>BO91*$I66*2/MAIN!$Q$1</f>
        <v>0</v>
      </c>
      <c r="BS101"/>
      <c r="BT101"/>
    </row>
    <row r="102" spans="1:72" ht="16.5">
      <c r="B102" s="14">
        <f t="shared" ref="B102:B108" si="71">1+B101</f>
        <v>3</v>
      </c>
      <c r="C102" s="298" t="s">
        <v>66</v>
      </c>
      <c r="D102" s="3">
        <f>D92*$I66*2/MAIN!$Q$1</f>
        <v>0</v>
      </c>
      <c r="E102" s="13">
        <f>E92*$I66*2/MAIN!$Q$1</f>
        <v>0</v>
      </c>
      <c r="F102" s="13">
        <f>F92*$I66*2/MAIN!$Q$1</f>
        <v>0</v>
      </c>
      <c r="G102" s="13">
        <f>G92*$I66*2/MAIN!$Q$1</f>
        <v>0</v>
      </c>
      <c r="H102" s="13">
        <f>H92*$I66*2/MAIN!$Q$1</f>
        <v>0</v>
      </c>
      <c r="I102" s="13">
        <f>I92*$I66*2/MAIN!$Q$1</f>
        <v>0</v>
      </c>
      <c r="J102" s="13">
        <f>J92*$I66*2/MAIN!$Q$1</f>
        <v>0</v>
      </c>
      <c r="K102" s="13">
        <f>K92*$I66*2/MAIN!$Q$1</f>
        <v>0</v>
      </c>
      <c r="L102" s="13">
        <f>L92*$I66*2/MAIN!$Q$1</f>
        <v>0</v>
      </c>
      <c r="M102" s="13">
        <f>M92*$I66*2/MAIN!$Q$1</f>
        <v>0</v>
      </c>
      <c r="N102" s="13">
        <f>N92*$I66*2/MAIN!$Q$1</f>
        <v>0</v>
      </c>
      <c r="O102" s="13">
        <f>O92*$I66*2/MAIN!$Q$1</f>
        <v>0</v>
      </c>
      <c r="P102" s="13">
        <f>P92*$I66*2/MAIN!$Q$1</f>
        <v>0</v>
      </c>
      <c r="Q102" s="13">
        <f>Q92*$I66*2/MAIN!$Q$1</f>
        <v>0</v>
      </c>
      <c r="R102" s="13">
        <f>R92*$I66*2/MAIN!$Q$1</f>
        <v>0</v>
      </c>
      <c r="S102" s="13">
        <f>S92*$I66*2/MAIN!$Q$1</f>
        <v>0</v>
      </c>
      <c r="T102" s="13">
        <f>T92*$I66*2/MAIN!$Q$1</f>
        <v>0</v>
      </c>
      <c r="U102" s="13">
        <f>U92*$I66*2/MAIN!$Q$1</f>
        <v>0</v>
      </c>
      <c r="V102" s="13">
        <f>V92*$I66*2/MAIN!$Q$1</f>
        <v>0</v>
      </c>
      <c r="W102" s="13">
        <f>W92*$I66*2/MAIN!$Q$1</f>
        <v>0</v>
      </c>
      <c r="X102" s="13">
        <f>X92*$I66*2/MAIN!$Q$1</f>
        <v>0</v>
      </c>
      <c r="Y102" s="13">
        <f>Y92*$I66*2/MAIN!$Q$1</f>
        <v>0</v>
      </c>
      <c r="Z102" s="13">
        <f>Z92*$I66*2/MAIN!$Q$1</f>
        <v>0</v>
      </c>
      <c r="AA102" s="13">
        <f>AA92*$I66*2/MAIN!$Q$1</f>
        <v>0</v>
      </c>
      <c r="AB102" s="13">
        <f>AB92*$I66*2/MAIN!$Q$1</f>
        <v>0</v>
      </c>
      <c r="AC102" s="13">
        <f>AC92*$I66*2/MAIN!$Q$1</f>
        <v>0</v>
      </c>
      <c r="AD102" s="13">
        <f>AD92*$I66*2/MAIN!$Q$1</f>
        <v>0</v>
      </c>
      <c r="AE102" s="13">
        <f>AE92*$I66*2/MAIN!$Q$1</f>
        <v>0</v>
      </c>
      <c r="AF102" s="13">
        <f>AF92*$I66*2/MAIN!$Q$1</f>
        <v>0</v>
      </c>
      <c r="AG102" s="13">
        <f>AG92*$I66*2/MAIN!$Q$1</f>
        <v>0</v>
      </c>
      <c r="AH102" s="13">
        <f>AH92*$I66*2/MAIN!$Q$1</f>
        <v>0</v>
      </c>
      <c r="AI102" s="13">
        <f>AI92*$I66*2/MAIN!$Q$1</f>
        <v>0</v>
      </c>
      <c r="AJ102" s="13">
        <f>AJ92*$I66*2/MAIN!$Q$1</f>
        <v>0</v>
      </c>
      <c r="AK102" s="13">
        <f>AK92*$I66*2/MAIN!$Q$1</f>
        <v>0</v>
      </c>
      <c r="AL102" s="13">
        <f>AL92*$I66*2/MAIN!$Q$1</f>
        <v>0</v>
      </c>
      <c r="AM102" s="13">
        <f>AM92*$I66*2/MAIN!$Q$1</f>
        <v>0</v>
      </c>
      <c r="AN102" s="13">
        <f>AN92*$I66*2/MAIN!$Q$1</f>
        <v>0</v>
      </c>
      <c r="AO102" s="13">
        <f>AO92*$I66*2/MAIN!$Q$1</f>
        <v>0</v>
      </c>
      <c r="AP102" s="13">
        <f>AP92*$I66*2/MAIN!$Q$1</f>
        <v>0</v>
      </c>
      <c r="AQ102" s="13">
        <f>AQ92*$I66*2/MAIN!$Q$1</f>
        <v>0</v>
      </c>
      <c r="AR102" s="59">
        <f>AR92*$I66*2/MAIN!$Q$1</f>
        <v>0</v>
      </c>
      <c r="AS102" s="13">
        <f>AS92*$I66*2/MAIN!$Q$1</f>
        <v>0</v>
      </c>
      <c r="AT102" s="13">
        <f>AT92*$I66*2/MAIN!$Q$1</f>
        <v>0</v>
      </c>
      <c r="AU102" s="13">
        <f>AU92*$I66*2/MAIN!$Q$1</f>
        <v>0</v>
      </c>
      <c r="AV102" s="13">
        <f>AV92*$I66*2/MAIN!$Q$1</f>
        <v>0</v>
      </c>
      <c r="AW102" s="13">
        <f>AW92*$I66*2/MAIN!$Q$1</f>
        <v>0</v>
      </c>
      <c r="AX102" s="13">
        <f>AX92*$I66*2/MAIN!$Q$1</f>
        <v>0</v>
      </c>
      <c r="AY102" s="13">
        <f>AY92*$I66*2/MAIN!$Q$1</f>
        <v>0</v>
      </c>
      <c r="AZ102" s="13">
        <f>AZ92*$I66*2/MAIN!$Q$1</f>
        <v>0</v>
      </c>
      <c r="BA102" s="13">
        <f>BA92*$I66*2/MAIN!$Q$1</f>
        <v>0</v>
      </c>
      <c r="BB102" s="13">
        <f>BB92*$I66*2/MAIN!$Q$1</f>
        <v>0</v>
      </c>
      <c r="BC102" s="13">
        <f>BC92*$I66*2/MAIN!$Q$1</f>
        <v>0</v>
      </c>
      <c r="BD102" s="13">
        <f>BD92*$I66*2/MAIN!$Q$1</f>
        <v>0</v>
      </c>
      <c r="BE102" s="13">
        <f>BE92*$I66*2/MAIN!$Q$1</f>
        <v>0</v>
      </c>
      <c r="BF102" s="13">
        <f>BF92*$I66*2/MAIN!$Q$1</f>
        <v>0</v>
      </c>
      <c r="BG102" s="13">
        <f>BG92*$I66*2/MAIN!$Q$1</f>
        <v>0</v>
      </c>
      <c r="BH102" s="13">
        <f>BH92*$I66*2/MAIN!$Q$1</f>
        <v>0</v>
      </c>
      <c r="BI102" s="13">
        <f>BI92*$I66*2/MAIN!$Q$1</f>
        <v>0</v>
      </c>
      <c r="BJ102" s="13">
        <f>BJ92*$I66*2/MAIN!$Q$1</f>
        <v>0</v>
      </c>
      <c r="BK102" s="13">
        <f>BK92*$I66*2/MAIN!$Q$1</f>
        <v>0</v>
      </c>
      <c r="BL102" s="13">
        <f>BL92*$I66*2/MAIN!$Q$1</f>
        <v>0</v>
      </c>
      <c r="BM102" s="13">
        <f>BM92*$I66*2/MAIN!$Q$1</f>
        <v>0</v>
      </c>
      <c r="BN102" s="13">
        <f>BN92*$I66*2/MAIN!$Q$1</f>
        <v>0</v>
      </c>
      <c r="BO102" s="3">
        <f>BO92*$I66*2/MAIN!$Q$1</f>
        <v>0</v>
      </c>
      <c r="BS102"/>
      <c r="BT102"/>
    </row>
    <row r="103" spans="1:72" ht="16.5">
      <c r="B103" s="14">
        <f t="shared" si="71"/>
        <v>4</v>
      </c>
      <c r="C103" s="298" t="s">
        <v>66</v>
      </c>
      <c r="D103" s="3">
        <f>D93*$I66*2/MAIN!$Q$1</f>
        <v>0</v>
      </c>
      <c r="E103" s="13">
        <f>E93*$I66*2/MAIN!$Q$1</f>
        <v>0</v>
      </c>
      <c r="F103" s="13">
        <f>F93*$I66*2/MAIN!$Q$1</f>
        <v>0</v>
      </c>
      <c r="G103" s="13">
        <f>G93*$I66*2/MAIN!$Q$1</f>
        <v>0</v>
      </c>
      <c r="H103" s="13">
        <f>H93*$I66*2/MAIN!$Q$1</f>
        <v>0</v>
      </c>
      <c r="I103" s="13">
        <f>I93*$I66*2/MAIN!$Q$1</f>
        <v>0</v>
      </c>
      <c r="J103" s="13">
        <f>J93*$I66*2/MAIN!$Q$1</f>
        <v>0</v>
      </c>
      <c r="K103" s="13">
        <f>K93*$I66*2/MAIN!$Q$1</f>
        <v>0</v>
      </c>
      <c r="L103" s="13">
        <f>L93*$I66*2/MAIN!$Q$1</f>
        <v>0</v>
      </c>
      <c r="M103" s="13">
        <f>M93*$I66*2/MAIN!$Q$1</f>
        <v>0</v>
      </c>
      <c r="N103" s="13">
        <f>N93*$I66*2/MAIN!$Q$1</f>
        <v>0</v>
      </c>
      <c r="O103" s="13">
        <f>O93*$I66*2/MAIN!$Q$1</f>
        <v>0</v>
      </c>
      <c r="P103" s="13">
        <f>P93*$I66*2/MAIN!$Q$1</f>
        <v>0</v>
      </c>
      <c r="Q103" s="13">
        <f>Q93*$I66*2/MAIN!$Q$1</f>
        <v>0</v>
      </c>
      <c r="R103" s="13">
        <f>R93*$I66*2/MAIN!$Q$1</f>
        <v>0</v>
      </c>
      <c r="S103" s="13">
        <f>S93*$I66*2/MAIN!$Q$1</f>
        <v>0</v>
      </c>
      <c r="T103" s="13">
        <f>T93*$I66*2/MAIN!$Q$1</f>
        <v>0</v>
      </c>
      <c r="U103" s="13">
        <f>U93*$I66*2/MAIN!$Q$1</f>
        <v>0</v>
      </c>
      <c r="V103" s="13">
        <f>V93*$I66*2/MAIN!$Q$1</f>
        <v>0</v>
      </c>
      <c r="W103" s="13">
        <f>W93*$I66*2/MAIN!$Q$1</f>
        <v>0</v>
      </c>
      <c r="X103" s="13">
        <f>X93*$I66*2/MAIN!$Q$1</f>
        <v>0</v>
      </c>
      <c r="Y103" s="13">
        <f>Y93*$I66*2/MAIN!$Q$1</f>
        <v>0</v>
      </c>
      <c r="Z103" s="13">
        <f>Z93*$I66*2/MAIN!$Q$1</f>
        <v>0</v>
      </c>
      <c r="AA103" s="13">
        <f>AA93*$I66*2/MAIN!$Q$1</f>
        <v>0</v>
      </c>
      <c r="AB103" s="13">
        <f>AB93*$I66*2/MAIN!$Q$1</f>
        <v>0</v>
      </c>
      <c r="AC103" s="13">
        <f>AC93*$I66*2/MAIN!$Q$1</f>
        <v>0</v>
      </c>
      <c r="AD103" s="13">
        <f>AD93*$I66*2/MAIN!$Q$1</f>
        <v>0</v>
      </c>
      <c r="AE103" s="13">
        <f>AE93*$I66*2/MAIN!$Q$1</f>
        <v>0</v>
      </c>
      <c r="AF103" s="13">
        <f>AF93*$I66*2/MAIN!$Q$1</f>
        <v>0</v>
      </c>
      <c r="AG103" s="13">
        <f>AG93*$I66*2/MAIN!$Q$1</f>
        <v>0</v>
      </c>
      <c r="AH103" s="13">
        <f>AH93*$I66*2/MAIN!$Q$1</f>
        <v>0</v>
      </c>
      <c r="AI103" s="13">
        <f>AI93*$I66*2/MAIN!$Q$1</f>
        <v>0</v>
      </c>
      <c r="AJ103" s="13">
        <f>AJ93*$I66*2/MAIN!$Q$1</f>
        <v>0</v>
      </c>
      <c r="AK103" s="13">
        <f>AK93*$I66*2/MAIN!$Q$1</f>
        <v>0</v>
      </c>
      <c r="AL103" s="13">
        <f>AL93*$I66*2/MAIN!$Q$1</f>
        <v>0</v>
      </c>
      <c r="AM103" s="13">
        <f>AM93*$I66*2/MAIN!$Q$1</f>
        <v>0</v>
      </c>
      <c r="AN103" s="13">
        <f>AN93*$I66*2/MAIN!$Q$1</f>
        <v>0</v>
      </c>
      <c r="AO103" s="13">
        <f>AO93*$I66*2/MAIN!$Q$1</f>
        <v>0</v>
      </c>
      <c r="AP103" s="13">
        <f>AP93*$I66*2/MAIN!$Q$1</f>
        <v>0</v>
      </c>
      <c r="AQ103" s="13">
        <f>AQ93*$I66*2/MAIN!$Q$1</f>
        <v>0</v>
      </c>
      <c r="AR103" s="59">
        <f>AR93*$I66*2/MAIN!$Q$1</f>
        <v>0</v>
      </c>
      <c r="AS103" s="13">
        <f>AS93*$I66*2/MAIN!$Q$1</f>
        <v>0</v>
      </c>
      <c r="AT103" s="13">
        <f>AT93*$I66*2/MAIN!$Q$1</f>
        <v>0</v>
      </c>
      <c r="AU103" s="13">
        <f>AU93*$I66*2/MAIN!$Q$1</f>
        <v>0</v>
      </c>
      <c r="AV103" s="13">
        <f>AV93*$I66*2/MAIN!$Q$1</f>
        <v>0</v>
      </c>
      <c r="AW103" s="13">
        <f>AW93*$I66*2/MAIN!$Q$1</f>
        <v>0</v>
      </c>
      <c r="AX103" s="13">
        <f>AX93*$I66*2/MAIN!$Q$1</f>
        <v>0</v>
      </c>
      <c r="AY103" s="13">
        <f>AY93*$I66*2/MAIN!$Q$1</f>
        <v>0</v>
      </c>
      <c r="AZ103" s="13">
        <f>AZ93*$I66*2/MAIN!$Q$1</f>
        <v>0</v>
      </c>
      <c r="BA103" s="13">
        <f>BA93*$I66*2/MAIN!$Q$1</f>
        <v>0</v>
      </c>
      <c r="BB103" s="13">
        <f>BB93*$I66*2/MAIN!$Q$1</f>
        <v>0</v>
      </c>
      <c r="BC103" s="13">
        <f>BC93*$I66*2/MAIN!$Q$1</f>
        <v>0</v>
      </c>
      <c r="BD103" s="13">
        <f>BD93*$I66*2/MAIN!$Q$1</f>
        <v>0</v>
      </c>
      <c r="BE103" s="13">
        <f>BE93*$I66*2/MAIN!$Q$1</f>
        <v>0</v>
      </c>
      <c r="BF103" s="13">
        <f>BF93*$I66*2/MAIN!$Q$1</f>
        <v>0</v>
      </c>
      <c r="BG103" s="13">
        <f>BG93*$I66*2/MAIN!$Q$1</f>
        <v>0</v>
      </c>
      <c r="BH103" s="13">
        <f>BH93*$I66*2/MAIN!$Q$1</f>
        <v>0</v>
      </c>
      <c r="BI103" s="13">
        <f>BI93*$I66*2/MAIN!$Q$1</f>
        <v>0</v>
      </c>
      <c r="BJ103" s="13">
        <f>BJ93*$I66*2/MAIN!$Q$1</f>
        <v>0</v>
      </c>
      <c r="BK103" s="13">
        <f>BK93*$I66*2/MAIN!$Q$1</f>
        <v>0</v>
      </c>
      <c r="BL103" s="13">
        <f>BL93*$I66*2/MAIN!$Q$1</f>
        <v>0</v>
      </c>
      <c r="BM103" s="13">
        <f>BM93*$I66*2/MAIN!$Q$1</f>
        <v>0</v>
      </c>
      <c r="BN103" s="13">
        <f>BN93*$I66*2/MAIN!$Q$1</f>
        <v>0</v>
      </c>
      <c r="BO103" s="3">
        <f>BO93*$I66*2/MAIN!$Q$1</f>
        <v>0</v>
      </c>
      <c r="BS103"/>
      <c r="BT103"/>
    </row>
    <row r="104" spans="1:72" ht="16.5">
      <c r="B104" s="14">
        <f t="shared" si="71"/>
        <v>5</v>
      </c>
      <c r="C104" s="298" t="s">
        <v>66</v>
      </c>
      <c r="D104" s="3">
        <f>D94*$I66*2/MAIN!$Q$1</f>
        <v>0</v>
      </c>
      <c r="E104" s="13">
        <f>E94*$I66*2/MAIN!$Q$1</f>
        <v>0</v>
      </c>
      <c r="F104" s="13">
        <f>F94*$I66*2/MAIN!$Q$1</f>
        <v>0</v>
      </c>
      <c r="G104" s="13">
        <f>G94*$I66*2/MAIN!$Q$1</f>
        <v>0</v>
      </c>
      <c r="H104" s="13">
        <f>H94*$I66*2/MAIN!$Q$1</f>
        <v>0</v>
      </c>
      <c r="I104" s="13">
        <f>I94*$I66*2/MAIN!$Q$1</f>
        <v>0</v>
      </c>
      <c r="J104" s="13">
        <f>J94*$I66*2/MAIN!$Q$1</f>
        <v>0</v>
      </c>
      <c r="K104" s="13">
        <f>K94*$I66*2/MAIN!$Q$1</f>
        <v>0</v>
      </c>
      <c r="L104" s="13">
        <f>L94*$I66*2/MAIN!$Q$1</f>
        <v>0</v>
      </c>
      <c r="M104" s="13">
        <f>M94*$I66*2/MAIN!$Q$1</f>
        <v>0</v>
      </c>
      <c r="N104" s="13">
        <f>N94*$I66*2/MAIN!$Q$1</f>
        <v>0</v>
      </c>
      <c r="O104" s="13">
        <f>O94*$I66*2/MAIN!$Q$1</f>
        <v>0</v>
      </c>
      <c r="P104" s="13">
        <f>P94*$I66*2/MAIN!$Q$1</f>
        <v>0</v>
      </c>
      <c r="Q104" s="13">
        <f>Q94*$I66*2/MAIN!$Q$1</f>
        <v>0</v>
      </c>
      <c r="R104" s="13">
        <f>R94*$I66*2/MAIN!$Q$1</f>
        <v>0</v>
      </c>
      <c r="S104" s="13">
        <f>S94*$I66*2/MAIN!$Q$1</f>
        <v>0</v>
      </c>
      <c r="T104" s="13">
        <f>T94*$I66*2/MAIN!$Q$1</f>
        <v>0</v>
      </c>
      <c r="U104" s="13">
        <f>U94*$I66*2/MAIN!$Q$1</f>
        <v>0</v>
      </c>
      <c r="V104" s="13">
        <f>V94*$I66*2/MAIN!$Q$1</f>
        <v>0</v>
      </c>
      <c r="W104" s="13">
        <f>W94*$I66*2/MAIN!$Q$1</f>
        <v>0</v>
      </c>
      <c r="X104" s="13">
        <f>X94*$I66*2/MAIN!$Q$1</f>
        <v>0</v>
      </c>
      <c r="Y104" s="13">
        <f>Y94*$I66*2/MAIN!$Q$1</f>
        <v>0</v>
      </c>
      <c r="Z104" s="13">
        <f>Z94*$I66*2/MAIN!$Q$1</f>
        <v>0</v>
      </c>
      <c r="AA104" s="13">
        <f>AA94*$I66*2/MAIN!$Q$1</f>
        <v>0</v>
      </c>
      <c r="AB104" s="13">
        <f>AB94*$I66*2/MAIN!$Q$1</f>
        <v>0</v>
      </c>
      <c r="AC104" s="13">
        <f>AC94*$I66*2/MAIN!$Q$1</f>
        <v>0</v>
      </c>
      <c r="AD104" s="13">
        <f>AD94*$I66*2/MAIN!$Q$1</f>
        <v>0</v>
      </c>
      <c r="AE104" s="13">
        <f>AE94*$I66*2/MAIN!$Q$1</f>
        <v>0</v>
      </c>
      <c r="AF104" s="13">
        <f>AF94*$I66*2/MAIN!$Q$1</f>
        <v>0</v>
      </c>
      <c r="AG104" s="13">
        <f>AG94*$I66*2/MAIN!$Q$1</f>
        <v>0</v>
      </c>
      <c r="AH104" s="13">
        <f>AH94*$I66*2/MAIN!$Q$1</f>
        <v>0</v>
      </c>
      <c r="AI104" s="13">
        <f>AI94*$I66*2/MAIN!$Q$1</f>
        <v>0</v>
      </c>
      <c r="AJ104" s="13">
        <f>AJ94*$I66*2/MAIN!$Q$1</f>
        <v>0</v>
      </c>
      <c r="AK104" s="13">
        <f>AK94*$I66*2/MAIN!$Q$1</f>
        <v>0</v>
      </c>
      <c r="AL104" s="13">
        <f>AL94*$I66*2/MAIN!$Q$1</f>
        <v>0</v>
      </c>
      <c r="AM104" s="13">
        <f>AM94*$I66*2/MAIN!$Q$1</f>
        <v>0</v>
      </c>
      <c r="AN104" s="13">
        <f>AN94*$I66*2/MAIN!$Q$1</f>
        <v>0</v>
      </c>
      <c r="AO104" s="13">
        <f>AO94*$I66*2/MAIN!$Q$1</f>
        <v>0</v>
      </c>
      <c r="AP104" s="13">
        <f>AP94*$I66*2/MAIN!$Q$1</f>
        <v>0</v>
      </c>
      <c r="AQ104" s="13">
        <f>AQ94*$I66*2/MAIN!$Q$1</f>
        <v>0</v>
      </c>
      <c r="AR104" s="59">
        <f>AR94*$I66*2/MAIN!$Q$1</f>
        <v>0</v>
      </c>
      <c r="AS104" s="13">
        <f>AS94*$I66*2/MAIN!$Q$1</f>
        <v>0</v>
      </c>
      <c r="AT104" s="13">
        <f>AT94*$I66*2/MAIN!$Q$1</f>
        <v>0</v>
      </c>
      <c r="AU104" s="13">
        <f>AU94*$I66*2/MAIN!$Q$1</f>
        <v>0</v>
      </c>
      <c r="AV104" s="13">
        <f>AV94*$I66*2/MAIN!$Q$1</f>
        <v>0</v>
      </c>
      <c r="AW104" s="13">
        <f>AW94*$I66*2/MAIN!$Q$1</f>
        <v>0</v>
      </c>
      <c r="AX104" s="13">
        <f>AX94*$I66*2/MAIN!$Q$1</f>
        <v>0</v>
      </c>
      <c r="AY104" s="13">
        <f>AY94*$I66*2/MAIN!$Q$1</f>
        <v>0</v>
      </c>
      <c r="AZ104" s="13">
        <f>AZ94*$I66*2/MAIN!$Q$1</f>
        <v>0</v>
      </c>
      <c r="BA104" s="13">
        <f>BA94*$I66*2/MAIN!$Q$1</f>
        <v>0</v>
      </c>
      <c r="BB104" s="13">
        <f>BB94*$I66*2/MAIN!$Q$1</f>
        <v>0</v>
      </c>
      <c r="BC104" s="13">
        <f>BC94*$I66*2/MAIN!$Q$1</f>
        <v>0</v>
      </c>
      <c r="BD104" s="13">
        <f>BD94*$I66*2/MAIN!$Q$1</f>
        <v>0</v>
      </c>
      <c r="BE104" s="13">
        <f>BE94*$I66*2/MAIN!$Q$1</f>
        <v>0</v>
      </c>
      <c r="BF104" s="13">
        <f>BF94*$I66*2/MAIN!$Q$1</f>
        <v>0</v>
      </c>
      <c r="BG104" s="13">
        <f>BG94*$I66*2/MAIN!$Q$1</f>
        <v>0</v>
      </c>
      <c r="BH104" s="13">
        <f>BH94*$I66*2/MAIN!$Q$1</f>
        <v>0</v>
      </c>
      <c r="BI104" s="13">
        <f>BI94*$I66*2/MAIN!$Q$1</f>
        <v>0</v>
      </c>
      <c r="BJ104" s="13">
        <f>BJ94*$I66*2/MAIN!$Q$1</f>
        <v>0</v>
      </c>
      <c r="BK104" s="13">
        <f>BK94*$I66*2/MAIN!$Q$1</f>
        <v>0</v>
      </c>
      <c r="BL104" s="13">
        <f>BL94*$I66*2/MAIN!$Q$1</f>
        <v>0</v>
      </c>
      <c r="BM104" s="13">
        <f>BM94*$I66*2/MAIN!$Q$1</f>
        <v>0</v>
      </c>
      <c r="BN104" s="13">
        <f>BN94*$I66*2/MAIN!$Q$1</f>
        <v>0</v>
      </c>
      <c r="BO104" s="3">
        <f>BO94*$I66*2/MAIN!$Q$1</f>
        <v>0</v>
      </c>
      <c r="BS104"/>
      <c r="BT104"/>
    </row>
    <row r="105" spans="1:72" ht="16.5">
      <c r="B105" s="14">
        <f t="shared" si="71"/>
        <v>6</v>
      </c>
      <c r="C105" s="298" t="s">
        <v>66</v>
      </c>
      <c r="D105" s="3">
        <f>D95*$I66*2/MAIN!$Q$1</f>
        <v>0</v>
      </c>
      <c r="E105" s="13">
        <f>E95*$I66*2/MAIN!$Q$1</f>
        <v>0</v>
      </c>
      <c r="F105" s="13">
        <f>F95*$I66*2/MAIN!$Q$1</f>
        <v>0</v>
      </c>
      <c r="G105" s="13">
        <f>G95*$I66*2/MAIN!$Q$1</f>
        <v>0</v>
      </c>
      <c r="H105" s="13">
        <f>H95*$I66*2/MAIN!$Q$1</f>
        <v>0</v>
      </c>
      <c r="I105" s="13">
        <f>I95*$I66*2/MAIN!$Q$1</f>
        <v>0</v>
      </c>
      <c r="J105" s="13">
        <f>J95*$I66*2/MAIN!$Q$1</f>
        <v>0</v>
      </c>
      <c r="K105" s="13">
        <f>K95*$I66*2/MAIN!$Q$1</f>
        <v>0</v>
      </c>
      <c r="L105" s="13">
        <f>L95*$I66*2/MAIN!$Q$1</f>
        <v>0</v>
      </c>
      <c r="M105" s="13">
        <f>M95*$I66*2/MAIN!$Q$1</f>
        <v>0</v>
      </c>
      <c r="N105" s="13">
        <f>N95*$I66*2/MAIN!$Q$1</f>
        <v>0</v>
      </c>
      <c r="O105" s="13">
        <f>O95*$I66*2/MAIN!$Q$1</f>
        <v>0</v>
      </c>
      <c r="P105" s="13">
        <f>P95*$I66*2/MAIN!$Q$1</f>
        <v>0</v>
      </c>
      <c r="Q105" s="13">
        <f>Q95*$I66*2/MAIN!$Q$1</f>
        <v>0</v>
      </c>
      <c r="R105" s="13">
        <f>R95*$I66*2/MAIN!$Q$1</f>
        <v>0</v>
      </c>
      <c r="S105" s="13">
        <f>S95*$I66*2/MAIN!$Q$1</f>
        <v>0</v>
      </c>
      <c r="T105" s="13">
        <f>T95*$I66*2/MAIN!$Q$1</f>
        <v>0</v>
      </c>
      <c r="U105" s="13">
        <f>U95*$I66*2/MAIN!$Q$1</f>
        <v>0</v>
      </c>
      <c r="V105" s="13">
        <f>V95*$I66*2/MAIN!$Q$1</f>
        <v>0</v>
      </c>
      <c r="W105" s="13">
        <f>W95*$I66*2/MAIN!$Q$1</f>
        <v>0</v>
      </c>
      <c r="X105" s="13">
        <f>X95*$I66*2/MAIN!$Q$1</f>
        <v>0</v>
      </c>
      <c r="Y105" s="13">
        <f>Y95*$I66*2/MAIN!$Q$1</f>
        <v>0</v>
      </c>
      <c r="Z105" s="13">
        <f>Z95*$I66*2/MAIN!$Q$1</f>
        <v>0</v>
      </c>
      <c r="AA105" s="13">
        <f>AA95*$I66*2/MAIN!$Q$1</f>
        <v>0</v>
      </c>
      <c r="AB105" s="13">
        <f>AB95*$I66*2/MAIN!$Q$1</f>
        <v>0</v>
      </c>
      <c r="AC105" s="13">
        <f>AC95*$I66*2/MAIN!$Q$1</f>
        <v>0</v>
      </c>
      <c r="AD105" s="13">
        <f>AD95*$I66*2/MAIN!$Q$1</f>
        <v>0</v>
      </c>
      <c r="AE105" s="13">
        <f>AE95*$I66*2/MAIN!$Q$1</f>
        <v>0</v>
      </c>
      <c r="AF105" s="13">
        <f>AF95*$I66*2/MAIN!$Q$1</f>
        <v>0</v>
      </c>
      <c r="AG105" s="13">
        <f>AG95*$I66*2/MAIN!$Q$1</f>
        <v>0</v>
      </c>
      <c r="AH105" s="13">
        <f>AH95*$I66*2/MAIN!$Q$1</f>
        <v>0</v>
      </c>
      <c r="AI105" s="13">
        <f>AI95*$I66*2/MAIN!$Q$1</f>
        <v>0</v>
      </c>
      <c r="AJ105" s="13">
        <f>AJ95*$I66*2/MAIN!$Q$1</f>
        <v>0</v>
      </c>
      <c r="AK105" s="13">
        <f>AK95*$I66*2/MAIN!$Q$1</f>
        <v>0</v>
      </c>
      <c r="AL105" s="13">
        <f>AL95*$I66*2/MAIN!$Q$1</f>
        <v>0</v>
      </c>
      <c r="AM105" s="13">
        <f>AM95*$I66*2/MAIN!$Q$1</f>
        <v>0</v>
      </c>
      <c r="AN105" s="13">
        <f>AN95*$I66*2/MAIN!$Q$1</f>
        <v>0</v>
      </c>
      <c r="AO105" s="13">
        <f>AO95*$I66*2/MAIN!$Q$1</f>
        <v>0</v>
      </c>
      <c r="AP105" s="13">
        <f>AP95*$I66*2/MAIN!$Q$1</f>
        <v>0</v>
      </c>
      <c r="AQ105" s="13">
        <f>AQ95*$I66*2/MAIN!$Q$1</f>
        <v>0</v>
      </c>
      <c r="AR105" s="59">
        <f>AR95*$I66*2/MAIN!$Q$1</f>
        <v>0</v>
      </c>
      <c r="AS105" s="13">
        <f>AS95*$I66*2/MAIN!$Q$1</f>
        <v>0</v>
      </c>
      <c r="AT105" s="13">
        <f>AT95*$I66*2/MAIN!$Q$1</f>
        <v>0</v>
      </c>
      <c r="AU105" s="13">
        <f>AU95*$I66*2/MAIN!$Q$1</f>
        <v>0</v>
      </c>
      <c r="AV105" s="13">
        <f>AV95*$I66*2/MAIN!$Q$1</f>
        <v>0</v>
      </c>
      <c r="AW105" s="13">
        <f>AW95*$I66*2/MAIN!$Q$1</f>
        <v>0</v>
      </c>
      <c r="AX105" s="13">
        <f>AX95*$I66*2/MAIN!$Q$1</f>
        <v>0</v>
      </c>
      <c r="AY105" s="13">
        <f>AY95*$I66*2/MAIN!$Q$1</f>
        <v>0</v>
      </c>
      <c r="AZ105" s="13">
        <f>AZ95*$I66*2/MAIN!$Q$1</f>
        <v>0</v>
      </c>
      <c r="BA105" s="13">
        <f>BA95*$I66*2/MAIN!$Q$1</f>
        <v>0</v>
      </c>
      <c r="BB105" s="13">
        <f>BB95*$I66*2/MAIN!$Q$1</f>
        <v>0</v>
      </c>
      <c r="BC105" s="13">
        <f>BC95*$I66*2/MAIN!$Q$1</f>
        <v>0</v>
      </c>
      <c r="BD105" s="13">
        <f>BD95*$I66*2/MAIN!$Q$1</f>
        <v>0</v>
      </c>
      <c r="BE105" s="13">
        <f>BE95*$I66*2/MAIN!$Q$1</f>
        <v>0</v>
      </c>
      <c r="BF105" s="13">
        <f>BF95*$I66*2/MAIN!$Q$1</f>
        <v>0</v>
      </c>
      <c r="BG105" s="13">
        <f>BG95*$I66*2/MAIN!$Q$1</f>
        <v>0</v>
      </c>
      <c r="BH105" s="13">
        <f>BH95*$I66*2/MAIN!$Q$1</f>
        <v>0</v>
      </c>
      <c r="BI105" s="13">
        <f>BI95*$I66*2/MAIN!$Q$1</f>
        <v>0</v>
      </c>
      <c r="BJ105" s="13">
        <f>BJ95*$I66*2/MAIN!$Q$1</f>
        <v>0</v>
      </c>
      <c r="BK105" s="13">
        <f>BK95*$I66*2/MAIN!$Q$1</f>
        <v>0</v>
      </c>
      <c r="BL105" s="13">
        <f>BL95*$I66*2/MAIN!$Q$1</f>
        <v>0</v>
      </c>
      <c r="BM105" s="13">
        <f>BM95*$I66*2/MAIN!$Q$1</f>
        <v>0</v>
      </c>
      <c r="BN105" s="13">
        <f>BN95*$I66*2/MAIN!$Q$1</f>
        <v>0</v>
      </c>
      <c r="BO105" s="3">
        <f>BO95*$I66*2/MAIN!$Q$1</f>
        <v>0</v>
      </c>
      <c r="BS105"/>
      <c r="BT105"/>
    </row>
    <row r="106" spans="1:72" ht="16.5">
      <c r="B106" s="14">
        <f t="shared" si="71"/>
        <v>7</v>
      </c>
      <c r="C106" s="298" t="s">
        <v>66</v>
      </c>
      <c r="D106" s="3">
        <f>D96*$I66*2/MAIN!$Q$1</f>
        <v>0</v>
      </c>
      <c r="E106" s="13">
        <f>E96*$I66*2/MAIN!$Q$1</f>
        <v>0</v>
      </c>
      <c r="F106" s="13">
        <f>F96*$I66*2/MAIN!$Q$1</f>
        <v>0</v>
      </c>
      <c r="G106" s="13">
        <f>G96*$I66*2/MAIN!$Q$1</f>
        <v>0</v>
      </c>
      <c r="H106" s="13">
        <f>H96*$I66*2/MAIN!$Q$1</f>
        <v>0</v>
      </c>
      <c r="I106" s="13">
        <f>I96*$I66*2/MAIN!$Q$1</f>
        <v>0</v>
      </c>
      <c r="J106" s="13">
        <f>J96*$I66*2/MAIN!$Q$1</f>
        <v>0</v>
      </c>
      <c r="K106" s="13">
        <f>K96*$I66*2/MAIN!$Q$1</f>
        <v>0</v>
      </c>
      <c r="L106" s="13">
        <f>L96*$I66*2/MAIN!$Q$1</f>
        <v>0</v>
      </c>
      <c r="M106" s="13">
        <f>M96*$I66*2/MAIN!$Q$1</f>
        <v>0</v>
      </c>
      <c r="N106" s="13">
        <f>N96*$I66*2/MAIN!$Q$1</f>
        <v>0</v>
      </c>
      <c r="O106" s="13">
        <f>O96*$I66*2/MAIN!$Q$1</f>
        <v>0</v>
      </c>
      <c r="P106" s="13">
        <f>P96*$I66*2/MAIN!$Q$1</f>
        <v>0</v>
      </c>
      <c r="Q106" s="13">
        <f>Q96*$I66*2/MAIN!$Q$1</f>
        <v>0</v>
      </c>
      <c r="R106" s="13">
        <f>R96*$I66*2/MAIN!$Q$1</f>
        <v>0</v>
      </c>
      <c r="S106" s="13">
        <f>S96*$I66*2/MAIN!$Q$1</f>
        <v>0</v>
      </c>
      <c r="T106" s="13">
        <f>T96*$I66*2/MAIN!$Q$1</f>
        <v>0</v>
      </c>
      <c r="U106" s="13">
        <f>U96*$I66*2/MAIN!$Q$1</f>
        <v>0</v>
      </c>
      <c r="V106" s="13">
        <f>V96*$I66*2/MAIN!$Q$1</f>
        <v>0</v>
      </c>
      <c r="W106" s="13">
        <f>W96*$I66*2/MAIN!$Q$1</f>
        <v>0</v>
      </c>
      <c r="X106" s="13">
        <f>X96*$I66*2/MAIN!$Q$1</f>
        <v>0</v>
      </c>
      <c r="Y106" s="13">
        <f>Y96*$I66*2/MAIN!$Q$1</f>
        <v>0</v>
      </c>
      <c r="Z106" s="13">
        <f>Z96*$I66*2/MAIN!$Q$1</f>
        <v>0</v>
      </c>
      <c r="AA106" s="13">
        <f>AA96*$I66*2/MAIN!$Q$1</f>
        <v>0</v>
      </c>
      <c r="AB106" s="13">
        <f>AB96*$I66*2/MAIN!$Q$1</f>
        <v>0</v>
      </c>
      <c r="AC106" s="13">
        <f>AC96*$I66*2/MAIN!$Q$1</f>
        <v>0</v>
      </c>
      <c r="AD106" s="13">
        <f>AD96*$I66*2/MAIN!$Q$1</f>
        <v>0</v>
      </c>
      <c r="AE106" s="13">
        <f>AE96*$I66*2/MAIN!$Q$1</f>
        <v>0</v>
      </c>
      <c r="AF106" s="13">
        <f>AF96*$I66*2/MAIN!$Q$1</f>
        <v>0</v>
      </c>
      <c r="AG106" s="13">
        <f>AG96*$I66*2/MAIN!$Q$1</f>
        <v>0</v>
      </c>
      <c r="AH106" s="13">
        <f>AH96*$I66*2/MAIN!$Q$1</f>
        <v>0</v>
      </c>
      <c r="AI106" s="13">
        <f>AI96*$I66*2/MAIN!$Q$1</f>
        <v>0</v>
      </c>
      <c r="AJ106" s="13">
        <f>AJ96*$I66*2/MAIN!$Q$1</f>
        <v>0</v>
      </c>
      <c r="AK106" s="13">
        <f>AK96*$I66*2/MAIN!$Q$1</f>
        <v>0</v>
      </c>
      <c r="AL106" s="13">
        <f>AL96*$I66*2/MAIN!$Q$1</f>
        <v>0</v>
      </c>
      <c r="AM106" s="13">
        <f>AM96*$I66*2/MAIN!$Q$1</f>
        <v>0</v>
      </c>
      <c r="AN106" s="13">
        <f>AN96*$I66*2/MAIN!$Q$1</f>
        <v>0</v>
      </c>
      <c r="AO106" s="13">
        <f>AO96*$I66*2/MAIN!$Q$1</f>
        <v>0</v>
      </c>
      <c r="AP106" s="13">
        <f>AP96*$I66*2/MAIN!$Q$1</f>
        <v>0</v>
      </c>
      <c r="AQ106" s="13">
        <f>AQ96*$I66*2/MAIN!$Q$1</f>
        <v>0</v>
      </c>
      <c r="AR106" s="59">
        <f>AR96*$I66*2/MAIN!$Q$1</f>
        <v>0</v>
      </c>
      <c r="AS106" s="13">
        <f>AS96*$I66*2/MAIN!$Q$1</f>
        <v>0</v>
      </c>
      <c r="AT106" s="13">
        <f>AT96*$I66*2/MAIN!$Q$1</f>
        <v>0</v>
      </c>
      <c r="AU106" s="13">
        <f>AU96*$I66*2/MAIN!$Q$1</f>
        <v>0</v>
      </c>
      <c r="AV106" s="13">
        <f>AV96*$I66*2/MAIN!$Q$1</f>
        <v>0</v>
      </c>
      <c r="AW106" s="13">
        <f>AW96*$I66*2/MAIN!$Q$1</f>
        <v>0</v>
      </c>
      <c r="AX106" s="13">
        <f>AX96*$I66*2/MAIN!$Q$1</f>
        <v>0</v>
      </c>
      <c r="AY106" s="13">
        <f>AY96*$I66*2/MAIN!$Q$1</f>
        <v>0</v>
      </c>
      <c r="AZ106" s="13">
        <f>AZ96*$I66*2/MAIN!$Q$1</f>
        <v>0</v>
      </c>
      <c r="BA106" s="13">
        <f>BA96*$I66*2/MAIN!$Q$1</f>
        <v>0</v>
      </c>
      <c r="BB106" s="13">
        <f>BB96*$I66*2/MAIN!$Q$1</f>
        <v>0</v>
      </c>
      <c r="BC106" s="13">
        <f>BC96*$I66*2/MAIN!$Q$1</f>
        <v>0</v>
      </c>
      <c r="BD106" s="13">
        <f>BD96*$I66*2/MAIN!$Q$1</f>
        <v>0</v>
      </c>
      <c r="BE106" s="13">
        <f>BE96*$I66*2/MAIN!$Q$1</f>
        <v>0</v>
      </c>
      <c r="BF106" s="13">
        <f>BF96*$I66*2/MAIN!$Q$1</f>
        <v>0</v>
      </c>
      <c r="BG106" s="13">
        <f>BG96*$I66*2/MAIN!$Q$1</f>
        <v>0</v>
      </c>
      <c r="BH106" s="13">
        <f>BH96*$I66*2/MAIN!$Q$1</f>
        <v>0</v>
      </c>
      <c r="BI106" s="13">
        <f>BI96*$I66*2/MAIN!$Q$1</f>
        <v>0</v>
      </c>
      <c r="BJ106" s="13">
        <f>BJ96*$I66*2/MAIN!$Q$1</f>
        <v>0</v>
      </c>
      <c r="BK106" s="13">
        <f>BK96*$I66*2/MAIN!$Q$1</f>
        <v>0</v>
      </c>
      <c r="BL106" s="13">
        <f>BL96*$I66*2/MAIN!$Q$1</f>
        <v>0</v>
      </c>
      <c r="BM106" s="13">
        <f>BM96*$I66*2/MAIN!$Q$1</f>
        <v>0</v>
      </c>
      <c r="BN106" s="13">
        <f>BN96*$I66*2/MAIN!$Q$1</f>
        <v>0</v>
      </c>
      <c r="BO106" s="3">
        <f>BO96*$I66*2/MAIN!$Q$1</f>
        <v>0</v>
      </c>
      <c r="BS106"/>
      <c r="BT106"/>
    </row>
    <row r="107" spans="1:72" ht="16.5">
      <c r="B107" s="14">
        <f t="shared" si="71"/>
        <v>8</v>
      </c>
      <c r="C107" s="298" t="s">
        <v>66</v>
      </c>
      <c r="D107" s="3">
        <f>D97*$I66*2/MAIN!$Q$1</f>
        <v>0</v>
      </c>
      <c r="E107" s="13">
        <f>E97*$I66*2/MAIN!$Q$1</f>
        <v>0</v>
      </c>
      <c r="F107" s="13">
        <f>F97*$I66*2/MAIN!$Q$1</f>
        <v>0</v>
      </c>
      <c r="G107" s="13">
        <f>G97*$I66*2/MAIN!$Q$1</f>
        <v>0</v>
      </c>
      <c r="H107" s="13">
        <f>H97*$I66*2/MAIN!$Q$1</f>
        <v>0</v>
      </c>
      <c r="I107" s="13">
        <f>I97*$I66*2/MAIN!$Q$1</f>
        <v>0</v>
      </c>
      <c r="J107" s="13">
        <f>J97*$I66*2/MAIN!$Q$1</f>
        <v>0</v>
      </c>
      <c r="K107" s="13">
        <f>K97*$I66*2/MAIN!$Q$1</f>
        <v>0</v>
      </c>
      <c r="L107" s="13">
        <f>L97*$I66*2/MAIN!$Q$1</f>
        <v>0</v>
      </c>
      <c r="M107" s="13">
        <f>M97*$I66*2/MAIN!$Q$1</f>
        <v>0</v>
      </c>
      <c r="N107" s="13">
        <f>N97*$I66*2/MAIN!$Q$1</f>
        <v>0</v>
      </c>
      <c r="O107" s="13">
        <f>O97*$I66*2/MAIN!$Q$1</f>
        <v>0</v>
      </c>
      <c r="P107" s="13">
        <f>P97*$I66*2/MAIN!$Q$1</f>
        <v>0</v>
      </c>
      <c r="Q107" s="13">
        <f>Q97*$I66*2/MAIN!$Q$1</f>
        <v>0</v>
      </c>
      <c r="R107" s="13">
        <f>R97*$I66*2/MAIN!$Q$1</f>
        <v>0</v>
      </c>
      <c r="S107" s="13">
        <f>S97*$I66*2/MAIN!$Q$1</f>
        <v>0</v>
      </c>
      <c r="T107" s="13">
        <f>T97*$I66*2/MAIN!$Q$1</f>
        <v>0</v>
      </c>
      <c r="U107" s="13">
        <f>U97*$I66*2/MAIN!$Q$1</f>
        <v>0</v>
      </c>
      <c r="V107" s="13">
        <f>V97*$I66*2/MAIN!$Q$1</f>
        <v>0</v>
      </c>
      <c r="W107" s="13">
        <f>W97*$I66*2/MAIN!$Q$1</f>
        <v>0</v>
      </c>
      <c r="X107" s="13">
        <f>X97*$I66*2/MAIN!$Q$1</f>
        <v>0</v>
      </c>
      <c r="Y107" s="13">
        <f>Y97*$I66*2/MAIN!$Q$1</f>
        <v>0</v>
      </c>
      <c r="Z107" s="13">
        <f>Z97*$I66*2/MAIN!$Q$1</f>
        <v>0</v>
      </c>
      <c r="AA107" s="13">
        <f>AA97*$I66*2/MAIN!$Q$1</f>
        <v>0</v>
      </c>
      <c r="AB107" s="13">
        <f>AB97*$I66*2/MAIN!$Q$1</f>
        <v>0</v>
      </c>
      <c r="AC107" s="13">
        <f>AC97*$I66*2/MAIN!$Q$1</f>
        <v>0</v>
      </c>
      <c r="AD107" s="13">
        <f>AD97*$I66*2/MAIN!$Q$1</f>
        <v>0</v>
      </c>
      <c r="AE107" s="13">
        <f>AE97*$I66*2/MAIN!$Q$1</f>
        <v>0</v>
      </c>
      <c r="AF107" s="13">
        <f>AF97*$I66*2/MAIN!$Q$1</f>
        <v>0</v>
      </c>
      <c r="AG107" s="13">
        <f>AG97*$I66*2/MAIN!$Q$1</f>
        <v>0</v>
      </c>
      <c r="AH107" s="13">
        <f>AH97*$I66*2/MAIN!$Q$1</f>
        <v>0</v>
      </c>
      <c r="AI107" s="13">
        <f>AI97*$I66*2/MAIN!$Q$1</f>
        <v>0</v>
      </c>
      <c r="AJ107" s="13">
        <f>AJ97*$I66*2/MAIN!$Q$1</f>
        <v>0</v>
      </c>
      <c r="AK107" s="13">
        <f>AK97*$I66*2/MAIN!$Q$1</f>
        <v>0</v>
      </c>
      <c r="AL107" s="13">
        <f>AL97*$I66*2/MAIN!$Q$1</f>
        <v>0</v>
      </c>
      <c r="AM107" s="13">
        <f>AM97*$I66*2/MAIN!$Q$1</f>
        <v>0</v>
      </c>
      <c r="AN107" s="13">
        <f>AN97*$I66*2/MAIN!$Q$1</f>
        <v>0</v>
      </c>
      <c r="AO107" s="13">
        <f>AO97*$I66*2/MAIN!$Q$1</f>
        <v>0</v>
      </c>
      <c r="AP107" s="13">
        <f>AP97*$I66*2/MAIN!$Q$1</f>
        <v>0</v>
      </c>
      <c r="AQ107" s="13">
        <f>AQ97*$I66*2/MAIN!$Q$1</f>
        <v>0</v>
      </c>
      <c r="AR107" s="59">
        <f>AR97*$I66*2/MAIN!$Q$1</f>
        <v>0</v>
      </c>
      <c r="AS107" s="13">
        <f>AS97*$I66*2/MAIN!$Q$1</f>
        <v>0</v>
      </c>
      <c r="AT107" s="13">
        <f>AT97*$I66*2/MAIN!$Q$1</f>
        <v>0</v>
      </c>
      <c r="AU107" s="13">
        <f>AU97*$I66*2/MAIN!$Q$1</f>
        <v>0</v>
      </c>
      <c r="AV107" s="13">
        <f>AV97*$I66*2/MAIN!$Q$1</f>
        <v>0</v>
      </c>
      <c r="AW107" s="13">
        <f>AW97*$I66*2/MAIN!$Q$1</f>
        <v>0</v>
      </c>
      <c r="AX107" s="13">
        <f>AX97*$I66*2/MAIN!$Q$1</f>
        <v>0</v>
      </c>
      <c r="AY107" s="13">
        <f>AY97*$I66*2/MAIN!$Q$1</f>
        <v>0</v>
      </c>
      <c r="AZ107" s="13">
        <f>AZ97*$I66*2/MAIN!$Q$1</f>
        <v>0</v>
      </c>
      <c r="BA107" s="13">
        <f>BA97*$I66*2/MAIN!$Q$1</f>
        <v>0</v>
      </c>
      <c r="BB107" s="13">
        <f>BB97*$I66*2/MAIN!$Q$1</f>
        <v>0</v>
      </c>
      <c r="BC107" s="13">
        <f>BC97*$I66*2/MAIN!$Q$1</f>
        <v>0</v>
      </c>
      <c r="BD107" s="13">
        <f>BD97*$I66*2/MAIN!$Q$1</f>
        <v>0</v>
      </c>
      <c r="BE107" s="13">
        <f>BE97*$I66*2/MAIN!$Q$1</f>
        <v>0</v>
      </c>
      <c r="BF107" s="13">
        <f>BF97*$I66*2/MAIN!$Q$1</f>
        <v>0</v>
      </c>
      <c r="BG107" s="13">
        <f>BG97*$I66*2/MAIN!$Q$1</f>
        <v>0</v>
      </c>
      <c r="BH107" s="13">
        <f>BH97*$I66*2/MAIN!$Q$1</f>
        <v>0</v>
      </c>
      <c r="BI107" s="13">
        <f>BI97*$I66*2/MAIN!$Q$1</f>
        <v>0</v>
      </c>
      <c r="BJ107" s="13">
        <f>BJ97*$I66*2/MAIN!$Q$1</f>
        <v>0</v>
      </c>
      <c r="BK107" s="13">
        <f>BK97*$I66*2/MAIN!$Q$1</f>
        <v>0</v>
      </c>
      <c r="BL107" s="13">
        <f>BL97*$I66*2/MAIN!$Q$1</f>
        <v>0</v>
      </c>
      <c r="BM107" s="13">
        <f>BM97*$I66*2/MAIN!$Q$1</f>
        <v>0</v>
      </c>
      <c r="BN107" s="13">
        <f>BN97*$I66*2/MAIN!$Q$1</f>
        <v>0</v>
      </c>
      <c r="BO107" s="3">
        <f>BO97*$I66*2/MAIN!$Q$1</f>
        <v>0</v>
      </c>
      <c r="BS107"/>
      <c r="BT107"/>
    </row>
    <row r="108" spans="1:72" ht="16.5">
      <c r="B108" s="14">
        <f t="shared" si="71"/>
        <v>9</v>
      </c>
      <c r="C108" s="298" t="s">
        <v>66</v>
      </c>
      <c r="D108" s="3">
        <f>D98*$I66*2/MAIN!$Q$1</f>
        <v>0</v>
      </c>
      <c r="E108" s="13">
        <f>E98*$I66*2/MAIN!$Q$1</f>
        <v>0</v>
      </c>
      <c r="F108" s="13">
        <f>F98*$I66*2/MAIN!$Q$1</f>
        <v>0</v>
      </c>
      <c r="G108" s="13">
        <f>G98*$I66*2/MAIN!$Q$1</f>
        <v>0</v>
      </c>
      <c r="H108" s="13">
        <f>H98*$I66*2/MAIN!$Q$1</f>
        <v>0</v>
      </c>
      <c r="I108" s="13">
        <f>I98*$I66*2/MAIN!$Q$1</f>
        <v>0</v>
      </c>
      <c r="J108" s="13">
        <f>J98*$I66*2/MAIN!$Q$1</f>
        <v>0</v>
      </c>
      <c r="K108" s="13">
        <f>K98*$I66*2/MAIN!$Q$1</f>
        <v>0</v>
      </c>
      <c r="L108" s="13">
        <f>L98*$I66*2/MAIN!$Q$1</f>
        <v>0</v>
      </c>
      <c r="M108" s="13">
        <f>M98*$I66*2/MAIN!$Q$1</f>
        <v>0</v>
      </c>
      <c r="N108" s="13">
        <f>N98*$I66*2/MAIN!$Q$1</f>
        <v>0</v>
      </c>
      <c r="O108" s="13">
        <f>O98*$I66*2/MAIN!$Q$1</f>
        <v>0</v>
      </c>
      <c r="P108" s="13">
        <f>P98*$I66*2/MAIN!$Q$1</f>
        <v>0</v>
      </c>
      <c r="Q108" s="13">
        <f>Q98*$I66*2/MAIN!$Q$1</f>
        <v>0</v>
      </c>
      <c r="R108" s="13">
        <f>R98*$I66*2/MAIN!$Q$1</f>
        <v>0</v>
      </c>
      <c r="S108" s="13">
        <f>S98*$I66*2/MAIN!$Q$1</f>
        <v>0</v>
      </c>
      <c r="T108" s="13">
        <f>T98*$I66*2/MAIN!$Q$1</f>
        <v>0</v>
      </c>
      <c r="U108" s="13">
        <f>U98*$I66*2/MAIN!$Q$1</f>
        <v>0</v>
      </c>
      <c r="V108" s="13">
        <f>V98*$I66*2/MAIN!$Q$1</f>
        <v>0</v>
      </c>
      <c r="W108" s="13">
        <f>W98*$I66*2/MAIN!$Q$1</f>
        <v>0</v>
      </c>
      <c r="X108" s="13">
        <f>X98*$I66*2/MAIN!$Q$1</f>
        <v>0</v>
      </c>
      <c r="Y108" s="13">
        <f>Y98*$I66*2/MAIN!$Q$1</f>
        <v>0</v>
      </c>
      <c r="Z108" s="13">
        <f>Z98*$I66*2/MAIN!$Q$1</f>
        <v>0</v>
      </c>
      <c r="AA108" s="13">
        <f>AA98*$I66*2/MAIN!$Q$1</f>
        <v>0</v>
      </c>
      <c r="AB108" s="13">
        <f>AB98*$I66*2/MAIN!$Q$1</f>
        <v>0</v>
      </c>
      <c r="AC108" s="13">
        <f>AC98*$I66*2/MAIN!$Q$1</f>
        <v>0</v>
      </c>
      <c r="AD108" s="13">
        <f>AD98*$I66*2/MAIN!$Q$1</f>
        <v>0</v>
      </c>
      <c r="AE108" s="13">
        <f>AE98*$I66*2/MAIN!$Q$1</f>
        <v>0</v>
      </c>
      <c r="AF108" s="13">
        <f>AF98*$I66*2/MAIN!$Q$1</f>
        <v>0</v>
      </c>
      <c r="AG108" s="13">
        <f>AG98*$I66*2/MAIN!$Q$1</f>
        <v>0</v>
      </c>
      <c r="AH108" s="13">
        <f>AH98*$I66*2/MAIN!$Q$1</f>
        <v>0</v>
      </c>
      <c r="AI108" s="13">
        <f>AI98*$I66*2/MAIN!$Q$1</f>
        <v>0</v>
      </c>
      <c r="AJ108" s="13">
        <f>AJ98*$I66*2/MAIN!$Q$1</f>
        <v>0</v>
      </c>
      <c r="AK108" s="13">
        <f>AK98*$I66*2/MAIN!$Q$1</f>
        <v>0</v>
      </c>
      <c r="AL108" s="13">
        <f>AL98*$I66*2/MAIN!$Q$1</f>
        <v>0</v>
      </c>
      <c r="AM108" s="13">
        <f>AM98*$I66*2/MAIN!$Q$1</f>
        <v>0</v>
      </c>
      <c r="AN108" s="13">
        <f>AN98*$I66*2/MAIN!$Q$1</f>
        <v>0</v>
      </c>
      <c r="AO108" s="13">
        <f>AO98*$I66*2/MAIN!$Q$1</f>
        <v>0</v>
      </c>
      <c r="AP108" s="13">
        <f>AP98*$I66*2/MAIN!$Q$1</f>
        <v>0</v>
      </c>
      <c r="AQ108" s="13">
        <f>AQ98*$I66*2/MAIN!$Q$1</f>
        <v>0</v>
      </c>
      <c r="AR108" s="59">
        <f>AR98*$I66*2/MAIN!$Q$1</f>
        <v>0</v>
      </c>
      <c r="AS108" s="13">
        <f>AS98*$I66*2/MAIN!$Q$1</f>
        <v>0</v>
      </c>
      <c r="AT108" s="13">
        <f>AT98*$I66*2/MAIN!$Q$1</f>
        <v>0</v>
      </c>
      <c r="AU108" s="13">
        <f>AU98*$I66*2/MAIN!$Q$1</f>
        <v>0</v>
      </c>
      <c r="AV108" s="13">
        <f>AV98*$I66*2/MAIN!$Q$1</f>
        <v>0</v>
      </c>
      <c r="AW108" s="13">
        <f>AW98*$I66*2/MAIN!$Q$1</f>
        <v>0</v>
      </c>
      <c r="AX108" s="13">
        <f>AX98*$I66*2/MAIN!$Q$1</f>
        <v>0</v>
      </c>
      <c r="AY108" s="13">
        <f>AY98*$I66*2/MAIN!$Q$1</f>
        <v>0</v>
      </c>
      <c r="AZ108" s="13">
        <f>AZ98*$I66*2/MAIN!$Q$1</f>
        <v>0</v>
      </c>
      <c r="BA108" s="13">
        <f>BA98*$I66*2/MAIN!$Q$1</f>
        <v>0</v>
      </c>
      <c r="BB108" s="13">
        <f>BB98*$I66*2/MAIN!$Q$1</f>
        <v>0</v>
      </c>
      <c r="BC108" s="13">
        <f>BC98*$I66*2/MAIN!$Q$1</f>
        <v>0</v>
      </c>
      <c r="BD108" s="13">
        <f>BD98*$I66*2/MAIN!$Q$1</f>
        <v>0</v>
      </c>
      <c r="BE108" s="13">
        <f>BE98*$I66*2/MAIN!$Q$1</f>
        <v>0</v>
      </c>
      <c r="BF108" s="13">
        <f>BF98*$I66*2/MAIN!$Q$1</f>
        <v>0</v>
      </c>
      <c r="BG108" s="13">
        <f>BG98*$I66*2/MAIN!$Q$1</f>
        <v>0</v>
      </c>
      <c r="BH108" s="13">
        <f>BH98*$I66*2/MAIN!$Q$1</f>
        <v>0</v>
      </c>
      <c r="BI108" s="13">
        <f>BI98*$I66*2/MAIN!$Q$1</f>
        <v>0</v>
      </c>
      <c r="BJ108" s="13">
        <f>BJ98*$I66*2/MAIN!$Q$1</f>
        <v>0</v>
      </c>
      <c r="BK108" s="13">
        <f>BK98*$I66*2/MAIN!$Q$1</f>
        <v>0</v>
      </c>
      <c r="BL108" s="13">
        <f>BL98*$I66*2/MAIN!$Q$1</f>
        <v>0</v>
      </c>
      <c r="BM108" s="13">
        <f>BM98*$I66*2/MAIN!$Q$1</f>
        <v>0</v>
      </c>
      <c r="BN108" s="13">
        <f>BN98*$I66*2/MAIN!$Q$1</f>
        <v>0</v>
      </c>
      <c r="BO108" s="3">
        <f>BO98*$I66*2/MAIN!$Q$1</f>
        <v>0</v>
      </c>
      <c r="BS108"/>
      <c r="BT108"/>
    </row>
    <row r="109" spans="1:72" ht="16.5">
      <c r="B109" s="290" t="s">
        <v>67</v>
      </c>
      <c r="C109" s="298" t="s">
        <v>68</v>
      </c>
      <c r="D109" s="3">
        <f>D99*$I66*MAIN!$C$16/MAIN!$Q$1</f>
        <v>-1398691.6857721519</v>
      </c>
      <c r="E109" s="13">
        <f>E99*$I66*MAIN!$C$16/MAIN!$Q$1</f>
        <v>-1398691.6857721519</v>
      </c>
      <c r="F109" s="13">
        <f>F99*$I66*MAIN!$C$16/MAIN!$Q$1</f>
        <v>-1398691.6857721519</v>
      </c>
      <c r="G109" s="13">
        <f>G99*$I66*MAIN!$C$16/MAIN!$Q$1</f>
        <v>-1398691.6857721519</v>
      </c>
      <c r="H109" s="13">
        <f>H99*$I66*MAIN!$C$16/MAIN!$Q$1</f>
        <v>-1398691.6857721519</v>
      </c>
      <c r="I109" s="13">
        <f>I99*$I66*MAIN!$C$16/MAIN!$Q$1</f>
        <v>-1398691.6857721519</v>
      </c>
      <c r="J109" s="13">
        <f>J99*$I66*MAIN!$C$16/MAIN!$Q$1</f>
        <v>-1398691.6857721519</v>
      </c>
      <c r="K109" s="13">
        <f>K99*$I66*MAIN!$C$16/MAIN!$Q$1</f>
        <v>-1398691.6857721519</v>
      </c>
      <c r="L109" s="13">
        <f>L99*$I66*MAIN!$C$16/MAIN!$Q$1</f>
        <v>-1398691.6857721519</v>
      </c>
      <c r="M109" s="13">
        <f>M99*$I66*MAIN!$C$16/MAIN!$Q$1</f>
        <v>-1398691.6857721519</v>
      </c>
      <c r="N109" s="13">
        <f>N99*$I66*MAIN!$C$16/MAIN!$Q$1</f>
        <v>-1398691.6857721519</v>
      </c>
      <c r="O109" s="13">
        <f>O99*$I66*MAIN!$C$16/MAIN!$Q$1</f>
        <v>-1398691.6857721519</v>
      </c>
      <c r="P109" s="13">
        <f>P99*$I66*MAIN!$C$16/MAIN!$Q$1</f>
        <v>-1398691.6857721519</v>
      </c>
      <c r="Q109" s="13">
        <f>Q99*$I66*MAIN!$C$16/MAIN!$Q$1</f>
        <v>-1398691.6857721519</v>
      </c>
      <c r="R109" s="13">
        <f>R99*$I66*MAIN!$C$16/MAIN!$Q$1</f>
        <v>-1398691.6857721519</v>
      </c>
      <c r="S109" s="13">
        <f>S99*$I66*MAIN!$C$16/MAIN!$Q$1</f>
        <v>-1398691.6857721519</v>
      </c>
      <c r="T109" s="13">
        <f>T99*$I66*MAIN!$C$16/MAIN!$Q$1</f>
        <v>-1398691.6857721519</v>
      </c>
      <c r="U109" s="13">
        <f>U99*$I66*MAIN!$C$16/MAIN!$Q$1</f>
        <v>-1398691.6857721519</v>
      </c>
      <c r="V109" s="13">
        <f>V99*$I66*MAIN!$C$16/MAIN!$Q$1</f>
        <v>-1398691.6857721519</v>
      </c>
      <c r="W109" s="13">
        <f>W99*$I66*MAIN!$C$16/MAIN!$Q$1</f>
        <v>-1398691.6857721519</v>
      </c>
      <c r="X109" s="13">
        <f>X99*$I66*MAIN!$C$16/MAIN!$Q$1</f>
        <v>-1398691.6857721519</v>
      </c>
      <c r="Y109" s="13">
        <f>Y99*$I66*MAIN!$C$16/MAIN!$Q$1</f>
        <v>-1398691.6857721519</v>
      </c>
      <c r="Z109" s="13">
        <f>Z99*$I66*MAIN!$C$16/MAIN!$Q$1</f>
        <v>-1398691.6857721519</v>
      </c>
      <c r="AA109" s="13">
        <f>AA99*$I66*MAIN!$C$16/MAIN!$Q$1</f>
        <v>-1398691.6857721519</v>
      </c>
      <c r="AB109" s="13">
        <f>AB99*$I66*MAIN!$C$16/MAIN!$Q$1</f>
        <v>-1398691.6857721519</v>
      </c>
      <c r="AC109" s="13">
        <f>AC99*$I66*MAIN!$C$16/MAIN!$Q$1</f>
        <v>-1398691.6857721519</v>
      </c>
      <c r="AD109" s="13">
        <f>AD99*$I66*MAIN!$C$16/MAIN!$Q$1</f>
        <v>-1398691.6857721519</v>
      </c>
      <c r="AE109" s="13">
        <f>AE99*$I66*MAIN!$C$16/MAIN!$Q$1</f>
        <v>-1398691.6857721519</v>
      </c>
      <c r="AF109" s="13">
        <f>AF99*$I66*MAIN!$C$16/MAIN!$Q$1</f>
        <v>-1398691.6857721519</v>
      </c>
      <c r="AG109" s="13">
        <f>AG99*$I66*MAIN!$C$16/MAIN!$Q$1</f>
        <v>-1398691.6857721519</v>
      </c>
      <c r="AH109" s="13">
        <f>AH99*$I66*MAIN!$C$16/MAIN!$Q$1</f>
        <v>-1398691.6857721519</v>
      </c>
      <c r="AI109" s="13">
        <f>AI99*$I66*MAIN!$C$16/MAIN!$Q$1</f>
        <v>-1398691.6857721519</v>
      </c>
      <c r="AJ109" s="13">
        <f>AJ99*$I66*MAIN!$C$16/MAIN!$Q$1</f>
        <v>-1398691.6857721519</v>
      </c>
      <c r="AK109" s="13">
        <f>AK99*$I66*MAIN!$C$16/MAIN!$Q$1</f>
        <v>-1398691.6857721519</v>
      </c>
      <c r="AL109" s="13">
        <f>AL99*$I66*MAIN!$C$16/MAIN!$Q$1</f>
        <v>-1398691.6857721519</v>
      </c>
      <c r="AM109" s="13">
        <f>AM99*$I66*MAIN!$C$16/MAIN!$Q$1</f>
        <v>-1398691.6857721519</v>
      </c>
      <c r="AN109" s="13">
        <f>AN99*$I66*MAIN!$C$16/MAIN!$Q$1</f>
        <v>-1398691.6857721519</v>
      </c>
      <c r="AO109" s="13">
        <f>AO99*$I66*MAIN!$C$16/MAIN!$Q$1</f>
        <v>-1398691.6857721519</v>
      </c>
      <c r="AP109" s="13">
        <f>AP99*$I66*MAIN!$C$16/MAIN!$Q$1</f>
        <v>-1398691.6857721519</v>
      </c>
      <c r="AQ109" s="13">
        <f>AQ99*$I66*MAIN!$C$16/MAIN!$Q$1</f>
        <v>-1398691.6857721519</v>
      </c>
      <c r="AR109" s="59">
        <f>AR99*$I66*MAIN!$C$16/MAIN!$Q$1</f>
        <v>-1398691.6857721519</v>
      </c>
      <c r="AS109" s="13">
        <f>AS99*$I66*MAIN!$C$16/MAIN!$Q$1</f>
        <v>-1136333.0092361958</v>
      </c>
      <c r="AT109" s="13">
        <f>AT99*$I66*MAIN!$C$16/MAIN!$Q$1</f>
        <v>-909156.06572213827</v>
      </c>
      <c r="AU109" s="13">
        <f>AU99*$I66*MAIN!$C$16/MAIN!$Q$1</f>
        <v>-710528.83330406714</v>
      </c>
      <c r="AV109" s="13">
        <f>AV99*$I66*MAIN!$C$16/MAIN!$Q$1</f>
        <v>-535387.65534224792</v>
      </c>
      <c r="AW109" s="13">
        <f>AW99*$I66*MAIN!$C$16/MAIN!$Q$1</f>
        <v>-379799.50379234302</v>
      </c>
      <c r="AX109" s="13">
        <f>AX99*$I66*MAIN!$C$16/MAIN!$Q$1</f>
        <v>-240663.10013861969</v>
      </c>
      <c r="AY109" s="13">
        <f>AY99*$I66*MAIN!$C$16/MAIN!$Q$1</f>
        <v>-115500.08508293451</v>
      </c>
      <c r="AZ109" s="13">
        <f>AZ99*$I66*MAIN!$C$16/MAIN!$Q$1</f>
        <v>-2306.0980042007118</v>
      </c>
      <c r="BA109" s="13">
        <f>BA99*$I66*MAIN!$C$16/MAIN!$Q$1</f>
        <v>100557.3703980292</v>
      </c>
      <c r="BB109" s="13">
        <f>BB99*$I66*MAIN!$C$16/MAIN!$Q$1</f>
        <v>194442.80781723378</v>
      </c>
      <c r="BC109" s="13">
        <f>BC99*$I66*MAIN!$C$16/MAIN!$Q$1</f>
        <v>280476.48125826352</v>
      </c>
      <c r="BD109" s="13">
        <f>BD99*$I66*MAIN!$C$16/MAIN!$Q$1</f>
        <v>359603.83647231437</v>
      </c>
      <c r="BE109" s="13">
        <f>BE99*$I66*MAIN!$C$16/MAIN!$Q$1</f>
        <v>426325.26438149746</v>
      </c>
      <c r="BF109" s="13">
        <f>BF99*$I66*MAIN!$C$16/MAIN!$Q$1</f>
        <v>402854.60196822515</v>
      </c>
      <c r="BG109" s="13">
        <f>BG99*$I66*MAIN!$C$16/MAIN!$Q$1</f>
        <v>445774.0727716093</v>
      </c>
      <c r="BH109" s="13">
        <f>BH99*$I66*MAIN!$C$16/MAIN!$Q$1</f>
        <v>483378.00756475184</v>
      </c>
      <c r="BI109" s="13">
        <f>BI99*$I66*MAIN!$C$16/MAIN!$Q$1</f>
        <v>516596.30876654101</v>
      </c>
      <c r="BJ109" s="13">
        <f>BJ99*$I66*MAIN!$C$16/MAIN!$Q$1</f>
        <v>546153.92682756879</v>
      </c>
      <c r="BK109" s="13">
        <f>BK99*$I66*MAIN!$C$16/MAIN!$Q$1</f>
        <v>572624.37615511916</v>
      </c>
      <c r="BL109" s="13">
        <f>BL99*$I66*MAIN!$C$16/MAIN!$Q$1</f>
        <v>782801.11347048101</v>
      </c>
      <c r="BM109" s="13">
        <f>BM99*$I66*MAIN!$C$16/MAIN!$Q$1</f>
        <v>865044.18459388334</v>
      </c>
      <c r="BN109" s="13">
        <f>BN99*$I66*MAIN!$C$16/MAIN!$Q$1</f>
        <v>908907.15585969808</v>
      </c>
      <c r="BO109" s="3">
        <f>BO99*$I66*MAIN!$C$16/MAIN!$Q$1</f>
        <v>1053028.3471616607</v>
      </c>
      <c r="BS109"/>
      <c r="BT109"/>
    </row>
    <row r="110" spans="1:72" ht="16.5">
      <c r="B110" s="290" t="s">
        <v>69</v>
      </c>
      <c r="C110" s="298" t="s">
        <v>70</v>
      </c>
      <c r="D110" s="3">
        <f>MAX($F66-$C$8/2*D69,$F66-MAIN!$C$14/2)</f>
        <v>227.13730897183444</v>
      </c>
      <c r="E110" s="304">
        <f>MAX($F66-$C$8/2*E69,$F66-MAIN!$C$14/2)</f>
        <v>226.09140498317078</v>
      </c>
      <c r="F110" s="304">
        <f>MAX($F66-$C$8/2*F69,$F66-MAIN!$C$14/2)</f>
        <v>225.04550099450711</v>
      </c>
      <c r="G110" s="304">
        <f>MAX($F66-$C$8/2*G69,$F66-MAIN!$C$14/2)</f>
        <v>223.99959700584341</v>
      </c>
      <c r="H110" s="304">
        <f>MAX($F66-$C$8/2*H69,$F66-MAIN!$C$14/2)</f>
        <v>222.95369301717975</v>
      </c>
      <c r="I110" s="304">
        <f>MAX($F66-$C$8/2*I69,$F66-MAIN!$C$14/2)</f>
        <v>221.90778902851608</v>
      </c>
      <c r="J110" s="304">
        <f>MAX($F66-$C$8/2*J69,$F66-MAIN!$C$14/2)</f>
        <v>220.86188503985238</v>
      </c>
      <c r="K110" s="304">
        <f>MAX($F66-$C$8/2*K69,$F66-MAIN!$C$14/2)</f>
        <v>219.81598105118871</v>
      </c>
      <c r="L110" s="304">
        <f>MAX($F66-$C$8/2*L69,$F66-MAIN!$C$14/2)</f>
        <v>218.77007706252505</v>
      </c>
      <c r="M110" s="304">
        <f>MAX($F66-$C$8/2*M69,$F66-MAIN!$C$14/2)</f>
        <v>217.72417307386135</v>
      </c>
      <c r="N110" s="304">
        <f>MAX($F66-$C$8/2*N69,$F66-MAIN!$C$14/2)</f>
        <v>216.67826908519768</v>
      </c>
      <c r="O110" s="304">
        <f>MAX($F66-$C$8/2*O69,$F66-MAIN!$C$14/2)</f>
        <v>215.63236509653399</v>
      </c>
      <c r="P110" s="304">
        <f>MAX($F66-$C$8/2*P69,$F66-MAIN!$C$14/2)</f>
        <v>214.58646110787032</v>
      </c>
      <c r="Q110" s="304">
        <f>MAX($F66-$C$8/2*Q69,$F66-MAIN!$C$14/2)</f>
        <v>213.54055711920665</v>
      </c>
      <c r="R110" s="304">
        <f>MAX($F66-$C$8/2*R69,$F66-MAIN!$C$14/2)</f>
        <v>212.49465313054296</v>
      </c>
      <c r="S110" s="304">
        <f>MAX($F66-$C$8/2*S69,$F66-MAIN!$C$14/2)</f>
        <v>211.44874914187929</v>
      </c>
      <c r="T110" s="304">
        <f>MAX($F66-$C$8/2*T69,$F66-MAIN!$C$14/2)</f>
        <v>210.40284515321559</v>
      </c>
      <c r="U110" s="304">
        <f>MAX($F66-$C$8/2*U69,$F66-MAIN!$C$14/2)</f>
        <v>209.35694116455193</v>
      </c>
      <c r="V110" s="304">
        <f>MAX($F66-$C$8/2*V69,$F66-MAIN!$C$14/2)</f>
        <v>208.31103717588826</v>
      </c>
      <c r="W110" s="304">
        <f>MAX($F66-$C$8/2*W69,$F66-MAIN!$C$14/2)</f>
        <v>207.26513318722456</v>
      </c>
      <c r="X110" s="304">
        <f>MAX($F66-$C$8/2*X69,$F66-MAIN!$C$14/2)</f>
        <v>206.2192291985609</v>
      </c>
      <c r="Y110" s="304">
        <f>MAX($F66-$C$8/2*Y69,$F66-MAIN!$C$14/2)</f>
        <v>205.1733252098972</v>
      </c>
      <c r="Z110" s="304">
        <f>MAX($F66-$C$8/2*Z69,$F66-MAIN!$C$14/2)</f>
        <v>204.12742122123353</v>
      </c>
      <c r="AA110" s="304">
        <f>MAX($F66-$C$8/2*AA69,$F66-MAIN!$C$14/2)</f>
        <v>203.08151723256987</v>
      </c>
      <c r="AB110" s="304">
        <f>MAX($F66-$C$8/2*AB69,$F66-MAIN!$C$14/2)</f>
        <v>202.03561324390617</v>
      </c>
      <c r="AC110" s="304">
        <f>MAX($F66-$C$8/2*AC69,$F66-MAIN!$C$14/2)</f>
        <v>200.9897092552425</v>
      </c>
      <c r="AD110" s="304">
        <f>MAX($F66-$C$8/2*AD69,$F66-MAIN!$C$14/2)</f>
        <v>199.94380526657881</v>
      </c>
      <c r="AE110" s="304">
        <f>MAX($F66-$C$8/2*AE69,$F66-MAIN!$C$14/2)</f>
        <v>198.89790127791514</v>
      </c>
      <c r="AF110" s="304">
        <f>MAX($F66-$C$8/2*AF69,$F66-MAIN!$C$14/2)</f>
        <v>197.85199728925147</v>
      </c>
      <c r="AG110" s="304">
        <f>MAX($F66-$C$8/2*AG69,$F66-MAIN!$C$14/2)</f>
        <v>196.80609330058778</v>
      </c>
      <c r="AH110" s="304">
        <f>MAX($F66-$C$8/2*AH69,$F66-MAIN!$C$14/2)</f>
        <v>195.76018931192411</v>
      </c>
      <c r="AI110" s="304">
        <f>MAX($F66-$C$8/2*AI69,$F66-MAIN!$C$14/2)</f>
        <v>194.71428532326041</v>
      </c>
      <c r="AJ110" s="304">
        <f>MAX($F66-$C$8/2*AJ69,$F66-MAIN!$C$14/2)</f>
        <v>193.66838133459675</v>
      </c>
      <c r="AK110" s="304">
        <f>MAX($F66-$C$8/2*AK69,$F66-MAIN!$C$14/2)</f>
        <v>192.62247734593308</v>
      </c>
      <c r="AL110" s="304">
        <f>MAX($F66-$C$8/2*AL69,$F66-MAIN!$C$14/2)</f>
        <v>191.57657335726938</v>
      </c>
      <c r="AM110" s="304">
        <f>MAX($F66-$C$8/2*AM69,$F66-MAIN!$C$14/2)</f>
        <v>190.53066936860571</v>
      </c>
      <c r="AN110" s="304">
        <f>MAX($F66-$C$8/2*AN69,$F66-MAIN!$C$14/2)</f>
        <v>189.48476537994202</v>
      </c>
      <c r="AO110" s="304">
        <f>MAX($F66-$C$8/2*AO69,$F66-MAIN!$C$14/2)</f>
        <v>188.43886139127835</v>
      </c>
      <c r="AP110" s="304">
        <f>MAX($F66-$C$8/2*AP69,$F66-MAIN!$C$14/2)</f>
        <v>187.39295740261468</v>
      </c>
      <c r="AQ110" s="304">
        <f>MAX($F66-$C$8/2*AQ69,$F66-MAIN!$C$14/2)</f>
        <v>186.34705341395099</v>
      </c>
      <c r="AR110" s="56">
        <f>MAX($F66-$C$8/2*AR69,$F66-MAIN!$C$14/2)</f>
        <v>185.30114942528735</v>
      </c>
      <c r="AS110" s="304">
        <f>MAX($F66-$C$8/2*AS69,$F66-MAIN!$C$14/2)</f>
        <v>180.6010889292196</v>
      </c>
      <c r="AT110" s="304">
        <f>MAX($F66-$C$8/2*AT69,$F66-MAIN!$C$14/2)</f>
        <v>175.90102843315185</v>
      </c>
      <c r="AU110" s="304">
        <f>MAX($F66-$C$8/2*AU69,$F66-MAIN!$C$14/2)</f>
        <v>171.20096793708407</v>
      </c>
      <c r="AV110" s="304">
        <f>MAX($F66-$C$8/2*AV69,$F66-MAIN!$C$14/2)</f>
        <v>166.5009074410163</v>
      </c>
      <c r="AW110" s="304">
        <f>MAX($F66-$C$8/2*AW69,$F66-MAIN!$C$14/2)</f>
        <v>161.80084694494855</v>
      </c>
      <c r="AX110" s="304">
        <f>MAX($F66-$C$8/2*AX69,$F66-MAIN!$C$14/2)</f>
        <v>157.1007864488808</v>
      </c>
      <c r="AY110" s="304">
        <f>MAX($F66-$C$8/2*AY69,$F66-MAIN!$C$14/2)</f>
        <v>152.40072595281305</v>
      </c>
      <c r="AZ110" s="304">
        <f>MAX($F66-$C$8/2*AZ69,$F66-MAIN!$C$14/2)</f>
        <v>147.70066545674527</v>
      </c>
      <c r="BA110" s="304">
        <f>MAX($F66-$C$8/2*BA69,$F66-MAIN!$C$14/2)</f>
        <v>143.00060496067749</v>
      </c>
      <c r="BB110" s="304">
        <f>MAX($F66-$C$8/2*BB69,$F66-MAIN!$C$14/2)</f>
        <v>138.30054446460974</v>
      </c>
      <c r="BC110" s="304">
        <f>MAX($F66-$C$8/2*BC69,$F66-MAIN!$C$14/2)</f>
        <v>133.60048396854199</v>
      </c>
      <c r="BD110" s="304">
        <f>MAX($F66-$C$8/2*BD69,$F66-MAIN!$C$14/2)</f>
        <v>128.90042347247424</v>
      </c>
      <c r="BE110" s="304">
        <f>MAX($F66-$C$8/2*BE69,$F66-MAIN!$C$14/2)</f>
        <v>124.20036297640651</v>
      </c>
      <c r="BF110" s="304">
        <f>MAX($F66-$C$8/2*BF69,$F66-MAIN!$C$14/2)</f>
        <v>119.50030248033876</v>
      </c>
      <c r="BG110" s="304">
        <f>MAX($F66-$C$8/2*BG69,$F66-MAIN!$C$14/2)</f>
        <v>114.80024198427103</v>
      </c>
      <c r="BH110" s="304">
        <f>MAX($F66-$C$8/2*BH69,$F66-MAIN!$C$14/2)</f>
        <v>110.10018148820328</v>
      </c>
      <c r="BI110" s="304">
        <f>MAX($F66-$C$8/2*BI69,$F66-MAIN!$C$14/2)</f>
        <v>105.40012099213553</v>
      </c>
      <c r="BJ110" s="304">
        <f>MAX($F66-$C$8/2*BJ69,$F66-MAIN!$C$14/2)</f>
        <v>100.70006049606778</v>
      </c>
      <c r="BK110" s="304">
        <f>MAX($F66-$C$8/2*BK69,$F66-MAIN!$C$14/2)</f>
        <v>96</v>
      </c>
      <c r="BL110" s="304">
        <f>MAX($F66-$C$8/2*BL69,$F66-MAIN!$C$14/2)</f>
        <v>96</v>
      </c>
      <c r="BM110" s="304">
        <f>MAX($F66-$C$8/2*BM69,$F66-MAIN!$C$14/2)</f>
        <v>96</v>
      </c>
      <c r="BN110" s="304">
        <f>MAX($F66-$C$8/2*BN69,$F66-MAIN!$C$14/2)</f>
        <v>96</v>
      </c>
      <c r="BO110" s="3">
        <f>$F66-MAIN!$C$14/2</f>
        <v>96</v>
      </c>
      <c r="BS110"/>
      <c r="BT110"/>
    </row>
    <row r="111" spans="1:72" ht="16.5">
      <c r="A111" s="227">
        <f>IF(I66=0,0,1)</f>
        <v>1</v>
      </c>
      <c r="B111" s="295" t="s">
        <v>31</v>
      </c>
      <c r="C111" s="298" t="s">
        <v>71</v>
      </c>
      <c r="D111" s="3">
        <f>$A111*(D70+SUM(D100:D109))/1000</f>
        <v>-699.35075268596688</v>
      </c>
      <c r="E111" s="304">
        <f t="shared" ref="E111:BO111" si="72">$A111*(E70+SUM(E100:E109))/1000</f>
        <v>-506.98168985603701</v>
      </c>
      <c r="F111" s="304">
        <f t="shared" si="72"/>
        <v>-328.13627039468685</v>
      </c>
      <c r="G111" s="304">
        <f t="shared" si="72"/>
        <v>-160.88574337709719</v>
      </c>
      <c r="H111" s="304">
        <f t="shared" si="72"/>
        <v>-3.651485694919713</v>
      </c>
      <c r="I111" s="304">
        <f t="shared" si="72"/>
        <v>144.87099762681964</v>
      </c>
      <c r="J111" s="304">
        <f t="shared" si="72"/>
        <v>285.76910071847215</v>
      </c>
      <c r="K111" s="304">
        <f t="shared" si="72"/>
        <v>419.95647664177699</v>
      </c>
      <c r="L111" s="304">
        <f t="shared" si="72"/>
        <v>475.28794456166378</v>
      </c>
      <c r="M111" s="304">
        <f t="shared" si="72"/>
        <v>598.25929099155587</v>
      </c>
      <c r="N111" s="304">
        <f t="shared" si="72"/>
        <v>716.51691587665766</v>
      </c>
      <c r="O111" s="304">
        <f t="shared" si="72"/>
        <v>830.5478607841651</v>
      </c>
      <c r="P111" s="304">
        <f t="shared" si="72"/>
        <v>940.7743036924229</v>
      </c>
      <c r="Q111" s="304">
        <f t="shared" si="72"/>
        <v>1047.5640091219598</v>
      </c>
      <c r="R111" s="304">
        <f t="shared" si="72"/>
        <v>1151.2388209967608</v>
      </c>
      <c r="S111" s="304">
        <f t="shared" si="72"/>
        <v>1252.0816129765847</v>
      </c>
      <c r="T111" s="304">
        <f t="shared" si="72"/>
        <v>1350.3420135149031</v>
      </c>
      <c r="U111" s="304">
        <f t="shared" si="72"/>
        <v>1446.2411504537799</v>
      </c>
      <c r="V111" s="304">
        <f t="shared" si="72"/>
        <v>1539.9756056170604</v>
      </c>
      <c r="W111" s="304">
        <f t="shared" si="72"/>
        <v>1631.7207287211306</v>
      </c>
      <c r="X111" s="304">
        <f t="shared" si="72"/>
        <v>1721.6334285156388</v>
      </c>
      <c r="Y111" s="304">
        <f t="shared" si="72"/>
        <v>1809.854534901006</v>
      </c>
      <c r="Z111" s="304">
        <f t="shared" si="72"/>
        <v>1896.5108070364763</v>
      </c>
      <c r="AA111" s="304">
        <f t="shared" si="72"/>
        <v>1981.7166478280742</v>
      </c>
      <c r="AB111" s="304">
        <f t="shared" si="72"/>
        <v>2065.5755736925935</v>
      </c>
      <c r="AC111" s="304">
        <f t="shared" si="72"/>
        <v>2148.181479404182</v>
      </c>
      <c r="AD111" s="304">
        <f t="shared" si="72"/>
        <v>2229.6197305982391</v>
      </c>
      <c r="AE111" s="304">
        <f t="shared" si="72"/>
        <v>2309.9681107207521</v>
      </c>
      <c r="AF111" s="304">
        <f t="shared" si="72"/>
        <v>2389.2976445559293</v>
      </c>
      <c r="AG111" s="304">
        <f t="shared" si="72"/>
        <v>2467.6733167004754</v>
      </c>
      <c r="AH111" s="304">
        <f t="shared" si="72"/>
        <v>2545.1547002936927</v>
      </c>
      <c r="AI111" s="304">
        <f t="shared" si="72"/>
        <v>2621.7965088148853</v>
      </c>
      <c r="AJ111" s="304">
        <f t="shared" si="72"/>
        <v>2697.6490817111603</v>
      </c>
      <c r="AK111" s="304">
        <f t="shared" si="72"/>
        <v>2772.7588129315272</v>
      </c>
      <c r="AL111" s="304">
        <f t="shared" si="72"/>
        <v>2847.1685300478457</v>
      </c>
      <c r="AM111" s="304">
        <f t="shared" si="72"/>
        <v>2920.9178304845946</v>
      </c>
      <c r="AN111" s="304">
        <f t="shared" si="72"/>
        <v>2994.0433804138597</v>
      </c>
      <c r="AO111" s="304">
        <f t="shared" si="72"/>
        <v>3058.4074804295356</v>
      </c>
      <c r="AP111" s="304">
        <f t="shared" si="72"/>
        <v>3115.3046574128412</v>
      </c>
      <c r="AQ111" s="304">
        <f t="shared" si="72"/>
        <v>3172.2018343961445</v>
      </c>
      <c r="AR111" s="61">
        <f t="shared" si="72"/>
        <v>3229.099011379446</v>
      </c>
      <c r="AS111" s="304">
        <f t="shared" si="72"/>
        <v>3747.1409789014888</v>
      </c>
      <c r="AT111" s="304">
        <f t="shared" si="72"/>
        <v>4230.0012134016315</v>
      </c>
      <c r="AU111" s="304">
        <f t="shared" si="72"/>
        <v>4684.3117368057892</v>
      </c>
      <c r="AV111" s="304">
        <f t="shared" si="72"/>
        <v>5115.1362057536953</v>
      </c>
      <c r="AW111" s="304">
        <f t="shared" si="72"/>
        <v>5526.4076482896862</v>
      </c>
      <c r="AX111" s="304">
        <f t="shared" si="72"/>
        <v>5921.2273429294946</v>
      </c>
      <c r="AY111" s="304">
        <f t="shared" si="72"/>
        <v>6302.0736489712672</v>
      </c>
      <c r="AZ111" s="304">
        <f t="shared" si="72"/>
        <v>6670.9509270360868</v>
      </c>
      <c r="BA111" s="304">
        <f t="shared" si="72"/>
        <v>7029.4976864244036</v>
      </c>
      <c r="BB111" s="304">
        <f t="shared" si="72"/>
        <v>7379.0664148296937</v>
      </c>
      <c r="BC111" s="304">
        <f t="shared" si="72"/>
        <v>7720.783379256809</v>
      </c>
      <c r="BD111" s="304">
        <f t="shared" si="72"/>
        <v>8055.594025456945</v>
      </c>
      <c r="BE111" s="304">
        <f t="shared" si="72"/>
        <v>8377.9987443522132</v>
      </c>
      <c r="BF111" s="304">
        <f t="shared" si="72"/>
        <v>8610.2113729250268</v>
      </c>
      <c r="BG111" s="304">
        <f t="shared" si="72"/>
        <v>8908.8141347144956</v>
      </c>
      <c r="BH111" s="304">
        <f t="shared" si="72"/>
        <v>9202.1013604937234</v>
      </c>
      <c r="BI111" s="304">
        <f t="shared" si="72"/>
        <v>9491.0029526815997</v>
      </c>
      <c r="BJ111" s="304">
        <f t="shared" si="72"/>
        <v>9776.2438617287135</v>
      </c>
      <c r="BK111" s="304">
        <f t="shared" si="72"/>
        <v>10058.397602042349</v>
      </c>
      <c r="BL111" s="304">
        <f>$A111*(BL70+SUM(BL100:BL109))/1000</f>
        <v>10266.056694323323</v>
      </c>
      <c r="BM111" s="304">
        <f>$A111*(BM70+SUM(BM100:BM109))/1000</f>
        <v>10266.056694323321</v>
      </c>
      <c r="BN111" s="304">
        <f>$A111*(BN70+SUM(BN100:BN109))/1000</f>
        <v>10266.056694323323</v>
      </c>
      <c r="BO111" s="3">
        <f t="shared" si="72"/>
        <v>10266.056694323323</v>
      </c>
      <c r="BS111"/>
      <c r="BT111"/>
    </row>
    <row r="112" spans="1:72" ht="16.5">
      <c r="B112" s="295" t="s">
        <v>72</v>
      </c>
      <c r="C112" s="298" t="s">
        <v>73</v>
      </c>
      <c r="D112" s="3">
        <f>$A111*IF(D111+E111=0,0,IF(D111=0,2*E112-F112,(D70*D110+D100*($F66-$C66)+D101*($F66-$D71)+D102*($F66-$D72)+D103*($F66-$D73)+D104*($F66-$D74)+D105*($F66-$D75)+D106*($F66-$D76)+D107*($F66-$D77)+D108*($F66-$D78))/1000000-D111*($F66-MAIN!$C$14/2)/1000))</f>
        <v>237.46659203711187</v>
      </c>
      <c r="E112" s="304">
        <f>$A111*IF(E111+F111=0,0,IF(E111=0,2*F112-G112,(E70*E110+E100*($F66-$C66)+E101*($F66-$D71)+E102*($F66-$D72)+E103*($F66-$D73)+E104*($F66-$D74)+E105*($F66-$D75)+E106*($F66-$D76)+E107*($F66-$D77)+E108*($F66-$D78))/1000000-E111*($F66-MAIN!$C$14/2)/1000))</f>
        <v>256.80049290191118</v>
      </c>
      <c r="F112" s="304">
        <f>$A111*IF(F111+G111=0,0,IF(F111=0,2*G112-H112,(F70*F110+F100*($F66-$C66)+F101*($F66-$D71)+F102*($F66-$D72)+F103*($F66-$D73)+F104*($F66-$D74)+F105*($F66-$D75)+F106*($F66-$D76)+F107*($F66-$D77)+F108*($F66-$D78))/1000000-F111*($F66-MAIN!$C$14/2)/1000))</f>
        <v>274.71710603462577</v>
      </c>
      <c r="G112" s="304">
        <f>$A111*IF(G111+H111=0,0,IF(G111=0,2*H112-I112,(G70*G110+G100*($F66-$C66)+G101*($F66-$D71)+G102*($F66-$D72)+G103*($F66-$D73)+G104*($F66-$D74)+G105*($F66-$D75)+G106*($F66-$D76)+G107*($F66-$D77)+G108*($F66-$D78))/1000000-G111*($F66-MAIN!$C$14/2)/1000))</f>
        <v>291.40159152403822</v>
      </c>
      <c r="H112" s="304">
        <f>$A111*IF(H111+I111=0,0,IF(H111=0,2*I112-J112,(H70*H110+H100*($F66-$C66)+H101*($F66-$D71)+H102*($F66-$D72)+H103*($F66-$D73)+H104*($F66-$D74)+H105*($F66-$D75)+H106*($F66-$D76)+H107*($F66-$D77)+H108*($F66-$D78))/1000000-H111*($F66-MAIN!$C$14/2)/1000))</f>
        <v>307.00549718855007</v>
      </c>
      <c r="I112" s="304">
        <f>$A111*IF(I111+J111=0,0,IF(I111=0,2*J112-K112,(I70*I110+I100*($F66-$C66)+I101*($F66-$D71)+I102*($F66-$D72)+I103*($F66-$D73)+I104*($F66-$D74)+I105*($F66-$D75)+I106*($F66-$D76)+I107*($F66-$D77)+I108*($F66-$D78))/1000000-I111*($F66-MAIN!$C$14/2)/1000))</f>
        <v>321.65405454575881</v>
      </c>
      <c r="J112" s="304">
        <f>$A111*IF(J111+K111=0,0,IF(J111=0,2*K112-L112,(J70*J110+J100*($F66-$C66)+J101*($F66-$D71)+J102*($F66-$D72)+J103*($F66-$D73)+J104*($F66-$D74)+J105*($F66-$D75)+J106*($F66-$D76)+J107*($F66-$D77)+J108*($F66-$D78))/1000000-J111*($F66-MAIN!$C$14/2)/1000))</f>
        <v>335.45165343217803</v>
      </c>
      <c r="K112" s="304">
        <f>$A111*IF(K111+L111=0,0,IF(K111=0,2*L112-M112,(K70*K110+K100*($F66-$C66)+K101*($F66-$D71)+K102*($F66-$D72)+K103*($F66-$D73)+K104*($F66-$D74)+K105*($F66-$D75)+K106*($F66-$D76)+K107*($F66-$D77)+K108*($F66-$D78))/1000000-K111*($F66-MAIN!$C$14/2)/1000))</f>
        <v>348.48600454173493</v>
      </c>
      <c r="L112" s="304">
        <f>$A111*IF(L111+M111=0,0,IF(L111=0,2*M112-N112,(L70*L110+L100*($F66-$C66)+L101*($F66-$D71)+L102*($F66-$D72)+L103*($F66-$D73)+L104*($F66-$D74)+L105*($F66-$D75)+L106*($F66-$D76)+L107*($F66-$D77)+L108*($F66-$D78))/1000000-L111*($F66-MAIN!$C$14/2)/1000))</f>
        <v>353.83117051426245</v>
      </c>
      <c r="M112" s="304">
        <f>$A111*IF(M111+N111=0,0,IF(M111=0,2*N112-O112,(M70*M110+M100*($F66-$C66)+M101*($F66-$D71)+M102*($F66-$D72)+M103*($F66-$D73)+M104*($F66-$D74)+M105*($F66-$D75)+M106*($F66-$D76)+M107*($F66-$D77)+M108*($F66-$D78))/1000000-M111*($F66-MAIN!$C$14/2)/1000))</f>
        <v>365.55074685504951</v>
      </c>
      <c r="N112" s="304">
        <f>$A111*IF(N111+O111=0,0,IF(N111=0,2*O112-P112,(N70*N110+N100*($F66-$C66)+N101*($F66-$D71)+N102*($F66-$D72)+N103*($F66-$D73)+N104*($F66-$D74)+N105*($F66-$D75)+N106*($F66-$D76)+N107*($F66-$D77)+N108*($F66-$D78))/1000000-N111*($F66-MAIN!$C$14/2)/1000))</f>
        <v>376.69878795883562</v>
      </c>
      <c r="O112" s="304">
        <f>$A111*IF(O111+P111=0,0,IF(O111=0,2*P112-Q112,(O70*O110+O100*($F66-$C66)+O101*($F66-$D71)+O102*($F66-$D72)+O103*($F66-$D73)+O104*($F66-$D74)+O105*($F66-$D75)+O106*($F66-$D76)+O107*($F66-$D77)+O108*($F66-$D78))/1000000-O111*($F66-MAIN!$C$14/2)/1000))</f>
        <v>387.32204981607151</v>
      </c>
      <c r="P112" s="304">
        <f>$A111*IF(P111+Q111=0,0,IF(P111=0,2*Q112-R112,(P70*P110+P100*($F66-$C66)+P101*($F66-$D71)+P102*($F66-$D72)+P103*($F66-$D73)+P104*($F66-$D74)+P105*($F66-$D75)+P106*($F66-$D76)+P107*($F66-$D77)+P108*($F66-$D78))/1000000-P111*($F66-MAIN!$C$14/2)/1000))</f>
        <v>397.46106151267838</v>
      </c>
      <c r="Q112" s="304">
        <f>$A111*IF(Q111+R111=0,0,IF(Q111=0,2*R112-S112,(Q70*Q110+Q100*($F66-$C66)+Q101*($F66-$D71)+Q102*($F66-$D72)+Q103*($F66-$D73)+Q104*($F66-$D74)+Q105*($F66-$D75)+Q106*($F66-$D76)+Q107*($F66-$D77)+Q108*($F66-$D78))/1000000-Q111*($F66-MAIN!$C$14/2)/1000))</f>
        <v>407.15112844262705</v>
      </c>
      <c r="R112" s="304">
        <f>$A111*IF(R111+S111=0,0,IF(R111=0,2*S112-T112,(R70*R110+R100*($F66-$C66)+R101*($F66-$D71)+R102*($F66-$D72)+R103*($F66-$D73)+R104*($F66-$D74)+R105*($F66-$D75)+R106*($F66-$D76)+R107*($F66-$D77)+R108*($F66-$D78))/1000000-R111*($F66-MAIN!$C$14/2)/1000))</f>
        <v>416.42314762261981</v>
      </c>
      <c r="S112" s="304">
        <f>$A111*IF(S111+T111=0,0,IF(S111=0,2*T112-U112,(S70*S110+S100*($F66-$C66)+S101*($F66-$D71)+S102*($F66-$D72)+S103*($F66-$D73)+S104*($F66-$D74)+S105*($F66-$D75)+S106*($F66-$D76)+S107*($F66-$D77)+S108*($F66-$D78))/1000000-S111*($F66-MAIN!$C$14/2)/1000))</f>
        <v>425.30427492399377</v>
      </c>
      <c r="T112" s="304">
        <f>$A111*IF(T111+U111=0,0,IF(T111=0,2*U112-V112,(T70*T110+T100*($F66-$C66)+T101*($F66-$D71)+T102*($F66-$D72)+T103*($F66-$D73)+T104*($F66-$D74)+T105*($F66-$D75)+T106*($F66-$D76)+T107*($F66-$D77)+T108*($F66-$D78))/1000000-T111*($F66-MAIN!$C$14/2)/1000))</f>
        <v>433.8184746782822</v>
      </c>
      <c r="U112" s="304">
        <f>$A111*IF(U111+V111=0,0,IF(U111=0,2*V112-W112,(U70*U110+U100*($F66-$C66)+U101*($F66-$D71)+U102*($F66-$D72)+U103*($F66-$D73)+U104*($F66-$D74)+U105*($F66-$D75)+U106*($F66-$D76)+U107*($F66-$D77)+U108*($F66-$D78))/1000000-U111*($F66-MAIN!$C$14/2)/1000))</f>
        <v>441.98697515832316</v>
      </c>
      <c r="V112" s="304">
        <f>$A111*IF(V111+W111=0,0,IF(V111=0,2*W112-X112,(V70*V110+V100*($F66-$C66)+V101*($F66-$D71)+V102*($F66-$D72)+V103*($F66-$D73)+V104*($F66-$D74)+V105*($F66-$D75)+V106*($F66-$D76)+V107*($F66-$D77)+V108*($F66-$D78))/1000000-V111*($F66-MAIN!$C$14/2)/1000))</f>
        <v>449.82864821920589</v>
      </c>
      <c r="W112" s="304">
        <f>$A111*IF(W111+X111=0,0,IF(W111=0,2*X112-Y112,(W70*W110+W100*($F66-$C66)+W101*($F66-$D71)+W102*($F66-$D72)+W103*($F66-$D73)+W104*($F66-$D74)+W105*($F66-$D75)+W106*($F66-$D76)+W107*($F66-$D77)+W108*($F66-$D78))/1000000-W111*($F66-MAIN!$C$14/2)/1000))</f>
        <v>457.36032743370299</v>
      </c>
      <c r="X112" s="304">
        <f>$A111*IF(X111+Y111=0,0,IF(X111=0,2*Y112-Z112,(X70*X110+X100*($F66-$C66)+X101*($F66-$D71)+X102*($F66-$D72)+X103*($F66-$D73)+X104*($F66-$D74)+X105*($F66-$D75)+X106*($F66-$D76)+X107*($F66-$D77)+X108*($F66-$D78))/1000000-X111*($F66-MAIN!$C$14/2)/1000))</f>
        <v>464.59707604178129</v>
      </c>
      <c r="Y112" s="304">
        <f>$A111*IF(Y111+Z111=0,0,IF(Y111=0,2*Z112-AA112,(Y70*Y110+Y100*($F66-$C66)+Y101*($F66-$D71)+Y102*($F66-$D72)+Y103*($F66-$D73)+Y104*($F66-$D74)+Y105*($F66-$D75)+Y106*($F66-$D76)+Y107*($F66-$D77)+Y108*($F66-$D78))/1000000-Y111*($F66-MAIN!$C$14/2)/1000))</f>
        <v>471.55241371388098</v>
      </c>
      <c r="Z112" s="304">
        <f>$A111*IF(Z111+AA111=0,0,IF(Z111=0,2*AA112-AB112,(Z70*Z110+Z100*($F66-$C66)+Z101*($F66-$D71)+Z102*($F66-$D72)+Z103*($F66-$D73)+Z104*($F66-$D74)+Z105*($F66-$D75)+Z106*($F66-$D76)+Z107*($F66-$D77)+Z108*($F66-$D78))/1000000-Z111*($F66-MAIN!$C$14/2)/1000))</f>
        <v>478.23850932928957</v>
      </c>
      <c r="AA112" s="304">
        <f>$A111*IF(AA111+AB111=0,0,IF(AA111=0,2*AB112-AC112,(AA70*AA110+AA100*($F66-$C66)+AA101*($F66-$D71)+AA102*($F66-$D72)+AA103*($F66-$D73)+AA104*($F66-$D74)+AA105*($F66-$D75)+AA106*($F66-$D76)+AA107*($F66-$D77)+AA108*($F66-$D78))/1000000-AA111*($F66-MAIN!$C$14/2)/1000))</f>
        <v>484.66634556698517</v>
      </c>
      <c r="AB112" s="304">
        <f>$A111*IF(AB111+AC111=0,0,IF(AB111=0,2*AC112-AD112,(AB70*AB110+AB100*($F66-$C66)+AB101*($F66-$D71)+AB102*($F66-$D72)+AB103*($F66-$D73)+AB104*($F66-$D74)+AB105*($F66-$D75)+AB106*($F66-$D76)+AB107*($F66-$D77)+AB108*($F66-$D78))/1000000-AB111*($F66-MAIN!$C$14/2)/1000))</f>
        <v>490.84586000298009</v>
      </c>
      <c r="AC112" s="304">
        <f>$A111*IF(AC111+AD111=0,0,IF(AC111=0,2*AD112-AE112,(AC70*AC110+AC100*($F66-$C66)+AC101*($F66-$D71)+AC102*($F66-$D72)+AC103*($F66-$D73)+AC104*($F66-$D74)+AC105*($F66-$D75)+AC106*($F66-$D76)+AC107*($F66-$D77)+AC108*($F66-$D78))/1000000-AC111*($F66-MAIN!$C$14/2)/1000))</f>
        <v>496.78606653559268</v>
      </c>
      <c r="AD112" s="304">
        <f>$A111*IF(AD111+AE111=0,0,IF(AD111=0,2*AE112-AF112,(AD70*AD110+AD100*($F66-$C66)+AD101*($F66-$D71)+AD102*($F66-$D72)+AD103*($F66-$D73)+AD104*($F66-$D74)+AD105*($F66-$D75)+AD106*($F66-$D76)+AD107*($F66-$D77)+AD108*($F66-$D78))/1000000-AD111*($F66-MAIN!$C$14/2)/1000))</f>
        <v>502.4951602658212</v>
      </c>
      <c r="AE112" s="304">
        <f>$A111*IF(AE111+AF111=0,0,IF(AE111=0,2*AF112-AG112,(AE70*AE110+AE100*($F66-$C66)+AE101*($F66-$D71)+AE102*($F66-$D72)+AE103*($F66-$D73)+AE104*($F66-$D74)+AE105*($F66-$D75)+AE106*($F66-$D76)+AE107*($F66-$D77)+AE108*($F66-$D78))/1000000-AE111*($F66-MAIN!$C$14/2)/1000))</f>
        <v>507.98060840448045</v>
      </c>
      <c r="AF112" s="304">
        <f>$A111*IF(AF111+AG111=0,0,IF(AF111=0,2*AG112-AH112,(AF70*AF110+AF100*($F66-$C66)+AF101*($F66-$D71)+AF102*($F66-$D72)+AF103*($F66-$D73)+AF104*($F66-$D74)+AF105*($F66-$D75)+AF106*($F66-$D76)+AF107*($F66-$D77)+AF108*($F66-$D78))/1000000-AF111*($F66-MAIN!$C$14/2)/1000))</f>
        <v>513.24922933085418</v>
      </c>
      <c r="AG112" s="304">
        <f>$A111*IF(AG111+AH111=0,0,IF(AG111=0,2*AH112-AI112,(AG70*AG110+AG100*($F66-$C66)+AG101*($F66-$D71)+AG102*($F66-$D72)+AG103*($F66-$D73)+AG104*($F66-$D74)+AG105*($F66-$D75)+AG106*($F66-$D76)+AG107*($F66-$D77)+AG108*($F66-$D78))/1000000-AG111*($F66-MAIN!$C$14/2)/1000))</f>
        <v>518.3072615662262</v>
      </c>
      <c r="AH112" s="304">
        <f>$A111*IF(AH111+AI111=0,0,IF(AH111=0,2*AI112-AJ112,(AH70*AH110+AH100*($F66-$C66)+AH101*($F66-$D71)+AH102*($F66-$D72)+AH103*($F66-$D73)+AH104*($F66-$D74)+AH105*($F66-$D75)+AH106*($F66-$D76)+AH107*($F66-$D77)+AH108*($F66-$D78))/1000000-AH111*($F66-MAIN!$C$14/2)/1000))</f>
        <v>523.16042413196999</v>
      </c>
      <c r="AI112" s="304">
        <f>$A111*IF(AI111+AJ111=0,0,IF(AI111=0,2*AJ112-AK112,(AI70*AI110+AI100*($F66-$C66)+AI101*($F66-$D71)+AI102*($F66-$D72)+AI103*($F66-$D73)+AI104*($F66-$D74)+AI105*($F66-$D75)+AI106*($F66-$D76)+AI107*($F66-$D77)+AI108*($F66-$D78))/1000000-AI111*($F66-MAIN!$C$14/2)/1000))</f>
        <v>527.81396952209798</v>
      </c>
      <c r="AJ112" s="304">
        <f>$A111*IF(AJ111+AK111=0,0,IF(AJ111=0,2*AK112-AL112,(AJ70*AJ110+AJ100*($F66-$C66)+AJ101*($F66-$D71)+AJ102*($F66-$D72)+AJ103*($F66-$D73)+AJ104*($F66-$D74)+AJ105*($F66-$D75)+AJ106*($F66-$D76)+AJ107*($F66-$D77)+AJ108*($F66-$D78))/1000000-AJ111*($F66-MAIN!$C$14/2)/1000))</f>
        <v>532.27273032353287</v>
      </c>
      <c r="AK112" s="304">
        <f>$A111*IF(AK111+AL111=0,0,IF(AK111=0,2*AL112-AM112,(AK70*AK110+AK100*($F66-$C66)+AK101*($F66-$D71)+AK102*($F66-$D72)+AK103*($F66-$D73)+AK104*($F66-$D74)+AK105*($F66-$D75)+AK106*($F66-$D76)+AK107*($F66-$D77)+AK108*($F66-$D78))/1000000-AK111*($F66-MAIN!$C$14/2)/1000))</f>
        <v>536.54116035537959</v>
      </c>
      <c r="AL112" s="304">
        <f>$A111*IF(AL111+AM111=0,0,IF(AL111=0,2*AM112-AN112,(AL70*AL110+AL100*($F66-$C66)+AL101*($F66-$D71)+AL102*($F66-$D72)+AL103*($F66-$D73)+AL104*($F66-$D74)+AL105*($F66-$D75)+AL106*($F66-$D76)+AL107*($F66-$D77)+AL108*($F66-$D78))/1000000-AL111*($F66-MAIN!$C$14/2)/1000))</f>
        <v>540.6233710645364</v>
      </c>
      <c r="AM112" s="304">
        <f>$A111*IF(AM111+AN111=0,0,IF(AM111=0,2*AN112-AO112,(AM70*AM110+AM100*($F66-$C66)+AM101*($F66-$D71)+AM102*($F66-$D72)+AM103*($F66-$D73)+AM104*($F66-$D74)+AM105*($F66-$D75)+AM106*($F66-$D76)+AM107*($F66-$D77)+AM108*($F66-$D78))/1000000-AM111*($F66-MAIN!$C$14/2)/1000))</f>
        <v>544.52316380375362</v>
      </c>
      <c r="AN112" s="304">
        <f>$A111*IF(AN111+AO111=0,0,IF(AN111=0,2*AO112-AP112,(AN70*AN110+AN100*($F66-$C66)+AN101*($F66-$D71)+AN102*($F66-$D72)+AN103*($F66-$D73)+AN104*($F66-$D74)+AN105*($F66-$D75)+AN106*($F66-$D76)+AN107*($F66-$D77)+AN108*($F66-$D78))/1000000-AN111*($F66-MAIN!$C$14/2)/1000))</f>
        <v>548.24405852555105</v>
      </c>
      <c r="AO112" s="304">
        <f>$A111*IF(AO111+AP111=0,0,IF(AO111=0,2*AP112-AQ112,(AO70*AO110+AO100*($F66-$C66)+AO101*($F66-$D71)+AO102*($F66-$D72)+AO103*($F66-$D73)+AO104*($F66-$D74)+AO105*($F66-$D75)+AO106*($F66-$D76)+AO107*($F66-$D77)+AO108*($F66-$D78))/1000000-AO111*($F66-MAIN!$C$14/2)/1000))</f>
        <v>551.00483608694321</v>
      </c>
      <c r="AP112" s="304">
        <f>$A111*IF(AP111+AQ111=0,0,IF(AP111=0,2*AQ112-AR112,(AP70*AP110+AP100*($F66-$C66)+AP101*($F66-$D71)+AP102*($F66-$D72)+AP103*($F66-$D73)+AP104*($F66-$D74)+AP105*($F66-$D75)+AP106*($F66-$D76)+AP107*($F66-$D77)+AP108*($F66-$D78))/1000000-AP111*($F66-MAIN!$C$14/2)/1000))</f>
        <v>552.92977106852641</v>
      </c>
      <c r="AQ112" s="304">
        <f>$A111*IF(AQ111+AR111=0,0,IF(AQ111=0,2*AR112-AS112,(AQ70*AQ110+AQ100*($F66-$C66)+AQ101*($F66-$D71)+AQ102*($F66-$D72)+AQ103*($F66-$D73)+AQ104*($F66-$D74)+AQ105*($F66-$D75)+AQ106*($F66-$D76)+AQ107*($F66-$D77)+AQ108*($F66-$D78))/1000000-AQ111*($F66-MAIN!$C$14/2)/1000))</f>
        <v>554.73568808140851</v>
      </c>
      <c r="AR112" s="56">
        <f>$A111*IF(AR111+AS111=0,0,IF(AR111=0,2*AS112-AT112,(AR70*AR110+AR100*($F66-$C66)+AR101*($F66-$D71)+AR102*($F66-$D72)+AR103*($F66-$D73)+AR104*($F66-$D74)+AR105*($F66-$D75)+AR106*($F66-$D76)+AR107*($F66-$D77)+AR108*($F66-$D78))/1000000-AR111*($F66-MAIN!$C$14/2)/1000))</f>
        <v>556.42258712558964</v>
      </c>
      <c r="AS112" s="304">
        <f>$A111*IF(AS111+AT111=0,0,IF(AS111=0,2*AT112-AU112,(AS70*AS110+AS100*($F66-$C66)+AS101*($F66-$D71)+AS102*($F66-$D72)+AS103*($F66-$D73)+AS104*($F66-$D74)+AS105*($F66-$D75)+AS106*($F66-$D76)+AS107*($F66-$D77)+AS108*($F66-$D78))/1000000-AS111*($F66-MAIN!$C$14/2)/1000))</f>
        <v>537.34755714255198</v>
      </c>
      <c r="AT112" s="304">
        <f>$A111*IF(AT111+AU111=0,0,IF(AT111=0,2*AU112-AV112,(AT70*AT110+AT100*($F66-$C66)+AT101*($F66-$D71)+AT102*($F66-$D72)+AT103*($F66-$D73)+AT104*($F66-$D74)+AT105*($F66-$D75)+AT106*($F66-$D76)+AT107*($F66-$D77)+AT108*($F66-$D78))/1000000-AT111*($F66-MAIN!$C$14/2)/1000))</f>
        <v>519.2465196586802</v>
      </c>
      <c r="AU112" s="304">
        <f>$A111*IF(AU111+AV111=0,0,IF(AU111=0,2*AV112-AW112,(AU70*AU110+AU100*($F66-$C66)+AU101*($F66-$D71)+AU102*($F66-$D72)+AU103*($F66-$D73)+AU104*($F66-$D74)+AU105*($F66-$D75)+AU106*($F66-$D76)+AU107*($F66-$D77)+AU108*($F66-$D78))/1000000-AU111*($F66-MAIN!$C$14/2)/1000))</f>
        <v>501.48280056908618</v>
      </c>
      <c r="AV112" s="304">
        <f>$A111*IF(AV111+AW111=0,0,IF(AV111=0,2*AW112-AX112,(AV70*AV110+AV100*($F66-$C66)+AV101*($F66-$D71)+AV102*($F66-$D72)+AV103*($F66-$D73)+AV104*($F66-$D74)+AV105*($F66-$D75)+AV106*($F66-$D76)+AV107*($F66-$D77)+AV108*($F66-$D78))/1000000-AV111*($F66-MAIN!$C$14/2)/1000))</f>
        <v>483.57028883635576</v>
      </c>
      <c r="AW112" s="304">
        <f>$A111*IF(AW111+AX111=0,0,IF(AW111=0,2*AX112-AY112,(AW70*AW110+AW100*($F66-$C66)+AW101*($F66-$D71)+AW102*($F66-$D72)+AW103*($F66-$D73)+AW104*($F66-$D74)+AW105*($F66-$D75)+AW106*($F66-$D76)+AW107*($F66-$D77)+AW108*($F66-$D78))/1000000-AW111*($F66-MAIN!$C$14/2)/1000))</f>
        <v>465.13141376823273</v>
      </c>
      <c r="AX112" s="304">
        <f>$A111*IF(AX111+AY111=0,0,IF(AX111=0,2*AY112-AZ112,(AX70*AX110+AX100*($F66-$C66)+AX101*($F66-$D71)+AX102*($F66-$D72)+AX103*($F66-$D73)+AX104*($F66-$D74)+AX105*($F66-$D75)+AX106*($F66-$D76)+AX107*($F66-$D77)+AX108*($F66-$D78))/1000000-AX111*($F66-MAIN!$C$14/2)/1000))</f>
        <v>445.86845262720658</v>
      </c>
      <c r="AY112" s="304">
        <f>$A111*IF(AY111+AZ111=0,0,IF(AY111=0,2*AZ112-BA112,(AY70*AY110+AY100*($F66-$C66)+AY101*($F66-$D71)+AY102*($F66-$D72)+AY103*($F66-$D73)+AY104*($F66-$D74)+AY105*($F66-$D75)+AY106*($F66-$D76)+AY107*($F66-$D77)+AY108*($F66-$D78))/1000000-AY111*($F66-MAIN!$C$14/2)/1000))</f>
        <v>425.54348292065549</v>
      </c>
      <c r="AZ112" s="304">
        <f>$A111*IF(AZ111+BA111=0,0,IF(AZ111=0,2*BA112-BB112,(AZ70*AZ110+AZ100*($F66-$C66)+AZ101*($F66-$D71)+AZ102*($F66-$D72)+AZ103*($F66-$D73)+AZ104*($F66-$D74)+AZ105*($F66-$D75)+AZ106*($F66-$D76)+AZ107*($F66-$D77)+AZ108*($F66-$D78))/1000000-AZ111*($F66-MAIN!$C$14/2)/1000))</f>
        <v>403.96408602895474</v>
      </c>
      <c r="BA112" s="304">
        <f>$A111*IF(BA111+BB111=0,0,IF(BA111=0,2*BB112-BC112,(BA70*BA110+BA100*($F66-$C66)+BA101*($F66-$D71)+BA102*($F66-$D72)+BA103*($F66-$D73)+BA104*($F66-$D74)+BA105*($F66-$D75)+BA106*($F66-$D76)+BA107*($F66-$D77)+BA108*($F66-$D78))/1000000-BA111*($F66-MAIN!$C$14/2)/1000))</f>
        <v>380.97296505926192</v>
      </c>
      <c r="BB112" s="304">
        <f>$A111*IF(BB111+BC111=0,0,IF(BB111=0,2*BC112-BD112,(BB70*BB110+BB100*($F66-$C66)+BB101*($F66-$D71)+BB102*($F66-$D72)+BB103*($F66-$D73)+BB104*($F66-$D74)+BB105*($F66-$D75)+BB106*($F66-$D76)+BB107*($F66-$D77)+BB108*($F66-$D78))/1000000-BB111*($F66-MAIN!$C$14/2)/1000))</f>
        <v>356.4402811930031</v>
      </c>
      <c r="BC112" s="304">
        <f>$A111*IF(BC111+BD111=0,0,IF(BC111=0,2*BD112-BE112,(BC70*BC110+BC100*($F66-$C66)+BC101*($F66-$D71)+BC102*($F66-$D72)+BC103*($F66-$D73)+BC104*($F66-$D74)+BC105*($F66-$D75)+BC106*($F66-$D76)+BC107*($F66-$D77)+BC108*($F66-$D78))/1000000-BC111*($F66-MAIN!$C$14/2)/1000))</f>
        <v>330.25791279771249</v>
      </c>
      <c r="BD112" s="304">
        <f>$A111*IF(BD111+BE111=0,0,IF(BD111=0,2*BE112-BF112,(BD70*BD110+BD100*($F66-$C66)+BD101*($F66-$D71)+BD102*($F66-$D72)+BD103*($F66-$D73)+BD104*($F66-$D74)+BD105*($F66-$D75)+BD106*($F66-$D76)+BD107*($F66-$D77)+BD108*($F66-$D78))/1000000-BD111*($F66-MAIN!$C$14/2)/1000))</f>
        <v>302.33509708127508</v>
      </c>
      <c r="BE112" s="304">
        <f>$A111*IF(BE111+BF111=0,0,IF(BE111=0,2*BF112-BG112,(BE70*BE110+BE100*($F66-$C66)+BE101*($F66-$D71)+BE102*($F66-$D72)+BE103*($F66-$D73)+BE104*($F66-$D74)+BE105*($F66-$D75)+BE106*($F66-$D76)+BE107*($F66-$D77)+BE108*($F66-$D78))/1000000-BE111*($F66-MAIN!$C$14/2)/1000))</f>
        <v>273.1997965151686</v>
      </c>
      <c r="BF112" s="304">
        <f>$A111*IF(BF111+BG111=0,0,IF(BF111=0,2*BG112-BH112,(BF70*BF110+BF100*($F66-$C66)+BF101*($F66-$D71)+BF102*($F66-$D72)+BF103*($F66-$D73)+BF104*($F66-$D74)+BF105*($F66-$D75)+BF106*($F66-$D76)+BF107*($F66-$D77)+BF108*($F66-$D78))/1000000-BF111*($F66-MAIN!$C$14/2)/1000))</f>
        <v>250.31948274908132</v>
      </c>
      <c r="BG112" s="304">
        <f>$A111*IF(BG111+BH111=0,0,IF(BG111=0,2*BH112-BI112,(BG70*BG110+BG100*($F66-$C66)+BG101*($F66-$D71)+BG102*($F66-$D72)+BG103*($F66-$D73)+BG104*($F66-$D74)+BG105*($F66-$D75)+BG106*($F66-$D76)+BG107*($F66-$D77)+BG108*($F66-$D78))/1000000-BG111*($F66-MAIN!$C$14/2)/1000))</f>
        <v>218.66226232325846</v>
      </c>
      <c r="BH112" s="304">
        <f>$A111*IF(BH111+BI111=0,0,IF(BH111=0,2*BI112-BJ112,(BH70*BH110+BH100*($F66-$C66)+BH101*($F66-$D71)+BH102*($F66-$D72)+BH103*($F66-$D73)+BH104*($F66-$D74)+BH105*($F66-$D75)+BH106*($F66-$D76)+BH107*($F66-$D77)+BH108*($F66-$D78))/1000000-BH111*($F66-MAIN!$C$14/2)/1000))</f>
        <v>185.11187948348197</v>
      </c>
      <c r="BI112" s="304">
        <f>$A111*IF(BI111+BJ111=0,0,IF(BI111=0,2*BJ112-BK112,(BI70*BI110+BI100*($F66-$C66)+BI101*($F66-$D71)+BI102*($F66-$D72)+BI103*($F66-$D73)+BI104*($F66-$D74)+BI105*($F66-$D75)+BI106*($F66-$D76)+BI107*($F66-$D77)+BI108*($F66-$D78))/1000000-BI111*($F66-MAIN!$C$14/2)/1000))</f>
        <v>149.57906359753861</v>
      </c>
      <c r="BJ112" s="304">
        <f>$A111*IF(BJ111+BK111=0,0,IF(BJ111=0,2*BK112-BO112,(BJ70*BJ110+BJ100*($F66-$C66)+BJ101*($F66-$D71)+BJ102*($F66-$D72)+BJ103*($F66-$D73)+BJ104*($F66-$D74)+BJ105*($F66-$D75)+BJ106*($F66-$D76)+BJ107*($F66-$D77)+BJ108*($F66-$D78))/1000000-BJ111*($F66-MAIN!$C$14/2)/1000))</f>
        <v>111.99421942217214</v>
      </c>
      <c r="BK112" s="304">
        <f>$A111*IF(BK111+BO111=0,0,IF(BK111=0,2*BO112-BP112,(BK70*BK110+BK100*($F66-$C66)+BK101*($F66-$D71)+BK102*($F66-$D72)+BK103*($F66-$D73)+BK104*($F66-$D74)+BK105*($F66-$D75)+BK106*($F66-$D76)+BK107*($F66-$D77)+BK108*($F66-$D78))/1000000-BK111*($F66-MAIN!$C$14/2)/1000))</f>
        <v>72.302289574282895</v>
      </c>
      <c r="BL112" s="304">
        <f>$A111*IF(BL111+BP111=0,0,IF(BL111=0,2*BP112-BQ112,(BL70*BL110+BL100*($F66-$C66)+BL101*($F66-$D71)+BL102*($F66-$D72)+BL103*($F66-$D73)+BL104*($F66-$D74)+BL105*($F66-$D75)+BL106*($F66-$D76)+BL107*($F66-$D77)+BL108*($F66-$D78))/1000000-BL111*($F66-MAIN!$C$14/2)/1000))</f>
        <v>51.88362886870641</v>
      </c>
      <c r="BM112" s="304">
        <f>$A111*IF(BM111+BQ111=0,0,IF(BM111=0,2*BQ112-BR112,(BM70*BM110+BM100*($F66-$C66)+BM101*($F66-$D71)+BM102*($F66-$D72)+BM103*($F66-$D73)+BM104*($F66-$D74)+BM105*($F66-$D75)+BM106*($F66-$D76)+BM107*($F66-$D77)+BM108*($F66-$D78))/1000000-BM111*($F66-MAIN!$C$14/2)/1000))</f>
        <v>36.092959213013273</v>
      </c>
      <c r="BN112" s="304">
        <f>$A111*IF(BN111+BR111=0,0,IF(BN111=0,2*BR112-BS112,(BN70*BN110+BN100*($F66-$C66)+BN101*($F66-$D71)+BN102*($F66-$D72)+BN103*($F66-$D73)+BN104*($F66-$D74)+BN105*($F66-$D75)+BN106*($F66-$D76)+BN107*($F66-$D77)+BN108*($F66-$D78))/1000000-BN111*($F66-MAIN!$C$14/2)/1000))</f>
        <v>27.671268729976759</v>
      </c>
      <c r="BO112" s="3">
        <v>0</v>
      </c>
      <c r="BS112"/>
      <c r="BT112"/>
    </row>
    <row r="113" spans="2:72" ht="16.5">
      <c r="B113" s="296" t="s">
        <v>74</v>
      </c>
      <c r="C113" s="303" t="s">
        <v>75</v>
      </c>
      <c r="D113" s="15"/>
      <c r="E113" s="308"/>
      <c r="F113" s="308"/>
      <c r="G113" s="308"/>
      <c r="H113" s="308"/>
      <c r="I113" s="308"/>
      <c r="J113" s="308"/>
      <c r="K113" s="308"/>
      <c r="L113" s="308"/>
      <c r="M113" s="308"/>
      <c r="N113" s="308"/>
      <c r="O113" s="308"/>
      <c r="P113" s="308"/>
      <c r="Q113" s="308"/>
      <c r="R113" s="308"/>
      <c r="S113" s="308"/>
      <c r="T113" s="308"/>
      <c r="U113" s="308"/>
      <c r="V113" s="308"/>
      <c r="W113" s="308"/>
      <c r="X113" s="308"/>
      <c r="Y113" s="308"/>
      <c r="Z113" s="308"/>
      <c r="AA113" s="308"/>
      <c r="AB113" s="308"/>
      <c r="AC113" s="308"/>
      <c r="AD113" s="308"/>
      <c r="AE113" s="309"/>
      <c r="AF113" s="308"/>
      <c r="AG113" s="308"/>
      <c r="AH113" s="308"/>
      <c r="AI113" s="308"/>
      <c r="AJ113" s="308" t="str">
        <f>FIXED(MAIN!$Q$1,0)&amp;MAIN!R$1&amp;FIXED(B65,0)</f>
        <v>8H32</v>
      </c>
      <c r="AK113" s="308"/>
      <c r="AL113" s="308"/>
      <c r="AM113" s="308"/>
      <c r="AN113" s="308"/>
      <c r="AO113" s="308"/>
      <c r="AP113" s="308"/>
      <c r="AQ113" s="308"/>
      <c r="AR113" s="60"/>
      <c r="AS113" s="308"/>
      <c r="AT113" s="308"/>
      <c r="AU113" s="308"/>
      <c r="AV113" s="308"/>
      <c r="AW113" s="308"/>
      <c r="AX113" s="308"/>
      <c r="AY113" s="308"/>
      <c r="AZ113" s="308"/>
      <c r="BA113" s="308"/>
      <c r="BB113" s="308"/>
      <c r="BC113" s="308"/>
      <c r="BD113" s="308"/>
      <c r="BE113" s="308"/>
      <c r="BF113" s="308"/>
      <c r="BG113" s="308"/>
      <c r="BH113" s="308"/>
      <c r="BI113" s="308"/>
      <c r="BJ113" s="308"/>
      <c r="BK113" s="308"/>
      <c r="BL113" s="621"/>
      <c r="BM113" s="621"/>
      <c r="BN113" s="621"/>
      <c r="BO113" s="15"/>
      <c r="BS113"/>
      <c r="BT113"/>
    </row>
    <row r="114" spans="2:72">
      <c r="B114"/>
      <c r="C114" s="65" t="s">
        <v>135</v>
      </c>
      <c r="D114" s="66">
        <f t="shared" ref="D114:BJ115" si="73">E111-D111</f>
        <v>192.36906282992987</v>
      </c>
      <c r="E114" s="66">
        <f t="shared" si="73"/>
        <v>178.84541946135016</v>
      </c>
      <c r="F114" s="66">
        <f t="shared" si="73"/>
        <v>167.25052701758966</v>
      </c>
      <c r="G114" s="66">
        <f t="shared" si="73"/>
        <v>157.23425768217749</v>
      </c>
      <c r="H114" s="66">
        <f t="shared" si="73"/>
        <v>148.52248332173934</v>
      </c>
      <c r="I114" s="66">
        <f t="shared" si="73"/>
        <v>140.8981030916525</v>
      </c>
      <c r="J114" s="66">
        <f t="shared" si="73"/>
        <v>134.18737592330484</v>
      </c>
      <c r="K114" s="66">
        <f t="shared" si="73"/>
        <v>55.331467919886791</v>
      </c>
      <c r="L114" s="66">
        <f t="shared" si="73"/>
        <v>122.97134642989209</v>
      </c>
      <c r="M114" s="66">
        <f t="shared" si="73"/>
        <v>118.25762488510179</v>
      </c>
      <c r="N114" s="66">
        <f t="shared" si="73"/>
        <v>114.03094490750743</v>
      </c>
      <c r="O114" s="66">
        <f t="shared" si="73"/>
        <v>110.22644290825781</v>
      </c>
      <c r="P114" s="66">
        <f t="shared" si="73"/>
        <v>106.78970542953687</v>
      </c>
      <c r="Q114" s="66">
        <f t="shared" si="73"/>
        <v>103.67481187480098</v>
      </c>
      <c r="R114" s="66">
        <f t="shared" si="73"/>
        <v>100.84279197982391</v>
      </c>
      <c r="S114" s="66">
        <f t="shared" si="73"/>
        <v>98.260400538318436</v>
      </c>
      <c r="T114" s="66">
        <f t="shared" si="73"/>
        <v>95.899136938876836</v>
      </c>
      <c r="U114" s="66">
        <f t="shared" si="73"/>
        <v>93.734455163280472</v>
      </c>
      <c r="V114" s="66">
        <f t="shared" si="73"/>
        <v>91.745123104070217</v>
      </c>
      <c r="W114" s="66">
        <f t="shared" si="73"/>
        <v>89.912699794508171</v>
      </c>
      <c r="X114" s="66">
        <f t="shared" si="73"/>
        <v>88.221106385367193</v>
      </c>
      <c r="Y114" s="66">
        <f t="shared" si="73"/>
        <v>86.656272135470317</v>
      </c>
      <c r="Z114" s="66">
        <f t="shared" si="73"/>
        <v>85.205840791597893</v>
      </c>
      <c r="AA114" s="66">
        <f t="shared" si="73"/>
        <v>83.858925864519279</v>
      </c>
      <c r="AB114" s="66">
        <f t="shared" si="73"/>
        <v>82.605905711588548</v>
      </c>
      <c r="AC114" s="66">
        <f t="shared" si="73"/>
        <v>81.438251194057102</v>
      </c>
      <c r="AD114" s="66">
        <f t="shared" si="73"/>
        <v>80.348380122512935</v>
      </c>
      <c r="AE114" s="66">
        <f t="shared" si="73"/>
        <v>79.329533835177244</v>
      </c>
      <c r="AF114" s="66">
        <f t="shared" si="73"/>
        <v>78.375672144546115</v>
      </c>
      <c r="AG114" s="66">
        <f t="shared" si="73"/>
        <v>77.481383593217288</v>
      </c>
      <c r="AH114" s="66">
        <f t="shared" si="73"/>
        <v>76.641808521192615</v>
      </c>
      <c r="AI114" s="66">
        <f t="shared" si="73"/>
        <v>75.852572896274978</v>
      </c>
      <c r="AJ114" s="66">
        <f t="shared" si="73"/>
        <v>75.109731220366939</v>
      </c>
      <c r="AK114" s="66">
        <f t="shared" si="73"/>
        <v>74.409717116318461</v>
      </c>
      <c r="AL114" s="66">
        <f t="shared" si="73"/>
        <v>73.749300436748854</v>
      </c>
      <c r="AM114" s="66">
        <f t="shared" si="73"/>
        <v>73.125549929265162</v>
      </c>
      <c r="AN114" s="66">
        <f t="shared" si="73"/>
        <v>64.364100015675831</v>
      </c>
      <c r="AO114" s="66">
        <f t="shared" si="73"/>
        <v>56.897176983305599</v>
      </c>
      <c r="AP114" s="66">
        <f t="shared" si="73"/>
        <v>56.897176983303325</v>
      </c>
      <c r="AQ114" s="66">
        <f t="shared" si="73"/>
        <v>56.897176983301506</v>
      </c>
      <c r="AR114" s="66">
        <f t="shared" si="73"/>
        <v>518.0419675220428</v>
      </c>
      <c r="AS114" s="66">
        <f t="shared" si="73"/>
        <v>482.86023450014272</v>
      </c>
      <c r="AT114" s="66">
        <f t="shared" si="73"/>
        <v>454.31052340415772</v>
      </c>
      <c r="AU114" s="66">
        <f t="shared" si="73"/>
        <v>430.8244689479061</v>
      </c>
      <c r="AV114" s="66">
        <f t="shared" si="73"/>
        <v>411.2714425359909</v>
      </c>
      <c r="AW114" s="66">
        <f t="shared" si="73"/>
        <v>394.8196946398084</v>
      </c>
      <c r="AX114" s="66">
        <f t="shared" si="73"/>
        <v>380.84630604177255</v>
      </c>
      <c r="AY114" s="66">
        <f t="shared" si="73"/>
        <v>368.87727806481962</v>
      </c>
      <c r="AZ114" s="66">
        <f t="shared" si="73"/>
        <v>358.54675938831679</v>
      </c>
      <c r="BA114" s="66">
        <f t="shared" si="73"/>
        <v>349.56872840529013</v>
      </c>
      <c r="BB114" s="66">
        <f t="shared" si="73"/>
        <v>341.71696442711527</v>
      </c>
      <c r="BC114" s="66">
        <f t="shared" si="73"/>
        <v>334.81064620013603</v>
      </c>
      <c r="BD114" s="66">
        <f t="shared" si="73"/>
        <v>322.40471889526816</v>
      </c>
      <c r="BE114" s="66">
        <f t="shared" si="73"/>
        <v>232.21262857281363</v>
      </c>
      <c r="BF114" s="66">
        <f t="shared" si="73"/>
        <v>298.60276178946879</v>
      </c>
      <c r="BG114" s="66">
        <f t="shared" si="73"/>
        <v>293.28722577922781</v>
      </c>
      <c r="BH114" s="66">
        <f t="shared" si="73"/>
        <v>288.9015921878763</v>
      </c>
      <c r="BI114" s="66">
        <f t="shared" si="73"/>
        <v>285.24090904711375</v>
      </c>
      <c r="BJ114" s="66">
        <f t="shared" si="73"/>
        <v>282.15374031363535</v>
      </c>
      <c r="BK114" s="66">
        <f t="shared" ref="BK114:BN115" si="74">BL111-BK111</f>
        <v>207.65909228097371</v>
      </c>
      <c r="BL114" s="66">
        <f t="shared" si="74"/>
        <v>0</v>
      </c>
      <c r="BM114" s="66">
        <f t="shared" si="74"/>
        <v>0</v>
      </c>
      <c r="BN114" s="66">
        <f t="shared" si="74"/>
        <v>0</v>
      </c>
      <c r="BO114" s="65">
        <v>0</v>
      </c>
      <c r="BS114"/>
      <c r="BT114"/>
    </row>
    <row r="115" spans="2:72">
      <c r="B115"/>
      <c r="C115" s="65" t="s">
        <v>136</v>
      </c>
      <c r="D115" s="66">
        <f t="shared" si="73"/>
        <v>19.333900864799318</v>
      </c>
      <c r="E115" s="66">
        <f t="shared" si="73"/>
        <v>17.916613132714588</v>
      </c>
      <c r="F115" s="66">
        <f t="shared" si="73"/>
        <v>16.684485489412452</v>
      </c>
      <c r="G115" s="66">
        <f t="shared" si="73"/>
        <v>15.603905664511842</v>
      </c>
      <c r="H115" s="66">
        <f t="shared" si="73"/>
        <v>14.648557357208745</v>
      </c>
      <c r="I115" s="66">
        <f t="shared" si="73"/>
        <v>13.797598886419223</v>
      </c>
      <c r="J115" s="66">
        <f t="shared" si="73"/>
        <v>13.034351109556894</v>
      </c>
      <c r="K115" s="66">
        <f t="shared" si="73"/>
        <v>5.3451659725275249</v>
      </c>
      <c r="L115" s="66">
        <f t="shared" si="73"/>
        <v>11.719576340787057</v>
      </c>
      <c r="M115" s="66">
        <f t="shared" si="73"/>
        <v>11.148041103786113</v>
      </c>
      <c r="N115" s="66">
        <f t="shared" si="73"/>
        <v>10.623261857235889</v>
      </c>
      <c r="O115" s="66">
        <f t="shared" si="73"/>
        <v>10.139011696606872</v>
      </c>
      <c r="P115" s="66">
        <f t="shared" si="73"/>
        <v>9.6900669299486708</v>
      </c>
      <c r="Q115" s="66">
        <f t="shared" si="73"/>
        <v>9.2720191799927534</v>
      </c>
      <c r="R115" s="66">
        <f t="shared" si="73"/>
        <v>8.8811273013739651</v>
      </c>
      <c r="S115" s="66">
        <f t="shared" si="73"/>
        <v>8.5141997542884269</v>
      </c>
      <c r="T115" s="66">
        <f t="shared" si="73"/>
        <v>8.1685004800409615</v>
      </c>
      <c r="U115" s="66">
        <f t="shared" si="73"/>
        <v>7.8416730608827265</v>
      </c>
      <c r="V115" s="66">
        <f t="shared" si="73"/>
        <v>7.5316792144971032</v>
      </c>
      <c r="W115" s="66">
        <f t="shared" si="73"/>
        <v>7.236748608078301</v>
      </c>
      <c r="X115" s="66">
        <f t="shared" si="73"/>
        <v>6.955337672099688</v>
      </c>
      <c r="Y115" s="66">
        <f t="shared" si="73"/>
        <v>6.6860956154085898</v>
      </c>
      <c r="Z115" s="66">
        <f t="shared" si="73"/>
        <v>6.4278362376956011</v>
      </c>
      <c r="AA115" s="66">
        <f t="shared" si="73"/>
        <v>6.1795144359949177</v>
      </c>
      <c r="AB115" s="66">
        <f t="shared" si="73"/>
        <v>5.9402065326125921</v>
      </c>
      <c r="AC115" s="66">
        <f t="shared" si="73"/>
        <v>5.709093730228517</v>
      </c>
      <c r="AD115" s="66">
        <f t="shared" si="73"/>
        <v>5.4854481386592511</v>
      </c>
      <c r="AE115" s="66">
        <f t="shared" si="73"/>
        <v>5.2686209263737283</v>
      </c>
      <c r="AF115" s="66">
        <f t="shared" si="73"/>
        <v>5.0580322353720248</v>
      </c>
      <c r="AG115" s="66">
        <f t="shared" si="73"/>
        <v>4.8531625657437871</v>
      </c>
      <c r="AH115" s="66">
        <f t="shared" si="73"/>
        <v>4.653545390127988</v>
      </c>
      <c r="AI115" s="66">
        <f t="shared" si="73"/>
        <v>4.4587608014348916</v>
      </c>
      <c r="AJ115" s="66">
        <f t="shared" si="73"/>
        <v>4.2684300318467194</v>
      </c>
      <c r="AK115" s="66">
        <f t="shared" si="73"/>
        <v>4.0822107091568114</v>
      </c>
      <c r="AL115" s="66">
        <f t="shared" si="73"/>
        <v>3.8997927392172187</v>
      </c>
      <c r="AM115" s="66">
        <f t="shared" si="73"/>
        <v>3.7208947217974355</v>
      </c>
      <c r="AN115" s="66">
        <f t="shared" si="73"/>
        <v>2.7607775613921604</v>
      </c>
      <c r="AO115" s="66">
        <f t="shared" si="73"/>
        <v>1.924934981583192</v>
      </c>
      <c r="AP115" s="66">
        <f t="shared" si="73"/>
        <v>1.8059170128821052</v>
      </c>
      <c r="AQ115" s="66">
        <f t="shared" si="73"/>
        <v>1.686899044181132</v>
      </c>
      <c r="AR115" s="66">
        <f t="shared" si="73"/>
        <v>-19.075029983037666</v>
      </c>
      <c r="AS115" s="66">
        <f t="shared" si="73"/>
        <v>-18.101037483871778</v>
      </c>
      <c r="AT115" s="66">
        <f t="shared" si="73"/>
        <v>-17.763719089594019</v>
      </c>
      <c r="AU115" s="66">
        <f t="shared" si="73"/>
        <v>-17.912511732730422</v>
      </c>
      <c r="AV115" s="66">
        <f t="shared" si="73"/>
        <v>-18.438875068123025</v>
      </c>
      <c r="AW115" s="66">
        <f t="shared" si="73"/>
        <v>-19.262961141026153</v>
      </c>
      <c r="AX115" s="66">
        <f t="shared" si="73"/>
        <v>-20.324969706551087</v>
      </c>
      <c r="AY115" s="66">
        <f t="shared" si="73"/>
        <v>-21.579396891700753</v>
      </c>
      <c r="AZ115" s="66">
        <f t="shared" si="73"/>
        <v>-22.991120969692815</v>
      </c>
      <c r="BA115" s="66">
        <f t="shared" si="73"/>
        <v>-24.532683866258822</v>
      </c>
      <c r="BB115" s="66">
        <f t="shared" si="73"/>
        <v>-26.182368395290609</v>
      </c>
      <c r="BC115" s="66">
        <f t="shared" si="73"/>
        <v>-27.922815716437412</v>
      </c>
      <c r="BD115" s="66">
        <f t="shared" si="73"/>
        <v>-29.13530056610648</v>
      </c>
      <c r="BE115" s="66">
        <f t="shared" si="73"/>
        <v>-22.880313766087284</v>
      </c>
      <c r="BF115" s="66">
        <f t="shared" si="73"/>
        <v>-31.657220425822857</v>
      </c>
      <c r="BG115" s="66">
        <f t="shared" si="73"/>
        <v>-33.550382839776489</v>
      </c>
      <c r="BH115" s="66">
        <f t="shared" si="73"/>
        <v>-35.532815885943364</v>
      </c>
      <c r="BI115" s="66">
        <f t="shared" si="73"/>
        <v>-37.58484417536647</v>
      </c>
      <c r="BJ115" s="66">
        <f t="shared" si="73"/>
        <v>-39.691929847889242</v>
      </c>
      <c r="BK115" s="66">
        <f t="shared" si="74"/>
        <v>-20.418660705576485</v>
      </c>
      <c r="BL115" s="66">
        <f t="shared" si="74"/>
        <v>-15.790669655693137</v>
      </c>
      <c r="BM115" s="66">
        <f t="shared" si="74"/>
        <v>-8.4216904830365138</v>
      </c>
      <c r="BN115" s="66">
        <f t="shared" si="74"/>
        <v>-27.671268729976759</v>
      </c>
      <c r="BO115" s="65">
        <v>0</v>
      </c>
      <c r="BS115"/>
      <c r="BT115"/>
    </row>
    <row r="116" spans="2:72">
      <c r="B116"/>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16"/>
      <c r="BS116"/>
      <c r="BT116"/>
    </row>
    <row r="117" spans="2:72" ht="18.75">
      <c r="B117" s="275">
        <f>MAIN!C$35</f>
        <v>25</v>
      </c>
      <c r="C117" s="276" t="s">
        <v>43</v>
      </c>
      <c r="D117" s="258"/>
      <c r="E117" s="259"/>
      <c r="F117" s="259"/>
      <c r="G117" s="259"/>
      <c r="H117" s="259"/>
      <c r="I117" s="259"/>
      <c r="J117" s="259"/>
      <c r="K117" s="277"/>
      <c r="L117" s="259"/>
      <c r="M117" s="259"/>
      <c r="N117" s="278" t="s">
        <v>93</v>
      </c>
      <c r="O117" s="279">
        <f>$C$8*$C$9*MAIN!C$13</f>
        <v>21760.000000000004</v>
      </c>
      <c r="P117" s="73"/>
      <c r="Q117" s="73"/>
      <c r="R117" s="73"/>
      <c r="S117" s="73"/>
      <c r="T117" s="73"/>
      <c r="U117" s="73"/>
      <c r="V117" s="73"/>
      <c r="W117" s="73"/>
      <c r="X117" s="73"/>
      <c r="Y117" s="73"/>
      <c r="Z117" s="73"/>
      <c r="AA117" s="73"/>
      <c r="AB117" s="73"/>
      <c r="AC117" s="73"/>
      <c r="AD117" s="73"/>
      <c r="AE117" s="73"/>
      <c r="AF117" s="73"/>
      <c r="AG117" s="73"/>
      <c r="AH117" s="73"/>
      <c r="AI117" s="73"/>
      <c r="AJ117" s="73"/>
      <c r="AK117" s="73"/>
      <c r="AL117" s="73"/>
      <c r="AM117" s="73"/>
      <c r="AN117" s="73"/>
      <c r="AO117" s="73"/>
      <c r="AP117" s="73"/>
      <c r="AQ117" s="73"/>
      <c r="AS117" s="73"/>
      <c r="BS117"/>
      <c r="BT117"/>
    </row>
    <row r="118" spans="2:72" ht="18.75">
      <c r="B118" s="260" t="str">
        <f>B66</f>
        <v>d' =</v>
      </c>
      <c r="C118" s="261">
        <f>MAIN!I$8+MAIN!E35+MAIN!C35/2</f>
        <v>50.5</v>
      </c>
      <c r="D118" s="262" t="str">
        <f>D66</f>
        <v>mm</v>
      </c>
      <c r="E118" s="263" t="str">
        <f>E66</f>
        <v>d =</v>
      </c>
      <c r="F118" s="261">
        <f>IF(I118=0,0,MAIN!C$14-C118)</f>
        <v>249.5</v>
      </c>
      <c r="G118" s="262" t="str">
        <f>G66</f>
        <v>mm</v>
      </c>
      <c r="H118" s="263" t="str">
        <f>H66</f>
        <v>Asc =</v>
      </c>
      <c r="I118" s="264">
        <f>IF(MAIN!I35="ok",MAIN!C$13*MAIN!C$14*MAIN!D35/100,0)</f>
        <v>3926.9908169872406</v>
      </c>
      <c r="J118" s="262" t="str">
        <f>J66</f>
        <v>mm²</v>
      </c>
      <c r="K118" s="263" t="s">
        <v>48</v>
      </c>
      <c r="L118" s="261">
        <f>(F118-C118)/(MAIN!C$15-1)</f>
        <v>199</v>
      </c>
      <c r="M118" s="262" t="s">
        <v>14</v>
      </c>
      <c r="N118" s="263" t="s">
        <v>17</v>
      </c>
      <c r="O118" s="280">
        <f>I118*MAIN!C$16/MAIN!Q$1*(200000*F$8-C$9-C$10)</f>
        <v>476247.23415288742</v>
      </c>
      <c r="P118" s="45"/>
      <c r="Q118" s="45"/>
      <c r="R118" s="45"/>
      <c r="S118" s="45"/>
      <c r="T118" s="45"/>
      <c r="U118" s="45"/>
      <c r="V118" s="45"/>
      <c r="W118" s="45"/>
      <c r="X118" s="45"/>
      <c r="Y118" s="45"/>
      <c r="Z118" s="45"/>
      <c r="AA118" s="45"/>
      <c r="AB118" s="45"/>
      <c r="AC118" s="45"/>
      <c r="AD118" s="45"/>
      <c r="AE118" s="45"/>
      <c r="AF118" s="45"/>
      <c r="AG118" s="45"/>
      <c r="AH118" s="45"/>
      <c r="AI118" s="289"/>
      <c r="AJ118" s="45"/>
      <c r="AK118" s="45"/>
      <c r="AL118" s="45"/>
      <c r="AM118" s="45"/>
      <c r="AN118" s="45"/>
      <c r="AO118" s="45"/>
      <c r="AP118" s="45"/>
      <c r="AQ118" s="45"/>
      <c r="AS118" s="45"/>
      <c r="BS118"/>
      <c r="BT118"/>
    </row>
    <row r="119" spans="2:72" ht="18.75">
      <c r="B119" s="265"/>
      <c r="C119" s="266"/>
      <c r="D119" s="267"/>
      <c r="E119" s="268" t="str">
        <f>E67</f>
        <v>Interval =</v>
      </c>
      <c r="F119" s="269">
        <f>(AR121-D121)/40</f>
        <v>2.915946424466064</v>
      </c>
      <c r="G119" s="270" t="s">
        <v>50</v>
      </c>
      <c r="H119" s="281"/>
      <c r="I119" s="281"/>
      <c r="J119" s="281"/>
      <c r="K119" s="281"/>
      <c r="L119" s="281"/>
      <c r="M119" s="281"/>
      <c r="N119" s="282" t="s">
        <v>120</v>
      </c>
      <c r="O119" s="283">
        <f>-100000*F$8*C118*I118*MAIN!C$16/MAIN!Q$1*2</f>
        <v>-69409562.690249473</v>
      </c>
      <c r="P119" s="49"/>
      <c r="Q119" s="49"/>
      <c r="R119" s="49"/>
      <c r="S119" s="49"/>
      <c r="T119" s="49"/>
      <c r="U119" s="49"/>
      <c r="V119" s="49"/>
      <c r="W119" s="49"/>
      <c r="X119" s="49"/>
      <c r="Y119" s="49"/>
      <c r="Z119" s="49"/>
      <c r="AA119" s="49"/>
      <c r="AB119" s="49"/>
      <c r="AC119" s="49"/>
      <c r="AD119" s="49"/>
      <c r="AE119" s="49"/>
      <c r="AF119" s="49"/>
      <c r="AG119" s="289"/>
      <c r="AH119" s="49"/>
      <c r="AI119" s="310"/>
      <c r="AJ119" s="49"/>
      <c r="AK119" s="49"/>
      <c r="AL119" s="49"/>
      <c r="AM119" s="49"/>
      <c r="AN119" s="49"/>
      <c r="AO119" s="49"/>
      <c r="AP119" s="49"/>
      <c r="AQ119" s="49"/>
      <c r="AR119" s="49" t="s">
        <v>49</v>
      </c>
      <c r="AS119" s="50">
        <f>IF(I118=0,0,(BK121-AR121)/19)</f>
        <v>11.636519459568461</v>
      </c>
      <c r="AT119" s="46" t="s">
        <v>121</v>
      </c>
      <c r="BS119"/>
      <c r="BT119"/>
    </row>
    <row r="120" spans="2:72" ht="15.75">
      <c r="C120" s="51"/>
      <c r="D120" s="52"/>
      <c r="E120" s="52"/>
      <c r="F120" s="52"/>
      <c r="G120" s="52"/>
      <c r="H120" s="52"/>
      <c r="I120" s="52"/>
      <c r="J120" s="52"/>
      <c r="K120" s="52"/>
      <c r="L120" s="52"/>
      <c r="M120" s="52"/>
      <c r="N120" s="45"/>
      <c r="O120" s="52"/>
      <c r="P120" s="52"/>
      <c r="Q120" s="52"/>
      <c r="R120" s="52"/>
      <c r="S120" s="52"/>
      <c r="T120" s="52"/>
      <c r="U120" s="52"/>
      <c r="V120" s="52"/>
      <c r="W120" s="52"/>
      <c r="X120" s="52"/>
      <c r="Y120" s="52"/>
      <c r="Z120" s="52"/>
      <c r="AA120" s="52"/>
      <c r="AB120" s="52"/>
      <c r="AC120" s="52"/>
      <c r="AD120" s="52"/>
      <c r="AE120" s="52"/>
      <c r="AF120" s="52"/>
      <c r="AG120" s="52"/>
      <c r="AH120" s="52"/>
      <c r="AI120" s="52"/>
      <c r="AJ120" s="52"/>
      <c r="AK120" s="52"/>
      <c r="AL120" s="52"/>
      <c r="AM120" s="52"/>
      <c r="AN120" s="52"/>
      <c r="AO120" s="52"/>
      <c r="AP120" s="52"/>
      <c r="AQ120" s="52"/>
      <c r="AR120" s="52"/>
      <c r="AS120" s="52"/>
      <c r="BK120" s="53"/>
      <c r="BL120" s="53"/>
      <c r="BM120" s="53"/>
      <c r="BN120" s="53"/>
      <c r="BO120" s="288" t="s">
        <v>51</v>
      </c>
      <c r="BS120"/>
      <c r="BT120"/>
    </row>
    <row r="121" spans="2:72" ht="16.5">
      <c r="B121" s="284" t="s">
        <v>115</v>
      </c>
      <c r="C121" s="297" t="s">
        <v>52</v>
      </c>
      <c r="D121" s="285">
        <f>0.8*(-O118+SQRT(O118^2-4*O117*O119))/2/O117</f>
        <v>37.268273289556682</v>
      </c>
      <c r="E121" s="286">
        <f t="shared" ref="E121:AQ121" si="75">D121+$F119</f>
        <v>40.184219714022746</v>
      </c>
      <c r="F121" s="286">
        <f t="shared" si="75"/>
        <v>43.10016613848881</v>
      </c>
      <c r="G121" s="286">
        <f t="shared" si="75"/>
        <v>46.016112562954874</v>
      </c>
      <c r="H121" s="286">
        <f t="shared" si="75"/>
        <v>48.932058987420938</v>
      </c>
      <c r="I121" s="286">
        <f t="shared" si="75"/>
        <v>51.848005411887002</v>
      </c>
      <c r="J121" s="286">
        <f t="shared" si="75"/>
        <v>54.763951836353066</v>
      </c>
      <c r="K121" s="286">
        <f t="shared" si="75"/>
        <v>57.67989826081913</v>
      </c>
      <c r="L121" s="286">
        <f t="shared" si="75"/>
        <v>60.595844685285194</v>
      </c>
      <c r="M121" s="286">
        <f t="shared" si="75"/>
        <v>63.511791109751258</v>
      </c>
      <c r="N121" s="286">
        <f t="shared" si="75"/>
        <v>66.427737534217329</v>
      </c>
      <c r="O121" s="286">
        <f t="shared" si="75"/>
        <v>69.343683958683386</v>
      </c>
      <c r="P121" s="286">
        <f t="shared" si="75"/>
        <v>72.259630383149442</v>
      </c>
      <c r="Q121" s="286">
        <f t="shared" si="75"/>
        <v>75.175576807615499</v>
      </c>
      <c r="R121" s="286">
        <f t="shared" si="75"/>
        <v>78.091523232081556</v>
      </c>
      <c r="S121" s="286">
        <f t="shared" si="75"/>
        <v>81.007469656547613</v>
      </c>
      <c r="T121" s="286">
        <f t="shared" si="75"/>
        <v>83.92341608101367</v>
      </c>
      <c r="U121" s="286">
        <f t="shared" si="75"/>
        <v>86.839362505479727</v>
      </c>
      <c r="V121" s="286">
        <f t="shared" si="75"/>
        <v>89.755308929945784</v>
      </c>
      <c r="W121" s="286">
        <f t="shared" si="75"/>
        <v>92.671255354411841</v>
      </c>
      <c r="X121" s="286">
        <f t="shared" si="75"/>
        <v>95.587201778877898</v>
      </c>
      <c r="Y121" s="286">
        <f t="shared" si="75"/>
        <v>98.503148203343954</v>
      </c>
      <c r="Z121" s="286">
        <f t="shared" si="75"/>
        <v>101.41909462781001</v>
      </c>
      <c r="AA121" s="286">
        <f t="shared" si="75"/>
        <v>104.33504105227607</v>
      </c>
      <c r="AB121" s="286">
        <f t="shared" si="75"/>
        <v>107.25098747674213</v>
      </c>
      <c r="AC121" s="286">
        <f t="shared" si="75"/>
        <v>110.16693390120818</v>
      </c>
      <c r="AD121" s="286">
        <f t="shared" si="75"/>
        <v>113.08288032567424</v>
      </c>
      <c r="AE121" s="286">
        <f t="shared" si="75"/>
        <v>115.9988267501403</v>
      </c>
      <c r="AF121" s="286">
        <f t="shared" si="75"/>
        <v>118.91477317460635</v>
      </c>
      <c r="AG121" s="286">
        <f t="shared" si="75"/>
        <v>121.83071959907241</v>
      </c>
      <c r="AH121" s="286">
        <f t="shared" si="75"/>
        <v>124.74666602353847</v>
      </c>
      <c r="AI121" s="286">
        <f t="shared" si="75"/>
        <v>127.66261244800452</v>
      </c>
      <c r="AJ121" s="286">
        <f t="shared" si="75"/>
        <v>130.57855887247058</v>
      </c>
      <c r="AK121" s="286">
        <f t="shared" si="75"/>
        <v>133.49450529693664</v>
      </c>
      <c r="AL121" s="286">
        <f t="shared" si="75"/>
        <v>136.41045172140269</v>
      </c>
      <c r="AM121" s="286">
        <f t="shared" si="75"/>
        <v>139.32639814586875</v>
      </c>
      <c r="AN121" s="286">
        <f t="shared" si="75"/>
        <v>142.24234457033481</v>
      </c>
      <c r="AO121" s="286">
        <f t="shared" si="75"/>
        <v>145.15829099480086</v>
      </c>
      <c r="AP121" s="286">
        <f t="shared" si="75"/>
        <v>148.07423741926692</v>
      </c>
      <c r="AQ121" s="286">
        <f t="shared" si="75"/>
        <v>150.99018384373298</v>
      </c>
      <c r="AR121" s="62">
        <f>200000*F$8/C$10*F118/(1+200000*F$8/C$10)</f>
        <v>153.90613026819923</v>
      </c>
      <c r="AS121" s="286">
        <f t="shared" ref="AS121:BJ121" si="76">AR121+$AS119</f>
        <v>165.5426497277677</v>
      </c>
      <c r="AT121" s="286">
        <f t="shared" si="76"/>
        <v>177.17916918733616</v>
      </c>
      <c r="AU121" s="286">
        <f t="shared" si="76"/>
        <v>188.81568864690462</v>
      </c>
      <c r="AV121" s="286">
        <f t="shared" si="76"/>
        <v>200.45220810647308</v>
      </c>
      <c r="AW121" s="286">
        <f t="shared" si="76"/>
        <v>212.08872756604154</v>
      </c>
      <c r="AX121" s="286">
        <f t="shared" si="76"/>
        <v>223.72524702561</v>
      </c>
      <c r="AY121" s="286">
        <f t="shared" si="76"/>
        <v>235.36176648517846</v>
      </c>
      <c r="AZ121" s="286">
        <f t="shared" si="76"/>
        <v>246.99828594474693</v>
      </c>
      <c r="BA121" s="286">
        <f t="shared" si="76"/>
        <v>258.63480540431539</v>
      </c>
      <c r="BB121" s="286">
        <f t="shared" si="76"/>
        <v>270.27132486388382</v>
      </c>
      <c r="BC121" s="286">
        <f t="shared" si="76"/>
        <v>281.90784432345231</v>
      </c>
      <c r="BD121" s="286">
        <f t="shared" si="76"/>
        <v>293.5443637830208</v>
      </c>
      <c r="BE121" s="286">
        <f t="shared" si="76"/>
        <v>305.18088324258929</v>
      </c>
      <c r="BF121" s="286">
        <f t="shared" si="76"/>
        <v>316.81740270215778</v>
      </c>
      <c r="BG121" s="286">
        <f t="shared" si="76"/>
        <v>328.45392216172627</v>
      </c>
      <c r="BH121" s="286">
        <f t="shared" si="76"/>
        <v>340.09044162129476</v>
      </c>
      <c r="BI121" s="286">
        <f t="shared" si="76"/>
        <v>351.72696108086325</v>
      </c>
      <c r="BJ121" s="286">
        <f t="shared" si="76"/>
        <v>363.36348054043174</v>
      </c>
      <c r="BK121" s="286">
        <f>BK17</f>
        <v>375</v>
      </c>
      <c r="BL121" s="286">
        <f>BL17</f>
        <v>550</v>
      </c>
      <c r="BM121" s="286">
        <f>BM17</f>
        <v>725</v>
      </c>
      <c r="BN121" s="286">
        <f>BN17</f>
        <v>900</v>
      </c>
      <c r="BO121" s="287"/>
      <c r="BS121"/>
      <c r="BT121"/>
    </row>
    <row r="122" spans="2:72" ht="16.5">
      <c r="B122" s="290" t="s">
        <v>53</v>
      </c>
      <c r="C122" s="298" t="s">
        <v>54</v>
      </c>
      <c r="D122" s="3">
        <f>MIN($C$8*D121,MAIN!$C$14)*MAIN!$C$13*$C$9</f>
        <v>810957.62678075349</v>
      </c>
      <c r="E122" s="304">
        <f>MIN($C$8*E121,MAIN!$C$14)*MAIN!$C$13*$C$9</f>
        <v>874408.62097713514</v>
      </c>
      <c r="F122" s="304">
        <f>MIN($C$8*F121,MAIN!$C$14)*MAIN!$C$13*$C$9</f>
        <v>937859.61517351656</v>
      </c>
      <c r="G122" s="304">
        <f>MIN($C$8*G121,MAIN!$C$14)*MAIN!$C$13*$C$9</f>
        <v>1001310.6093698981</v>
      </c>
      <c r="H122" s="304">
        <f>MIN($C$8*H121,MAIN!$C$14)*MAIN!$C$13*$C$9</f>
        <v>1064761.6035662796</v>
      </c>
      <c r="I122" s="304">
        <f>MIN($C$8*I121,MAIN!$C$14)*MAIN!$C$13*$C$9</f>
        <v>1128212.5977626613</v>
      </c>
      <c r="J122" s="304">
        <f>MIN($C$8*J121,MAIN!$C$14)*MAIN!$C$13*$C$9</f>
        <v>1191663.5919590429</v>
      </c>
      <c r="K122" s="304">
        <f>MIN($C$8*K121,MAIN!$C$14)*MAIN!$C$13*$C$9</f>
        <v>1255114.5861554244</v>
      </c>
      <c r="L122" s="304">
        <f>MIN($C$8*L121,MAIN!$C$14)*MAIN!$C$13*$C$9</f>
        <v>1318565.580351806</v>
      </c>
      <c r="M122" s="304">
        <f>MIN($C$8*M121,MAIN!$C$14)*MAIN!$C$13*$C$9</f>
        <v>1382016.5745481874</v>
      </c>
      <c r="N122" s="304">
        <f>MIN($C$8*N121,MAIN!$C$14)*MAIN!$C$13*$C$9</f>
        <v>1445467.5687445693</v>
      </c>
      <c r="O122" s="304">
        <f>MIN($C$8*O121,MAIN!$C$14)*MAIN!$C$13*$C$9</f>
        <v>1508918.5629409505</v>
      </c>
      <c r="P122" s="304">
        <f>MIN($C$8*P121,MAIN!$C$14)*MAIN!$C$13*$C$9</f>
        <v>1572369.5571373319</v>
      </c>
      <c r="Q122" s="304">
        <f>MIN($C$8*Q121,MAIN!$C$14)*MAIN!$C$13*$C$9</f>
        <v>1635820.5513337133</v>
      </c>
      <c r="R122" s="304">
        <f>MIN($C$8*R121,MAIN!$C$14)*MAIN!$C$13*$C$9</f>
        <v>1699271.5455300948</v>
      </c>
      <c r="S122" s="304">
        <f>MIN($C$8*S121,MAIN!$C$14)*MAIN!$C$13*$C$9</f>
        <v>1762722.5397264762</v>
      </c>
      <c r="T122" s="304">
        <f>MIN($C$8*T121,MAIN!$C$14)*MAIN!$C$13*$C$9</f>
        <v>1826173.5339228574</v>
      </c>
      <c r="U122" s="304">
        <f>MIN($C$8*U121,MAIN!$C$14)*MAIN!$C$13*$C$9</f>
        <v>1889624.5281192388</v>
      </c>
      <c r="V122" s="304">
        <f>MIN($C$8*V121,MAIN!$C$14)*MAIN!$C$13*$C$9</f>
        <v>1953075.5223156202</v>
      </c>
      <c r="W122" s="304">
        <f>MIN($C$8*W121,MAIN!$C$14)*MAIN!$C$13*$C$9</f>
        <v>2016526.5165120021</v>
      </c>
      <c r="X122" s="304">
        <f>MIN($C$8*X121,MAIN!$C$14)*MAIN!$C$13*$C$9</f>
        <v>2079977.5107083835</v>
      </c>
      <c r="Y122" s="304">
        <f>MIN($C$8*Y121,MAIN!$C$14)*MAIN!$C$13*$C$9</f>
        <v>2143428.5049047647</v>
      </c>
      <c r="Z122" s="304">
        <f>MIN($C$8*Z121,MAIN!$C$14)*MAIN!$C$13*$C$9</f>
        <v>2206879.4991011461</v>
      </c>
      <c r="AA122" s="304">
        <f>MIN($C$8*AA121,MAIN!$C$14)*MAIN!$C$13*$C$9</f>
        <v>2270330.4932975275</v>
      </c>
      <c r="AB122" s="304">
        <f>MIN($C$8*AB121,MAIN!$C$14)*MAIN!$C$13*$C$9</f>
        <v>2333781.487493909</v>
      </c>
      <c r="AC122" s="304">
        <f>MIN($C$8*AC121,MAIN!$C$14)*MAIN!$C$13*$C$9</f>
        <v>2397232.4816902904</v>
      </c>
      <c r="AD122" s="304">
        <f>MIN($C$8*AD121,MAIN!$C$14)*MAIN!$C$13*$C$9</f>
        <v>2460683.4758866718</v>
      </c>
      <c r="AE122" s="304">
        <f>MIN($C$8*AE121,MAIN!$C$14)*MAIN!$C$13*$C$9</f>
        <v>2524134.4700830528</v>
      </c>
      <c r="AF122" s="304">
        <f>MIN($C$8*AF121,MAIN!$C$14)*MAIN!$C$13*$C$9</f>
        <v>2587585.4642794342</v>
      </c>
      <c r="AG122" s="304">
        <f>MIN($C$8*AG121,MAIN!$C$14)*MAIN!$C$13*$C$9</f>
        <v>2651036.4584758156</v>
      </c>
      <c r="AH122" s="304">
        <f>MIN($C$8*AH121,MAIN!$C$14)*MAIN!$C$13*$C$9</f>
        <v>2714487.4526721975</v>
      </c>
      <c r="AI122" s="304">
        <f>MIN($C$8*AI121,MAIN!$C$14)*MAIN!$C$13*$C$9</f>
        <v>2777938.4468685789</v>
      </c>
      <c r="AJ122" s="304">
        <f>MIN($C$8*AJ121,MAIN!$C$14)*MAIN!$C$13*$C$9</f>
        <v>2841389.4410649599</v>
      </c>
      <c r="AK122" s="304">
        <f>MIN($C$8*AK121,MAIN!$C$14)*MAIN!$C$13*$C$9</f>
        <v>2904840.4352613417</v>
      </c>
      <c r="AL122" s="304">
        <f>MIN($C$8*AL121,MAIN!$C$14)*MAIN!$C$13*$C$9</f>
        <v>2968291.4294577232</v>
      </c>
      <c r="AM122" s="304">
        <f>MIN($C$8*AM121,MAIN!$C$14)*MAIN!$C$13*$C$9</f>
        <v>3031742.4236541046</v>
      </c>
      <c r="AN122" s="304">
        <f>MIN($C$8*AN121,MAIN!$C$14)*MAIN!$C$13*$C$9</f>
        <v>3095193.4178504855</v>
      </c>
      <c r="AO122" s="304">
        <f>MIN($C$8*AO121,MAIN!$C$14)*MAIN!$C$13*$C$9</f>
        <v>3158644.4120468665</v>
      </c>
      <c r="AP122" s="304">
        <f>MIN($C$8*AP121,MAIN!$C$14)*MAIN!$C$13*$C$9</f>
        <v>3222095.4062432484</v>
      </c>
      <c r="AQ122" s="304">
        <f>MIN($C$8*AQ121,MAIN!$C$14)*MAIN!$C$13*$C$9</f>
        <v>3285546.4004396303</v>
      </c>
      <c r="AR122" s="56">
        <f>MIN($C$8*AR121,MAIN!$C$14)*MAIN!$C$13*$C$9</f>
        <v>3348997.3946360159</v>
      </c>
      <c r="AS122" s="304">
        <f>MIN($C$8*AS121,MAIN!$C$14)*MAIN!$C$13*$C$9</f>
        <v>3602208.0580762252</v>
      </c>
      <c r="AT122" s="304">
        <f>MIN($C$8*AT121,MAIN!$C$14)*MAIN!$C$13*$C$9</f>
        <v>3855418.7215164355</v>
      </c>
      <c r="AU122" s="304">
        <f>MIN($C$8*AU121,MAIN!$C$14)*MAIN!$C$13*$C$9</f>
        <v>4108629.3849566448</v>
      </c>
      <c r="AV122" s="304">
        <f>MIN($C$8*AV121,MAIN!$C$14)*MAIN!$C$13*$C$9</f>
        <v>4361840.0483968547</v>
      </c>
      <c r="AW122" s="304">
        <f>MIN($C$8*AW121,MAIN!$C$14)*MAIN!$C$13*$C$9</f>
        <v>4615050.7118370645</v>
      </c>
      <c r="AX122" s="304">
        <f>MIN($C$8*AX121,MAIN!$C$14)*MAIN!$C$13*$C$9</f>
        <v>4868261.3752772743</v>
      </c>
      <c r="AY122" s="304">
        <f>MIN($C$8*AY121,MAIN!$C$14)*MAIN!$C$13*$C$9</f>
        <v>5121472.0387174841</v>
      </c>
      <c r="AZ122" s="304">
        <f>MIN($C$8*AZ121,MAIN!$C$14)*MAIN!$C$13*$C$9</f>
        <v>5374682.7021576939</v>
      </c>
      <c r="BA122" s="304">
        <f>MIN($C$8*BA121,MAIN!$C$14)*MAIN!$C$13*$C$9</f>
        <v>5627893.3655979028</v>
      </c>
      <c r="BB122" s="304">
        <f>MIN($C$8*BB121,MAIN!$C$14)*MAIN!$C$13*$C$9</f>
        <v>5881104.0290381126</v>
      </c>
      <c r="BC122" s="304">
        <f>MIN($C$8*BC121,MAIN!$C$14)*MAIN!$C$13*$C$9</f>
        <v>6134314.6924783234</v>
      </c>
      <c r="BD122" s="304">
        <f>MIN($C$8*BD121,MAIN!$C$14)*MAIN!$C$13*$C$9</f>
        <v>6387525.3559185332</v>
      </c>
      <c r="BE122" s="304">
        <f>MIN($C$8*BE121,MAIN!$C$14)*MAIN!$C$13*$C$9</f>
        <v>6640736.019358743</v>
      </c>
      <c r="BF122" s="304">
        <f>MIN($C$8*BF121,MAIN!$C$14)*MAIN!$C$13*$C$9</f>
        <v>6893946.6827989537</v>
      </c>
      <c r="BG122" s="304">
        <f>MIN($C$8*BG121,MAIN!$C$14)*MAIN!$C$13*$C$9</f>
        <v>7147157.3462391645</v>
      </c>
      <c r="BH122" s="304">
        <f>MIN($C$8*BH121,MAIN!$C$14)*MAIN!$C$13*$C$9</f>
        <v>7400368.0096793752</v>
      </c>
      <c r="BI122" s="304">
        <f>MIN($C$8*BI121,MAIN!$C$14)*MAIN!$C$13*$C$9</f>
        <v>7653578.673119586</v>
      </c>
      <c r="BJ122" s="304">
        <f>MIN($C$8*BJ121,MAIN!$C$14)*MAIN!$C$13*$C$9</f>
        <v>7906789.3365597967</v>
      </c>
      <c r="BK122" s="304">
        <f>MIN($C$8*BK121,MAIN!$C$14)*MAIN!$C$13*$C$9</f>
        <v>8160000</v>
      </c>
      <c r="BL122" s="304">
        <f>MIN($C$8*BL121,MAIN!$C$14)*MAIN!$C$13*$C$9</f>
        <v>8160000</v>
      </c>
      <c r="BM122" s="304">
        <f>MIN($C$8*BM121,MAIN!$C$14)*MAIN!$C$13*$C$9</f>
        <v>8160000</v>
      </c>
      <c r="BN122" s="304">
        <f>MIN($C$8*BN121,MAIN!$C$14)*MAIN!$C$13*$C$9</f>
        <v>8160000</v>
      </c>
      <c r="BO122" s="3">
        <f>MAIN!$C$13*MAIN!$C$14*$C$9</f>
        <v>8160000</v>
      </c>
      <c r="BS122"/>
      <c r="BT122"/>
    </row>
    <row r="123" spans="2:72" ht="16.5">
      <c r="B123" s="4">
        <v>2</v>
      </c>
      <c r="C123" s="299" t="s">
        <v>55</v>
      </c>
      <c r="D123" s="5">
        <f>IF(C118+L118&gt;=F118,0,C118+L118)</f>
        <v>0</v>
      </c>
      <c r="E123" s="6"/>
      <c r="F123" s="6"/>
      <c r="G123" s="6"/>
      <c r="H123" s="6"/>
      <c r="I123" s="6"/>
      <c r="J123" s="6"/>
      <c r="K123" s="6"/>
      <c r="L123" s="6"/>
      <c r="M123" s="6"/>
      <c r="N123" s="6"/>
      <c r="O123" s="6"/>
      <c r="P123" s="6"/>
      <c r="Q123" s="6"/>
      <c r="R123" s="6"/>
      <c r="S123" s="6"/>
      <c r="T123" s="6"/>
      <c r="U123" s="6"/>
      <c r="V123" s="6"/>
      <c r="W123" s="6"/>
      <c r="X123" s="6"/>
      <c r="Y123" s="6"/>
      <c r="Z123" s="6"/>
      <c r="AA123" s="6"/>
      <c r="AB123" s="6"/>
      <c r="AC123" s="6"/>
      <c r="AD123" s="6"/>
      <c r="AE123" s="6"/>
      <c r="AF123" s="6"/>
      <c r="AG123" s="6"/>
      <c r="AH123" s="6"/>
      <c r="AI123" s="6"/>
      <c r="AJ123" s="6"/>
      <c r="AK123" s="6"/>
      <c r="AL123" s="6"/>
      <c r="AM123" s="6"/>
      <c r="AN123" s="6"/>
      <c r="AO123" s="6"/>
      <c r="AP123" s="6"/>
      <c r="AQ123" s="6"/>
      <c r="AR123" s="57"/>
      <c r="AS123" s="6"/>
      <c r="AT123" s="6"/>
      <c r="AU123" s="6"/>
      <c r="AV123" s="6"/>
      <c r="AW123" s="6"/>
      <c r="AX123" s="6"/>
      <c r="AY123" s="6"/>
      <c r="AZ123" s="6"/>
      <c r="BA123" s="6"/>
      <c r="BB123" s="6"/>
      <c r="BC123" s="6"/>
      <c r="BD123" s="6"/>
      <c r="BE123" s="6"/>
      <c r="BF123" s="6"/>
      <c r="BG123" s="6"/>
      <c r="BH123" s="6"/>
      <c r="BI123" s="6"/>
      <c r="BJ123" s="6"/>
      <c r="BK123" s="6"/>
      <c r="BL123" s="6"/>
      <c r="BM123" s="6"/>
      <c r="BN123" s="6"/>
      <c r="BO123" s="7"/>
      <c r="BP123" s="43"/>
      <c r="BQ123" s="43"/>
      <c r="BR123" s="42"/>
      <c r="BS123"/>
      <c r="BT123"/>
    </row>
    <row r="124" spans="2:72" ht="16.5">
      <c r="B124" s="4">
        <f t="shared" ref="B124:B130" si="77">1+B123</f>
        <v>3</v>
      </c>
      <c r="C124" s="299" t="s">
        <v>55</v>
      </c>
      <c r="D124" s="5">
        <f>IF(C118+B123*L118&gt;=F118,0,C118+B123*L118)</f>
        <v>0</v>
      </c>
      <c r="E124" s="6"/>
      <c r="F124" s="6"/>
      <c r="G124" s="6"/>
      <c r="H124" s="6"/>
      <c r="I124" s="6"/>
      <c r="J124" s="6"/>
      <c r="K124" s="6"/>
      <c r="L124" s="6"/>
      <c r="M124" s="6"/>
      <c r="N124" s="6"/>
      <c r="O124" s="6"/>
      <c r="P124" s="6"/>
      <c r="Q124" s="6"/>
      <c r="R124" s="6"/>
      <c r="S124" s="6"/>
      <c r="T124" s="6"/>
      <c r="U124" s="6"/>
      <c r="V124" s="6"/>
      <c r="W124" s="6"/>
      <c r="X124" s="6"/>
      <c r="Y124" s="6"/>
      <c r="Z124" s="6"/>
      <c r="AA124" s="6"/>
      <c r="AB124" s="6"/>
      <c r="AC124" s="6"/>
      <c r="AD124" s="6"/>
      <c r="AE124" s="6"/>
      <c r="AF124" s="6"/>
      <c r="AG124" s="6"/>
      <c r="AH124" s="6"/>
      <c r="AI124" s="6"/>
      <c r="AJ124" s="6"/>
      <c r="AK124" s="6"/>
      <c r="AL124" s="6"/>
      <c r="AM124" s="6"/>
      <c r="AN124" s="6"/>
      <c r="AO124" s="6"/>
      <c r="AP124" s="6"/>
      <c r="AQ124" s="6"/>
      <c r="AR124" s="57"/>
      <c r="AS124" s="6"/>
      <c r="AT124" s="6"/>
      <c r="AU124" s="6"/>
      <c r="AV124" s="6"/>
      <c r="AW124" s="6"/>
      <c r="AX124" s="6"/>
      <c r="AY124" s="6"/>
      <c r="AZ124" s="6"/>
      <c r="BA124" s="6"/>
      <c r="BB124" s="6"/>
      <c r="BC124" s="6"/>
      <c r="BD124" s="6"/>
      <c r="BE124" s="6"/>
      <c r="BF124" s="6"/>
      <c r="BG124" s="6"/>
      <c r="BH124" s="6"/>
      <c r="BI124" s="6"/>
      <c r="BJ124" s="6"/>
      <c r="BK124" s="6"/>
      <c r="BL124" s="6"/>
      <c r="BM124" s="6"/>
      <c r="BN124" s="6"/>
      <c r="BO124" s="7"/>
      <c r="BP124" s="43"/>
      <c r="BQ124" s="43"/>
      <c r="BR124" s="42"/>
      <c r="BS124"/>
      <c r="BT124"/>
    </row>
    <row r="125" spans="2:72" ht="16.5">
      <c r="B125" s="4">
        <f t="shared" si="77"/>
        <v>4</v>
      </c>
      <c r="C125" s="299" t="s">
        <v>55</v>
      </c>
      <c r="D125" s="5">
        <f>IF(C118+B124*L118&gt;=F118,0,C118+B124*L118)</f>
        <v>0</v>
      </c>
      <c r="E125" s="6"/>
      <c r="F125" s="6"/>
      <c r="G125" s="6"/>
      <c r="H125" s="6"/>
      <c r="I125" s="6"/>
      <c r="J125" s="6"/>
      <c r="K125" s="6"/>
      <c r="L125" s="6"/>
      <c r="M125" s="6"/>
      <c r="N125" s="6"/>
      <c r="O125" s="6"/>
      <c r="P125" s="6"/>
      <c r="Q125" s="6"/>
      <c r="R125" s="6"/>
      <c r="S125" s="6"/>
      <c r="T125" s="6"/>
      <c r="U125" s="6"/>
      <c r="V125" s="6"/>
      <c r="W125" s="6"/>
      <c r="X125" s="6"/>
      <c r="Y125" s="6"/>
      <c r="Z125" s="6"/>
      <c r="AA125" s="6"/>
      <c r="AB125" s="6"/>
      <c r="AC125" s="6"/>
      <c r="AD125" s="6"/>
      <c r="AE125" s="6"/>
      <c r="AF125" s="6"/>
      <c r="AG125" s="6"/>
      <c r="AH125" s="6"/>
      <c r="AI125" s="6"/>
      <c r="AJ125" s="6"/>
      <c r="AK125" s="6"/>
      <c r="AL125" s="6"/>
      <c r="AM125" s="6"/>
      <c r="AN125" s="6"/>
      <c r="AO125" s="6"/>
      <c r="AP125" s="6"/>
      <c r="AQ125" s="6"/>
      <c r="AR125" s="57"/>
      <c r="AS125" s="6"/>
      <c r="AT125" s="6"/>
      <c r="AU125" s="6"/>
      <c r="AV125" s="6"/>
      <c r="AW125" s="6"/>
      <c r="AX125" s="6"/>
      <c r="AY125" s="6"/>
      <c r="AZ125" s="6"/>
      <c r="BA125" s="6"/>
      <c r="BB125" s="6"/>
      <c r="BC125" s="6"/>
      <c r="BD125" s="6"/>
      <c r="BE125" s="6"/>
      <c r="BF125" s="6"/>
      <c r="BG125" s="6"/>
      <c r="BH125" s="6"/>
      <c r="BI125" s="6"/>
      <c r="BJ125" s="6"/>
      <c r="BK125" s="6"/>
      <c r="BL125" s="6"/>
      <c r="BM125" s="6"/>
      <c r="BN125" s="6"/>
      <c r="BO125" s="7"/>
      <c r="BP125" s="43"/>
      <c r="BQ125" s="43"/>
      <c r="BR125" s="42"/>
      <c r="BS125"/>
      <c r="BT125"/>
    </row>
    <row r="126" spans="2:72" ht="16.5">
      <c r="B126" s="4">
        <f t="shared" si="77"/>
        <v>5</v>
      </c>
      <c r="C126" s="299" t="s">
        <v>55</v>
      </c>
      <c r="D126" s="5">
        <f>IF(C118+B125*L118&gt;=F118,0,C118+B125*L118)</f>
        <v>0</v>
      </c>
      <c r="E126" s="6"/>
      <c r="F126" s="6"/>
      <c r="G126" s="6"/>
      <c r="H126" s="6"/>
      <c r="I126" s="6"/>
      <c r="J126" s="6"/>
      <c r="K126" s="6"/>
      <c r="L126" s="6"/>
      <c r="M126" s="6"/>
      <c r="N126" s="6"/>
      <c r="O126" s="6"/>
      <c r="P126" s="6"/>
      <c r="Q126" s="6"/>
      <c r="R126" s="6"/>
      <c r="S126" s="6"/>
      <c r="T126" s="6"/>
      <c r="U126" s="6"/>
      <c r="V126" s="6"/>
      <c r="W126" s="6"/>
      <c r="X126" s="6"/>
      <c r="Y126" s="6"/>
      <c r="Z126" s="6"/>
      <c r="AA126" s="6"/>
      <c r="AB126" s="6"/>
      <c r="AC126" s="6"/>
      <c r="AD126" s="6"/>
      <c r="AE126" s="6"/>
      <c r="AF126" s="6"/>
      <c r="AG126" s="6"/>
      <c r="AH126" s="6"/>
      <c r="AI126" s="6"/>
      <c r="AJ126" s="6"/>
      <c r="AK126" s="6"/>
      <c r="AL126" s="6"/>
      <c r="AM126" s="6"/>
      <c r="AN126" s="6"/>
      <c r="AO126" s="6"/>
      <c r="AP126" s="6"/>
      <c r="AQ126" s="6"/>
      <c r="AR126" s="57"/>
      <c r="AS126" s="6"/>
      <c r="AT126" s="6"/>
      <c r="AU126" s="6"/>
      <c r="AV126" s="6"/>
      <c r="AW126" s="6"/>
      <c r="AX126" s="6"/>
      <c r="AY126" s="6"/>
      <c r="AZ126" s="6"/>
      <c r="BA126" s="6"/>
      <c r="BB126" s="6"/>
      <c r="BC126" s="6"/>
      <c r="BD126" s="6"/>
      <c r="BE126" s="6"/>
      <c r="BF126" s="6"/>
      <c r="BG126" s="6"/>
      <c r="BH126" s="6"/>
      <c r="BI126" s="6"/>
      <c r="BJ126" s="6"/>
      <c r="BK126" s="6"/>
      <c r="BL126" s="6"/>
      <c r="BM126" s="6"/>
      <c r="BN126" s="6"/>
      <c r="BO126" s="7"/>
      <c r="BP126" s="43"/>
      <c r="BQ126" s="43"/>
      <c r="BR126" s="42"/>
      <c r="BS126"/>
      <c r="BT126"/>
    </row>
    <row r="127" spans="2:72" ht="16.5">
      <c r="B127" s="4">
        <f t="shared" si="77"/>
        <v>6</v>
      </c>
      <c r="C127" s="299" t="s">
        <v>55</v>
      </c>
      <c r="D127" s="5">
        <f>IF(C118+B126*L118&gt;=F118,0,C118+B126*L118)</f>
        <v>0</v>
      </c>
      <c r="E127" s="6"/>
      <c r="F127" s="6"/>
      <c r="G127" s="6"/>
      <c r="H127" s="6"/>
      <c r="I127" s="6"/>
      <c r="J127" s="6"/>
      <c r="K127" s="6"/>
      <c r="L127" s="6"/>
      <c r="M127" s="6"/>
      <c r="N127" s="6"/>
      <c r="O127" s="6"/>
      <c r="P127" s="6"/>
      <c r="Q127" s="6"/>
      <c r="R127" s="6"/>
      <c r="S127" s="6"/>
      <c r="T127" s="6"/>
      <c r="U127" s="6"/>
      <c r="V127" s="6"/>
      <c r="W127" s="6"/>
      <c r="X127" s="6"/>
      <c r="Y127" s="6"/>
      <c r="Z127" s="6"/>
      <c r="AA127" s="6"/>
      <c r="AB127" s="6"/>
      <c r="AC127" s="6"/>
      <c r="AD127" s="6"/>
      <c r="AE127" s="6"/>
      <c r="AF127" s="6"/>
      <c r="AG127" s="6"/>
      <c r="AH127" s="6"/>
      <c r="AI127" s="6"/>
      <c r="AJ127" s="6"/>
      <c r="AK127" s="6"/>
      <c r="AL127" s="6"/>
      <c r="AM127" s="6"/>
      <c r="AN127" s="6"/>
      <c r="AO127" s="6"/>
      <c r="AP127" s="6"/>
      <c r="AQ127" s="6"/>
      <c r="AR127" s="57"/>
      <c r="AS127" s="6"/>
      <c r="AT127" s="6"/>
      <c r="AU127" s="6"/>
      <c r="AV127" s="6"/>
      <c r="AW127" s="6"/>
      <c r="AX127" s="6"/>
      <c r="AY127" s="6"/>
      <c r="AZ127" s="6"/>
      <c r="BA127" s="6"/>
      <c r="BB127" s="6"/>
      <c r="BC127" s="6"/>
      <c r="BD127" s="6"/>
      <c r="BE127" s="6"/>
      <c r="BF127" s="6"/>
      <c r="BG127" s="6"/>
      <c r="BH127" s="6"/>
      <c r="BI127" s="6"/>
      <c r="BJ127" s="6"/>
      <c r="BK127" s="6"/>
      <c r="BL127" s="6"/>
      <c r="BM127" s="6"/>
      <c r="BN127" s="6"/>
      <c r="BO127" s="7"/>
      <c r="BP127" s="43"/>
      <c r="BQ127" s="43"/>
      <c r="BR127" s="42"/>
      <c r="BS127"/>
      <c r="BT127"/>
    </row>
    <row r="128" spans="2:72" ht="16.5">
      <c r="B128" s="4">
        <f t="shared" si="77"/>
        <v>7</v>
      </c>
      <c r="C128" s="299" t="s">
        <v>55</v>
      </c>
      <c r="D128" s="5">
        <f>IF(C118+B127*L118&gt;=F118,0,C118+B127*L118)</f>
        <v>0</v>
      </c>
      <c r="E128" s="6"/>
      <c r="F128" s="6"/>
      <c r="G128" s="6"/>
      <c r="H128" s="6"/>
      <c r="I128" s="6"/>
      <c r="J128" s="6"/>
      <c r="K128" s="6"/>
      <c r="L128" s="6"/>
      <c r="M128" s="6"/>
      <c r="N128" s="6"/>
      <c r="O128" s="6"/>
      <c r="P128" s="6"/>
      <c r="Q128" s="6"/>
      <c r="R128" s="6"/>
      <c r="S128" s="6"/>
      <c r="T128" s="6"/>
      <c r="U128" s="6"/>
      <c r="V128" s="6"/>
      <c r="W128" s="6"/>
      <c r="X128" s="6"/>
      <c r="Y128" s="6"/>
      <c r="Z128" s="6"/>
      <c r="AA128" s="6"/>
      <c r="AB128" s="6"/>
      <c r="AC128" s="6"/>
      <c r="AD128" s="6"/>
      <c r="AE128" s="6"/>
      <c r="AF128" s="6"/>
      <c r="AG128" s="6"/>
      <c r="AH128" s="6"/>
      <c r="AI128" s="6"/>
      <c r="AJ128" s="6"/>
      <c r="AK128" s="6"/>
      <c r="AL128" s="6"/>
      <c r="AM128" s="6"/>
      <c r="AN128" s="6"/>
      <c r="AO128" s="6"/>
      <c r="AP128" s="6"/>
      <c r="AQ128" s="6"/>
      <c r="AR128" s="57"/>
      <c r="AS128" s="6"/>
      <c r="AT128" s="6"/>
      <c r="AU128" s="6"/>
      <c r="AV128" s="6"/>
      <c r="AW128" s="6"/>
      <c r="AX128" s="6"/>
      <c r="AY128" s="6"/>
      <c r="AZ128" s="6"/>
      <c r="BA128" s="6"/>
      <c r="BB128" s="6"/>
      <c r="BC128" s="6"/>
      <c r="BD128" s="6"/>
      <c r="BE128" s="6"/>
      <c r="BF128" s="6"/>
      <c r="BG128" s="6"/>
      <c r="BH128" s="6"/>
      <c r="BI128" s="6"/>
      <c r="BJ128" s="6"/>
      <c r="BK128" s="6"/>
      <c r="BL128" s="6"/>
      <c r="BM128" s="6"/>
      <c r="BN128" s="6"/>
      <c r="BO128" s="7"/>
      <c r="BP128" s="43"/>
      <c r="BQ128" s="43"/>
      <c r="BR128" s="42"/>
      <c r="BS128"/>
      <c r="BT128"/>
    </row>
    <row r="129" spans="2:72" ht="16.5">
      <c r="B129" s="4">
        <f t="shared" si="77"/>
        <v>8</v>
      </c>
      <c r="C129" s="299" t="s">
        <v>55</v>
      </c>
      <c r="D129" s="5">
        <f>IF(C118+B128*L118&gt;=F118,0,C118+B128*L118)</f>
        <v>0</v>
      </c>
      <c r="E129" s="6"/>
      <c r="F129" s="6"/>
      <c r="G129" s="6"/>
      <c r="H129" s="6"/>
      <c r="I129" s="6"/>
      <c r="J129" s="6"/>
      <c r="K129" s="6"/>
      <c r="L129" s="6"/>
      <c r="M129" s="6"/>
      <c r="N129" s="6"/>
      <c r="O129" s="6"/>
      <c r="P129" s="6"/>
      <c r="Q129" s="6"/>
      <c r="R129" s="6"/>
      <c r="S129" s="6"/>
      <c r="T129" s="6"/>
      <c r="U129" s="6"/>
      <c r="V129" s="6"/>
      <c r="W129" s="6"/>
      <c r="X129" s="6"/>
      <c r="Y129" s="6"/>
      <c r="Z129" s="6"/>
      <c r="AA129" s="6"/>
      <c r="AB129" s="6"/>
      <c r="AC129" s="6"/>
      <c r="AD129" s="6"/>
      <c r="AE129" s="6"/>
      <c r="AF129" s="6"/>
      <c r="AG129" s="6"/>
      <c r="AH129" s="6"/>
      <c r="AI129" s="6"/>
      <c r="AJ129" s="6"/>
      <c r="AK129" s="6"/>
      <c r="AL129" s="6"/>
      <c r="AM129" s="6"/>
      <c r="AN129" s="6"/>
      <c r="AO129" s="6"/>
      <c r="AP129" s="6"/>
      <c r="AQ129" s="6"/>
      <c r="AR129" s="57"/>
      <c r="AS129" s="6"/>
      <c r="AT129" s="6"/>
      <c r="AU129" s="6"/>
      <c r="AV129" s="6"/>
      <c r="AW129" s="6"/>
      <c r="AX129" s="6"/>
      <c r="AY129" s="6"/>
      <c r="AZ129" s="6"/>
      <c r="BA129" s="6"/>
      <c r="BB129" s="6"/>
      <c r="BC129" s="6"/>
      <c r="BD129" s="6"/>
      <c r="BE129" s="6"/>
      <c r="BF129" s="6"/>
      <c r="BG129" s="6"/>
      <c r="BH129" s="6"/>
      <c r="BI129" s="6"/>
      <c r="BJ129" s="6"/>
      <c r="BK129" s="6"/>
      <c r="BL129" s="6"/>
      <c r="BM129" s="6"/>
      <c r="BN129" s="6"/>
      <c r="BO129" s="7"/>
      <c r="BP129" s="43"/>
      <c r="BQ129" s="43"/>
      <c r="BR129" s="42"/>
      <c r="BS129"/>
      <c r="BT129"/>
    </row>
    <row r="130" spans="2:72" ht="16.5">
      <c r="B130" s="4">
        <f t="shared" si="77"/>
        <v>9</v>
      </c>
      <c r="C130" s="299" t="s">
        <v>55</v>
      </c>
      <c r="D130" s="5">
        <f>IF(C118+B129*L118&gt;=F118,0,C118+B129*L118)</f>
        <v>0</v>
      </c>
      <c r="E130" s="6"/>
      <c r="F130" s="6"/>
      <c r="G130" s="6"/>
      <c r="H130" s="6"/>
      <c r="I130" s="6"/>
      <c r="J130" s="6"/>
      <c r="K130" s="6"/>
      <c r="L130" s="6"/>
      <c r="M130" s="6"/>
      <c r="N130" s="6"/>
      <c r="O130" s="6"/>
      <c r="P130" s="6"/>
      <c r="Q130" s="6"/>
      <c r="R130" s="6"/>
      <c r="S130" s="6"/>
      <c r="T130" s="6"/>
      <c r="U130" s="6"/>
      <c r="V130" s="6"/>
      <c r="W130" s="6"/>
      <c r="X130" s="6"/>
      <c r="Y130" s="6"/>
      <c r="Z130" s="6"/>
      <c r="AA130" s="6"/>
      <c r="AB130" s="6"/>
      <c r="AC130" s="6"/>
      <c r="AD130" s="6"/>
      <c r="AE130" s="6"/>
      <c r="AF130" s="6"/>
      <c r="AG130" s="6"/>
      <c r="AH130" s="6"/>
      <c r="AI130" s="6"/>
      <c r="AJ130" s="6"/>
      <c r="AK130" s="6"/>
      <c r="AL130" s="6"/>
      <c r="AM130" s="6"/>
      <c r="AN130" s="6"/>
      <c r="AO130" s="6"/>
      <c r="AP130" s="6"/>
      <c r="AQ130" s="6"/>
      <c r="AR130" s="57"/>
      <c r="AS130" s="6"/>
      <c r="AT130" s="6"/>
      <c r="AU130" s="6"/>
      <c r="AV130" s="6"/>
      <c r="AW130" s="6"/>
      <c r="AX130" s="6"/>
      <c r="AY130" s="6"/>
      <c r="AZ130" s="6"/>
      <c r="BA130" s="6"/>
      <c r="BB130" s="6"/>
      <c r="BC130" s="6"/>
      <c r="BD130" s="6"/>
      <c r="BE130" s="6"/>
      <c r="BF130" s="6"/>
      <c r="BG130" s="6"/>
      <c r="BH130" s="6"/>
      <c r="BI130" s="6"/>
      <c r="BJ130" s="6"/>
      <c r="BK130" s="6"/>
      <c r="BL130" s="6"/>
      <c r="BM130" s="6"/>
      <c r="BN130" s="6"/>
      <c r="BO130" s="7"/>
      <c r="BP130" s="43"/>
      <c r="BQ130" s="43"/>
      <c r="BR130" s="42"/>
      <c r="BS130"/>
      <c r="BT130"/>
    </row>
    <row r="131" spans="2:72" ht="16.5">
      <c r="B131" s="291" t="s">
        <v>116</v>
      </c>
      <c r="C131" s="298" t="s">
        <v>117</v>
      </c>
      <c r="D131" s="3">
        <f>IF(D121&gt;MAIN!$C$14,MAX($F$9,$F$9*D121/(D121-$F$10)),$F$8)</f>
        <v>3.5000000000000001E-3</v>
      </c>
      <c r="E131" s="304">
        <f>IF(E121&gt;MAIN!$C$14,MAX($F$9,$F$9*E121/(E121-$F$10)),$F$8)</f>
        <v>3.5000000000000001E-3</v>
      </c>
      <c r="F131" s="304">
        <f>IF(F121&gt;MAIN!$C$14,MAX($F$9,$F$9*F121/(F121-$F$10)),$F$8)</f>
        <v>3.5000000000000001E-3</v>
      </c>
      <c r="G131" s="304">
        <f>IF(G121&gt;MAIN!$C$14,MAX($F$9,$F$9*G121/(G121-$F$10)),$F$8)</f>
        <v>3.5000000000000001E-3</v>
      </c>
      <c r="H131" s="304">
        <f>IF(H121&gt;MAIN!$C$14,MAX($F$9,$F$9*H121/(H121-$F$10)),$F$8)</f>
        <v>3.5000000000000001E-3</v>
      </c>
      <c r="I131" s="304">
        <f>IF(I121&gt;MAIN!$C$14,MAX($F$9,$F$9*I121/(I121-$F$10)),$F$8)</f>
        <v>3.5000000000000001E-3</v>
      </c>
      <c r="J131" s="304">
        <f>IF(J121&gt;MAIN!$C$14,MAX($F$9,$F$9*J121/(J121-$F$10)),$F$8)</f>
        <v>3.5000000000000001E-3</v>
      </c>
      <c r="K131" s="304">
        <f>IF(K121&gt;MAIN!$C$14,MAX($F$9,$F$9*K121/(K121-$F$10)),$F$8)</f>
        <v>3.5000000000000001E-3</v>
      </c>
      <c r="L131" s="304">
        <f>IF(L121&gt;MAIN!$C$14,MAX($F$9,$F$9*L121/(L121-$F$10)),$F$8)</f>
        <v>3.5000000000000001E-3</v>
      </c>
      <c r="M131" s="304">
        <f>IF(M121&gt;MAIN!$C$14,MAX($F$9,$F$9*M121/(M121-$F$10)),$F$8)</f>
        <v>3.5000000000000001E-3</v>
      </c>
      <c r="N131" s="304">
        <f>IF(N121&gt;MAIN!$C$14,MAX($F$9,$F$9*N121/(N121-$F$10)),$F$8)</f>
        <v>3.5000000000000001E-3</v>
      </c>
      <c r="O131" s="304">
        <f>IF(O121&gt;MAIN!$C$14,MAX($F$9,$F$9*O121/(O121-$F$10)),$F$8)</f>
        <v>3.5000000000000001E-3</v>
      </c>
      <c r="P131" s="304">
        <f>IF(P121&gt;MAIN!$C$14,MAX($F$9,$F$9*P121/(P121-$F$10)),$F$8)</f>
        <v>3.5000000000000001E-3</v>
      </c>
      <c r="Q131" s="304">
        <f>IF(Q121&gt;MAIN!$C$14,MAX($F$9,$F$9*Q121/(Q121-$F$10)),$F$8)</f>
        <v>3.5000000000000001E-3</v>
      </c>
      <c r="R131" s="304">
        <f>IF(R121&gt;MAIN!$C$14,MAX($F$9,$F$9*R121/(R121-$F$10)),$F$8)</f>
        <v>3.5000000000000001E-3</v>
      </c>
      <c r="S131" s="304">
        <f>IF(S121&gt;MAIN!$C$14,MAX($F$9,$F$9*S121/(S121-$F$10)),$F$8)</f>
        <v>3.5000000000000001E-3</v>
      </c>
      <c r="T131" s="304">
        <f>IF(T121&gt;MAIN!$C$14,MAX($F$9,$F$9*T121/(T121-$F$10)),$F$8)</f>
        <v>3.5000000000000001E-3</v>
      </c>
      <c r="U131" s="304">
        <f>IF(U121&gt;MAIN!$C$14,MAX($F$9,$F$9*U121/(U121-$F$10)),$F$8)</f>
        <v>3.5000000000000001E-3</v>
      </c>
      <c r="V131" s="304">
        <f>IF(V121&gt;MAIN!$C$14,MAX($F$9,$F$9*V121/(V121-$F$10)),$F$8)</f>
        <v>3.5000000000000001E-3</v>
      </c>
      <c r="W131" s="304">
        <f>IF(W121&gt;MAIN!$C$14,MAX($F$9,$F$9*W121/(W121-$F$10)),$F$8)</f>
        <v>3.5000000000000001E-3</v>
      </c>
      <c r="X131" s="304">
        <f>IF(X121&gt;MAIN!$C$14,MAX($F$9,$F$9*X121/(X121-$F$10)),$F$8)</f>
        <v>3.5000000000000001E-3</v>
      </c>
      <c r="Y131" s="304">
        <f>IF(Y121&gt;MAIN!$C$14,MAX($F$9,$F$9*Y121/(Y121-$F$10)),$F$8)</f>
        <v>3.5000000000000001E-3</v>
      </c>
      <c r="Z131" s="304">
        <f>IF(Z121&gt;MAIN!$C$14,MAX($F$9,$F$9*Z121/(Z121-$F$10)),$F$8)</f>
        <v>3.5000000000000001E-3</v>
      </c>
      <c r="AA131" s="304">
        <f>IF(AA121&gt;MAIN!$C$14,MAX($F$9,$F$9*AA121/(AA121-$F$10)),$F$8)</f>
        <v>3.5000000000000001E-3</v>
      </c>
      <c r="AB131" s="304">
        <f>IF(AB121&gt;MAIN!$C$14,MAX($F$9,$F$9*AB121/(AB121-$F$10)),$F$8)</f>
        <v>3.5000000000000001E-3</v>
      </c>
      <c r="AC131" s="304">
        <f>IF(AC121&gt;MAIN!$C$14,MAX($F$9,$F$9*AC121/(AC121-$F$10)),$F$8)</f>
        <v>3.5000000000000001E-3</v>
      </c>
      <c r="AD131" s="304">
        <f>IF(AD121&gt;MAIN!$C$14,MAX($F$9,$F$9*AD121/(AD121-$F$10)),$F$8)</f>
        <v>3.5000000000000001E-3</v>
      </c>
      <c r="AE131" s="304">
        <f>IF(AE121&gt;MAIN!$C$14,MAX($F$9,$F$9*AE121/(AE121-$F$10)),$F$8)</f>
        <v>3.5000000000000001E-3</v>
      </c>
      <c r="AF131" s="304">
        <f>IF(AF121&gt;MAIN!$C$14,MAX($F$9,$F$9*AF121/(AF121-$F$10)),$F$8)</f>
        <v>3.5000000000000001E-3</v>
      </c>
      <c r="AG131" s="304">
        <f>IF(AG121&gt;MAIN!$C$14,MAX($F$9,$F$9*AG121/(AG121-$F$10)),$F$8)</f>
        <v>3.5000000000000001E-3</v>
      </c>
      <c r="AH131" s="304">
        <f>IF(AH121&gt;MAIN!$C$14,MAX($F$9,$F$9*AH121/(AH121-$F$10)),$F$8)</f>
        <v>3.5000000000000001E-3</v>
      </c>
      <c r="AI131" s="304">
        <f>IF(AI121&gt;MAIN!$C$14,MAX($F$9,$F$9*AI121/(AI121-$F$10)),$F$8)</f>
        <v>3.5000000000000001E-3</v>
      </c>
      <c r="AJ131" s="304">
        <f>IF(AJ121&gt;MAIN!$C$14,MAX($F$9,$F$9*AJ121/(AJ121-$F$10)),$F$8)</f>
        <v>3.5000000000000001E-3</v>
      </c>
      <c r="AK131" s="304">
        <f>IF(AK121&gt;MAIN!$C$14,MAX($F$9,$F$9*AK121/(AK121-$F$10)),$F$8)</f>
        <v>3.5000000000000001E-3</v>
      </c>
      <c r="AL131" s="304">
        <f>IF(AL121&gt;MAIN!$C$14,MAX($F$9,$F$9*AL121/(AL121-$F$10)),$F$8)</f>
        <v>3.5000000000000001E-3</v>
      </c>
      <c r="AM131" s="304">
        <f>IF(AM121&gt;MAIN!$C$14,MAX($F$9,$F$9*AM121/(AM121-$F$10)),$F$8)</f>
        <v>3.5000000000000001E-3</v>
      </c>
      <c r="AN131" s="304">
        <f>IF(AN121&gt;MAIN!$C$14,MAX($F$9,$F$9*AN121/(AN121-$F$10)),$F$8)</f>
        <v>3.5000000000000001E-3</v>
      </c>
      <c r="AO131" s="304">
        <f>IF(AO121&gt;MAIN!$C$14,MAX($F$9,$F$9*AO121/(AO121-$F$10)),$F$8)</f>
        <v>3.5000000000000001E-3</v>
      </c>
      <c r="AP131" s="304">
        <f>IF(AP121&gt;MAIN!$C$14,MAX($F$9,$F$9*AP121/(AP121-$F$10)),$F$8)</f>
        <v>3.5000000000000001E-3</v>
      </c>
      <c r="AQ131" s="304">
        <f>IF(AQ121&gt;MAIN!$C$14,MAX($F$9,$F$9*AQ121/(AQ121-$F$10)),$F$8)</f>
        <v>3.5000000000000001E-3</v>
      </c>
      <c r="AR131" s="56">
        <f>IF(AR121&gt;MAIN!$C$14,MAX($F$9,$F$9*AR121/(AR121-$F$10)),$F$8)</f>
        <v>3.5000000000000001E-3</v>
      </c>
      <c r="AS131" s="304">
        <f>IF(AS121&gt;MAIN!$C$14,MAX($F$9,$F$9*AS121/(AS121-$F$10)),$F$8)</f>
        <v>3.5000000000000001E-3</v>
      </c>
      <c r="AT131" s="304">
        <f>IF(AT121&gt;MAIN!$C$14,MAX($F$9,$F$9*AT121/(AT121-$F$10)),$F$8)</f>
        <v>3.5000000000000001E-3</v>
      </c>
      <c r="AU131" s="304">
        <f>IF(AU121&gt;MAIN!$C$14,MAX($F$9,$F$9*AU121/(AU121-$F$10)),$F$8)</f>
        <v>3.5000000000000001E-3</v>
      </c>
      <c r="AV131" s="304">
        <f>IF(AV121&gt;MAIN!$C$14,MAX($F$9,$F$9*AV121/(AV121-$F$10)),$F$8)</f>
        <v>3.5000000000000001E-3</v>
      </c>
      <c r="AW131" s="304">
        <f>IF(AW121&gt;MAIN!$C$14,MAX($F$9,$F$9*AW121/(AW121-$F$10)),$F$8)</f>
        <v>3.5000000000000001E-3</v>
      </c>
      <c r="AX131" s="304">
        <f>IF(AX121&gt;MAIN!$C$14,MAX($F$9,$F$9*AX121/(AX121-$F$10)),$F$8)</f>
        <v>3.5000000000000001E-3</v>
      </c>
      <c r="AY131" s="304">
        <f>IF(AY121&gt;MAIN!$C$14,MAX($F$9,$F$9*AY121/(AY121-$F$10)),$F$8)</f>
        <v>3.5000000000000001E-3</v>
      </c>
      <c r="AZ131" s="304">
        <f>IF(AZ121&gt;MAIN!$C$14,MAX($F$9,$F$9*AZ121/(AZ121-$F$10)),$F$8)</f>
        <v>3.5000000000000001E-3</v>
      </c>
      <c r="BA131" s="304">
        <f>IF(BA121&gt;MAIN!$C$14,MAX($F$9,$F$9*BA121/(BA121-$F$10)),$F$8)</f>
        <v>3.5000000000000001E-3</v>
      </c>
      <c r="BB131" s="304">
        <f>IF(BB121&gt;MAIN!$C$14,MAX($F$9,$F$9*BB121/(BB121-$F$10)),$F$8)</f>
        <v>3.5000000000000001E-3</v>
      </c>
      <c r="BC131" s="304">
        <f>IF(BC121&gt;MAIN!$C$14,MAX($F$9,$F$9*BC121/(BC121-$F$10)),$F$8)</f>
        <v>3.5000000000000001E-3</v>
      </c>
      <c r="BD131" s="304">
        <f>IF(BD121&gt;MAIN!$C$14,MAX($F$9,$F$9*BD121/(BD121-$F$10)),$F$8)</f>
        <v>3.5000000000000001E-3</v>
      </c>
      <c r="BE131" s="304">
        <f>IF(BE121&gt;MAIN!$C$14,MAX($F$9,$F$9*BE121/(BE121-$F$10)),$F$8)</f>
        <v>3.441574339022431E-3</v>
      </c>
      <c r="BF131" s="304">
        <f>IF(BF121&gt;MAIN!$C$14,MAX($F$9,$F$9*BF121/(BF121-$F$10)),$F$8)</f>
        <v>3.3235768316011828E-3</v>
      </c>
      <c r="BG131" s="304">
        <f>IF(BG121&gt;MAIN!$C$14,MAX($F$9,$F$9*BG121/(BG121-$F$10)),$F$8)</f>
        <v>3.2209679497103225E-3</v>
      </c>
      <c r="BH131" s="304">
        <f>IF(BH121&gt;MAIN!$C$14,MAX($F$9,$F$9*BH121/(BH121-$F$10)),$F$8)</f>
        <v>3.1309216168951951E-3</v>
      </c>
      <c r="BI131" s="304">
        <f>IF(BI121&gt;MAIN!$C$14,MAX($F$9,$F$9*BI121/(BI121-$F$10)),$F$8)</f>
        <v>3.0512638399622523E-3</v>
      </c>
      <c r="BJ131" s="304">
        <f>IF(BJ121&gt;MAIN!$C$14,MAX($F$9,$F$9*BJ121/(BJ121-$F$10)),$F$8)</f>
        <v>2.9802948908365648E-3</v>
      </c>
      <c r="BK131" s="304">
        <f>IF(BK121&gt;MAIN!$C$14,MAX($F$9,$F$9*BK121/(BK121-$F$10)),$F$8)</f>
        <v>2.9166666666666668E-3</v>
      </c>
      <c r="BL131" s="304">
        <f>IF(BL121&gt;MAIN!$C$14,MAX($F$9,$F$9*BL121/(BL121-$F$10)),$F$8)</f>
        <v>2.40625E-3</v>
      </c>
      <c r="BM131" s="304">
        <f>IF(BM121&gt;MAIN!$C$14,MAX($F$9,$F$9*BM121/(BM121-$F$10)),$F$8)</f>
        <v>2.2065217391304347E-3</v>
      </c>
      <c r="BN131" s="304">
        <f>IF(BN121&gt;MAIN!$C$14,MAX($F$9,$F$9*BN121/(BN121-$F$10)),$F$8)</f>
        <v>2.0999999999999999E-3</v>
      </c>
      <c r="BO131" s="3">
        <f>$F$9</f>
        <v>1.75E-3</v>
      </c>
      <c r="BP131" s="43"/>
      <c r="BQ131" s="43"/>
      <c r="BR131" s="42"/>
      <c r="BS131"/>
      <c r="BT131"/>
    </row>
    <row r="132" spans="2:72" ht="16.5">
      <c r="B132" s="292" t="s">
        <v>118</v>
      </c>
      <c r="C132" s="300" t="s">
        <v>56</v>
      </c>
      <c r="D132" s="8">
        <f t="shared" ref="D132:AI132" si="78">D131*(D121-$C118)/D121</f>
        <v>-1.2426399024912404E-3</v>
      </c>
      <c r="E132" s="305">
        <f t="shared" si="78"/>
        <v>-8.9849277298075924E-4</v>
      </c>
      <c r="F132" s="305">
        <f t="shared" si="78"/>
        <v>-6.009122663720029E-4</v>
      </c>
      <c r="G132" s="305">
        <f t="shared" si="78"/>
        <v>-3.4104588926731788E-4</v>
      </c>
      <c r="H132" s="305">
        <f t="shared" si="78"/>
        <v>-1.1215129012734734E-4</v>
      </c>
      <c r="I132" s="305">
        <f t="shared" si="78"/>
        <v>9.0997115590541556E-5</v>
      </c>
      <c r="J132" s="305">
        <f t="shared" si="78"/>
        <v>2.7251195223879158E-4</v>
      </c>
      <c r="K132" s="305">
        <f t="shared" si="78"/>
        <v>4.3567420662281314E-4</v>
      </c>
      <c r="L132" s="305">
        <f t="shared" si="78"/>
        <v>5.8313332509875673E-4</v>
      </c>
      <c r="M132" s="305">
        <f t="shared" si="78"/>
        <v>7.1705218965454817E-4</v>
      </c>
      <c r="N132" s="305">
        <f t="shared" si="78"/>
        <v>8.3921391031939018E-4</v>
      </c>
      <c r="O132" s="305">
        <f t="shared" si="78"/>
        <v>9.5110167343702358E-4</v>
      </c>
      <c r="P132" s="305">
        <f t="shared" si="78"/>
        <v>1.0539592568796594E-3</v>
      </c>
      <c r="Q132" s="305">
        <f t="shared" si="78"/>
        <v>1.1488374615025937E-3</v>
      </c>
      <c r="R132" s="305">
        <f t="shared" si="78"/>
        <v>1.236630140063812E-3</v>
      </c>
      <c r="S132" s="305">
        <f t="shared" si="78"/>
        <v>1.3181024447575277E-3</v>
      </c>
      <c r="T132" s="305">
        <f t="shared" si="78"/>
        <v>1.3939131859292027E-3</v>
      </c>
      <c r="U132" s="305">
        <f t="shared" si="78"/>
        <v>1.4646326861410719E-3</v>
      </c>
      <c r="V132" s="305">
        <f t="shared" si="78"/>
        <v>1.5307571540090874E-3</v>
      </c>
      <c r="W132" s="305">
        <f t="shared" si="78"/>
        <v>1.5927203443609618E-3</v>
      </c>
      <c r="X132" s="305">
        <f t="shared" si="78"/>
        <v>1.6509030841924193E-3</v>
      </c>
      <c r="Y132" s="305">
        <f t="shared" si="78"/>
        <v>1.7056411066666828E-3</v>
      </c>
      <c r="Z132" s="305">
        <f t="shared" si="78"/>
        <v>1.7572315336807042E-3</v>
      </c>
      <c r="AA132" s="305">
        <f t="shared" si="78"/>
        <v>1.8059382713863014E-3</v>
      </c>
      <c r="AB132" s="305">
        <f t="shared" si="78"/>
        <v>1.8519965255487363E-3</v>
      </c>
      <c r="AC132" s="305">
        <f t="shared" si="78"/>
        <v>1.8956165998184177E-3</v>
      </c>
      <c r="AD132" s="305">
        <f t="shared" si="78"/>
        <v>1.9369871063509617E-3</v>
      </c>
      <c r="AE132" s="305">
        <f t="shared" si="78"/>
        <v>1.9762776921811737E-3</v>
      </c>
      <c r="AF132" s="305">
        <f t="shared" si="78"/>
        <v>2.0136413644714071E-3</v>
      </c>
      <c r="AG132" s="305">
        <f t="shared" si="78"/>
        <v>2.0492164818392347E-3</v>
      </c>
      <c r="AH132" s="305">
        <f t="shared" si="78"/>
        <v>2.0831284664020676E-3</v>
      </c>
      <c r="AI132" s="305">
        <f t="shared" si="78"/>
        <v>2.1154912811925403E-3</v>
      </c>
      <c r="AJ132" s="305">
        <f t="shared" ref="AJ132:BK132" si="79">AJ131*(AJ121-$C118)/AJ121</f>
        <v>2.1464087096211355E-3</v>
      </c>
      <c r="AK132" s="305">
        <f t="shared" si="79"/>
        <v>2.1759754672535129E-3</v>
      </c>
      <c r="AL132" s="305">
        <f t="shared" si="79"/>
        <v>2.2042781709939309E-3</v>
      </c>
      <c r="AM132" s="305">
        <f t="shared" si="79"/>
        <v>2.2313961865650877E-3</v>
      </c>
      <c r="AN132" s="305">
        <f t="shared" si="79"/>
        <v>2.2574023717487155E-3</v>
      </c>
      <c r="AO132" s="305">
        <f t="shared" si="79"/>
        <v>2.2823637300446679E-3</v>
      </c>
      <c r="AP132" s="305">
        <f t="shared" si="79"/>
        <v>2.3063419870970625E-3</v>
      </c>
      <c r="AQ132" s="305">
        <f t="shared" si="79"/>
        <v>2.3293941003282234E-3</v>
      </c>
      <c r="AR132" s="58">
        <f t="shared" si="79"/>
        <v>2.3515727106386687E-3</v>
      </c>
      <c r="AS132" s="305">
        <f t="shared" si="79"/>
        <v>2.4322993180871358E-3</v>
      </c>
      <c r="AT132" s="305">
        <f t="shared" si="79"/>
        <v>2.5024222327562806E-3</v>
      </c>
      <c r="AU132" s="305">
        <f t="shared" si="79"/>
        <v>2.5639019391522498E-3</v>
      </c>
      <c r="AV132" s="305">
        <f t="shared" si="79"/>
        <v>2.6182436867638963E-3</v>
      </c>
      <c r="AW132" s="305">
        <f t="shared" si="79"/>
        <v>2.6666223753218452E-3</v>
      </c>
      <c r="AX132" s="305">
        <f t="shared" si="79"/>
        <v>2.7099684664566833E-3</v>
      </c>
      <c r="AY132" s="305">
        <f t="shared" si="79"/>
        <v>2.7490284100109754E-3</v>
      </c>
      <c r="AZ132" s="305">
        <f t="shared" si="79"/>
        <v>2.7844079896184436E-3</v>
      </c>
      <c r="BA132" s="305">
        <f t="shared" si="79"/>
        <v>2.8166039670349374E-3</v>
      </c>
      <c r="BB132" s="305">
        <f t="shared" si="79"/>
        <v>2.846027551798119E-3</v>
      </c>
      <c r="BC132" s="305">
        <f t="shared" si="79"/>
        <v>2.8730220582397041E-3</v>
      </c>
      <c r="BD132" s="305">
        <f t="shared" si="79"/>
        <v>2.8978763628020182E-3</v>
      </c>
      <c r="BE132" s="305">
        <f t="shared" si="79"/>
        <v>2.8720776448848792E-3</v>
      </c>
      <c r="BF132" s="305">
        <f t="shared" si="79"/>
        <v>2.7938059649621179E-3</v>
      </c>
      <c r="BG132" s="305">
        <f t="shared" si="79"/>
        <v>2.7257420733078474E-3</v>
      </c>
      <c r="BH132" s="305">
        <f t="shared" si="79"/>
        <v>2.6660113392071461E-3</v>
      </c>
      <c r="BI132" s="305">
        <f t="shared" si="79"/>
        <v>2.6131716805082939E-3</v>
      </c>
      <c r="BJ132" s="305">
        <f t="shared" si="79"/>
        <v>2.5660956109215881E-3</v>
      </c>
      <c r="BK132" s="305">
        <f t="shared" si="79"/>
        <v>2.5238888888888889E-3</v>
      </c>
      <c r="BL132" s="305">
        <f>BL131*(BL121-$C118)/BL121</f>
        <v>2.1853125000000002E-3</v>
      </c>
      <c r="BM132" s="305">
        <f>BM131*(BM121-$C118)/BM121</f>
        <v>2.0528260869565216E-3</v>
      </c>
      <c r="BN132" s="305">
        <f>BN131*(BN121-$C118)/BN121</f>
        <v>1.9821666666666668E-3</v>
      </c>
      <c r="BO132" s="8">
        <f>BO131</f>
        <v>1.75E-3</v>
      </c>
      <c r="BS132"/>
      <c r="BT132"/>
    </row>
    <row r="133" spans="2:72" ht="16.5">
      <c r="B133" s="9">
        <v>2</v>
      </c>
      <c r="C133" s="300" t="s">
        <v>57</v>
      </c>
      <c r="D133" s="8">
        <f>IF($D123=0,0,D131*(D121-$D123)/D121)</f>
        <v>0</v>
      </c>
      <c r="E133" s="305">
        <f t="shared" ref="E133:BK133" si="80">IF($D123=0,0,E131*(E121-$D123)/E121)</f>
        <v>0</v>
      </c>
      <c r="F133" s="305">
        <f t="shared" si="80"/>
        <v>0</v>
      </c>
      <c r="G133" s="305">
        <f t="shared" si="80"/>
        <v>0</v>
      </c>
      <c r="H133" s="305">
        <f t="shared" si="80"/>
        <v>0</v>
      </c>
      <c r="I133" s="305">
        <f t="shared" si="80"/>
        <v>0</v>
      </c>
      <c r="J133" s="305">
        <f t="shared" si="80"/>
        <v>0</v>
      </c>
      <c r="K133" s="305">
        <f t="shared" si="80"/>
        <v>0</v>
      </c>
      <c r="L133" s="305">
        <f t="shared" si="80"/>
        <v>0</v>
      </c>
      <c r="M133" s="305">
        <f t="shared" si="80"/>
        <v>0</v>
      </c>
      <c r="N133" s="305">
        <f t="shared" si="80"/>
        <v>0</v>
      </c>
      <c r="O133" s="305">
        <f t="shared" si="80"/>
        <v>0</v>
      </c>
      <c r="P133" s="305">
        <f t="shared" si="80"/>
        <v>0</v>
      </c>
      <c r="Q133" s="305">
        <f t="shared" si="80"/>
        <v>0</v>
      </c>
      <c r="R133" s="305">
        <f t="shared" si="80"/>
        <v>0</v>
      </c>
      <c r="S133" s="305">
        <f t="shared" si="80"/>
        <v>0</v>
      </c>
      <c r="T133" s="305">
        <f t="shared" si="80"/>
        <v>0</v>
      </c>
      <c r="U133" s="305">
        <f t="shared" si="80"/>
        <v>0</v>
      </c>
      <c r="V133" s="305">
        <f t="shared" si="80"/>
        <v>0</v>
      </c>
      <c r="W133" s="305">
        <f t="shared" si="80"/>
        <v>0</v>
      </c>
      <c r="X133" s="305">
        <f t="shared" si="80"/>
        <v>0</v>
      </c>
      <c r="Y133" s="305">
        <f t="shared" si="80"/>
        <v>0</v>
      </c>
      <c r="Z133" s="305">
        <f t="shared" si="80"/>
        <v>0</v>
      </c>
      <c r="AA133" s="305">
        <f t="shared" si="80"/>
        <v>0</v>
      </c>
      <c r="AB133" s="305">
        <f t="shared" si="80"/>
        <v>0</v>
      </c>
      <c r="AC133" s="305">
        <f t="shared" si="80"/>
        <v>0</v>
      </c>
      <c r="AD133" s="305">
        <f t="shared" si="80"/>
        <v>0</v>
      </c>
      <c r="AE133" s="305">
        <f t="shared" si="80"/>
        <v>0</v>
      </c>
      <c r="AF133" s="305">
        <f t="shared" si="80"/>
        <v>0</v>
      </c>
      <c r="AG133" s="305">
        <f t="shared" si="80"/>
        <v>0</v>
      </c>
      <c r="AH133" s="305">
        <f t="shared" si="80"/>
        <v>0</v>
      </c>
      <c r="AI133" s="305">
        <f t="shared" si="80"/>
        <v>0</v>
      </c>
      <c r="AJ133" s="305">
        <f t="shared" si="80"/>
        <v>0</v>
      </c>
      <c r="AK133" s="305">
        <f t="shared" si="80"/>
        <v>0</v>
      </c>
      <c r="AL133" s="305">
        <f t="shared" si="80"/>
        <v>0</v>
      </c>
      <c r="AM133" s="305">
        <f t="shared" si="80"/>
        <v>0</v>
      </c>
      <c r="AN133" s="305">
        <f t="shared" si="80"/>
        <v>0</v>
      </c>
      <c r="AO133" s="305">
        <f t="shared" si="80"/>
        <v>0</v>
      </c>
      <c r="AP133" s="305">
        <f t="shared" si="80"/>
        <v>0</v>
      </c>
      <c r="AQ133" s="305">
        <f t="shared" si="80"/>
        <v>0</v>
      </c>
      <c r="AR133" s="58">
        <f t="shared" si="80"/>
        <v>0</v>
      </c>
      <c r="AS133" s="305">
        <f t="shared" si="80"/>
        <v>0</v>
      </c>
      <c r="AT133" s="305">
        <f t="shared" si="80"/>
        <v>0</v>
      </c>
      <c r="AU133" s="305">
        <f t="shared" si="80"/>
        <v>0</v>
      </c>
      <c r="AV133" s="305">
        <f t="shared" si="80"/>
        <v>0</v>
      </c>
      <c r="AW133" s="305">
        <f t="shared" si="80"/>
        <v>0</v>
      </c>
      <c r="AX133" s="305">
        <f t="shared" si="80"/>
        <v>0</v>
      </c>
      <c r="AY133" s="305">
        <f t="shared" si="80"/>
        <v>0</v>
      </c>
      <c r="AZ133" s="305">
        <f t="shared" si="80"/>
        <v>0</v>
      </c>
      <c r="BA133" s="305">
        <f t="shared" si="80"/>
        <v>0</v>
      </c>
      <c r="BB133" s="305">
        <f t="shared" si="80"/>
        <v>0</v>
      </c>
      <c r="BC133" s="305">
        <f t="shared" si="80"/>
        <v>0</v>
      </c>
      <c r="BD133" s="305">
        <f t="shared" si="80"/>
        <v>0</v>
      </c>
      <c r="BE133" s="305">
        <f t="shared" si="80"/>
        <v>0</v>
      </c>
      <c r="BF133" s="305">
        <f t="shared" si="80"/>
        <v>0</v>
      </c>
      <c r="BG133" s="305">
        <f t="shared" si="80"/>
        <v>0</v>
      </c>
      <c r="BH133" s="305">
        <f t="shared" si="80"/>
        <v>0</v>
      </c>
      <c r="BI133" s="305">
        <f t="shared" si="80"/>
        <v>0</v>
      </c>
      <c r="BJ133" s="305">
        <f t="shared" si="80"/>
        <v>0</v>
      </c>
      <c r="BK133" s="305">
        <f t="shared" si="80"/>
        <v>0</v>
      </c>
      <c r="BL133" s="305">
        <f>IF($D123=0,0,BL131*(BL121-$D123)/BL121)</f>
        <v>0</v>
      </c>
      <c r="BM133" s="305">
        <f>IF($D123=0,0,BM131*(BM121-$D123)/BM121)</f>
        <v>0</v>
      </c>
      <c r="BN133" s="305">
        <f>IF($D123=0,0,BN131*(BN121-$D123)/BN121)</f>
        <v>0</v>
      </c>
      <c r="BO133" s="8">
        <f>IF(D133=0,0,BO132)</f>
        <v>0</v>
      </c>
      <c r="BP133" s="43"/>
      <c r="BQ133" s="43"/>
      <c r="BR133" s="42"/>
      <c r="BS133"/>
      <c r="BT133"/>
    </row>
    <row r="134" spans="2:72" ht="16.5">
      <c r="B134" s="9">
        <f t="shared" ref="B134:B140" si="81">1+B133</f>
        <v>3</v>
      </c>
      <c r="C134" s="300" t="s">
        <v>57</v>
      </c>
      <c r="D134" s="8">
        <f>IF($D124=0,0,D131*(D121-$D124)/D121)</f>
        <v>0</v>
      </c>
      <c r="E134" s="305">
        <f t="shared" ref="E134:BK134" si="82">IF($D124=0,0,E131*(E121-$D124)/E121)</f>
        <v>0</v>
      </c>
      <c r="F134" s="305">
        <f t="shared" si="82"/>
        <v>0</v>
      </c>
      <c r="G134" s="305">
        <f t="shared" si="82"/>
        <v>0</v>
      </c>
      <c r="H134" s="305">
        <f t="shared" si="82"/>
        <v>0</v>
      </c>
      <c r="I134" s="305">
        <f t="shared" si="82"/>
        <v>0</v>
      </c>
      <c r="J134" s="305">
        <f t="shared" si="82"/>
        <v>0</v>
      </c>
      <c r="K134" s="305">
        <f t="shared" si="82"/>
        <v>0</v>
      </c>
      <c r="L134" s="305">
        <f t="shared" si="82"/>
        <v>0</v>
      </c>
      <c r="M134" s="305">
        <f t="shared" si="82"/>
        <v>0</v>
      </c>
      <c r="N134" s="305">
        <f t="shared" si="82"/>
        <v>0</v>
      </c>
      <c r="O134" s="305">
        <f t="shared" si="82"/>
        <v>0</v>
      </c>
      <c r="P134" s="305">
        <f t="shared" si="82"/>
        <v>0</v>
      </c>
      <c r="Q134" s="305">
        <f t="shared" si="82"/>
        <v>0</v>
      </c>
      <c r="R134" s="305">
        <f t="shared" si="82"/>
        <v>0</v>
      </c>
      <c r="S134" s="305">
        <f t="shared" si="82"/>
        <v>0</v>
      </c>
      <c r="T134" s="305">
        <f t="shared" si="82"/>
        <v>0</v>
      </c>
      <c r="U134" s="305">
        <f t="shared" si="82"/>
        <v>0</v>
      </c>
      <c r="V134" s="305">
        <f t="shared" si="82"/>
        <v>0</v>
      </c>
      <c r="W134" s="305">
        <f t="shared" si="82"/>
        <v>0</v>
      </c>
      <c r="X134" s="305">
        <f t="shared" si="82"/>
        <v>0</v>
      </c>
      <c r="Y134" s="305">
        <f t="shared" si="82"/>
        <v>0</v>
      </c>
      <c r="Z134" s="305">
        <f t="shared" si="82"/>
        <v>0</v>
      </c>
      <c r="AA134" s="305">
        <f t="shared" si="82"/>
        <v>0</v>
      </c>
      <c r="AB134" s="305">
        <f t="shared" si="82"/>
        <v>0</v>
      </c>
      <c r="AC134" s="305">
        <f t="shared" si="82"/>
        <v>0</v>
      </c>
      <c r="AD134" s="305">
        <f t="shared" si="82"/>
        <v>0</v>
      </c>
      <c r="AE134" s="305">
        <f t="shared" si="82"/>
        <v>0</v>
      </c>
      <c r="AF134" s="305">
        <f t="shared" si="82"/>
        <v>0</v>
      </c>
      <c r="AG134" s="305">
        <f t="shared" si="82"/>
        <v>0</v>
      </c>
      <c r="AH134" s="305">
        <f t="shared" si="82"/>
        <v>0</v>
      </c>
      <c r="AI134" s="305">
        <f t="shared" si="82"/>
        <v>0</v>
      </c>
      <c r="AJ134" s="305">
        <f t="shared" si="82"/>
        <v>0</v>
      </c>
      <c r="AK134" s="305">
        <f t="shared" si="82"/>
        <v>0</v>
      </c>
      <c r="AL134" s="305">
        <f t="shared" si="82"/>
        <v>0</v>
      </c>
      <c r="AM134" s="305">
        <f t="shared" si="82"/>
        <v>0</v>
      </c>
      <c r="AN134" s="305">
        <f t="shared" si="82"/>
        <v>0</v>
      </c>
      <c r="AO134" s="305">
        <f t="shared" si="82"/>
        <v>0</v>
      </c>
      <c r="AP134" s="305">
        <f t="shared" si="82"/>
        <v>0</v>
      </c>
      <c r="AQ134" s="305">
        <f t="shared" si="82"/>
        <v>0</v>
      </c>
      <c r="AR134" s="58">
        <f t="shared" si="82"/>
        <v>0</v>
      </c>
      <c r="AS134" s="305">
        <f t="shared" si="82"/>
        <v>0</v>
      </c>
      <c r="AT134" s="305">
        <f t="shared" si="82"/>
        <v>0</v>
      </c>
      <c r="AU134" s="305">
        <f t="shared" si="82"/>
        <v>0</v>
      </c>
      <c r="AV134" s="305">
        <f t="shared" si="82"/>
        <v>0</v>
      </c>
      <c r="AW134" s="305">
        <f t="shared" si="82"/>
        <v>0</v>
      </c>
      <c r="AX134" s="305">
        <f t="shared" si="82"/>
        <v>0</v>
      </c>
      <c r="AY134" s="305">
        <f t="shared" si="82"/>
        <v>0</v>
      </c>
      <c r="AZ134" s="305">
        <f t="shared" si="82"/>
        <v>0</v>
      </c>
      <c r="BA134" s="305">
        <f t="shared" si="82"/>
        <v>0</v>
      </c>
      <c r="BB134" s="305">
        <f t="shared" si="82"/>
        <v>0</v>
      </c>
      <c r="BC134" s="305">
        <f t="shared" si="82"/>
        <v>0</v>
      </c>
      <c r="BD134" s="305">
        <f t="shared" si="82"/>
        <v>0</v>
      </c>
      <c r="BE134" s="305">
        <f t="shared" si="82"/>
        <v>0</v>
      </c>
      <c r="BF134" s="305">
        <f t="shared" si="82"/>
        <v>0</v>
      </c>
      <c r="BG134" s="305">
        <f t="shared" si="82"/>
        <v>0</v>
      </c>
      <c r="BH134" s="305">
        <f t="shared" si="82"/>
        <v>0</v>
      </c>
      <c r="BI134" s="305">
        <f t="shared" si="82"/>
        <v>0</v>
      </c>
      <c r="BJ134" s="305">
        <f t="shared" si="82"/>
        <v>0</v>
      </c>
      <c r="BK134" s="305">
        <f t="shared" si="82"/>
        <v>0</v>
      </c>
      <c r="BL134" s="305">
        <f>IF($D124=0,0,BL131*(BL121-$D124)/BL121)</f>
        <v>0</v>
      </c>
      <c r="BM134" s="305">
        <f>IF($D124=0,0,BM131*(BM121-$D124)/BM121)</f>
        <v>0</v>
      </c>
      <c r="BN134" s="305">
        <f>IF($D124=0,0,BN131*(BN121-$D124)/BN121)</f>
        <v>0</v>
      </c>
      <c r="BO134" s="8">
        <f>IF(D134=0,0,BO132)</f>
        <v>0</v>
      </c>
      <c r="BP134" s="43"/>
      <c r="BQ134" s="43"/>
      <c r="BR134" s="42"/>
      <c r="BS134"/>
      <c r="BT134"/>
    </row>
    <row r="135" spans="2:72" ht="16.5">
      <c r="B135" s="9">
        <f t="shared" si="81"/>
        <v>4</v>
      </c>
      <c r="C135" s="300" t="s">
        <v>57</v>
      </c>
      <c r="D135" s="8">
        <f>IF($D125=0,0,D131*(D121-$D125)/D121)</f>
        <v>0</v>
      </c>
      <c r="E135" s="305">
        <f t="shared" ref="E135:BK135" si="83">IF($D125=0,0,E131*(E121-$D125)/E121)</f>
        <v>0</v>
      </c>
      <c r="F135" s="305">
        <f t="shared" si="83"/>
        <v>0</v>
      </c>
      <c r="G135" s="305">
        <f t="shared" si="83"/>
        <v>0</v>
      </c>
      <c r="H135" s="305">
        <f t="shared" si="83"/>
        <v>0</v>
      </c>
      <c r="I135" s="305">
        <f t="shared" si="83"/>
        <v>0</v>
      </c>
      <c r="J135" s="305">
        <f t="shared" si="83"/>
        <v>0</v>
      </c>
      <c r="K135" s="305">
        <f t="shared" si="83"/>
        <v>0</v>
      </c>
      <c r="L135" s="305">
        <f t="shared" si="83"/>
        <v>0</v>
      </c>
      <c r="M135" s="305">
        <f t="shared" si="83"/>
        <v>0</v>
      </c>
      <c r="N135" s="305">
        <f t="shared" si="83"/>
        <v>0</v>
      </c>
      <c r="O135" s="305">
        <f t="shared" si="83"/>
        <v>0</v>
      </c>
      <c r="P135" s="305">
        <f t="shared" si="83"/>
        <v>0</v>
      </c>
      <c r="Q135" s="305">
        <f t="shared" si="83"/>
        <v>0</v>
      </c>
      <c r="R135" s="305">
        <f t="shared" si="83"/>
        <v>0</v>
      </c>
      <c r="S135" s="305">
        <f t="shared" si="83"/>
        <v>0</v>
      </c>
      <c r="T135" s="305">
        <f t="shared" si="83"/>
        <v>0</v>
      </c>
      <c r="U135" s="305">
        <f t="shared" si="83"/>
        <v>0</v>
      </c>
      <c r="V135" s="305">
        <f t="shared" si="83"/>
        <v>0</v>
      </c>
      <c r="W135" s="305">
        <f t="shared" si="83"/>
        <v>0</v>
      </c>
      <c r="X135" s="305">
        <f t="shared" si="83"/>
        <v>0</v>
      </c>
      <c r="Y135" s="305">
        <f t="shared" si="83"/>
        <v>0</v>
      </c>
      <c r="Z135" s="305">
        <f t="shared" si="83"/>
        <v>0</v>
      </c>
      <c r="AA135" s="305">
        <f t="shared" si="83"/>
        <v>0</v>
      </c>
      <c r="AB135" s="305">
        <f t="shared" si="83"/>
        <v>0</v>
      </c>
      <c r="AC135" s="305">
        <f t="shared" si="83"/>
        <v>0</v>
      </c>
      <c r="AD135" s="305">
        <f t="shared" si="83"/>
        <v>0</v>
      </c>
      <c r="AE135" s="305">
        <f t="shared" si="83"/>
        <v>0</v>
      </c>
      <c r="AF135" s="305">
        <f t="shared" si="83"/>
        <v>0</v>
      </c>
      <c r="AG135" s="305">
        <f t="shared" si="83"/>
        <v>0</v>
      </c>
      <c r="AH135" s="305">
        <f t="shared" si="83"/>
        <v>0</v>
      </c>
      <c r="AI135" s="305">
        <f t="shared" si="83"/>
        <v>0</v>
      </c>
      <c r="AJ135" s="305">
        <f t="shared" si="83"/>
        <v>0</v>
      </c>
      <c r="AK135" s="305">
        <f t="shared" si="83"/>
        <v>0</v>
      </c>
      <c r="AL135" s="305">
        <f t="shared" si="83"/>
        <v>0</v>
      </c>
      <c r="AM135" s="305">
        <f t="shared" si="83"/>
        <v>0</v>
      </c>
      <c r="AN135" s="305">
        <f t="shared" si="83"/>
        <v>0</v>
      </c>
      <c r="AO135" s="305">
        <f t="shared" si="83"/>
        <v>0</v>
      </c>
      <c r="AP135" s="305">
        <f t="shared" si="83"/>
        <v>0</v>
      </c>
      <c r="AQ135" s="305">
        <f t="shared" si="83"/>
        <v>0</v>
      </c>
      <c r="AR135" s="58">
        <f t="shared" si="83"/>
        <v>0</v>
      </c>
      <c r="AS135" s="305">
        <f t="shared" si="83"/>
        <v>0</v>
      </c>
      <c r="AT135" s="305">
        <f t="shared" si="83"/>
        <v>0</v>
      </c>
      <c r="AU135" s="305">
        <f t="shared" si="83"/>
        <v>0</v>
      </c>
      <c r="AV135" s="305">
        <f t="shared" si="83"/>
        <v>0</v>
      </c>
      <c r="AW135" s="305">
        <f t="shared" si="83"/>
        <v>0</v>
      </c>
      <c r="AX135" s="305">
        <f t="shared" si="83"/>
        <v>0</v>
      </c>
      <c r="AY135" s="305">
        <f t="shared" si="83"/>
        <v>0</v>
      </c>
      <c r="AZ135" s="305">
        <f t="shared" si="83"/>
        <v>0</v>
      </c>
      <c r="BA135" s="305">
        <f t="shared" si="83"/>
        <v>0</v>
      </c>
      <c r="BB135" s="305">
        <f t="shared" si="83"/>
        <v>0</v>
      </c>
      <c r="BC135" s="305">
        <f t="shared" si="83"/>
        <v>0</v>
      </c>
      <c r="BD135" s="305">
        <f t="shared" si="83"/>
        <v>0</v>
      </c>
      <c r="BE135" s="305">
        <f t="shared" si="83"/>
        <v>0</v>
      </c>
      <c r="BF135" s="305">
        <f t="shared" si="83"/>
        <v>0</v>
      </c>
      <c r="BG135" s="305">
        <f t="shared" si="83"/>
        <v>0</v>
      </c>
      <c r="BH135" s="305">
        <f t="shared" si="83"/>
        <v>0</v>
      </c>
      <c r="BI135" s="305">
        <f t="shared" si="83"/>
        <v>0</v>
      </c>
      <c r="BJ135" s="305">
        <f t="shared" si="83"/>
        <v>0</v>
      </c>
      <c r="BK135" s="305">
        <f t="shared" si="83"/>
        <v>0</v>
      </c>
      <c r="BL135" s="305">
        <f>IF($D125=0,0,BL131*(BL121-$D125)/BL121)</f>
        <v>0</v>
      </c>
      <c r="BM135" s="305">
        <f>IF($D125=0,0,BM131*(BM121-$D125)/BM121)</f>
        <v>0</v>
      </c>
      <c r="BN135" s="305">
        <f>IF($D125=0,0,BN131*(BN121-$D125)/BN121)</f>
        <v>0</v>
      </c>
      <c r="BO135" s="8">
        <f>IF(D135=0,0,BO132)</f>
        <v>0</v>
      </c>
      <c r="BP135" s="43"/>
      <c r="BQ135" s="43"/>
      <c r="BR135" s="42"/>
      <c r="BS135"/>
      <c r="BT135"/>
    </row>
    <row r="136" spans="2:72" ht="16.5">
      <c r="B136" s="9">
        <f t="shared" si="81"/>
        <v>5</v>
      </c>
      <c r="C136" s="300" t="s">
        <v>57</v>
      </c>
      <c r="D136" s="8">
        <f>IF($D126=0,0,D131*(D121-$D126)/D121)</f>
        <v>0</v>
      </c>
      <c r="E136" s="305">
        <f t="shared" ref="E136:BK136" si="84">IF($D126=0,0,E131*(E121-$D126)/E121)</f>
        <v>0</v>
      </c>
      <c r="F136" s="305">
        <f t="shared" si="84"/>
        <v>0</v>
      </c>
      <c r="G136" s="305">
        <f t="shared" si="84"/>
        <v>0</v>
      </c>
      <c r="H136" s="305">
        <f t="shared" si="84"/>
        <v>0</v>
      </c>
      <c r="I136" s="305">
        <f t="shared" si="84"/>
        <v>0</v>
      </c>
      <c r="J136" s="305">
        <f t="shared" si="84"/>
        <v>0</v>
      </c>
      <c r="K136" s="305">
        <f t="shared" si="84"/>
        <v>0</v>
      </c>
      <c r="L136" s="305">
        <f t="shared" si="84"/>
        <v>0</v>
      </c>
      <c r="M136" s="305">
        <f t="shared" si="84"/>
        <v>0</v>
      </c>
      <c r="N136" s="305">
        <f t="shared" si="84"/>
        <v>0</v>
      </c>
      <c r="O136" s="305">
        <f t="shared" si="84"/>
        <v>0</v>
      </c>
      <c r="P136" s="305">
        <f t="shared" si="84"/>
        <v>0</v>
      </c>
      <c r="Q136" s="305">
        <f t="shared" si="84"/>
        <v>0</v>
      </c>
      <c r="R136" s="305">
        <f t="shared" si="84"/>
        <v>0</v>
      </c>
      <c r="S136" s="305">
        <f t="shared" si="84"/>
        <v>0</v>
      </c>
      <c r="T136" s="305">
        <f t="shared" si="84"/>
        <v>0</v>
      </c>
      <c r="U136" s="305">
        <f t="shared" si="84"/>
        <v>0</v>
      </c>
      <c r="V136" s="305">
        <f t="shared" si="84"/>
        <v>0</v>
      </c>
      <c r="W136" s="305">
        <f t="shared" si="84"/>
        <v>0</v>
      </c>
      <c r="X136" s="305">
        <f t="shared" si="84"/>
        <v>0</v>
      </c>
      <c r="Y136" s="305">
        <f t="shared" si="84"/>
        <v>0</v>
      </c>
      <c r="Z136" s="305">
        <f t="shared" si="84"/>
        <v>0</v>
      </c>
      <c r="AA136" s="305">
        <f t="shared" si="84"/>
        <v>0</v>
      </c>
      <c r="AB136" s="305">
        <f t="shared" si="84"/>
        <v>0</v>
      </c>
      <c r="AC136" s="305">
        <f t="shared" si="84"/>
        <v>0</v>
      </c>
      <c r="AD136" s="305">
        <f t="shared" si="84"/>
        <v>0</v>
      </c>
      <c r="AE136" s="305">
        <f t="shared" si="84"/>
        <v>0</v>
      </c>
      <c r="AF136" s="305">
        <f t="shared" si="84"/>
        <v>0</v>
      </c>
      <c r="AG136" s="305">
        <f t="shared" si="84"/>
        <v>0</v>
      </c>
      <c r="AH136" s="305">
        <f t="shared" si="84"/>
        <v>0</v>
      </c>
      <c r="AI136" s="305">
        <f t="shared" si="84"/>
        <v>0</v>
      </c>
      <c r="AJ136" s="305">
        <f t="shared" si="84"/>
        <v>0</v>
      </c>
      <c r="AK136" s="305">
        <f t="shared" si="84"/>
        <v>0</v>
      </c>
      <c r="AL136" s="305">
        <f t="shared" si="84"/>
        <v>0</v>
      </c>
      <c r="AM136" s="305">
        <f t="shared" si="84"/>
        <v>0</v>
      </c>
      <c r="AN136" s="305">
        <f t="shared" si="84"/>
        <v>0</v>
      </c>
      <c r="AO136" s="305">
        <f t="shared" si="84"/>
        <v>0</v>
      </c>
      <c r="AP136" s="305">
        <f t="shared" si="84"/>
        <v>0</v>
      </c>
      <c r="AQ136" s="305">
        <f t="shared" si="84"/>
        <v>0</v>
      </c>
      <c r="AR136" s="58">
        <f t="shared" si="84"/>
        <v>0</v>
      </c>
      <c r="AS136" s="305">
        <f t="shared" si="84"/>
        <v>0</v>
      </c>
      <c r="AT136" s="305">
        <f t="shared" si="84"/>
        <v>0</v>
      </c>
      <c r="AU136" s="305">
        <f t="shared" si="84"/>
        <v>0</v>
      </c>
      <c r="AV136" s="305">
        <f t="shared" si="84"/>
        <v>0</v>
      </c>
      <c r="AW136" s="305">
        <f t="shared" si="84"/>
        <v>0</v>
      </c>
      <c r="AX136" s="305">
        <f t="shared" si="84"/>
        <v>0</v>
      </c>
      <c r="AY136" s="305">
        <f t="shared" si="84"/>
        <v>0</v>
      </c>
      <c r="AZ136" s="305">
        <f t="shared" si="84"/>
        <v>0</v>
      </c>
      <c r="BA136" s="305">
        <f t="shared" si="84"/>
        <v>0</v>
      </c>
      <c r="BB136" s="305">
        <f t="shared" si="84"/>
        <v>0</v>
      </c>
      <c r="BC136" s="305">
        <f t="shared" si="84"/>
        <v>0</v>
      </c>
      <c r="BD136" s="305">
        <f t="shared" si="84"/>
        <v>0</v>
      </c>
      <c r="BE136" s="305">
        <f t="shared" si="84"/>
        <v>0</v>
      </c>
      <c r="BF136" s="305">
        <f t="shared" si="84"/>
        <v>0</v>
      </c>
      <c r="BG136" s="305">
        <f t="shared" si="84"/>
        <v>0</v>
      </c>
      <c r="BH136" s="305">
        <f t="shared" si="84"/>
        <v>0</v>
      </c>
      <c r="BI136" s="305">
        <f t="shared" si="84"/>
        <v>0</v>
      </c>
      <c r="BJ136" s="305">
        <f t="shared" si="84"/>
        <v>0</v>
      </c>
      <c r="BK136" s="305">
        <f t="shared" si="84"/>
        <v>0</v>
      </c>
      <c r="BL136" s="305">
        <f>IF($D126=0,0,BL131*(BL121-$D126)/BL121)</f>
        <v>0</v>
      </c>
      <c r="BM136" s="305">
        <f>IF($D126=0,0,BM131*(BM121-$D126)/BM121)</f>
        <v>0</v>
      </c>
      <c r="BN136" s="305">
        <f>IF($D126=0,0,BN131*(BN121-$D126)/BN121)</f>
        <v>0</v>
      </c>
      <c r="BO136" s="8">
        <f>IF(D136=0,0,BO132)</f>
        <v>0</v>
      </c>
      <c r="BP136" s="43"/>
      <c r="BQ136" s="43"/>
      <c r="BR136" s="42"/>
      <c r="BS136"/>
      <c r="BT136"/>
    </row>
    <row r="137" spans="2:72" ht="16.5">
      <c r="B137" s="9">
        <f t="shared" si="81"/>
        <v>6</v>
      </c>
      <c r="C137" s="300" t="s">
        <v>57</v>
      </c>
      <c r="D137" s="8">
        <f>IF($D127=0,0,D131*(D121-$D127)/D121)</f>
        <v>0</v>
      </c>
      <c r="E137" s="305">
        <f t="shared" ref="E137:BK137" si="85">IF($D127=0,0,E131*(E121-$D127)/E121)</f>
        <v>0</v>
      </c>
      <c r="F137" s="306">
        <f t="shared" si="85"/>
        <v>0</v>
      </c>
      <c r="G137" s="306">
        <f t="shared" si="85"/>
        <v>0</v>
      </c>
      <c r="H137" s="306">
        <f t="shared" si="85"/>
        <v>0</v>
      </c>
      <c r="I137" s="305">
        <f t="shared" si="85"/>
        <v>0</v>
      </c>
      <c r="J137" s="305">
        <f t="shared" si="85"/>
        <v>0</v>
      </c>
      <c r="K137" s="305">
        <f t="shared" si="85"/>
        <v>0</v>
      </c>
      <c r="L137" s="305">
        <f t="shared" si="85"/>
        <v>0</v>
      </c>
      <c r="M137" s="305">
        <f t="shared" si="85"/>
        <v>0</v>
      </c>
      <c r="N137" s="305">
        <f t="shared" si="85"/>
        <v>0</v>
      </c>
      <c r="O137" s="305">
        <f t="shared" si="85"/>
        <v>0</v>
      </c>
      <c r="P137" s="305">
        <f t="shared" si="85"/>
        <v>0</v>
      </c>
      <c r="Q137" s="305">
        <f t="shared" si="85"/>
        <v>0</v>
      </c>
      <c r="R137" s="305">
        <f t="shared" si="85"/>
        <v>0</v>
      </c>
      <c r="S137" s="305">
        <f t="shared" si="85"/>
        <v>0</v>
      </c>
      <c r="T137" s="305">
        <f t="shared" si="85"/>
        <v>0</v>
      </c>
      <c r="U137" s="305">
        <f t="shared" si="85"/>
        <v>0</v>
      </c>
      <c r="V137" s="305">
        <f t="shared" si="85"/>
        <v>0</v>
      </c>
      <c r="W137" s="305">
        <f t="shared" si="85"/>
        <v>0</v>
      </c>
      <c r="X137" s="305">
        <f t="shared" si="85"/>
        <v>0</v>
      </c>
      <c r="Y137" s="305">
        <f t="shared" si="85"/>
        <v>0</v>
      </c>
      <c r="Z137" s="305">
        <f t="shared" si="85"/>
        <v>0</v>
      </c>
      <c r="AA137" s="305">
        <f t="shared" si="85"/>
        <v>0</v>
      </c>
      <c r="AB137" s="305">
        <f t="shared" si="85"/>
        <v>0</v>
      </c>
      <c r="AC137" s="305">
        <f t="shared" si="85"/>
        <v>0</v>
      </c>
      <c r="AD137" s="305">
        <f t="shared" si="85"/>
        <v>0</v>
      </c>
      <c r="AE137" s="305">
        <f t="shared" si="85"/>
        <v>0</v>
      </c>
      <c r="AF137" s="305">
        <f t="shared" si="85"/>
        <v>0</v>
      </c>
      <c r="AG137" s="305">
        <f t="shared" si="85"/>
        <v>0</v>
      </c>
      <c r="AH137" s="305">
        <f t="shared" si="85"/>
        <v>0</v>
      </c>
      <c r="AI137" s="305">
        <f t="shared" si="85"/>
        <v>0</v>
      </c>
      <c r="AJ137" s="305">
        <f t="shared" si="85"/>
        <v>0</v>
      </c>
      <c r="AK137" s="305">
        <f t="shared" si="85"/>
        <v>0</v>
      </c>
      <c r="AL137" s="305">
        <f t="shared" si="85"/>
        <v>0</v>
      </c>
      <c r="AM137" s="305">
        <f t="shared" si="85"/>
        <v>0</v>
      </c>
      <c r="AN137" s="305">
        <f t="shared" si="85"/>
        <v>0</v>
      </c>
      <c r="AO137" s="305">
        <f t="shared" si="85"/>
        <v>0</v>
      </c>
      <c r="AP137" s="305">
        <f t="shared" si="85"/>
        <v>0</v>
      </c>
      <c r="AQ137" s="305">
        <f t="shared" si="85"/>
        <v>0</v>
      </c>
      <c r="AR137" s="58">
        <f t="shared" si="85"/>
        <v>0</v>
      </c>
      <c r="AS137" s="305">
        <f t="shared" si="85"/>
        <v>0</v>
      </c>
      <c r="AT137" s="305">
        <f t="shared" si="85"/>
        <v>0</v>
      </c>
      <c r="AU137" s="305">
        <f t="shared" si="85"/>
        <v>0</v>
      </c>
      <c r="AV137" s="305">
        <f t="shared" si="85"/>
        <v>0</v>
      </c>
      <c r="AW137" s="305">
        <f t="shared" si="85"/>
        <v>0</v>
      </c>
      <c r="AX137" s="305">
        <f t="shared" si="85"/>
        <v>0</v>
      </c>
      <c r="AY137" s="305">
        <f t="shared" si="85"/>
        <v>0</v>
      </c>
      <c r="AZ137" s="305">
        <f t="shared" si="85"/>
        <v>0</v>
      </c>
      <c r="BA137" s="305">
        <f t="shared" si="85"/>
        <v>0</v>
      </c>
      <c r="BB137" s="305">
        <f t="shared" si="85"/>
        <v>0</v>
      </c>
      <c r="BC137" s="305">
        <f t="shared" si="85"/>
        <v>0</v>
      </c>
      <c r="BD137" s="305">
        <f t="shared" si="85"/>
        <v>0</v>
      </c>
      <c r="BE137" s="305">
        <f t="shared" si="85"/>
        <v>0</v>
      </c>
      <c r="BF137" s="305">
        <f t="shared" si="85"/>
        <v>0</v>
      </c>
      <c r="BG137" s="305">
        <f t="shared" si="85"/>
        <v>0</v>
      </c>
      <c r="BH137" s="305">
        <f t="shared" si="85"/>
        <v>0</v>
      </c>
      <c r="BI137" s="305">
        <f t="shared" si="85"/>
        <v>0</v>
      </c>
      <c r="BJ137" s="305">
        <f t="shared" si="85"/>
        <v>0</v>
      </c>
      <c r="BK137" s="305">
        <f t="shared" si="85"/>
        <v>0</v>
      </c>
      <c r="BL137" s="305">
        <f>IF($D127=0,0,BL131*(BL121-$D127)/BL121)</f>
        <v>0</v>
      </c>
      <c r="BM137" s="305">
        <f>IF($D127=0,0,BM131*(BM121-$D127)/BM121)</f>
        <v>0</v>
      </c>
      <c r="BN137" s="305">
        <f>IF($D127=0,0,BN131*(BN121-$D127)/BN121)</f>
        <v>0</v>
      </c>
      <c r="BO137" s="8">
        <f>IF(D137=0,0,BO132)</f>
        <v>0</v>
      </c>
      <c r="BP137" s="43"/>
      <c r="BQ137" s="43"/>
      <c r="BR137" s="42"/>
      <c r="BS137"/>
      <c r="BT137"/>
    </row>
    <row r="138" spans="2:72" ht="16.5">
      <c r="B138" s="9">
        <f t="shared" si="81"/>
        <v>7</v>
      </c>
      <c r="C138" s="300" t="s">
        <v>57</v>
      </c>
      <c r="D138" s="8">
        <f>IF($D128=0,0,D131*(D121-$D128)/D121)</f>
        <v>0</v>
      </c>
      <c r="E138" s="305">
        <f t="shared" ref="E138:BK138" si="86">IF($D128=0,0,E131*(E121-$D128)/E121)</f>
        <v>0</v>
      </c>
      <c r="F138" s="306">
        <f t="shared" si="86"/>
        <v>0</v>
      </c>
      <c r="G138" s="306">
        <f t="shared" si="86"/>
        <v>0</v>
      </c>
      <c r="H138" s="306">
        <f t="shared" si="86"/>
        <v>0</v>
      </c>
      <c r="I138" s="305">
        <f t="shared" si="86"/>
        <v>0</v>
      </c>
      <c r="J138" s="305">
        <f t="shared" si="86"/>
        <v>0</v>
      </c>
      <c r="K138" s="305">
        <f t="shared" si="86"/>
        <v>0</v>
      </c>
      <c r="L138" s="305">
        <f t="shared" si="86"/>
        <v>0</v>
      </c>
      <c r="M138" s="305">
        <f t="shared" si="86"/>
        <v>0</v>
      </c>
      <c r="N138" s="305">
        <f t="shared" si="86"/>
        <v>0</v>
      </c>
      <c r="O138" s="305">
        <f t="shared" si="86"/>
        <v>0</v>
      </c>
      <c r="P138" s="305">
        <f t="shared" si="86"/>
        <v>0</v>
      </c>
      <c r="Q138" s="305">
        <f t="shared" si="86"/>
        <v>0</v>
      </c>
      <c r="R138" s="305">
        <f t="shared" si="86"/>
        <v>0</v>
      </c>
      <c r="S138" s="305">
        <f t="shared" si="86"/>
        <v>0</v>
      </c>
      <c r="T138" s="305">
        <f t="shared" si="86"/>
        <v>0</v>
      </c>
      <c r="U138" s="305">
        <f t="shared" si="86"/>
        <v>0</v>
      </c>
      <c r="V138" s="305">
        <f t="shared" si="86"/>
        <v>0</v>
      </c>
      <c r="W138" s="305">
        <f t="shared" si="86"/>
        <v>0</v>
      </c>
      <c r="X138" s="305">
        <f t="shared" si="86"/>
        <v>0</v>
      </c>
      <c r="Y138" s="305">
        <f t="shared" si="86"/>
        <v>0</v>
      </c>
      <c r="Z138" s="305">
        <f t="shared" si="86"/>
        <v>0</v>
      </c>
      <c r="AA138" s="305">
        <f t="shared" si="86"/>
        <v>0</v>
      </c>
      <c r="AB138" s="305">
        <f t="shared" si="86"/>
        <v>0</v>
      </c>
      <c r="AC138" s="305">
        <f t="shared" si="86"/>
        <v>0</v>
      </c>
      <c r="AD138" s="305">
        <f t="shared" si="86"/>
        <v>0</v>
      </c>
      <c r="AE138" s="305">
        <f t="shared" si="86"/>
        <v>0</v>
      </c>
      <c r="AF138" s="305">
        <f t="shared" si="86"/>
        <v>0</v>
      </c>
      <c r="AG138" s="305">
        <f t="shared" si="86"/>
        <v>0</v>
      </c>
      <c r="AH138" s="305">
        <f t="shared" si="86"/>
        <v>0</v>
      </c>
      <c r="AI138" s="305">
        <f t="shared" si="86"/>
        <v>0</v>
      </c>
      <c r="AJ138" s="305">
        <f t="shared" si="86"/>
        <v>0</v>
      </c>
      <c r="AK138" s="305">
        <f t="shared" si="86"/>
        <v>0</v>
      </c>
      <c r="AL138" s="305">
        <f t="shared" si="86"/>
        <v>0</v>
      </c>
      <c r="AM138" s="305">
        <f t="shared" si="86"/>
        <v>0</v>
      </c>
      <c r="AN138" s="305">
        <f t="shared" si="86"/>
        <v>0</v>
      </c>
      <c r="AO138" s="305">
        <f t="shared" si="86"/>
        <v>0</v>
      </c>
      <c r="AP138" s="305">
        <f t="shared" si="86"/>
        <v>0</v>
      </c>
      <c r="AQ138" s="305">
        <f t="shared" si="86"/>
        <v>0</v>
      </c>
      <c r="AR138" s="58">
        <f t="shared" si="86"/>
        <v>0</v>
      </c>
      <c r="AS138" s="305">
        <f t="shared" si="86"/>
        <v>0</v>
      </c>
      <c r="AT138" s="305">
        <f t="shared" si="86"/>
        <v>0</v>
      </c>
      <c r="AU138" s="305">
        <f t="shared" si="86"/>
        <v>0</v>
      </c>
      <c r="AV138" s="305">
        <f t="shared" si="86"/>
        <v>0</v>
      </c>
      <c r="AW138" s="305">
        <f t="shared" si="86"/>
        <v>0</v>
      </c>
      <c r="AX138" s="305">
        <f t="shared" si="86"/>
        <v>0</v>
      </c>
      <c r="AY138" s="305">
        <f t="shared" si="86"/>
        <v>0</v>
      </c>
      <c r="AZ138" s="305">
        <f t="shared" si="86"/>
        <v>0</v>
      </c>
      <c r="BA138" s="305">
        <f t="shared" si="86"/>
        <v>0</v>
      </c>
      <c r="BB138" s="305">
        <f t="shared" si="86"/>
        <v>0</v>
      </c>
      <c r="BC138" s="305">
        <f t="shared" si="86"/>
        <v>0</v>
      </c>
      <c r="BD138" s="305">
        <f t="shared" si="86"/>
        <v>0</v>
      </c>
      <c r="BE138" s="305">
        <f t="shared" si="86"/>
        <v>0</v>
      </c>
      <c r="BF138" s="305">
        <f t="shared" si="86"/>
        <v>0</v>
      </c>
      <c r="BG138" s="305">
        <f t="shared" si="86"/>
        <v>0</v>
      </c>
      <c r="BH138" s="305">
        <f t="shared" si="86"/>
        <v>0</v>
      </c>
      <c r="BI138" s="305">
        <f t="shared" si="86"/>
        <v>0</v>
      </c>
      <c r="BJ138" s="305">
        <f t="shared" si="86"/>
        <v>0</v>
      </c>
      <c r="BK138" s="305">
        <f t="shared" si="86"/>
        <v>0</v>
      </c>
      <c r="BL138" s="305">
        <f>IF($D128=0,0,BL131*(BL121-$D128)/BL121)</f>
        <v>0</v>
      </c>
      <c r="BM138" s="305">
        <f>IF($D128=0,0,BM131*(BM121-$D128)/BM121)</f>
        <v>0</v>
      </c>
      <c r="BN138" s="305">
        <f>IF($D128=0,0,BN131*(BN121-$D128)/BN121)</f>
        <v>0</v>
      </c>
      <c r="BO138" s="8">
        <f>IF(D138=0,0,BO132)</f>
        <v>0</v>
      </c>
      <c r="BP138" s="43"/>
      <c r="BQ138" s="43"/>
      <c r="BR138" s="42"/>
      <c r="BS138"/>
      <c r="BT138"/>
    </row>
    <row r="139" spans="2:72" ht="16.5">
      <c r="B139" s="9">
        <f t="shared" si="81"/>
        <v>8</v>
      </c>
      <c r="C139" s="300" t="s">
        <v>57</v>
      </c>
      <c r="D139" s="8">
        <f>IF($D129=0,0,D131*(D121-$D129)/D121)</f>
        <v>0</v>
      </c>
      <c r="E139" s="305">
        <f t="shared" ref="E139:BK139" si="87">IF($D129=0,0,E131*(E121-$D129)/E121)</f>
        <v>0</v>
      </c>
      <c r="F139" s="306">
        <f t="shared" si="87"/>
        <v>0</v>
      </c>
      <c r="G139" s="306">
        <f t="shared" si="87"/>
        <v>0</v>
      </c>
      <c r="H139" s="306">
        <f t="shared" si="87"/>
        <v>0</v>
      </c>
      <c r="I139" s="305">
        <f t="shared" si="87"/>
        <v>0</v>
      </c>
      <c r="J139" s="305">
        <f t="shared" si="87"/>
        <v>0</v>
      </c>
      <c r="K139" s="305">
        <f t="shared" si="87"/>
        <v>0</v>
      </c>
      <c r="L139" s="305">
        <f t="shared" si="87"/>
        <v>0</v>
      </c>
      <c r="M139" s="305">
        <f t="shared" si="87"/>
        <v>0</v>
      </c>
      <c r="N139" s="305">
        <f t="shared" si="87"/>
        <v>0</v>
      </c>
      <c r="O139" s="305">
        <f t="shared" si="87"/>
        <v>0</v>
      </c>
      <c r="P139" s="305">
        <f t="shared" si="87"/>
        <v>0</v>
      </c>
      <c r="Q139" s="305">
        <f t="shared" si="87"/>
        <v>0</v>
      </c>
      <c r="R139" s="305">
        <f t="shared" si="87"/>
        <v>0</v>
      </c>
      <c r="S139" s="305">
        <f t="shared" si="87"/>
        <v>0</v>
      </c>
      <c r="T139" s="305">
        <f t="shared" si="87"/>
        <v>0</v>
      </c>
      <c r="U139" s="305">
        <f t="shared" si="87"/>
        <v>0</v>
      </c>
      <c r="V139" s="305">
        <f t="shared" si="87"/>
        <v>0</v>
      </c>
      <c r="W139" s="305">
        <f t="shared" si="87"/>
        <v>0</v>
      </c>
      <c r="X139" s="305">
        <f t="shared" si="87"/>
        <v>0</v>
      </c>
      <c r="Y139" s="305">
        <f t="shared" si="87"/>
        <v>0</v>
      </c>
      <c r="Z139" s="305">
        <f t="shared" si="87"/>
        <v>0</v>
      </c>
      <c r="AA139" s="305">
        <f t="shared" si="87"/>
        <v>0</v>
      </c>
      <c r="AB139" s="305">
        <f t="shared" si="87"/>
        <v>0</v>
      </c>
      <c r="AC139" s="305">
        <f t="shared" si="87"/>
        <v>0</v>
      </c>
      <c r="AD139" s="305">
        <f t="shared" si="87"/>
        <v>0</v>
      </c>
      <c r="AE139" s="305">
        <f t="shared" si="87"/>
        <v>0</v>
      </c>
      <c r="AF139" s="305">
        <f t="shared" si="87"/>
        <v>0</v>
      </c>
      <c r="AG139" s="305">
        <f t="shared" si="87"/>
        <v>0</v>
      </c>
      <c r="AH139" s="305">
        <f t="shared" si="87"/>
        <v>0</v>
      </c>
      <c r="AI139" s="305">
        <f t="shared" si="87"/>
        <v>0</v>
      </c>
      <c r="AJ139" s="305">
        <f t="shared" si="87"/>
        <v>0</v>
      </c>
      <c r="AK139" s="305">
        <f t="shared" si="87"/>
        <v>0</v>
      </c>
      <c r="AL139" s="305">
        <f t="shared" si="87"/>
        <v>0</v>
      </c>
      <c r="AM139" s="305">
        <f t="shared" si="87"/>
        <v>0</v>
      </c>
      <c r="AN139" s="305">
        <f t="shared" si="87"/>
        <v>0</v>
      </c>
      <c r="AO139" s="305">
        <f t="shared" si="87"/>
        <v>0</v>
      </c>
      <c r="AP139" s="305">
        <f t="shared" si="87"/>
        <v>0</v>
      </c>
      <c r="AQ139" s="305">
        <f t="shared" si="87"/>
        <v>0</v>
      </c>
      <c r="AR139" s="58">
        <f t="shared" si="87"/>
        <v>0</v>
      </c>
      <c r="AS139" s="305">
        <f t="shared" si="87"/>
        <v>0</v>
      </c>
      <c r="AT139" s="305">
        <f t="shared" si="87"/>
        <v>0</v>
      </c>
      <c r="AU139" s="305">
        <f t="shared" si="87"/>
        <v>0</v>
      </c>
      <c r="AV139" s="305">
        <f t="shared" si="87"/>
        <v>0</v>
      </c>
      <c r="AW139" s="305">
        <f t="shared" si="87"/>
        <v>0</v>
      </c>
      <c r="AX139" s="305">
        <f t="shared" si="87"/>
        <v>0</v>
      </c>
      <c r="AY139" s="305">
        <f t="shared" si="87"/>
        <v>0</v>
      </c>
      <c r="AZ139" s="305">
        <f t="shared" si="87"/>
        <v>0</v>
      </c>
      <c r="BA139" s="305">
        <f t="shared" si="87"/>
        <v>0</v>
      </c>
      <c r="BB139" s="305">
        <f t="shared" si="87"/>
        <v>0</v>
      </c>
      <c r="BC139" s="305">
        <f t="shared" si="87"/>
        <v>0</v>
      </c>
      <c r="BD139" s="305">
        <f t="shared" si="87"/>
        <v>0</v>
      </c>
      <c r="BE139" s="305">
        <f t="shared" si="87"/>
        <v>0</v>
      </c>
      <c r="BF139" s="305">
        <f t="shared" si="87"/>
        <v>0</v>
      </c>
      <c r="BG139" s="305">
        <f t="shared" si="87"/>
        <v>0</v>
      </c>
      <c r="BH139" s="305">
        <f t="shared" si="87"/>
        <v>0</v>
      </c>
      <c r="BI139" s="305">
        <f t="shared" si="87"/>
        <v>0</v>
      </c>
      <c r="BJ139" s="305">
        <f t="shared" si="87"/>
        <v>0</v>
      </c>
      <c r="BK139" s="305">
        <f t="shared" si="87"/>
        <v>0</v>
      </c>
      <c r="BL139" s="305">
        <f>IF($D129=0,0,BL131*(BL121-$D129)/BL121)</f>
        <v>0</v>
      </c>
      <c r="BM139" s="305">
        <f>IF($D129=0,0,BM131*(BM121-$D129)/BM121)</f>
        <v>0</v>
      </c>
      <c r="BN139" s="305">
        <f>IF($D129=0,0,BN131*(BN121-$D129)/BN121)</f>
        <v>0</v>
      </c>
      <c r="BO139" s="8">
        <f>IF(D139=0,0,BO132)</f>
        <v>0</v>
      </c>
      <c r="BP139" s="43"/>
      <c r="BQ139" s="43"/>
      <c r="BR139" s="42"/>
      <c r="BS139"/>
      <c r="BT139"/>
    </row>
    <row r="140" spans="2:72" ht="16.5">
      <c r="B140" s="9">
        <f t="shared" si="81"/>
        <v>9</v>
      </c>
      <c r="C140" s="300" t="s">
        <v>57</v>
      </c>
      <c r="D140" s="8">
        <f>IF($D130=0,0,D131*(D121-$D130)/D121)</f>
        <v>0</v>
      </c>
      <c r="E140" s="305">
        <f t="shared" ref="E140:BK140" si="88">IF($D130=0,0,E131*(E121-$D130)/E121)</f>
        <v>0</v>
      </c>
      <c r="F140" s="306">
        <f t="shared" si="88"/>
        <v>0</v>
      </c>
      <c r="G140" s="306">
        <f t="shared" si="88"/>
        <v>0</v>
      </c>
      <c r="H140" s="306">
        <f t="shared" si="88"/>
        <v>0</v>
      </c>
      <c r="I140" s="305">
        <f t="shared" si="88"/>
        <v>0</v>
      </c>
      <c r="J140" s="305">
        <f t="shared" si="88"/>
        <v>0</v>
      </c>
      <c r="K140" s="305">
        <f t="shared" si="88"/>
        <v>0</v>
      </c>
      <c r="L140" s="305">
        <f t="shared" si="88"/>
        <v>0</v>
      </c>
      <c r="M140" s="305">
        <f t="shared" si="88"/>
        <v>0</v>
      </c>
      <c r="N140" s="305">
        <f t="shared" si="88"/>
        <v>0</v>
      </c>
      <c r="O140" s="305">
        <f t="shared" si="88"/>
        <v>0</v>
      </c>
      <c r="P140" s="305">
        <f t="shared" si="88"/>
        <v>0</v>
      </c>
      <c r="Q140" s="305">
        <f t="shared" si="88"/>
        <v>0</v>
      </c>
      <c r="R140" s="305">
        <f t="shared" si="88"/>
        <v>0</v>
      </c>
      <c r="S140" s="305">
        <f t="shared" si="88"/>
        <v>0</v>
      </c>
      <c r="T140" s="305">
        <f t="shared" si="88"/>
        <v>0</v>
      </c>
      <c r="U140" s="305">
        <f t="shared" si="88"/>
        <v>0</v>
      </c>
      <c r="V140" s="305">
        <f t="shared" si="88"/>
        <v>0</v>
      </c>
      <c r="W140" s="305">
        <f t="shared" si="88"/>
        <v>0</v>
      </c>
      <c r="X140" s="305">
        <f t="shared" si="88"/>
        <v>0</v>
      </c>
      <c r="Y140" s="305">
        <f t="shared" si="88"/>
        <v>0</v>
      </c>
      <c r="Z140" s="305">
        <f t="shared" si="88"/>
        <v>0</v>
      </c>
      <c r="AA140" s="305">
        <f t="shared" si="88"/>
        <v>0</v>
      </c>
      <c r="AB140" s="305">
        <f t="shared" si="88"/>
        <v>0</v>
      </c>
      <c r="AC140" s="305">
        <f t="shared" si="88"/>
        <v>0</v>
      </c>
      <c r="AD140" s="305">
        <f t="shared" si="88"/>
        <v>0</v>
      </c>
      <c r="AE140" s="305">
        <f t="shared" si="88"/>
        <v>0</v>
      </c>
      <c r="AF140" s="305">
        <f t="shared" si="88"/>
        <v>0</v>
      </c>
      <c r="AG140" s="305">
        <f t="shared" si="88"/>
        <v>0</v>
      </c>
      <c r="AH140" s="305">
        <f t="shared" si="88"/>
        <v>0</v>
      </c>
      <c r="AI140" s="305">
        <f t="shared" si="88"/>
        <v>0</v>
      </c>
      <c r="AJ140" s="305">
        <f t="shared" si="88"/>
        <v>0</v>
      </c>
      <c r="AK140" s="305">
        <f t="shared" si="88"/>
        <v>0</v>
      </c>
      <c r="AL140" s="305">
        <f t="shared" si="88"/>
        <v>0</v>
      </c>
      <c r="AM140" s="305">
        <f t="shared" si="88"/>
        <v>0</v>
      </c>
      <c r="AN140" s="305">
        <f t="shared" si="88"/>
        <v>0</v>
      </c>
      <c r="AO140" s="305">
        <f t="shared" si="88"/>
        <v>0</v>
      </c>
      <c r="AP140" s="305">
        <f t="shared" si="88"/>
        <v>0</v>
      </c>
      <c r="AQ140" s="305">
        <f t="shared" si="88"/>
        <v>0</v>
      </c>
      <c r="AR140" s="58">
        <f t="shared" si="88"/>
        <v>0</v>
      </c>
      <c r="AS140" s="305">
        <f t="shared" si="88"/>
        <v>0</v>
      </c>
      <c r="AT140" s="305">
        <f t="shared" si="88"/>
        <v>0</v>
      </c>
      <c r="AU140" s="305">
        <f t="shared" si="88"/>
        <v>0</v>
      </c>
      <c r="AV140" s="305">
        <f t="shared" si="88"/>
        <v>0</v>
      </c>
      <c r="AW140" s="305">
        <f t="shared" si="88"/>
        <v>0</v>
      </c>
      <c r="AX140" s="305">
        <f t="shared" si="88"/>
        <v>0</v>
      </c>
      <c r="AY140" s="305">
        <f t="shared" si="88"/>
        <v>0</v>
      </c>
      <c r="AZ140" s="305">
        <f t="shared" si="88"/>
        <v>0</v>
      </c>
      <c r="BA140" s="305">
        <f t="shared" si="88"/>
        <v>0</v>
      </c>
      <c r="BB140" s="305">
        <f t="shared" si="88"/>
        <v>0</v>
      </c>
      <c r="BC140" s="305">
        <f t="shared" si="88"/>
        <v>0</v>
      </c>
      <c r="BD140" s="305">
        <f t="shared" si="88"/>
        <v>0</v>
      </c>
      <c r="BE140" s="305">
        <f t="shared" si="88"/>
        <v>0</v>
      </c>
      <c r="BF140" s="305">
        <f t="shared" si="88"/>
        <v>0</v>
      </c>
      <c r="BG140" s="305">
        <f t="shared" si="88"/>
        <v>0</v>
      </c>
      <c r="BH140" s="305">
        <f t="shared" si="88"/>
        <v>0</v>
      </c>
      <c r="BI140" s="305">
        <f t="shared" si="88"/>
        <v>0</v>
      </c>
      <c r="BJ140" s="305">
        <f t="shared" si="88"/>
        <v>0</v>
      </c>
      <c r="BK140" s="305">
        <f t="shared" si="88"/>
        <v>0</v>
      </c>
      <c r="BL140" s="305">
        <f>IF($D130=0,0,BL131*(BL121-$D130)/BL121)</f>
        <v>0</v>
      </c>
      <c r="BM140" s="305">
        <f>IF($D130=0,0,BM131*(BM121-$D130)/BM121)</f>
        <v>0</v>
      </c>
      <c r="BN140" s="305">
        <f>IF($D130=0,0,BN131*(BN121-$D130)/BN121)</f>
        <v>0</v>
      </c>
      <c r="BO140" s="8">
        <f>IF(D140=0,0,BO132)</f>
        <v>0</v>
      </c>
      <c r="BP140" s="43"/>
      <c r="BQ140" s="43"/>
      <c r="BR140" s="42"/>
      <c r="BS140"/>
      <c r="BT140"/>
    </row>
    <row r="141" spans="2:72" ht="16.5">
      <c r="B141" s="292" t="s">
        <v>119</v>
      </c>
      <c r="C141" s="300" t="s">
        <v>58</v>
      </c>
      <c r="D141" s="8">
        <f>D131*(D121-$F118)/D121</f>
        <v>-1.9931458528149794E-2</v>
      </c>
      <c r="E141" s="10">
        <f t="shared" ref="E141:BK141" si="89">E131*(E121-$F118)/E121</f>
        <v>-1.8231167264528704E-2</v>
      </c>
      <c r="F141" s="32">
        <f t="shared" si="89"/>
        <v>-1.6760942781382467E-2</v>
      </c>
      <c r="G141" s="32">
        <f t="shared" si="89"/>
        <v>-1.5477048502419721E-2</v>
      </c>
      <c r="H141" s="32">
        <f t="shared" si="89"/>
        <v>-1.4346173205678677E-2</v>
      </c>
      <c r="I141" s="10">
        <f t="shared" si="89"/>
        <v>-1.3342499399211087E-2</v>
      </c>
      <c r="J141" s="10">
        <f t="shared" si="89"/>
        <v>-1.2445708275572703E-2</v>
      </c>
      <c r="K141" s="10">
        <f t="shared" si="89"/>
        <v>-1.1639589810843724E-2</v>
      </c>
      <c r="L141" s="10">
        <f t="shared" si="89"/>
        <v>-1.0911054166096243E-2</v>
      </c>
      <c r="M141" s="10">
        <f t="shared" si="89"/>
        <v>-1.0249415419429512E-2</v>
      </c>
      <c r="N141" s="10">
        <f t="shared" si="89"/>
        <v>-9.6458639480259834E-3</v>
      </c>
      <c r="O141" s="10">
        <f t="shared" si="89"/>
        <v>-9.0930719302467853E-3</v>
      </c>
      <c r="P141" s="10">
        <f t="shared" si="89"/>
        <v>-8.584894364525246E-3</v>
      </c>
      <c r="Q141" s="10">
        <f t="shared" si="89"/>
        <v>-8.116139670398077E-3</v>
      </c>
      <c r="R141" s="10">
        <f t="shared" si="89"/>
        <v>-7.6823916842391864E-3</v>
      </c>
      <c r="S141" s="10">
        <f t="shared" si="89"/>
        <v>-7.2798700996633036E-3</v>
      </c>
      <c r="T141" s="10">
        <f t="shared" si="89"/>
        <v>-6.9053200021913655E-3</v>
      </c>
      <c r="U141" s="10">
        <f t="shared" si="89"/>
        <v>-6.5559236595604479E-3</v>
      </c>
      <c r="V141" s="10">
        <f t="shared" si="89"/>
        <v>-6.2292295064303501E-3</v>
      </c>
      <c r="W141" s="10">
        <f t="shared" si="89"/>
        <v>-5.9230945362760412E-3</v>
      </c>
      <c r="X141" s="10">
        <f t="shared" si="89"/>
        <v>-5.6356372375047795E-3</v>
      </c>
      <c r="Y141" s="10">
        <f t="shared" si="89"/>
        <v>-5.3651988888448049E-3</v>
      </c>
      <c r="Z141" s="10">
        <f t="shared" si="89"/>
        <v>-5.110311531617116E-3</v>
      </c>
      <c r="AA141" s="10">
        <f t="shared" si="89"/>
        <v>-4.8696713126557978E-3</v>
      </c>
      <c r="AB141" s="10">
        <f t="shared" si="89"/>
        <v>-4.6421161757542635E-3</v>
      </c>
      <c r="AC141" s="10">
        <f t="shared" si="89"/>
        <v>-4.4266070959466291E-3</v>
      </c>
      <c r="AD141" s="10">
        <f t="shared" si="89"/>
        <v>-4.2222122171373284E-3</v>
      </c>
      <c r="AE141" s="10">
        <f t="shared" si="89"/>
        <v>-4.0280933821940047E-3</v>
      </c>
      <c r="AF141" s="10">
        <f t="shared" si="89"/>
        <v>-3.8434946448392851E-3</v>
      </c>
      <c r="AG141" s="10">
        <f t="shared" si="89"/>
        <v>-3.6677324313091285E-3</v>
      </c>
      <c r="AH141" s="10">
        <f t="shared" si="89"/>
        <v>-3.5001870818353281E-3</v>
      </c>
      <c r="AI141" s="10">
        <f t="shared" si="89"/>
        <v>-3.3402955513358655E-3</v>
      </c>
      <c r="AJ141" s="10">
        <f t="shared" si="89"/>
        <v>-3.1875450881094403E-3</v>
      </c>
      <c r="AK141" s="10">
        <f t="shared" si="89"/>
        <v>-3.0414677409950214E-3</v>
      </c>
      <c r="AL141" s="10">
        <f t="shared" si="89"/>
        <v>-2.9016355710299855E-3</v>
      </c>
      <c r="AM141" s="10">
        <f t="shared" si="89"/>
        <v>-2.76765646439625E-3</v>
      </c>
      <c r="AN141" s="10">
        <f t="shared" si="89"/>
        <v>-2.6391704603702074E-3</v>
      </c>
      <c r="AO141" s="10">
        <f t="shared" si="89"/>
        <v>-2.5158465218585221E-3</v>
      </c>
      <c r="AP141" s="10">
        <f t="shared" si="89"/>
        <v>-2.3973796875105548E-3</v>
      </c>
      <c r="AQ141" s="10">
        <f t="shared" si="89"/>
        <v>-2.2834885538239261E-3</v>
      </c>
      <c r="AR141" s="58">
        <f t="shared" si="89"/>
        <v>-2.1739130434782609E-3</v>
      </c>
      <c r="AS141" s="10">
        <f t="shared" si="89"/>
        <v>-1.7750756462823691E-3</v>
      </c>
      <c r="AT141" s="10">
        <f t="shared" si="89"/>
        <v>-1.4286267906397619E-3</v>
      </c>
      <c r="AU141" s="10">
        <f t="shared" si="89"/>
        <v>-1.124880518445816E-3</v>
      </c>
      <c r="AV141" s="10">
        <f t="shared" si="89"/>
        <v>-8.5640000301797953E-4</v>
      </c>
      <c r="AW141" s="10">
        <f t="shared" si="89"/>
        <v>-6.1738054172672538E-4</v>
      </c>
      <c r="AX141" s="10">
        <f t="shared" si="89"/>
        <v>-4.0322510136747507E-4</v>
      </c>
      <c r="AY141" s="10">
        <f t="shared" si="89"/>
        <v>-2.1024577628240881E-4</v>
      </c>
      <c r="AZ141" s="10">
        <f t="shared" si="89"/>
        <v>-3.5449635449472161E-5</v>
      </c>
      <c r="BA141" s="10">
        <f t="shared" si="89"/>
        <v>1.2361761931122667E-4</v>
      </c>
      <c r="BB141" s="10">
        <f t="shared" si="89"/>
        <v>2.689876073986278E-4</v>
      </c>
      <c r="BC141" s="10">
        <f t="shared" si="89"/>
        <v>4.023565055605191E-4</v>
      </c>
      <c r="BD141" s="10">
        <f t="shared" si="89"/>
        <v>5.2515153503175334E-4</v>
      </c>
      <c r="BE141" s="10">
        <f t="shared" si="89"/>
        <v>6.2792235511512084E-4</v>
      </c>
      <c r="BF141" s="10">
        <f t="shared" si="89"/>
        <v>7.0619403503788226E-4</v>
      </c>
      <c r="BG141" s="10">
        <f t="shared" si="89"/>
        <v>7.7425792669215268E-4</v>
      </c>
      <c r="BH141" s="10">
        <f t="shared" si="89"/>
        <v>8.3398866079285427E-4</v>
      </c>
      <c r="BI141" s="10">
        <f t="shared" si="89"/>
        <v>8.8682831949170565E-4</v>
      </c>
      <c r="BJ141" s="10">
        <f t="shared" si="89"/>
        <v>9.3390438907841201E-4</v>
      </c>
      <c r="BK141" s="10">
        <f t="shared" si="89"/>
        <v>9.7611111111111119E-4</v>
      </c>
      <c r="BL141" s="10">
        <f>BL131*(BL121-$F118)/BL121</f>
        <v>1.3146875000000001E-3</v>
      </c>
      <c r="BM141" s="10">
        <f>BM131*(BM121-$F118)/BM121</f>
        <v>1.4471739130434784E-3</v>
      </c>
      <c r="BN141" s="10">
        <f>BN131*(BN121-$F118)/BN121</f>
        <v>1.5178333333333333E-3</v>
      </c>
      <c r="BO141" s="8">
        <f>BO132</f>
        <v>1.75E-3</v>
      </c>
      <c r="BS141"/>
      <c r="BT141"/>
    </row>
    <row r="142" spans="2:72" ht="16.5">
      <c r="B142" s="293" t="s">
        <v>59</v>
      </c>
      <c r="C142" s="301" t="s">
        <v>60</v>
      </c>
      <c r="D142" s="12">
        <f t="shared" ref="D142:BJ142" si="90">IF(D132&lt;0,MAX(-$C$10,200000*D132),MIN(200000*D132,$C$10)-IF(AND($C118&lt;$C$8*D121,$C118&gt;0),$C$9,0))</f>
        <v>-248.52798049824807</v>
      </c>
      <c r="E142" s="307">
        <f t="shared" si="90"/>
        <v>-179.69855459615184</v>
      </c>
      <c r="F142" s="307">
        <f t="shared" si="90"/>
        <v>-120.18245327440059</v>
      </c>
      <c r="G142" s="307">
        <f t="shared" si="90"/>
        <v>-68.209177853463572</v>
      </c>
      <c r="H142" s="307">
        <f t="shared" si="90"/>
        <v>-22.430258025469467</v>
      </c>
      <c r="I142" s="307">
        <f t="shared" si="90"/>
        <v>18.19942311810831</v>
      </c>
      <c r="J142" s="307">
        <f t="shared" si="90"/>
        <v>54.502390447758316</v>
      </c>
      <c r="K142" s="307">
        <f t="shared" si="90"/>
        <v>87.134841324562629</v>
      </c>
      <c r="L142" s="307">
        <f t="shared" si="90"/>
        <v>116.62666501975134</v>
      </c>
      <c r="M142" s="307">
        <f t="shared" si="90"/>
        <v>120.74377126424297</v>
      </c>
      <c r="N142" s="307">
        <f t="shared" si="90"/>
        <v>145.17611539721139</v>
      </c>
      <c r="O142" s="307">
        <f t="shared" si="90"/>
        <v>167.55366802073806</v>
      </c>
      <c r="P142" s="307">
        <f t="shared" si="90"/>
        <v>188.12518470926523</v>
      </c>
      <c r="Q142" s="307">
        <f t="shared" si="90"/>
        <v>207.10082563385208</v>
      </c>
      <c r="R142" s="307">
        <f t="shared" si="90"/>
        <v>224.65936134609572</v>
      </c>
      <c r="S142" s="307">
        <f t="shared" si="90"/>
        <v>240.95382228483888</v>
      </c>
      <c r="T142" s="307">
        <f t="shared" si="90"/>
        <v>256.11597051917386</v>
      </c>
      <c r="U142" s="307">
        <f t="shared" si="90"/>
        <v>270.2598705615477</v>
      </c>
      <c r="V142" s="307">
        <f t="shared" si="90"/>
        <v>283.48476413515078</v>
      </c>
      <c r="W142" s="307">
        <f t="shared" si="90"/>
        <v>295.8774022055257</v>
      </c>
      <c r="X142" s="307">
        <f t="shared" si="90"/>
        <v>307.51395017181716</v>
      </c>
      <c r="Y142" s="307">
        <f t="shared" si="90"/>
        <v>318.46155466666988</v>
      </c>
      <c r="Z142" s="307">
        <f t="shared" si="90"/>
        <v>328.77964006947417</v>
      </c>
      <c r="AA142" s="307">
        <f t="shared" si="90"/>
        <v>338.52098761059358</v>
      </c>
      <c r="AB142" s="307">
        <f t="shared" si="90"/>
        <v>347.73263844308059</v>
      </c>
      <c r="AC142" s="307">
        <f t="shared" si="90"/>
        <v>356.45665329701689</v>
      </c>
      <c r="AD142" s="307">
        <f t="shared" si="90"/>
        <v>364.73075460352567</v>
      </c>
      <c r="AE142" s="307">
        <f t="shared" si="90"/>
        <v>372.58887176956807</v>
      </c>
      <c r="AF142" s="307">
        <f t="shared" si="90"/>
        <v>380.06160622761473</v>
      </c>
      <c r="AG142" s="307">
        <f t="shared" si="90"/>
        <v>387.17662970118027</v>
      </c>
      <c r="AH142" s="307">
        <f t="shared" si="90"/>
        <v>393.95902661374686</v>
      </c>
      <c r="AI142" s="307">
        <f t="shared" si="90"/>
        <v>400.43158957184136</v>
      </c>
      <c r="AJ142" s="307">
        <f t="shared" si="90"/>
        <v>406.61507525756042</v>
      </c>
      <c r="AK142" s="307">
        <f t="shared" si="90"/>
        <v>412.1159420289855</v>
      </c>
      <c r="AL142" s="307">
        <f t="shared" si="90"/>
        <v>412.1159420289855</v>
      </c>
      <c r="AM142" s="307">
        <f t="shared" si="90"/>
        <v>412.1159420289855</v>
      </c>
      <c r="AN142" s="307">
        <f t="shared" si="90"/>
        <v>412.1159420289855</v>
      </c>
      <c r="AO142" s="307">
        <f t="shared" si="90"/>
        <v>412.1159420289855</v>
      </c>
      <c r="AP142" s="307">
        <f t="shared" si="90"/>
        <v>412.1159420289855</v>
      </c>
      <c r="AQ142" s="307">
        <f t="shared" si="90"/>
        <v>412.1159420289855</v>
      </c>
      <c r="AR142" s="61">
        <f t="shared" si="90"/>
        <v>412.1159420289855</v>
      </c>
      <c r="AS142" s="307">
        <f t="shared" si="90"/>
        <v>412.1159420289855</v>
      </c>
      <c r="AT142" s="307">
        <f t="shared" si="90"/>
        <v>412.1159420289855</v>
      </c>
      <c r="AU142" s="307">
        <f t="shared" si="90"/>
        <v>412.1159420289855</v>
      </c>
      <c r="AV142" s="307">
        <f t="shared" si="90"/>
        <v>412.1159420289855</v>
      </c>
      <c r="AW142" s="307">
        <f t="shared" si="90"/>
        <v>412.1159420289855</v>
      </c>
      <c r="AX142" s="307">
        <f t="shared" si="90"/>
        <v>412.1159420289855</v>
      </c>
      <c r="AY142" s="307">
        <f t="shared" si="90"/>
        <v>412.1159420289855</v>
      </c>
      <c r="AZ142" s="307">
        <f t="shared" si="90"/>
        <v>412.1159420289855</v>
      </c>
      <c r="BA142" s="307">
        <f t="shared" si="90"/>
        <v>412.1159420289855</v>
      </c>
      <c r="BB142" s="307">
        <f t="shared" si="90"/>
        <v>412.1159420289855</v>
      </c>
      <c r="BC142" s="307">
        <f t="shared" si="90"/>
        <v>412.1159420289855</v>
      </c>
      <c r="BD142" s="307">
        <f t="shared" si="90"/>
        <v>412.1159420289855</v>
      </c>
      <c r="BE142" s="307">
        <f t="shared" si="90"/>
        <v>412.1159420289855</v>
      </c>
      <c r="BF142" s="307">
        <f t="shared" si="90"/>
        <v>412.1159420289855</v>
      </c>
      <c r="BG142" s="307">
        <f t="shared" si="90"/>
        <v>412.1159420289855</v>
      </c>
      <c r="BH142" s="307">
        <f t="shared" si="90"/>
        <v>412.1159420289855</v>
      </c>
      <c r="BI142" s="307">
        <f t="shared" si="90"/>
        <v>412.1159420289855</v>
      </c>
      <c r="BJ142" s="307">
        <f t="shared" si="90"/>
        <v>412.1159420289855</v>
      </c>
      <c r="BK142" s="307">
        <f>IF(BK132&lt;0,MAX(-$C$10,200000*BK132),MIN(200000*BK132,$C$10)-IF(AND($C118&lt;$C$8*BK121,$C118&gt;0),$C$9,0))</f>
        <v>412.1159420289855</v>
      </c>
      <c r="BL142" s="307">
        <f>IF(BL132&lt;0,MAX(-$C$10,200000*BL132),MIN(200000*BL132,$C$10)-IF(AND($C118&lt;$C$8*BL121,$C118&gt;0),$C$9,0))</f>
        <v>412.1159420289855</v>
      </c>
      <c r="BM142" s="307">
        <f>IF(BM132&lt;0,MAX(-$C$10,200000*BM132),MIN(200000*BM132,$C$10)-IF(AND($C118&lt;$C$8*BM121,$C118&gt;0),$C$9,0))</f>
        <v>387.89855072463763</v>
      </c>
      <c r="BN142" s="307">
        <f>IF(BN132&lt;0,MAX(-$C$10,200000*BN132),MIN(200000*BN132,$C$10)-IF(AND($C118&lt;$C$8*BN121,$C118&gt;0),$C$9,0))</f>
        <v>373.76666666666665</v>
      </c>
      <c r="BO142" s="12">
        <f>200000*BO132-C$9</f>
        <v>327.33333333333331</v>
      </c>
      <c r="BS142"/>
      <c r="BT142"/>
    </row>
    <row r="143" spans="2:72" ht="16.5">
      <c r="B143" s="11">
        <v>2</v>
      </c>
      <c r="C143" s="302" t="s">
        <v>61</v>
      </c>
      <c r="D143" s="12">
        <f t="shared" ref="D143:AI143" si="91">IF(D133&lt;0,MAX(-$C$10,200000*D133),MIN(200000*D133,$C$10)-IF(AND($D123&lt;$C$8*D121,$D123&gt;0),$C$9,0))</f>
        <v>0</v>
      </c>
      <c r="E143" s="307">
        <f t="shared" si="91"/>
        <v>0</v>
      </c>
      <c r="F143" s="307">
        <f t="shared" si="91"/>
        <v>0</v>
      </c>
      <c r="G143" s="307">
        <f t="shared" si="91"/>
        <v>0</v>
      </c>
      <c r="H143" s="307">
        <f t="shared" si="91"/>
        <v>0</v>
      </c>
      <c r="I143" s="307">
        <f t="shared" si="91"/>
        <v>0</v>
      </c>
      <c r="J143" s="307">
        <f t="shared" si="91"/>
        <v>0</v>
      </c>
      <c r="K143" s="307">
        <f t="shared" si="91"/>
        <v>0</v>
      </c>
      <c r="L143" s="307">
        <f t="shared" si="91"/>
        <v>0</v>
      </c>
      <c r="M143" s="307">
        <f t="shared" si="91"/>
        <v>0</v>
      </c>
      <c r="N143" s="307">
        <f t="shared" si="91"/>
        <v>0</v>
      </c>
      <c r="O143" s="307">
        <f t="shared" si="91"/>
        <v>0</v>
      </c>
      <c r="P143" s="307">
        <f t="shared" si="91"/>
        <v>0</v>
      </c>
      <c r="Q143" s="307">
        <f t="shared" si="91"/>
        <v>0</v>
      </c>
      <c r="R143" s="307">
        <f t="shared" si="91"/>
        <v>0</v>
      </c>
      <c r="S143" s="307">
        <f t="shared" si="91"/>
        <v>0</v>
      </c>
      <c r="T143" s="307">
        <f t="shared" si="91"/>
        <v>0</v>
      </c>
      <c r="U143" s="307">
        <f t="shared" si="91"/>
        <v>0</v>
      </c>
      <c r="V143" s="307">
        <f t="shared" si="91"/>
        <v>0</v>
      </c>
      <c r="W143" s="307">
        <f t="shared" si="91"/>
        <v>0</v>
      </c>
      <c r="X143" s="307">
        <f t="shared" si="91"/>
        <v>0</v>
      </c>
      <c r="Y143" s="307">
        <f t="shared" si="91"/>
        <v>0</v>
      </c>
      <c r="Z143" s="307">
        <f t="shared" si="91"/>
        <v>0</v>
      </c>
      <c r="AA143" s="307">
        <f t="shared" si="91"/>
        <v>0</v>
      </c>
      <c r="AB143" s="307">
        <f t="shared" si="91"/>
        <v>0</v>
      </c>
      <c r="AC143" s="307">
        <f t="shared" si="91"/>
        <v>0</v>
      </c>
      <c r="AD143" s="307">
        <f t="shared" si="91"/>
        <v>0</v>
      </c>
      <c r="AE143" s="307">
        <f t="shared" si="91"/>
        <v>0</v>
      </c>
      <c r="AF143" s="307">
        <f t="shared" si="91"/>
        <v>0</v>
      </c>
      <c r="AG143" s="307">
        <f t="shared" si="91"/>
        <v>0</v>
      </c>
      <c r="AH143" s="307">
        <f t="shared" si="91"/>
        <v>0</v>
      </c>
      <c r="AI143" s="307">
        <f t="shared" si="91"/>
        <v>0</v>
      </c>
      <c r="AJ143" s="307">
        <f t="shared" ref="AJ143:BK143" si="92">IF(AJ133&lt;0,MAX(-$C$10,200000*AJ133),MIN(200000*AJ133,$C$10)-IF(AND($D123&lt;$C$8*AJ121,$D123&gt;0),$C$9,0))</f>
        <v>0</v>
      </c>
      <c r="AK143" s="307">
        <f t="shared" si="92"/>
        <v>0</v>
      </c>
      <c r="AL143" s="307">
        <f t="shared" si="92"/>
        <v>0</v>
      </c>
      <c r="AM143" s="307">
        <f t="shared" si="92"/>
        <v>0</v>
      </c>
      <c r="AN143" s="307">
        <f t="shared" si="92"/>
        <v>0</v>
      </c>
      <c r="AO143" s="307">
        <f t="shared" si="92"/>
        <v>0</v>
      </c>
      <c r="AP143" s="307">
        <f t="shared" si="92"/>
        <v>0</v>
      </c>
      <c r="AQ143" s="307">
        <f t="shared" si="92"/>
        <v>0</v>
      </c>
      <c r="AR143" s="61">
        <f t="shared" si="92"/>
        <v>0</v>
      </c>
      <c r="AS143" s="307">
        <f t="shared" si="92"/>
        <v>0</v>
      </c>
      <c r="AT143" s="307">
        <f t="shared" si="92"/>
        <v>0</v>
      </c>
      <c r="AU143" s="307">
        <f t="shared" si="92"/>
        <v>0</v>
      </c>
      <c r="AV143" s="307">
        <f t="shared" si="92"/>
        <v>0</v>
      </c>
      <c r="AW143" s="307">
        <f t="shared" si="92"/>
        <v>0</v>
      </c>
      <c r="AX143" s="307">
        <f t="shared" si="92"/>
        <v>0</v>
      </c>
      <c r="AY143" s="307">
        <f t="shared" si="92"/>
        <v>0</v>
      </c>
      <c r="AZ143" s="307">
        <f t="shared" si="92"/>
        <v>0</v>
      </c>
      <c r="BA143" s="307">
        <f t="shared" si="92"/>
        <v>0</v>
      </c>
      <c r="BB143" s="307">
        <f t="shared" si="92"/>
        <v>0</v>
      </c>
      <c r="BC143" s="307">
        <f t="shared" si="92"/>
        <v>0</v>
      </c>
      <c r="BD143" s="307">
        <f t="shared" si="92"/>
        <v>0</v>
      </c>
      <c r="BE143" s="307">
        <f t="shared" si="92"/>
        <v>0</v>
      </c>
      <c r="BF143" s="307">
        <f t="shared" si="92"/>
        <v>0</v>
      </c>
      <c r="BG143" s="307">
        <f t="shared" si="92"/>
        <v>0</v>
      </c>
      <c r="BH143" s="307">
        <f t="shared" si="92"/>
        <v>0</v>
      </c>
      <c r="BI143" s="307">
        <f t="shared" si="92"/>
        <v>0</v>
      </c>
      <c r="BJ143" s="307">
        <f t="shared" si="92"/>
        <v>0</v>
      </c>
      <c r="BK143" s="307">
        <f t="shared" si="92"/>
        <v>0</v>
      </c>
      <c r="BL143" s="307">
        <f>IF(BL133&lt;0,MAX(-$C$10,200000*BL133),MIN(200000*BL133,$C$10)-IF(AND($D123&lt;$C$8*BL121,$D123&gt;0),$C$9,0))</f>
        <v>0</v>
      </c>
      <c r="BM143" s="307">
        <f>IF(BM133&lt;0,MAX(-$C$10,200000*BM133),MIN(200000*BM133,$C$10)-IF(AND($D123&lt;$C$8*BM121,$D123&gt;0),$C$9,0))</f>
        <v>0</v>
      </c>
      <c r="BN143" s="307">
        <f>IF(BN133&lt;0,MAX(-$C$10,200000*BN133),MIN(200000*BN133,$C$10)-IF(AND($D123&lt;$C$8*BN121,$D123&gt;0),$C$9,0))</f>
        <v>0</v>
      </c>
      <c r="BO143" s="12">
        <f>IF(D143=0,0,BO142)</f>
        <v>0</v>
      </c>
      <c r="BP143" s="43"/>
      <c r="BQ143" s="43"/>
      <c r="BR143" s="42"/>
      <c r="BS143"/>
      <c r="BT143"/>
    </row>
    <row r="144" spans="2:72" ht="16.5">
      <c r="B144" s="11">
        <f t="shared" ref="B144:B150" si="93">1+B143</f>
        <v>3</v>
      </c>
      <c r="C144" s="302" t="s">
        <v>61</v>
      </c>
      <c r="D144" s="12">
        <f t="shared" ref="D144:AI144" si="94">IF(D134&lt;0,MAX(-$C$10,200000*D134),MIN(200000*D134,$C$10)-IF(AND($D124&lt;$C$8*D121,$D124&gt;0),$C$9,0))</f>
        <v>0</v>
      </c>
      <c r="E144" s="307">
        <f t="shared" si="94"/>
        <v>0</v>
      </c>
      <c r="F144" s="307">
        <f t="shared" si="94"/>
        <v>0</v>
      </c>
      <c r="G144" s="307">
        <f t="shared" si="94"/>
        <v>0</v>
      </c>
      <c r="H144" s="307">
        <f t="shared" si="94"/>
        <v>0</v>
      </c>
      <c r="I144" s="307">
        <f t="shared" si="94"/>
        <v>0</v>
      </c>
      <c r="J144" s="307">
        <f t="shared" si="94"/>
        <v>0</v>
      </c>
      <c r="K144" s="307">
        <f t="shared" si="94"/>
        <v>0</v>
      </c>
      <c r="L144" s="307">
        <f t="shared" si="94"/>
        <v>0</v>
      </c>
      <c r="M144" s="307">
        <f t="shared" si="94"/>
        <v>0</v>
      </c>
      <c r="N144" s="307">
        <f t="shared" si="94"/>
        <v>0</v>
      </c>
      <c r="O144" s="307">
        <f t="shared" si="94"/>
        <v>0</v>
      </c>
      <c r="P144" s="307">
        <f t="shared" si="94"/>
        <v>0</v>
      </c>
      <c r="Q144" s="307">
        <f t="shared" si="94"/>
        <v>0</v>
      </c>
      <c r="R144" s="307">
        <f t="shared" si="94"/>
        <v>0</v>
      </c>
      <c r="S144" s="307">
        <f t="shared" si="94"/>
        <v>0</v>
      </c>
      <c r="T144" s="307">
        <f t="shared" si="94"/>
        <v>0</v>
      </c>
      <c r="U144" s="307">
        <f t="shared" si="94"/>
        <v>0</v>
      </c>
      <c r="V144" s="307">
        <f t="shared" si="94"/>
        <v>0</v>
      </c>
      <c r="W144" s="307">
        <f t="shared" si="94"/>
        <v>0</v>
      </c>
      <c r="X144" s="307">
        <f t="shared" si="94"/>
        <v>0</v>
      </c>
      <c r="Y144" s="307">
        <f t="shared" si="94"/>
        <v>0</v>
      </c>
      <c r="Z144" s="307">
        <f t="shared" si="94"/>
        <v>0</v>
      </c>
      <c r="AA144" s="307">
        <f t="shared" si="94"/>
        <v>0</v>
      </c>
      <c r="AB144" s="307">
        <f t="shared" si="94"/>
        <v>0</v>
      </c>
      <c r="AC144" s="307">
        <f t="shared" si="94"/>
        <v>0</v>
      </c>
      <c r="AD144" s="307">
        <f t="shared" si="94"/>
        <v>0</v>
      </c>
      <c r="AE144" s="307">
        <f t="shared" si="94"/>
        <v>0</v>
      </c>
      <c r="AF144" s="307">
        <f t="shared" si="94"/>
        <v>0</v>
      </c>
      <c r="AG144" s="307">
        <f t="shared" si="94"/>
        <v>0</v>
      </c>
      <c r="AH144" s="307">
        <f t="shared" si="94"/>
        <v>0</v>
      </c>
      <c r="AI144" s="307">
        <f t="shared" si="94"/>
        <v>0</v>
      </c>
      <c r="AJ144" s="307">
        <f t="shared" ref="AJ144:BK144" si="95">IF(AJ134&lt;0,MAX(-$C$10,200000*AJ134),MIN(200000*AJ134,$C$10)-IF(AND($D124&lt;$C$8*AJ121,$D124&gt;0),$C$9,0))</f>
        <v>0</v>
      </c>
      <c r="AK144" s="307">
        <f t="shared" si="95"/>
        <v>0</v>
      </c>
      <c r="AL144" s="307">
        <f t="shared" si="95"/>
        <v>0</v>
      </c>
      <c r="AM144" s="307">
        <f t="shared" si="95"/>
        <v>0</v>
      </c>
      <c r="AN144" s="307">
        <f t="shared" si="95"/>
        <v>0</v>
      </c>
      <c r="AO144" s="307">
        <f t="shared" si="95"/>
        <v>0</v>
      </c>
      <c r="AP144" s="307">
        <f t="shared" si="95"/>
        <v>0</v>
      </c>
      <c r="AQ144" s="307">
        <f t="shared" si="95"/>
        <v>0</v>
      </c>
      <c r="AR144" s="61">
        <f t="shared" si="95"/>
        <v>0</v>
      </c>
      <c r="AS144" s="307">
        <f t="shared" si="95"/>
        <v>0</v>
      </c>
      <c r="AT144" s="307">
        <f t="shared" si="95"/>
        <v>0</v>
      </c>
      <c r="AU144" s="307">
        <f t="shared" si="95"/>
        <v>0</v>
      </c>
      <c r="AV144" s="307">
        <f t="shared" si="95"/>
        <v>0</v>
      </c>
      <c r="AW144" s="307">
        <f t="shared" si="95"/>
        <v>0</v>
      </c>
      <c r="AX144" s="307">
        <f t="shared" si="95"/>
        <v>0</v>
      </c>
      <c r="AY144" s="307">
        <f t="shared" si="95"/>
        <v>0</v>
      </c>
      <c r="AZ144" s="307">
        <f t="shared" si="95"/>
        <v>0</v>
      </c>
      <c r="BA144" s="307">
        <f t="shared" si="95"/>
        <v>0</v>
      </c>
      <c r="BB144" s="307">
        <f t="shared" si="95"/>
        <v>0</v>
      </c>
      <c r="BC144" s="307">
        <f t="shared" si="95"/>
        <v>0</v>
      </c>
      <c r="BD144" s="307">
        <f t="shared" si="95"/>
        <v>0</v>
      </c>
      <c r="BE144" s="307">
        <f t="shared" si="95"/>
        <v>0</v>
      </c>
      <c r="BF144" s="307">
        <f t="shared" si="95"/>
        <v>0</v>
      </c>
      <c r="BG144" s="307">
        <f t="shared" si="95"/>
        <v>0</v>
      </c>
      <c r="BH144" s="307">
        <f t="shared" si="95"/>
        <v>0</v>
      </c>
      <c r="BI144" s="307">
        <f t="shared" si="95"/>
        <v>0</v>
      </c>
      <c r="BJ144" s="307">
        <f t="shared" si="95"/>
        <v>0</v>
      </c>
      <c r="BK144" s="307">
        <f t="shared" si="95"/>
        <v>0</v>
      </c>
      <c r="BL144" s="307">
        <f>IF(BL134&lt;0,MAX(-$C$10,200000*BL134),MIN(200000*BL134,$C$10)-IF(AND($D124&lt;$C$8*BL121,$D124&gt;0),$C$9,0))</f>
        <v>0</v>
      </c>
      <c r="BM144" s="307">
        <f>IF(BM134&lt;0,MAX(-$C$10,200000*BM134),MIN(200000*BM134,$C$10)-IF(AND($D124&lt;$C$8*BM121,$D124&gt;0),$C$9,0))</f>
        <v>0</v>
      </c>
      <c r="BN144" s="307">
        <f>IF(BN134&lt;0,MAX(-$C$10,200000*BN134),MIN(200000*BN134,$C$10)-IF(AND($D124&lt;$C$8*BN121,$D124&gt;0),$C$9,0))</f>
        <v>0</v>
      </c>
      <c r="BO144" s="12">
        <f>IF(D144=0,0,BO142)</f>
        <v>0</v>
      </c>
      <c r="BP144" s="43"/>
      <c r="BQ144" s="43"/>
      <c r="BR144" s="42"/>
      <c r="BS144"/>
      <c r="BT144"/>
    </row>
    <row r="145" spans="2:72" ht="16.5">
      <c r="B145" s="11">
        <f t="shared" si="93"/>
        <v>4</v>
      </c>
      <c r="C145" s="302" t="s">
        <v>61</v>
      </c>
      <c r="D145" s="12">
        <f t="shared" ref="D145:AI145" si="96">IF(D135&lt;0,MAX(-$C$10,200000*D135),MIN(200000*D135,$C$10)-IF(AND($D125&lt;$C$8*D121,$D125&gt;0),$C$9,0))</f>
        <v>0</v>
      </c>
      <c r="E145" s="307">
        <f t="shared" si="96"/>
        <v>0</v>
      </c>
      <c r="F145" s="307">
        <f t="shared" si="96"/>
        <v>0</v>
      </c>
      <c r="G145" s="307">
        <f t="shared" si="96"/>
        <v>0</v>
      </c>
      <c r="H145" s="307">
        <f t="shared" si="96"/>
        <v>0</v>
      </c>
      <c r="I145" s="307">
        <f t="shared" si="96"/>
        <v>0</v>
      </c>
      <c r="J145" s="307">
        <f t="shared" si="96"/>
        <v>0</v>
      </c>
      <c r="K145" s="307">
        <f t="shared" si="96"/>
        <v>0</v>
      </c>
      <c r="L145" s="307">
        <f t="shared" si="96"/>
        <v>0</v>
      </c>
      <c r="M145" s="307">
        <f t="shared" si="96"/>
        <v>0</v>
      </c>
      <c r="N145" s="307">
        <f t="shared" si="96"/>
        <v>0</v>
      </c>
      <c r="O145" s="307">
        <f t="shared" si="96"/>
        <v>0</v>
      </c>
      <c r="P145" s="307">
        <f t="shared" si="96"/>
        <v>0</v>
      </c>
      <c r="Q145" s="307">
        <f t="shared" si="96"/>
        <v>0</v>
      </c>
      <c r="R145" s="307">
        <f t="shared" si="96"/>
        <v>0</v>
      </c>
      <c r="S145" s="307">
        <f t="shared" si="96"/>
        <v>0</v>
      </c>
      <c r="T145" s="307">
        <f t="shared" si="96"/>
        <v>0</v>
      </c>
      <c r="U145" s="307">
        <f t="shared" si="96"/>
        <v>0</v>
      </c>
      <c r="V145" s="307">
        <f t="shared" si="96"/>
        <v>0</v>
      </c>
      <c r="W145" s="307">
        <f t="shared" si="96"/>
        <v>0</v>
      </c>
      <c r="X145" s="307">
        <f t="shared" si="96"/>
        <v>0</v>
      </c>
      <c r="Y145" s="307">
        <f t="shared" si="96"/>
        <v>0</v>
      </c>
      <c r="Z145" s="307">
        <f t="shared" si="96"/>
        <v>0</v>
      </c>
      <c r="AA145" s="307">
        <f t="shared" si="96"/>
        <v>0</v>
      </c>
      <c r="AB145" s="307">
        <f t="shared" si="96"/>
        <v>0</v>
      </c>
      <c r="AC145" s="307">
        <f t="shared" si="96"/>
        <v>0</v>
      </c>
      <c r="AD145" s="307">
        <f t="shared" si="96"/>
        <v>0</v>
      </c>
      <c r="AE145" s="307">
        <f t="shared" si="96"/>
        <v>0</v>
      </c>
      <c r="AF145" s="307">
        <f t="shared" si="96"/>
        <v>0</v>
      </c>
      <c r="AG145" s="307">
        <f t="shared" si="96"/>
        <v>0</v>
      </c>
      <c r="AH145" s="307">
        <f t="shared" si="96"/>
        <v>0</v>
      </c>
      <c r="AI145" s="307">
        <f t="shared" si="96"/>
        <v>0</v>
      </c>
      <c r="AJ145" s="307">
        <f t="shared" ref="AJ145:BK145" si="97">IF(AJ135&lt;0,MAX(-$C$10,200000*AJ135),MIN(200000*AJ135,$C$10)-IF(AND($D125&lt;$C$8*AJ121,$D125&gt;0),$C$9,0))</f>
        <v>0</v>
      </c>
      <c r="AK145" s="307">
        <f t="shared" si="97"/>
        <v>0</v>
      </c>
      <c r="AL145" s="307">
        <f t="shared" si="97"/>
        <v>0</v>
      </c>
      <c r="AM145" s="307">
        <f t="shared" si="97"/>
        <v>0</v>
      </c>
      <c r="AN145" s="307">
        <f t="shared" si="97"/>
        <v>0</v>
      </c>
      <c r="AO145" s="307">
        <f t="shared" si="97"/>
        <v>0</v>
      </c>
      <c r="AP145" s="307">
        <f t="shared" si="97"/>
        <v>0</v>
      </c>
      <c r="AQ145" s="307">
        <f t="shared" si="97"/>
        <v>0</v>
      </c>
      <c r="AR145" s="61">
        <f t="shared" si="97"/>
        <v>0</v>
      </c>
      <c r="AS145" s="307">
        <f t="shared" si="97"/>
        <v>0</v>
      </c>
      <c r="AT145" s="307">
        <f t="shared" si="97"/>
        <v>0</v>
      </c>
      <c r="AU145" s="307">
        <f t="shared" si="97"/>
        <v>0</v>
      </c>
      <c r="AV145" s="307">
        <f t="shared" si="97"/>
        <v>0</v>
      </c>
      <c r="AW145" s="307">
        <f t="shared" si="97"/>
        <v>0</v>
      </c>
      <c r="AX145" s="307">
        <f t="shared" si="97"/>
        <v>0</v>
      </c>
      <c r="AY145" s="307">
        <f t="shared" si="97"/>
        <v>0</v>
      </c>
      <c r="AZ145" s="307">
        <f t="shared" si="97"/>
        <v>0</v>
      </c>
      <c r="BA145" s="307">
        <f t="shared" si="97"/>
        <v>0</v>
      </c>
      <c r="BB145" s="307">
        <f t="shared" si="97"/>
        <v>0</v>
      </c>
      <c r="BC145" s="307">
        <f t="shared" si="97"/>
        <v>0</v>
      </c>
      <c r="BD145" s="307">
        <f t="shared" si="97"/>
        <v>0</v>
      </c>
      <c r="BE145" s="307">
        <f t="shared" si="97"/>
        <v>0</v>
      </c>
      <c r="BF145" s="307">
        <f t="shared" si="97"/>
        <v>0</v>
      </c>
      <c r="BG145" s="307">
        <f t="shared" si="97"/>
        <v>0</v>
      </c>
      <c r="BH145" s="307">
        <f t="shared" si="97"/>
        <v>0</v>
      </c>
      <c r="BI145" s="307">
        <f t="shared" si="97"/>
        <v>0</v>
      </c>
      <c r="BJ145" s="307">
        <f t="shared" si="97"/>
        <v>0</v>
      </c>
      <c r="BK145" s="307">
        <f t="shared" si="97"/>
        <v>0</v>
      </c>
      <c r="BL145" s="307">
        <f>IF(BL135&lt;0,MAX(-$C$10,200000*BL135),MIN(200000*BL135,$C$10)-IF(AND($D125&lt;$C$8*BL121,$D125&gt;0),$C$9,0))</f>
        <v>0</v>
      </c>
      <c r="BM145" s="307">
        <f>IF(BM135&lt;0,MAX(-$C$10,200000*BM135),MIN(200000*BM135,$C$10)-IF(AND($D125&lt;$C$8*BM121,$D125&gt;0),$C$9,0))</f>
        <v>0</v>
      </c>
      <c r="BN145" s="307">
        <f>IF(BN135&lt;0,MAX(-$C$10,200000*BN135),MIN(200000*BN135,$C$10)-IF(AND($D125&lt;$C$8*BN121,$D125&gt;0),$C$9,0))</f>
        <v>0</v>
      </c>
      <c r="BO145" s="12">
        <f>IF(D145=0,0,BO142)</f>
        <v>0</v>
      </c>
      <c r="BP145" s="43"/>
      <c r="BQ145" s="43"/>
      <c r="BR145" s="42"/>
      <c r="BS145"/>
      <c r="BT145"/>
    </row>
    <row r="146" spans="2:72" ht="16.5">
      <c r="B146" s="11">
        <f t="shared" si="93"/>
        <v>5</v>
      </c>
      <c r="C146" s="302" t="s">
        <v>61</v>
      </c>
      <c r="D146" s="12">
        <f t="shared" ref="D146:AI146" si="98">IF(D136&lt;0,MAX(-$C$10,200000*D136),MIN(200000*D136,$C$10)-IF(AND($D126&lt;$C$8*D121,$D126&gt;0),$C$9,0))</f>
        <v>0</v>
      </c>
      <c r="E146" s="307">
        <f t="shared" si="98"/>
        <v>0</v>
      </c>
      <c r="F146" s="307">
        <f t="shared" si="98"/>
        <v>0</v>
      </c>
      <c r="G146" s="307">
        <f t="shared" si="98"/>
        <v>0</v>
      </c>
      <c r="H146" s="307">
        <f t="shared" si="98"/>
        <v>0</v>
      </c>
      <c r="I146" s="307">
        <f t="shared" si="98"/>
        <v>0</v>
      </c>
      <c r="J146" s="307">
        <f t="shared" si="98"/>
        <v>0</v>
      </c>
      <c r="K146" s="307">
        <f t="shared" si="98"/>
        <v>0</v>
      </c>
      <c r="L146" s="307">
        <f t="shared" si="98"/>
        <v>0</v>
      </c>
      <c r="M146" s="307">
        <f t="shared" si="98"/>
        <v>0</v>
      </c>
      <c r="N146" s="307">
        <f t="shared" si="98"/>
        <v>0</v>
      </c>
      <c r="O146" s="307">
        <f t="shared" si="98"/>
        <v>0</v>
      </c>
      <c r="P146" s="307">
        <f t="shared" si="98"/>
        <v>0</v>
      </c>
      <c r="Q146" s="307">
        <f t="shared" si="98"/>
        <v>0</v>
      </c>
      <c r="R146" s="307">
        <f t="shared" si="98"/>
        <v>0</v>
      </c>
      <c r="S146" s="307">
        <f t="shared" si="98"/>
        <v>0</v>
      </c>
      <c r="T146" s="307">
        <f t="shared" si="98"/>
        <v>0</v>
      </c>
      <c r="U146" s="307">
        <f t="shared" si="98"/>
        <v>0</v>
      </c>
      <c r="V146" s="307">
        <f t="shared" si="98"/>
        <v>0</v>
      </c>
      <c r="W146" s="307">
        <f t="shared" si="98"/>
        <v>0</v>
      </c>
      <c r="X146" s="307">
        <f t="shared" si="98"/>
        <v>0</v>
      </c>
      <c r="Y146" s="307">
        <f t="shared" si="98"/>
        <v>0</v>
      </c>
      <c r="Z146" s="307">
        <f t="shared" si="98"/>
        <v>0</v>
      </c>
      <c r="AA146" s="307">
        <f t="shared" si="98"/>
        <v>0</v>
      </c>
      <c r="AB146" s="307">
        <f t="shared" si="98"/>
        <v>0</v>
      </c>
      <c r="AC146" s="307">
        <f t="shared" si="98"/>
        <v>0</v>
      </c>
      <c r="AD146" s="307">
        <f t="shared" si="98"/>
        <v>0</v>
      </c>
      <c r="AE146" s="307">
        <f t="shared" si="98"/>
        <v>0</v>
      </c>
      <c r="AF146" s="307">
        <f t="shared" si="98"/>
        <v>0</v>
      </c>
      <c r="AG146" s="307">
        <f t="shared" si="98"/>
        <v>0</v>
      </c>
      <c r="AH146" s="307">
        <f t="shared" si="98"/>
        <v>0</v>
      </c>
      <c r="AI146" s="307">
        <f t="shared" si="98"/>
        <v>0</v>
      </c>
      <c r="AJ146" s="307">
        <f t="shared" ref="AJ146:BK146" si="99">IF(AJ136&lt;0,MAX(-$C$10,200000*AJ136),MIN(200000*AJ136,$C$10)-IF(AND($D126&lt;$C$8*AJ121,$D126&gt;0),$C$9,0))</f>
        <v>0</v>
      </c>
      <c r="AK146" s="307">
        <f t="shared" si="99"/>
        <v>0</v>
      </c>
      <c r="AL146" s="307">
        <f t="shared" si="99"/>
        <v>0</v>
      </c>
      <c r="AM146" s="307">
        <f t="shared" si="99"/>
        <v>0</v>
      </c>
      <c r="AN146" s="307">
        <f t="shared" si="99"/>
        <v>0</v>
      </c>
      <c r="AO146" s="307">
        <f t="shared" si="99"/>
        <v>0</v>
      </c>
      <c r="AP146" s="307">
        <f t="shared" si="99"/>
        <v>0</v>
      </c>
      <c r="AQ146" s="307">
        <f t="shared" si="99"/>
        <v>0</v>
      </c>
      <c r="AR146" s="61">
        <f t="shared" si="99"/>
        <v>0</v>
      </c>
      <c r="AS146" s="307">
        <f t="shared" si="99"/>
        <v>0</v>
      </c>
      <c r="AT146" s="307">
        <f t="shared" si="99"/>
        <v>0</v>
      </c>
      <c r="AU146" s="307">
        <f t="shared" si="99"/>
        <v>0</v>
      </c>
      <c r="AV146" s="307">
        <f t="shared" si="99"/>
        <v>0</v>
      </c>
      <c r="AW146" s="307">
        <f t="shared" si="99"/>
        <v>0</v>
      </c>
      <c r="AX146" s="307">
        <f t="shared" si="99"/>
        <v>0</v>
      </c>
      <c r="AY146" s="307">
        <f t="shared" si="99"/>
        <v>0</v>
      </c>
      <c r="AZ146" s="307">
        <f t="shared" si="99"/>
        <v>0</v>
      </c>
      <c r="BA146" s="307">
        <f t="shared" si="99"/>
        <v>0</v>
      </c>
      <c r="BB146" s="307">
        <f t="shared" si="99"/>
        <v>0</v>
      </c>
      <c r="BC146" s="307">
        <f t="shared" si="99"/>
        <v>0</v>
      </c>
      <c r="BD146" s="307">
        <f t="shared" si="99"/>
        <v>0</v>
      </c>
      <c r="BE146" s="307">
        <f t="shared" si="99"/>
        <v>0</v>
      </c>
      <c r="BF146" s="307">
        <f t="shared" si="99"/>
        <v>0</v>
      </c>
      <c r="BG146" s="307">
        <f t="shared" si="99"/>
        <v>0</v>
      </c>
      <c r="BH146" s="307">
        <f t="shared" si="99"/>
        <v>0</v>
      </c>
      <c r="BI146" s="307">
        <f t="shared" si="99"/>
        <v>0</v>
      </c>
      <c r="BJ146" s="307">
        <f t="shared" si="99"/>
        <v>0</v>
      </c>
      <c r="BK146" s="307">
        <f t="shared" si="99"/>
        <v>0</v>
      </c>
      <c r="BL146" s="307">
        <f>IF(BL136&lt;0,MAX(-$C$10,200000*BL136),MIN(200000*BL136,$C$10)-IF(AND($D126&lt;$C$8*BL121,$D126&gt;0),$C$9,0))</f>
        <v>0</v>
      </c>
      <c r="BM146" s="307">
        <f>IF(BM136&lt;0,MAX(-$C$10,200000*BM136),MIN(200000*BM136,$C$10)-IF(AND($D126&lt;$C$8*BM121,$D126&gt;0),$C$9,0))</f>
        <v>0</v>
      </c>
      <c r="BN146" s="307">
        <f>IF(BN136&lt;0,MAX(-$C$10,200000*BN136),MIN(200000*BN136,$C$10)-IF(AND($D126&lt;$C$8*BN121,$D126&gt;0),$C$9,0))</f>
        <v>0</v>
      </c>
      <c r="BO146" s="12">
        <f>IF(D146=0,0,BO142)</f>
        <v>0</v>
      </c>
      <c r="BP146" s="43"/>
      <c r="BQ146" s="43"/>
      <c r="BR146" s="42"/>
      <c r="BS146"/>
      <c r="BT146"/>
    </row>
    <row r="147" spans="2:72" ht="16.5">
      <c r="B147" s="11">
        <f t="shared" si="93"/>
        <v>6</v>
      </c>
      <c r="C147" s="302" t="s">
        <v>61</v>
      </c>
      <c r="D147" s="12">
        <f t="shared" ref="D147:AI147" si="100">IF(D137&lt;0,MAX(-$C$10,200000*D137),MIN(200000*D137,$C$10)-IF(AND($D127&lt;$C$8*D121,$D127&gt;0),$C$9,0))</f>
        <v>0</v>
      </c>
      <c r="E147" s="307">
        <f t="shared" si="100"/>
        <v>0</v>
      </c>
      <c r="F147" s="307">
        <f t="shared" si="100"/>
        <v>0</v>
      </c>
      <c r="G147" s="307">
        <f t="shared" si="100"/>
        <v>0</v>
      </c>
      <c r="H147" s="307">
        <f t="shared" si="100"/>
        <v>0</v>
      </c>
      <c r="I147" s="307">
        <f t="shared" si="100"/>
        <v>0</v>
      </c>
      <c r="J147" s="307">
        <f t="shared" si="100"/>
        <v>0</v>
      </c>
      <c r="K147" s="307">
        <f t="shared" si="100"/>
        <v>0</v>
      </c>
      <c r="L147" s="307">
        <f t="shared" si="100"/>
        <v>0</v>
      </c>
      <c r="M147" s="307">
        <f t="shared" si="100"/>
        <v>0</v>
      </c>
      <c r="N147" s="307">
        <f t="shared" si="100"/>
        <v>0</v>
      </c>
      <c r="O147" s="307">
        <f t="shared" si="100"/>
        <v>0</v>
      </c>
      <c r="P147" s="307">
        <f t="shared" si="100"/>
        <v>0</v>
      </c>
      <c r="Q147" s="307">
        <f t="shared" si="100"/>
        <v>0</v>
      </c>
      <c r="R147" s="307">
        <f t="shared" si="100"/>
        <v>0</v>
      </c>
      <c r="S147" s="307">
        <f t="shared" si="100"/>
        <v>0</v>
      </c>
      <c r="T147" s="307">
        <f t="shared" si="100"/>
        <v>0</v>
      </c>
      <c r="U147" s="307">
        <f t="shared" si="100"/>
        <v>0</v>
      </c>
      <c r="V147" s="307">
        <f t="shared" si="100"/>
        <v>0</v>
      </c>
      <c r="W147" s="307">
        <f t="shared" si="100"/>
        <v>0</v>
      </c>
      <c r="X147" s="307">
        <f t="shared" si="100"/>
        <v>0</v>
      </c>
      <c r="Y147" s="307">
        <f t="shared" si="100"/>
        <v>0</v>
      </c>
      <c r="Z147" s="307">
        <f t="shared" si="100"/>
        <v>0</v>
      </c>
      <c r="AA147" s="307">
        <f t="shared" si="100"/>
        <v>0</v>
      </c>
      <c r="AB147" s="307">
        <f t="shared" si="100"/>
        <v>0</v>
      </c>
      <c r="AC147" s="307">
        <f t="shared" si="100"/>
        <v>0</v>
      </c>
      <c r="AD147" s="307">
        <f t="shared" si="100"/>
        <v>0</v>
      </c>
      <c r="AE147" s="307">
        <f t="shared" si="100"/>
        <v>0</v>
      </c>
      <c r="AF147" s="307">
        <f t="shared" si="100"/>
        <v>0</v>
      </c>
      <c r="AG147" s="307">
        <f t="shared" si="100"/>
        <v>0</v>
      </c>
      <c r="AH147" s="307">
        <f t="shared" si="100"/>
        <v>0</v>
      </c>
      <c r="AI147" s="307">
        <f t="shared" si="100"/>
        <v>0</v>
      </c>
      <c r="AJ147" s="307">
        <f t="shared" ref="AJ147:BK147" si="101">IF(AJ137&lt;0,MAX(-$C$10,200000*AJ137),MIN(200000*AJ137,$C$10)-IF(AND($D127&lt;$C$8*AJ121,$D127&gt;0),$C$9,0))</f>
        <v>0</v>
      </c>
      <c r="AK147" s="307">
        <f t="shared" si="101"/>
        <v>0</v>
      </c>
      <c r="AL147" s="307">
        <f t="shared" si="101"/>
        <v>0</v>
      </c>
      <c r="AM147" s="307">
        <f t="shared" si="101"/>
        <v>0</v>
      </c>
      <c r="AN147" s="307">
        <f t="shared" si="101"/>
        <v>0</v>
      </c>
      <c r="AO147" s="307">
        <f t="shared" si="101"/>
        <v>0</v>
      </c>
      <c r="AP147" s="307">
        <f t="shared" si="101"/>
        <v>0</v>
      </c>
      <c r="AQ147" s="307">
        <f t="shared" si="101"/>
        <v>0</v>
      </c>
      <c r="AR147" s="61">
        <f t="shared" si="101"/>
        <v>0</v>
      </c>
      <c r="AS147" s="307">
        <f t="shared" si="101"/>
        <v>0</v>
      </c>
      <c r="AT147" s="307">
        <f t="shared" si="101"/>
        <v>0</v>
      </c>
      <c r="AU147" s="307">
        <f t="shared" si="101"/>
        <v>0</v>
      </c>
      <c r="AV147" s="307">
        <f t="shared" si="101"/>
        <v>0</v>
      </c>
      <c r="AW147" s="307">
        <f t="shared" si="101"/>
        <v>0</v>
      </c>
      <c r="AX147" s="307">
        <f t="shared" si="101"/>
        <v>0</v>
      </c>
      <c r="AY147" s="307">
        <f t="shared" si="101"/>
        <v>0</v>
      </c>
      <c r="AZ147" s="307">
        <f t="shared" si="101"/>
        <v>0</v>
      </c>
      <c r="BA147" s="307">
        <f t="shared" si="101"/>
        <v>0</v>
      </c>
      <c r="BB147" s="307">
        <f t="shared" si="101"/>
        <v>0</v>
      </c>
      <c r="BC147" s="307">
        <f t="shared" si="101"/>
        <v>0</v>
      </c>
      <c r="BD147" s="307">
        <f t="shared" si="101"/>
        <v>0</v>
      </c>
      <c r="BE147" s="307">
        <f t="shared" si="101"/>
        <v>0</v>
      </c>
      <c r="BF147" s="307">
        <f t="shared" si="101"/>
        <v>0</v>
      </c>
      <c r="BG147" s="307">
        <f t="shared" si="101"/>
        <v>0</v>
      </c>
      <c r="BH147" s="307">
        <f t="shared" si="101"/>
        <v>0</v>
      </c>
      <c r="BI147" s="307">
        <f t="shared" si="101"/>
        <v>0</v>
      </c>
      <c r="BJ147" s="307">
        <f t="shared" si="101"/>
        <v>0</v>
      </c>
      <c r="BK147" s="307">
        <f t="shared" si="101"/>
        <v>0</v>
      </c>
      <c r="BL147" s="307">
        <f>IF(BL137&lt;0,MAX(-$C$10,200000*BL137),MIN(200000*BL137,$C$10)-IF(AND($D127&lt;$C$8*BL121,$D127&gt;0),$C$9,0))</f>
        <v>0</v>
      </c>
      <c r="BM147" s="307">
        <f>IF(BM137&lt;0,MAX(-$C$10,200000*BM137),MIN(200000*BM137,$C$10)-IF(AND($D127&lt;$C$8*BM121,$D127&gt;0),$C$9,0))</f>
        <v>0</v>
      </c>
      <c r="BN147" s="307">
        <f>IF(BN137&lt;0,MAX(-$C$10,200000*BN137),MIN(200000*BN137,$C$10)-IF(AND($D127&lt;$C$8*BN121,$D127&gt;0),$C$9,0))</f>
        <v>0</v>
      </c>
      <c r="BO147" s="12">
        <f>IF(D147=0,0,BO142)</f>
        <v>0</v>
      </c>
      <c r="BP147" s="43"/>
      <c r="BQ147" s="43"/>
      <c r="BR147" s="42"/>
      <c r="BS147"/>
      <c r="BT147"/>
    </row>
    <row r="148" spans="2:72" ht="16.5">
      <c r="B148" s="11">
        <f t="shared" si="93"/>
        <v>7</v>
      </c>
      <c r="C148" s="302" t="s">
        <v>61</v>
      </c>
      <c r="D148" s="12">
        <f t="shared" ref="D148:AI148" si="102">IF(D138&lt;0,MAX(-$C$10,200000*D138),MIN(200000*D138,$C$10)-IF(AND($D128&lt;$C$8*D121,$D128&gt;0),$C$9,0))</f>
        <v>0</v>
      </c>
      <c r="E148" s="307">
        <f t="shared" si="102"/>
        <v>0</v>
      </c>
      <c r="F148" s="307">
        <f t="shared" si="102"/>
        <v>0</v>
      </c>
      <c r="G148" s="307">
        <f t="shared" si="102"/>
        <v>0</v>
      </c>
      <c r="H148" s="307">
        <f t="shared" si="102"/>
        <v>0</v>
      </c>
      <c r="I148" s="307">
        <f t="shared" si="102"/>
        <v>0</v>
      </c>
      <c r="J148" s="307">
        <f t="shared" si="102"/>
        <v>0</v>
      </c>
      <c r="K148" s="307">
        <f t="shared" si="102"/>
        <v>0</v>
      </c>
      <c r="L148" s="307">
        <f t="shared" si="102"/>
        <v>0</v>
      </c>
      <c r="M148" s="307">
        <f t="shared" si="102"/>
        <v>0</v>
      </c>
      <c r="N148" s="307">
        <f t="shared" si="102"/>
        <v>0</v>
      </c>
      <c r="O148" s="307">
        <f t="shared" si="102"/>
        <v>0</v>
      </c>
      <c r="P148" s="307">
        <f t="shared" si="102"/>
        <v>0</v>
      </c>
      <c r="Q148" s="307">
        <f t="shared" si="102"/>
        <v>0</v>
      </c>
      <c r="R148" s="307">
        <f t="shared" si="102"/>
        <v>0</v>
      </c>
      <c r="S148" s="307">
        <f t="shared" si="102"/>
        <v>0</v>
      </c>
      <c r="T148" s="307">
        <f t="shared" si="102"/>
        <v>0</v>
      </c>
      <c r="U148" s="307">
        <f t="shared" si="102"/>
        <v>0</v>
      </c>
      <c r="V148" s="307">
        <f t="shared" si="102"/>
        <v>0</v>
      </c>
      <c r="W148" s="307">
        <f t="shared" si="102"/>
        <v>0</v>
      </c>
      <c r="X148" s="307">
        <f t="shared" si="102"/>
        <v>0</v>
      </c>
      <c r="Y148" s="307">
        <f t="shared" si="102"/>
        <v>0</v>
      </c>
      <c r="Z148" s="307">
        <f t="shared" si="102"/>
        <v>0</v>
      </c>
      <c r="AA148" s="307">
        <f t="shared" si="102"/>
        <v>0</v>
      </c>
      <c r="AB148" s="307">
        <f t="shared" si="102"/>
        <v>0</v>
      </c>
      <c r="AC148" s="307">
        <f t="shared" si="102"/>
        <v>0</v>
      </c>
      <c r="AD148" s="307">
        <f t="shared" si="102"/>
        <v>0</v>
      </c>
      <c r="AE148" s="307">
        <f t="shared" si="102"/>
        <v>0</v>
      </c>
      <c r="AF148" s="307">
        <f t="shared" si="102"/>
        <v>0</v>
      </c>
      <c r="AG148" s="307">
        <f t="shared" si="102"/>
        <v>0</v>
      </c>
      <c r="AH148" s="307">
        <f t="shared" si="102"/>
        <v>0</v>
      </c>
      <c r="AI148" s="307">
        <f t="shared" si="102"/>
        <v>0</v>
      </c>
      <c r="AJ148" s="307">
        <f t="shared" ref="AJ148:BK148" si="103">IF(AJ138&lt;0,MAX(-$C$10,200000*AJ138),MIN(200000*AJ138,$C$10)-IF(AND($D128&lt;$C$8*AJ121,$D128&gt;0),$C$9,0))</f>
        <v>0</v>
      </c>
      <c r="AK148" s="307">
        <f t="shared" si="103"/>
        <v>0</v>
      </c>
      <c r="AL148" s="307">
        <f t="shared" si="103"/>
        <v>0</v>
      </c>
      <c r="AM148" s="307">
        <f t="shared" si="103"/>
        <v>0</v>
      </c>
      <c r="AN148" s="307">
        <f t="shared" si="103"/>
        <v>0</v>
      </c>
      <c r="AO148" s="307">
        <f t="shared" si="103"/>
        <v>0</v>
      </c>
      <c r="AP148" s="307">
        <f t="shared" si="103"/>
        <v>0</v>
      </c>
      <c r="AQ148" s="307">
        <f t="shared" si="103"/>
        <v>0</v>
      </c>
      <c r="AR148" s="61">
        <f t="shared" si="103"/>
        <v>0</v>
      </c>
      <c r="AS148" s="307">
        <f t="shared" si="103"/>
        <v>0</v>
      </c>
      <c r="AT148" s="307">
        <f t="shared" si="103"/>
        <v>0</v>
      </c>
      <c r="AU148" s="307">
        <f t="shared" si="103"/>
        <v>0</v>
      </c>
      <c r="AV148" s="307">
        <f t="shared" si="103"/>
        <v>0</v>
      </c>
      <c r="AW148" s="307">
        <f t="shared" si="103"/>
        <v>0</v>
      </c>
      <c r="AX148" s="307">
        <f t="shared" si="103"/>
        <v>0</v>
      </c>
      <c r="AY148" s="307">
        <f t="shared" si="103"/>
        <v>0</v>
      </c>
      <c r="AZ148" s="307">
        <f t="shared" si="103"/>
        <v>0</v>
      </c>
      <c r="BA148" s="307">
        <f t="shared" si="103"/>
        <v>0</v>
      </c>
      <c r="BB148" s="307">
        <f t="shared" si="103"/>
        <v>0</v>
      </c>
      <c r="BC148" s="307">
        <f t="shared" si="103"/>
        <v>0</v>
      </c>
      <c r="BD148" s="307">
        <f t="shared" si="103"/>
        <v>0</v>
      </c>
      <c r="BE148" s="307">
        <f t="shared" si="103"/>
        <v>0</v>
      </c>
      <c r="BF148" s="307">
        <f t="shared" si="103"/>
        <v>0</v>
      </c>
      <c r="BG148" s="307">
        <f t="shared" si="103"/>
        <v>0</v>
      </c>
      <c r="BH148" s="307">
        <f t="shared" si="103"/>
        <v>0</v>
      </c>
      <c r="BI148" s="307">
        <f t="shared" si="103"/>
        <v>0</v>
      </c>
      <c r="BJ148" s="307">
        <f t="shared" si="103"/>
        <v>0</v>
      </c>
      <c r="BK148" s="307">
        <f t="shared" si="103"/>
        <v>0</v>
      </c>
      <c r="BL148" s="307">
        <f>IF(BL138&lt;0,MAX(-$C$10,200000*BL138),MIN(200000*BL138,$C$10)-IF(AND($D128&lt;$C$8*BL121,$D128&gt;0),$C$9,0))</f>
        <v>0</v>
      </c>
      <c r="BM148" s="307">
        <f>IF(BM138&lt;0,MAX(-$C$10,200000*BM138),MIN(200000*BM138,$C$10)-IF(AND($D128&lt;$C$8*BM121,$D128&gt;0),$C$9,0))</f>
        <v>0</v>
      </c>
      <c r="BN148" s="307">
        <f>IF(BN138&lt;0,MAX(-$C$10,200000*BN138),MIN(200000*BN138,$C$10)-IF(AND($D128&lt;$C$8*BN121,$D128&gt;0),$C$9,0))</f>
        <v>0</v>
      </c>
      <c r="BO148" s="12">
        <f>IF(D148=0,0,BO142)</f>
        <v>0</v>
      </c>
      <c r="BP148" s="43"/>
      <c r="BQ148" s="43"/>
      <c r="BR148" s="42"/>
      <c r="BS148"/>
      <c r="BT148"/>
    </row>
    <row r="149" spans="2:72" ht="16.5">
      <c r="B149" s="11">
        <f t="shared" si="93"/>
        <v>8</v>
      </c>
      <c r="C149" s="302" t="s">
        <v>61</v>
      </c>
      <c r="D149" s="12">
        <f t="shared" ref="D149:AI149" si="104">IF(D139&lt;0,MAX(-$C$10,200000*D139),MIN(200000*D139,$C$10)-IF(AND($D129&lt;$C$8*D121,$D129&gt;0),$C$9,0))</f>
        <v>0</v>
      </c>
      <c r="E149" s="307">
        <f t="shared" si="104"/>
        <v>0</v>
      </c>
      <c r="F149" s="307">
        <f t="shared" si="104"/>
        <v>0</v>
      </c>
      <c r="G149" s="307">
        <f t="shared" si="104"/>
        <v>0</v>
      </c>
      <c r="H149" s="307">
        <f t="shared" si="104"/>
        <v>0</v>
      </c>
      <c r="I149" s="307">
        <f t="shared" si="104"/>
        <v>0</v>
      </c>
      <c r="J149" s="307">
        <f t="shared" si="104"/>
        <v>0</v>
      </c>
      <c r="K149" s="307">
        <f t="shared" si="104"/>
        <v>0</v>
      </c>
      <c r="L149" s="307">
        <f t="shared" si="104"/>
        <v>0</v>
      </c>
      <c r="M149" s="307">
        <f t="shared" si="104"/>
        <v>0</v>
      </c>
      <c r="N149" s="307">
        <f t="shared" si="104"/>
        <v>0</v>
      </c>
      <c r="O149" s="307">
        <f t="shared" si="104"/>
        <v>0</v>
      </c>
      <c r="P149" s="307">
        <f t="shared" si="104"/>
        <v>0</v>
      </c>
      <c r="Q149" s="307">
        <f t="shared" si="104"/>
        <v>0</v>
      </c>
      <c r="R149" s="307">
        <f t="shared" si="104"/>
        <v>0</v>
      </c>
      <c r="S149" s="307">
        <f t="shared" si="104"/>
        <v>0</v>
      </c>
      <c r="T149" s="307">
        <f t="shared" si="104"/>
        <v>0</v>
      </c>
      <c r="U149" s="307">
        <f t="shared" si="104"/>
        <v>0</v>
      </c>
      <c r="V149" s="307">
        <f t="shared" si="104"/>
        <v>0</v>
      </c>
      <c r="W149" s="307">
        <f t="shared" si="104"/>
        <v>0</v>
      </c>
      <c r="X149" s="307">
        <f t="shared" si="104"/>
        <v>0</v>
      </c>
      <c r="Y149" s="307">
        <f t="shared" si="104"/>
        <v>0</v>
      </c>
      <c r="Z149" s="307">
        <f t="shared" si="104"/>
        <v>0</v>
      </c>
      <c r="AA149" s="307">
        <f t="shared" si="104"/>
        <v>0</v>
      </c>
      <c r="AB149" s="307">
        <f t="shared" si="104"/>
        <v>0</v>
      </c>
      <c r="AC149" s="307">
        <f t="shared" si="104"/>
        <v>0</v>
      </c>
      <c r="AD149" s="307">
        <f t="shared" si="104"/>
        <v>0</v>
      </c>
      <c r="AE149" s="307">
        <f t="shared" si="104"/>
        <v>0</v>
      </c>
      <c r="AF149" s="307">
        <f t="shared" si="104"/>
        <v>0</v>
      </c>
      <c r="AG149" s="307">
        <f t="shared" si="104"/>
        <v>0</v>
      </c>
      <c r="AH149" s="307">
        <f t="shared" si="104"/>
        <v>0</v>
      </c>
      <c r="AI149" s="307">
        <f t="shared" si="104"/>
        <v>0</v>
      </c>
      <c r="AJ149" s="307">
        <f t="shared" ref="AJ149:BK149" si="105">IF(AJ139&lt;0,MAX(-$C$10,200000*AJ139),MIN(200000*AJ139,$C$10)-IF(AND($D129&lt;$C$8*AJ121,$D129&gt;0),$C$9,0))</f>
        <v>0</v>
      </c>
      <c r="AK149" s="307">
        <f t="shared" si="105"/>
        <v>0</v>
      </c>
      <c r="AL149" s="307">
        <f t="shared" si="105"/>
        <v>0</v>
      </c>
      <c r="AM149" s="307">
        <f t="shared" si="105"/>
        <v>0</v>
      </c>
      <c r="AN149" s="307">
        <f t="shared" si="105"/>
        <v>0</v>
      </c>
      <c r="AO149" s="307">
        <f t="shared" si="105"/>
        <v>0</v>
      </c>
      <c r="AP149" s="307">
        <f t="shared" si="105"/>
        <v>0</v>
      </c>
      <c r="AQ149" s="307">
        <f t="shared" si="105"/>
        <v>0</v>
      </c>
      <c r="AR149" s="61">
        <f t="shared" si="105"/>
        <v>0</v>
      </c>
      <c r="AS149" s="307">
        <f t="shared" si="105"/>
        <v>0</v>
      </c>
      <c r="AT149" s="307">
        <f t="shared" si="105"/>
        <v>0</v>
      </c>
      <c r="AU149" s="307">
        <f t="shared" si="105"/>
        <v>0</v>
      </c>
      <c r="AV149" s="307">
        <f t="shared" si="105"/>
        <v>0</v>
      </c>
      <c r="AW149" s="307">
        <f t="shared" si="105"/>
        <v>0</v>
      </c>
      <c r="AX149" s="307">
        <f t="shared" si="105"/>
        <v>0</v>
      </c>
      <c r="AY149" s="307">
        <f t="shared" si="105"/>
        <v>0</v>
      </c>
      <c r="AZ149" s="307">
        <f t="shared" si="105"/>
        <v>0</v>
      </c>
      <c r="BA149" s="307">
        <f t="shared" si="105"/>
        <v>0</v>
      </c>
      <c r="BB149" s="307">
        <f t="shared" si="105"/>
        <v>0</v>
      </c>
      <c r="BC149" s="307">
        <f t="shared" si="105"/>
        <v>0</v>
      </c>
      <c r="BD149" s="307">
        <f t="shared" si="105"/>
        <v>0</v>
      </c>
      <c r="BE149" s="307">
        <f t="shared" si="105"/>
        <v>0</v>
      </c>
      <c r="BF149" s="307">
        <f t="shared" si="105"/>
        <v>0</v>
      </c>
      <c r="BG149" s="307">
        <f t="shared" si="105"/>
        <v>0</v>
      </c>
      <c r="BH149" s="307">
        <f t="shared" si="105"/>
        <v>0</v>
      </c>
      <c r="BI149" s="307">
        <f t="shared" si="105"/>
        <v>0</v>
      </c>
      <c r="BJ149" s="307">
        <f t="shared" si="105"/>
        <v>0</v>
      </c>
      <c r="BK149" s="307">
        <f t="shared" si="105"/>
        <v>0</v>
      </c>
      <c r="BL149" s="307">
        <f>IF(BL139&lt;0,MAX(-$C$10,200000*BL139),MIN(200000*BL139,$C$10)-IF(AND($D129&lt;$C$8*BL121,$D129&gt;0),$C$9,0))</f>
        <v>0</v>
      </c>
      <c r="BM149" s="307">
        <f>IF(BM139&lt;0,MAX(-$C$10,200000*BM139),MIN(200000*BM139,$C$10)-IF(AND($D129&lt;$C$8*BM121,$D129&gt;0),$C$9,0))</f>
        <v>0</v>
      </c>
      <c r="BN149" s="307">
        <f>IF(BN139&lt;0,MAX(-$C$10,200000*BN139),MIN(200000*BN139,$C$10)-IF(AND($D129&lt;$C$8*BN121,$D129&gt;0),$C$9,0))</f>
        <v>0</v>
      </c>
      <c r="BO149" s="12">
        <f>IF(D149=0,0,BO142)</f>
        <v>0</v>
      </c>
      <c r="BP149" s="43"/>
      <c r="BQ149" s="43"/>
      <c r="BR149" s="42"/>
      <c r="BS149"/>
      <c r="BT149"/>
    </row>
    <row r="150" spans="2:72" ht="16.5">
      <c r="B150" s="11">
        <f t="shared" si="93"/>
        <v>9</v>
      </c>
      <c r="C150" s="302" t="s">
        <v>61</v>
      </c>
      <c r="D150" s="12">
        <f t="shared" ref="D150:AI150" si="106">IF(D140&lt;0,MAX(-$C$10,200000*D140),MIN(200000*D140,$C$10)-IF(AND($D130&lt;$C$8*D121,$D130&gt;0),$C$9,0))</f>
        <v>0</v>
      </c>
      <c r="E150" s="307">
        <f t="shared" si="106"/>
        <v>0</v>
      </c>
      <c r="F150" s="307">
        <f t="shared" si="106"/>
        <v>0</v>
      </c>
      <c r="G150" s="307">
        <f t="shared" si="106"/>
        <v>0</v>
      </c>
      <c r="H150" s="307">
        <f t="shared" si="106"/>
        <v>0</v>
      </c>
      <c r="I150" s="307">
        <f t="shared" si="106"/>
        <v>0</v>
      </c>
      <c r="J150" s="307">
        <f t="shared" si="106"/>
        <v>0</v>
      </c>
      <c r="K150" s="307">
        <f t="shared" si="106"/>
        <v>0</v>
      </c>
      <c r="L150" s="307">
        <f t="shared" si="106"/>
        <v>0</v>
      </c>
      <c r="M150" s="307">
        <f t="shared" si="106"/>
        <v>0</v>
      </c>
      <c r="N150" s="307">
        <f t="shared" si="106"/>
        <v>0</v>
      </c>
      <c r="O150" s="307">
        <f t="shared" si="106"/>
        <v>0</v>
      </c>
      <c r="P150" s="307">
        <f t="shared" si="106"/>
        <v>0</v>
      </c>
      <c r="Q150" s="307">
        <f t="shared" si="106"/>
        <v>0</v>
      </c>
      <c r="R150" s="307">
        <f t="shared" si="106"/>
        <v>0</v>
      </c>
      <c r="S150" s="307">
        <f t="shared" si="106"/>
        <v>0</v>
      </c>
      <c r="T150" s="307">
        <f t="shared" si="106"/>
        <v>0</v>
      </c>
      <c r="U150" s="307">
        <f t="shared" si="106"/>
        <v>0</v>
      </c>
      <c r="V150" s="307">
        <f t="shared" si="106"/>
        <v>0</v>
      </c>
      <c r="W150" s="307">
        <f t="shared" si="106"/>
        <v>0</v>
      </c>
      <c r="X150" s="307">
        <f t="shared" si="106"/>
        <v>0</v>
      </c>
      <c r="Y150" s="307">
        <f t="shared" si="106"/>
        <v>0</v>
      </c>
      <c r="Z150" s="307">
        <f t="shared" si="106"/>
        <v>0</v>
      </c>
      <c r="AA150" s="307">
        <f t="shared" si="106"/>
        <v>0</v>
      </c>
      <c r="AB150" s="307">
        <f t="shared" si="106"/>
        <v>0</v>
      </c>
      <c r="AC150" s="307">
        <f t="shared" si="106"/>
        <v>0</v>
      </c>
      <c r="AD150" s="307">
        <f t="shared" si="106"/>
        <v>0</v>
      </c>
      <c r="AE150" s="307">
        <f t="shared" si="106"/>
        <v>0</v>
      </c>
      <c r="AF150" s="307">
        <f t="shared" si="106"/>
        <v>0</v>
      </c>
      <c r="AG150" s="307">
        <f t="shared" si="106"/>
        <v>0</v>
      </c>
      <c r="AH150" s="307">
        <f t="shared" si="106"/>
        <v>0</v>
      </c>
      <c r="AI150" s="307">
        <f t="shared" si="106"/>
        <v>0</v>
      </c>
      <c r="AJ150" s="307">
        <f t="shared" ref="AJ150:BK150" si="107">IF(AJ140&lt;0,MAX(-$C$10,200000*AJ140),MIN(200000*AJ140,$C$10)-IF(AND($D130&lt;$C$8*AJ121,$D130&gt;0),$C$9,0))</f>
        <v>0</v>
      </c>
      <c r="AK150" s="307">
        <f t="shared" si="107"/>
        <v>0</v>
      </c>
      <c r="AL150" s="307">
        <f t="shared" si="107"/>
        <v>0</v>
      </c>
      <c r="AM150" s="307">
        <f t="shared" si="107"/>
        <v>0</v>
      </c>
      <c r="AN150" s="307">
        <f t="shared" si="107"/>
        <v>0</v>
      </c>
      <c r="AO150" s="307">
        <f t="shared" si="107"/>
        <v>0</v>
      </c>
      <c r="AP150" s="307">
        <f t="shared" si="107"/>
        <v>0</v>
      </c>
      <c r="AQ150" s="307">
        <f t="shared" si="107"/>
        <v>0</v>
      </c>
      <c r="AR150" s="61">
        <f t="shared" si="107"/>
        <v>0</v>
      </c>
      <c r="AS150" s="307">
        <f t="shared" si="107"/>
        <v>0</v>
      </c>
      <c r="AT150" s="307">
        <f t="shared" si="107"/>
        <v>0</v>
      </c>
      <c r="AU150" s="307">
        <f t="shared" si="107"/>
        <v>0</v>
      </c>
      <c r="AV150" s="307">
        <f t="shared" si="107"/>
        <v>0</v>
      </c>
      <c r="AW150" s="307">
        <f t="shared" si="107"/>
        <v>0</v>
      </c>
      <c r="AX150" s="307">
        <f t="shared" si="107"/>
        <v>0</v>
      </c>
      <c r="AY150" s="307">
        <f t="shared" si="107"/>
        <v>0</v>
      </c>
      <c r="AZ150" s="307">
        <f t="shared" si="107"/>
        <v>0</v>
      </c>
      <c r="BA150" s="307">
        <f t="shared" si="107"/>
        <v>0</v>
      </c>
      <c r="BB150" s="307">
        <f t="shared" si="107"/>
        <v>0</v>
      </c>
      <c r="BC150" s="307">
        <f t="shared" si="107"/>
        <v>0</v>
      </c>
      <c r="BD150" s="307">
        <f t="shared" si="107"/>
        <v>0</v>
      </c>
      <c r="BE150" s="307">
        <f t="shared" si="107"/>
        <v>0</v>
      </c>
      <c r="BF150" s="307">
        <f t="shared" si="107"/>
        <v>0</v>
      </c>
      <c r="BG150" s="307">
        <f t="shared" si="107"/>
        <v>0</v>
      </c>
      <c r="BH150" s="307">
        <f t="shared" si="107"/>
        <v>0</v>
      </c>
      <c r="BI150" s="307">
        <f t="shared" si="107"/>
        <v>0</v>
      </c>
      <c r="BJ150" s="307">
        <f t="shared" si="107"/>
        <v>0</v>
      </c>
      <c r="BK150" s="307">
        <f t="shared" si="107"/>
        <v>0</v>
      </c>
      <c r="BL150" s="307">
        <f>IF(BL140&lt;0,MAX(-$C$10,200000*BL140),MIN(200000*BL140,$C$10)-IF(AND($D130&lt;$C$8*BL121,$D130&gt;0),$C$9,0))</f>
        <v>0</v>
      </c>
      <c r="BM150" s="307">
        <f>IF(BM140&lt;0,MAX(-$C$10,200000*BM140),MIN(200000*BM140,$C$10)-IF(AND($D130&lt;$C$8*BM121,$D130&gt;0),$C$9,0))</f>
        <v>0</v>
      </c>
      <c r="BN150" s="307">
        <f>IF(BN140&lt;0,MAX(-$C$10,200000*BN140),MIN(200000*BN140,$C$10)-IF(AND($D130&lt;$C$8*BN121,$D130&gt;0),$C$9,0))</f>
        <v>0</v>
      </c>
      <c r="BO150" s="12">
        <f>IF(D150=0,0,BO142)</f>
        <v>0</v>
      </c>
      <c r="BP150" s="43"/>
      <c r="BQ150" s="43"/>
      <c r="BR150" s="42"/>
      <c r="BS150"/>
      <c r="BT150"/>
    </row>
    <row r="151" spans="2:72" ht="16.5">
      <c r="B151" s="294" t="s">
        <v>62</v>
      </c>
      <c r="C151" s="302" t="s">
        <v>63</v>
      </c>
      <c r="D151" s="12">
        <f t="shared" ref="D151:BJ151" si="108">IF(D141&lt;0,MAX(-$C$10,200000*D141),MIN(200000*D141,$C$10)-IF(AND($F118&lt;$C$8*D121,$D131&gt;0),$C$9,0))</f>
        <v>-434.78260869565219</v>
      </c>
      <c r="E151" s="307">
        <f t="shared" si="108"/>
        <v>-434.78260869565219</v>
      </c>
      <c r="F151" s="307">
        <f t="shared" si="108"/>
        <v>-434.78260869565219</v>
      </c>
      <c r="G151" s="307">
        <f t="shared" si="108"/>
        <v>-434.78260869565219</v>
      </c>
      <c r="H151" s="307">
        <f t="shared" si="108"/>
        <v>-434.78260869565219</v>
      </c>
      <c r="I151" s="307">
        <f t="shared" si="108"/>
        <v>-434.78260869565219</v>
      </c>
      <c r="J151" s="307">
        <f t="shared" si="108"/>
        <v>-434.78260869565219</v>
      </c>
      <c r="K151" s="307">
        <f t="shared" si="108"/>
        <v>-434.78260869565219</v>
      </c>
      <c r="L151" s="307">
        <f t="shared" si="108"/>
        <v>-434.78260869565219</v>
      </c>
      <c r="M151" s="307">
        <f t="shared" si="108"/>
        <v>-434.78260869565219</v>
      </c>
      <c r="N151" s="307">
        <f t="shared" si="108"/>
        <v>-434.78260869565219</v>
      </c>
      <c r="O151" s="307">
        <f t="shared" si="108"/>
        <v>-434.78260869565219</v>
      </c>
      <c r="P151" s="307">
        <f t="shared" si="108"/>
        <v>-434.78260869565219</v>
      </c>
      <c r="Q151" s="307">
        <f t="shared" si="108"/>
        <v>-434.78260869565219</v>
      </c>
      <c r="R151" s="307">
        <f t="shared" si="108"/>
        <v>-434.78260869565219</v>
      </c>
      <c r="S151" s="307">
        <f t="shared" si="108"/>
        <v>-434.78260869565219</v>
      </c>
      <c r="T151" s="307">
        <f t="shared" si="108"/>
        <v>-434.78260869565219</v>
      </c>
      <c r="U151" s="307">
        <f t="shared" si="108"/>
        <v>-434.78260869565219</v>
      </c>
      <c r="V151" s="307">
        <f t="shared" si="108"/>
        <v>-434.78260869565219</v>
      </c>
      <c r="W151" s="307">
        <f t="shared" si="108"/>
        <v>-434.78260869565219</v>
      </c>
      <c r="X151" s="307">
        <f t="shared" si="108"/>
        <v>-434.78260869565219</v>
      </c>
      <c r="Y151" s="307">
        <f t="shared" si="108"/>
        <v>-434.78260869565219</v>
      </c>
      <c r="Z151" s="307">
        <f t="shared" si="108"/>
        <v>-434.78260869565219</v>
      </c>
      <c r="AA151" s="307">
        <f t="shared" si="108"/>
        <v>-434.78260869565219</v>
      </c>
      <c r="AB151" s="307">
        <f t="shared" si="108"/>
        <v>-434.78260869565219</v>
      </c>
      <c r="AC151" s="307">
        <f t="shared" si="108"/>
        <v>-434.78260869565219</v>
      </c>
      <c r="AD151" s="307">
        <f t="shared" si="108"/>
        <v>-434.78260869565219</v>
      </c>
      <c r="AE151" s="307">
        <f t="shared" si="108"/>
        <v>-434.78260869565219</v>
      </c>
      <c r="AF151" s="307">
        <f t="shared" si="108"/>
        <v>-434.78260869565219</v>
      </c>
      <c r="AG151" s="307">
        <f t="shared" si="108"/>
        <v>-434.78260869565219</v>
      </c>
      <c r="AH151" s="307">
        <f t="shared" si="108"/>
        <v>-434.78260869565219</v>
      </c>
      <c r="AI151" s="307">
        <f t="shared" si="108"/>
        <v>-434.78260869565219</v>
      </c>
      <c r="AJ151" s="307">
        <f t="shared" si="108"/>
        <v>-434.78260869565219</v>
      </c>
      <c r="AK151" s="307">
        <f t="shared" si="108"/>
        <v>-434.78260869565219</v>
      </c>
      <c r="AL151" s="307">
        <f t="shared" si="108"/>
        <v>-434.78260869565219</v>
      </c>
      <c r="AM151" s="307">
        <f t="shared" si="108"/>
        <v>-434.78260869565219</v>
      </c>
      <c r="AN151" s="307">
        <f t="shared" si="108"/>
        <v>-434.78260869565219</v>
      </c>
      <c r="AO151" s="307">
        <f t="shared" si="108"/>
        <v>-434.78260869565219</v>
      </c>
      <c r="AP151" s="307">
        <f t="shared" si="108"/>
        <v>-434.78260869565219</v>
      </c>
      <c r="AQ151" s="307">
        <f t="shared" si="108"/>
        <v>-434.78260869565219</v>
      </c>
      <c r="AR151" s="61">
        <f t="shared" si="108"/>
        <v>-434.78260869565219</v>
      </c>
      <c r="AS151" s="307">
        <f t="shared" si="108"/>
        <v>-355.01512925647381</v>
      </c>
      <c r="AT151" s="307">
        <f t="shared" si="108"/>
        <v>-285.7253581279524</v>
      </c>
      <c r="AU151" s="307">
        <f t="shared" si="108"/>
        <v>-224.97610368916321</v>
      </c>
      <c r="AV151" s="307">
        <f t="shared" si="108"/>
        <v>-171.28000060359591</v>
      </c>
      <c r="AW151" s="307">
        <f t="shared" si="108"/>
        <v>-123.47610834534508</v>
      </c>
      <c r="AX151" s="307">
        <f t="shared" si="108"/>
        <v>-80.645020273495021</v>
      </c>
      <c r="AY151" s="307">
        <f t="shared" si="108"/>
        <v>-42.049155256481761</v>
      </c>
      <c r="AZ151" s="307">
        <f t="shared" si="108"/>
        <v>-7.0899270898944327</v>
      </c>
      <c r="BA151" s="307">
        <f t="shared" si="108"/>
        <v>24.723523862245333</v>
      </c>
      <c r="BB151" s="307">
        <f t="shared" si="108"/>
        <v>53.79752147972556</v>
      </c>
      <c r="BC151" s="307">
        <f t="shared" si="108"/>
        <v>80.471301112103816</v>
      </c>
      <c r="BD151" s="307">
        <f t="shared" si="108"/>
        <v>105.03030700635067</v>
      </c>
      <c r="BE151" s="307">
        <f t="shared" si="108"/>
        <v>125.58447102302416</v>
      </c>
      <c r="BF151" s="307">
        <f t="shared" si="108"/>
        <v>118.57214034090977</v>
      </c>
      <c r="BG151" s="307">
        <f t="shared" si="108"/>
        <v>132.18491867176388</v>
      </c>
      <c r="BH151" s="307">
        <f t="shared" si="108"/>
        <v>144.1310654919042</v>
      </c>
      <c r="BI151" s="307">
        <f t="shared" si="108"/>
        <v>154.69899723167447</v>
      </c>
      <c r="BJ151" s="307">
        <f t="shared" si="108"/>
        <v>164.11421114901574</v>
      </c>
      <c r="BK151" s="307">
        <f>IF(BK141&lt;0,MAX(-$C$10,200000*BK141),MIN(200000*BK141,$C$10)-IF(AND($F118&lt;$C$8*BK121,$D131&gt;0),$C$9,0))</f>
        <v>172.55555555555557</v>
      </c>
      <c r="BL151" s="307">
        <f>IF(BL141&lt;0,MAX(-$C$10,200000*BL141),MIN(200000*BL141,$C$10)-IF(AND($F118&lt;$C$8*BL121,$D131&gt;0),$C$9,0))</f>
        <v>240.27083333333334</v>
      </c>
      <c r="BM151" s="307">
        <f>IF(BM141&lt;0,MAX(-$C$10,200000*BM141),MIN(200000*BM141,$C$10)-IF(AND($F118&lt;$C$8*BM121,$D131&gt;0),$C$9,0))</f>
        <v>266.768115942029</v>
      </c>
      <c r="BN151" s="307">
        <f>IF(BN141&lt;0,MAX(-$C$10,200000*BN141),MIN(200000*BN141,$C$10)-IF(AND($F118&lt;$C$8*BN121,$D131&gt;0),$C$9,0))</f>
        <v>280.89999999999998</v>
      </c>
      <c r="BO151" s="12">
        <f>BO142</f>
        <v>327.33333333333331</v>
      </c>
      <c r="BS151"/>
      <c r="BT151"/>
    </row>
    <row r="152" spans="2:72" ht="16.5">
      <c r="B152" s="290" t="s">
        <v>64</v>
      </c>
      <c r="C152" s="298" t="s">
        <v>65</v>
      </c>
      <c r="D152" s="3">
        <f>D142*$I118*MAIN!$C$16/MAIN!$Q$1</f>
        <v>-487983.54859050212</v>
      </c>
      <c r="E152" s="13">
        <f>E142*$I118*MAIN!$C$16/MAIN!$Q$1</f>
        <v>-352837.2868624843</v>
      </c>
      <c r="F152" s="13">
        <f>F142*$I118*MAIN!$C$16/MAIN!$Q$1</f>
        <v>-235977.6951857846</v>
      </c>
      <c r="G152" s="13">
        <f>G142*$I118*MAIN!$C$16/MAIN!$Q$1</f>
        <v>-133928.40753240045</v>
      </c>
      <c r="H152" s="13">
        <f>H142*$I118*MAIN!$C$16/MAIN!$Q$1</f>
        <v>-44041.708644336475</v>
      </c>
      <c r="I152" s="13">
        <f>I142*$I118*MAIN!$C$16/MAIN!$Q$1</f>
        <v>35734.483729638312</v>
      </c>
      <c r="J152" s="13">
        <f>J142*$I118*MAIN!$C$16/MAIN!$Q$1</f>
        <v>107015.1933961</v>
      </c>
      <c r="K152" s="13">
        <f>K142*$I118*MAIN!$C$16/MAIN!$Q$1</f>
        <v>171088.86086059888</v>
      </c>
      <c r="L152" s="13">
        <f>L142*$I118*MAIN!$C$16/MAIN!$Q$1</f>
        <v>228995.92127420529</v>
      </c>
      <c r="M152" s="13">
        <f>M142*$I118*MAIN!$C$16/MAIN!$Q$1</f>
        <v>237079.84048154499</v>
      </c>
      <c r="N152" s="13">
        <f>N142*$I118*MAIN!$C$16/MAIN!$Q$1</f>
        <v>285052.63600536453</v>
      </c>
      <c r="O152" s="13">
        <f>O142*$I118*MAIN!$C$16/MAIN!$Q$1</f>
        <v>328990.8578349835</v>
      </c>
      <c r="P152" s="13">
        <f>P142*$I118*MAIN!$C$16/MAIN!$Q$1</f>
        <v>369382.93639865651</v>
      </c>
      <c r="Q152" s="13">
        <f>Q142*$I118*MAIN!$C$16/MAIN!$Q$1</f>
        <v>406641.52022730641</v>
      </c>
      <c r="R152" s="13">
        <f>R142*$I118*MAIN!$C$16/MAIN!$Q$1</f>
        <v>441117.62447816809</v>
      </c>
      <c r="S152" s="13">
        <f>S142*$I118*MAIN!$C$16/MAIN!$Q$1</f>
        <v>473111.72371526889</v>
      </c>
      <c r="T152" s="13">
        <f>T142*$I118*MAIN!$C$16/MAIN!$Q$1</f>
        <v>502882.53215628531</v>
      </c>
      <c r="U152" s="13">
        <f>U142*$I118*MAIN!$C$16/MAIN!$Q$1</f>
        <v>530654.01494767901</v>
      </c>
      <c r="V152" s="13">
        <f>V142*$I118*MAIN!$C$16/MAIN!$Q$1</f>
        <v>556621.03275726549</v>
      </c>
      <c r="W152" s="13">
        <f>W142*$I118*MAIN!$C$16/MAIN!$Q$1</f>
        <v>580953.92070756992</v>
      </c>
      <c r="X152" s="13">
        <f>X142*$I118*MAIN!$C$16/MAIN!$Q$1</f>
        <v>603802.22921009897</v>
      </c>
      <c r="Y152" s="13">
        <f>Y142*$I118*MAIN!$C$16/MAIN!$Q$1</f>
        <v>625297.8003697464</v>
      </c>
      <c r="Z152" s="13">
        <f>Z142*$I118*MAIN!$C$16/MAIN!$Q$1</f>
        <v>645557.3136825976</v>
      </c>
      <c r="AA152" s="13">
        <f>AA142*$I118*MAIN!$C$16/MAIN!$Q$1</f>
        <v>664684.40485212626</v>
      </c>
      <c r="AB152" s="13">
        <f>AB142*$I118*MAIN!$C$16/MAIN!$Q$1</f>
        <v>682771.43896636087</v>
      </c>
      <c r="AC152" s="13">
        <f>AC142*$I118*MAIN!$C$16/MAIN!$Q$1</f>
        <v>699901.00207569497</v>
      </c>
      <c r="AD152" s="13">
        <f>AD142*$I118*MAIN!$C$16/MAIN!$Q$1</f>
        <v>716147.16200043599</v>
      </c>
      <c r="AE152" s="13">
        <f>AE142*$I118*MAIN!$C$16/MAIN!$Q$1</f>
        <v>731576.53897536523</v>
      </c>
      <c r="AF152" s="13">
        <f>AF142*$I118*MAIN!$C$16/MAIN!$Q$1</f>
        <v>746249.21877263184</v>
      </c>
      <c r="AG152" s="13">
        <f>AG142*$I118*MAIN!$C$16/MAIN!$Q$1</f>
        <v>760219.53469430213</v>
      </c>
      <c r="AH152" s="13">
        <f>AH142*$I118*MAIN!$C$16/MAIN!$Q$1</f>
        <v>773536.73989070789</v>
      </c>
      <c r="AI152" s="13">
        <f>AI142*$I118*MAIN!$C$16/MAIN!$Q$1</f>
        <v>786245.58754011232</v>
      </c>
      <c r="AJ152" s="13">
        <f>AJ142*$I118*MAIN!$C$16/MAIN!$Q$1</f>
        <v>798386.8332925078</v>
      </c>
      <c r="AK152" s="13">
        <f>AK142*$I118*MAIN!$C$16/MAIN!$Q$1</f>
        <v>809187.759940936</v>
      </c>
      <c r="AL152" s="13">
        <f>AL142*$I118*MAIN!$C$16/MAIN!$Q$1</f>
        <v>809187.759940936</v>
      </c>
      <c r="AM152" s="13">
        <f>AM142*$I118*MAIN!$C$16/MAIN!$Q$1</f>
        <v>809187.759940936</v>
      </c>
      <c r="AN152" s="13">
        <f>AN142*$I118*MAIN!$C$16/MAIN!$Q$1</f>
        <v>809187.759940936</v>
      </c>
      <c r="AO152" s="13">
        <f>AO142*$I118*MAIN!$C$16/MAIN!$Q$1</f>
        <v>809187.759940936</v>
      </c>
      <c r="AP152" s="13">
        <f>AP142*$I118*MAIN!$C$16/MAIN!$Q$1</f>
        <v>809187.759940936</v>
      </c>
      <c r="AQ152" s="13">
        <f>AQ142*$I118*MAIN!$C$16/MAIN!$Q$1</f>
        <v>809187.759940936</v>
      </c>
      <c r="AR152" s="56">
        <f>AR142*$I118*MAIN!$C$16/MAIN!$Q$1</f>
        <v>809187.759940936</v>
      </c>
      <c r="AS152" s="13">
        <f>AS142*$I118*MAIN!$C$16/MAIN!$Q$1</f>
        <v>809187.759940936</v>
      </c>
      <c r="AT152" s="13">
        <f>AT142*$I118*MAIN!$C$16/MAIN!$Q$1</f>
        <v>809187.759940936</v>
      </c>
      <c r="AU152" s="13">
        <f>AU142*$I118*MAIN!$C$16/MAIN!$Q$1</f>
        <v>809187.759940936</v>
      </c>
      <c r="AV152" s="13">
        <f>AV142*$I118*MAIN!$C$16/MAIN!$Q$1</f>
        <v>809187.759940936</v>
      </c>
      <c r="AW152" s="13">
        <f>AW142*$I118*MAIN!$C$16/MAIN!$Q$1</f>
        <v>809187.759940936</v>
      </c>
      <c r="AX152" s="13">
        <f>AX142*$I118*MAIN!$C$16/MAIN!$Q$1</f>
        <v>809187.759940936</v>
      </c>
      <c r="AY152" s="13">
        <f>AY142*$I118*MAIN!$C$16/MAIN!$Q$1</f>
        <v>809187.759940936</v>
      </c>
      <c r="AZ152" s="13">
        <f>AZ142*$I118*MAIN!$C$16/MAIN!$Q$1</f>
        <v>809187.759940936</v>
      </c>
      <c r="BA152" s="13">
        <f>BA142*$I118*MAIN!$C$16/MAIN!$Q$1</f>
        <v>809187.759940936</v>
      </c>
      <c r="BB152" s="13">
        <f>BB142*$I118*MAIN!$C$16/MAIN!$Q$1</f>
        <v>809187.759940936</v>
      </c>
      <c r="BC152" s="13">
        <f>BC142*$I118*MAIN!$C$16/MAIN!$Q$1</f>
        <v>809187.759940936</v>
      </c>
      <c r="BD152" s="13">
        <f>BD142*$I118*MAIN!$C$16/MAIN!$Q$1</f>
        <v>809187.759940936</v>
      </c>
      <c r="BE152" s="13">
        <f>BE142*$I118*MAIN!$C$16/MAIN!$Q$1</f>
        <v>809187.759940936</v>
      </c>
      <c r="BF152" s="13">
        <f>BF142*$I118*MAIN!$C$16/MAIN!$Q$1</f>
        <v>809187.759940936</v>
      </c>
      <c r="BG152" s="13">
        <f>BG142*$I118*MAIN!$C$16/MAIN!$Q$1</f>
        <v>809187.759940936</v>
      </c>
      <c r="BH152" s="13">
        <f>BH142*$I118*MAIN!$C$16/MAIN!$Q$1</f>
        <v>809187.759940936</v>
      </c>
      <c r="BI152" s="13">
        <f>BI142*$I118*MAIN!$C$16/MAIN!$Q$1</f>
        <v>809187.759940936</v>
      </c>
      <c r="BJ152" s="13">
        <f>BJ142*$I118*MAIN!$C$16/MAIN!$Q$1</f>
        <v>809187.759940936</v>
      </c>
      <c r="BK152" s="13">
        <f>BK142*$I118*MAIN!$C$16/MAIN!$Q$1</f>
        <v>809187.759940936</v>
      </c>
      <c r="BL152" s="13">
        <f>BL142*$I118*MAIN!$C$16/MAIN!$Q$1</f>
        <v>809187.759940936</v>
      </c>
      <c r="BM152" s="13">
        <f>BM142*$I118*MAIN!$C$16/MAIN!$Q$1</f>
        <v>761637.0233091556</v>
      </c>
      <c r="BN152" s="13">
        <f>BN142*$I118*MAIN!$C$16/MAIN!$Q$1</f>
        <v>733889.13384796539</v>
      </c>
      <c r="BO152" s="3">
        <f>BO142*$I118*MAIN!$C$16/MAIN!$Q$1</f>
        <v>642717.49704691162</v>
      </c>
      <c r="BS152"/>
      <c r="BT152"/>
    </row>
    <row r="153" spans="2:72" ht="16.5">
      <c r="B153" s="14">
        <v>2</v>
      </c>
      <c r="C153" s="298" t="s">
        <v>66</v>
      </c>
      <c r="D153" s="3">
        <f>D143*$I118*2/MAIN!$Q$1</f>
        <v>0</v>
      </c>
      <c r="E153" s="13">
        <f>E143*$I118*2/MAIN!$Q$1</f>
        <v>0</v>
      </c>
      <c r="F153" s="13">
        <f>F143*$I118*2/MAIN!$Q$1</f>
        <v>0</v>
      </c>
      <c r="G153" s="13">
        <f>G143*$I118*2/MAIN!$Q$1</f>
        <v>0</v>
      </c>
      <c r="H153" s="13">
        <f>H143*$I118*2/MAIN!$Q$1</f>
        <v>0</v>
      </c>
      <c r="I153" s="13">
        <f>I143*$I118*2/MAIN!$Q$1</f>
        <v>0</v>
      </c>
      <c r="J153" s="13">
        <f>J143*$I118*2/MAIN!$Q$1</f>
        <v>0</v>
      </c>
      <c r="K153" s="13">
        <f>K143*$I118*2/MAIN!$Q$1</f>
        <v>0</v>
      </c>
      <c r="L153" s="13">
        <f>L143*$I118*2/MAIN!$Q$1</f>
        <v>0</v>
      </c>
      <c r="M153" s="13">
        <f>M143*$I118*2/MAIN!$Q$1</f>
        <v>0</v>
      </c>
      <c r="N153" s="13">
        <f>N143*$I118*2/MAIN!$Q$1</f>
        <v>0</v>
      </c>
      <c r="O153" s="13">
        <f>O143*$I118*2/MAIN!$Q$1</f>
        <v>0</v>
      </c>
      <c r="P153" s="13">
        <f>P143*$I118*2/MAIN!$Q$1</f>
        <v>0</v>
      </c>
      <c r="Q153" s="13">
        <f>Q143*$I118*2/MAIN!$Q$1</f>
        <v>0</v>
      </c>
      <c r="R153" s="13">
        <f>R143*$I118*2/MAIN!$Q$1</f>
        <v>0</v>
      </c>
      <c r="S153" s="13">
        <f>S143*$I118*2/MAIN!$Q$1</f>
        <v>0</v>
      </c>
      <c r="T153" s="13">
        <f>T143*$I118*2/MAIN!$Q$1</f>
        <v>0</v>
      </c>
      <c r="U153" s="13">
        <f>U143*$I118*2/MAIN!$Q$1</f>
        <v>0</v>
      </c>
      <c r="V153" s="13">
        <f>V143*$I118*2/MAIN!$Q$1</f>
        <v>0</v>
      </c>
      <c r="W153" s="13">
        <f>W143*$I118*2/MAIN!$Q$1</f>
        <v>0</v>
      </c>
      <c r="X153" s="13">
        <f>X143*$I118*2/MAIN!$Q$1</f>
        <v>0</v>
      </c>
      <c r="Y153" s="13">
        <f>Y143*$I118*2/MAIN!$Q$1</f>
        <v>0</v>
      </c>
      <c r="Z153" s="13">
        <f>Z143*$I118*2/MAIN!$Q$1</f>
        <v>0</v>
      </c>
      <c r="AA153" s="13">
        <f>AA143*$I118*2/MAIN!$Q$1</f>
        <v>0</v>
      </c>
      <c r="AB153" s="13">
        <f>AB143*$I118*2/MAIN!$Q$1</f>
        <v>0</v>
      </c>
      <c r="AC153" s="13">
        <f>AC143*$I118*2/MAIN!$Q$1</f>
        <v>0</v>
      </c>
      <c r="AD153" s="13">
        <f>AD143*$I118*2/MAIN!$Q$1</f>
        <v>0</v>
      </c>
      <c r="AE153" s="13">
        <f>AE143*$I118*2/MAIN!$Q$1</f>
        <v>0</v>
      </c>
      <c r="AF153" s="13">
        <f>AF143*$I118*2/MAIN!$Q$1</f>
        <v>0</v>
      </c>
      <c r="AG153" s="13">
        <f>AG143*$I118*2/MAIN!$Q$1</f>
        <v>0</v>
      </c>
      <c r="AH153" s="13">
        <f>AH143*$I118*2/MAIN!$Q$1</f>
        <v>0</v>
      </c>
      <c r="AI153" s="13">
        <f>AI143*$I118*2/MAIN!$Q$1</f>
        <v>0</v>
      </c>
      <c r="AJ153" s="13">
        <f>AJ143*$I118*2/MAIN!$Q$1</f>
        <v>0</v>
      </c>
      <c r="AK153" s="13">
        <f>AK143*$I118*2/MAIN!$Q$1</f>
        <v>0</v>
      </c>
      <c r="AL153" s="13">
        <f>AL143*$I118*2/MAIN!$Q$1</f>
        <v>0</v>
      </c>
      <c r="AM153" s="13">
        <f>AM143*$I118*2/MAIN!$Q$1</f>
        <v>0</v>
      </c>
      <c r="AN153" s="13">
        <f>AN143*$I118*2/MAIN!$Q$1</f>
        <v>0</v>
      </c>
      <c r="AO153" s="13">
        <f>AO143*$I118*2/MAIN!$Q$1</f>
        <v>0</v>
      </c>
      <c r="AP153" s="13">
        <f>AP143*$I118*2/MAIN!$Q$1</f>
        <v>0</v>
      </c>
      <c r="AQ153" s="13">
        <f>AQ143*$I118*2/MAIN!$Q$1</f>
        <v>0</v>
      </c>
      <c r="AR153" s="56">
        <f>AR143*$I118*2/MAIN!$Q$1</f>
        <v>0</v>
      </c>
      <c r="AS153" s="13">
        <f>AS143*$I118*2/MAIN!$Q$1</f>
        <v>0</v>
      </c>
      <c r="AT153" s="13">
        <f>AT143*$I118*2/MAIN!$Q$1</f>
        <v>0</v>
      </c>
      <c r="AU153" s="13">
        <f>AU143*$I118*2/MAIN!$Q$1</f>
        <v>0</v>
      </c>
      <c r="AV153" s="13">
        <f>AV143*$I118*2/MAIN!$Q$1</f>
        <v>0</v>
      </c>
      <c r="AW153" s="13">
        <f>AW143*$I118*2/MAIN!$Q$1</f>
        <v>0</v>
      </c>
      <c r="AX153" s="13">
        <f>AX143*$I118*2/MAIN!$Q$1</f>
        <v>0</v>
      </c>
      <c r="AY153" s="13">
        <f>AY143*$I118*2/MAIN!$Q$1</f>
        <v>0</v>
      </c>
      <c r="AZ153" s="13">
        <f>AZ143*$I118*2/MAIN!$Q$1</f>
        <v>0</v>
      </c>
      <c r="BA153" s="13">
        <f>BA143*$I118*2/MAIN!$Q$1</f>
        <v>0</v>
      </c>
      <c r="BB153" s="13">
        <f>BB143*$I118*2/MAIN!$Q$1</f>
        <v>0</v>
      </c>
      <c r="BC153" s="13">
        <f>BC143*$I118*2/MAIN!$Q$1</f>
        <v>0</v>
      </c>
      <c r="BD153" s="13">
        <f>BD143*$I118*2/MAIN!$Q$1</f>
        <v>0</v>
      </c>
      <c r="BE153" s="13">
        <f>BE143*$I118*2/MAIN!$Q$1</f>
        <v>0</v>
      </c>
      <c r="BF153" s="13">
        <f>BF143*$I118*2/MAIN!$Q$1</f>
        <v>0</v>
      </c>
      <c r="BG153" s="13">
        <f>BG143*$I118*2/MAIN!$Q$1</f>
        <v>0</v>
      </c>
      <c r="BH153" s="13">
        <f>BH143*$I118*2/MAIN!$Q$1</f>
        <v>0</v>
      </c>
      <c r="BI153" s="13">
        <f>BI143*$I118*2/MAIN!$Q$1</f>
        <v>0</v>
      </c>
      <c r="BJ153" s="13">
        <f>BJ143*$I118*2/MAIN!$Q$1</f>
        <v>0</v>
      </c>
      <c r="BK153" s="13">
        <f>BK143*$I118*2/MAIN!$Q$1</f>
        <v>0</v>
      </c>
      <c r="BL153" s="13">
        <f>BL143*$I118*2/MAIN!$Q$1</f>
        <v>0</v>
      </c>
      <c r="BM153" s="13">
        <f>BM143*$I118*2/MAIN!$Q$1</f>
        <v>0</v>
      </c>
      <c r="BN153" s="13">
        <f>BN143*$I118*2/MAIN!$Q$1</f>
        <v>0</v>
      </c>
      <c r="BO153" s="3">
        <f>BO143*$I118*2/MAIN!$Q$1</f>
        <v>0</v>
      </c>
      <c r="BP153" s="43"/>
      <c r="BQ153" s="43"/>
      <c r="BR153" s="42"/>
      <c r="BS153"/>
      <c r="BT153"/>
    </row>
    <row r="154" spans="2:72" ht="16.5">
      <c r="B154" s="14">
        <f t="shared" ref="B154:B160" si="109">1+B153</f>
        <v>3</v>
      </c>
      <c r="C154" s="298" t="s">
        <v>66</v>
      </c>
      <c r="D154" s="3">
        <f>D144*$I118*2/MAIN!$Q$1</f>
        <v>0</v>
      </c>
      <c r="E154" s="13">
        <f>E144*$I118*2/MAIN!$Q$1</f>
        <v>0</v>
      </c>
      <c r="F154" s="13">
        <f>F144*$I118*2/MAIN!$Q$1</f>
        <v>0</v>
      </c>
      <c r="G154" s="13">
        <f>G144*$I118*2/MAIN!$Q$1</f>
        <v>0</v>
      </c>
      <c r="H154" s="13">
        <f>H144*$I118*2/MAIN!$Q$1</f>
        <v>0</v>
      </c>
      <c r="I154" s="13">
        <f>I144*$I118*2/MAIN!$Q$1</f>
        <v>0</v>
      </c>
      <c r="J154" s="13">
        <f>J144*$I118*2/MAIN!$Q$1</f>
        <v>0</v>
      </c>
      <c r="K154" s="13">
        <f>K144*$I118*2/MAIN!$Q$1</f>
        <v>0</v>
      </c>
      <c r="L154" s="13">
        <f>L144*$I118*2/MAIN!$Q$1</f>
        <v>0</v>
      </c>
      <c r="M154" s="13">
        <f>M144*$I118*2/MAIN!$Q$1</f>
        <v>0</v>
      </c>
      <c r="N154" s="13">
        <f>N144*$I118*2/MAIN!$Q$1</f>
        <v>0</v>
      </c>
      <c r="O154" s="13">
        <f>O144*$I118*2/MAIN!$Q$1</f>
        <v>0</v>
      </c>
      <c r="P154" s="13">
        <f>P144*$I118*2/MAIN!$Q$1</f>
        <v>0</v>
      </c>
      <c r="Q154" s="13">
        <f>Q144*$I118*2/MAIN!$Q$1</f>
        <v>0</v>
      </c>
      <c r="R154" s="13">
        <f>R144*$I118*2/MAIN!$Q$1</f>
        <v>0</v>
      </c>
      <c r="S154" s="13">
        <f>S144*$I118*2/MAIN!$Q$1</f>
        <v>0</v>
      </c>
      <c r="T154" s="13">
        <f>T144*$I118*2/MAIN!$Q$1</f>
        <v>0</v>
      </c>
      <c r="U154" s="13">
        <f>U144*$I118*2/MAIN!$Q$1</f>
        <v>0</v>
      </c>
      <c r="V154" s="13">
        <f>V144*$I118*2/MAIN!$Q$1</f>
        <v>0</v>
      </c>
      <c r="W154" s="13">
        <f>W144*$I118*2/MAIN!$Q$1</f>
        <v>0</v>
      </c>
      <c r="X154" s="13">
        <f>X144*$I118*2/MAIN!$Q$1</f>
        <v>0</v>
      </c>
      <c r="Y154" s="13">
        <f>Y144*$I118*2/MAIN!$Q$1</f>
        <v>0</v>
      </c>
      <c r="Z154" s="13">
        <f>Z144*$I118*2/MAIN!$Q$1</f>
        <v>0</v>
      </c>
      <c r="AA154" s="13">
        <f>AA144*$I118*2/MAIN!$Q$1</f>
        <v>0</v>
      </c>
      <c r="AB154" s="13">
        <f>AB144*$I118*2/MAIN!$Q$1</f>
        <v>0</v>
      </c>
      <c r="AC154" s="13">
        <f>AC144*$I118*2/MAIN!$Q$1</f>
        <v>0</v>
      </c>
      <c r="AD154" s="13">
        <f>AD144*$I118*2/MAIN!$Q$1</f>
        <v>0</v>
      </c>
      <c r="AE154" s="13">
        <f>AE144*$I118*2/MAIN!$Q$1</f>
        <v>0</v>
      </c>
      <c r="AF154" s="13">
        <f>AF144*$I118*2/MAIN!$Q$1</f>
        <v>0</v>
      </c>
      <c r="AG154" s="13">
        <f>AG144*$I118*2/MAIN!$Q$1</f>
        <v>0</v>
      </c>
      <c r="AH154" s="13">
        <f>AH144*$I118*2/MAIN!$Q$1</f>
        <v>0</v>
      </c>
      <c r="AI154" s="13">
        <f>AI144*$I118*2/MAIN!$Q$1</f>
        <v>0</v>
      </c>
      <c r="AJ154" s="13">
        <f>AJ144*$I118*2/MAIN!$Q$1</f>
        <v>0</v>
      </c>
      <c r="AK154" s="13">
        <f>AK144*$I118*2/MAIN!$Q$1</f>
        <v>0</v>
      </c>
      <c r="AL154" s="13">
        <f>AL144*$I118*2/MAIN!$Q$1</f>
        <v>0</v>
      </c>
      <c r="AM154" s="13">
        <f>AM144*$I118*2/MAIN!$Q$1</f>
        <v>0</v>
      </c>
      <c r="AN154" s="13">
        <f>AN144*$I118*2/MAIN!$Q$1</f>
        <v>0</v>
      </c>
      <c r="AO154" s="13">
        <f>AO144*$I118*2/MAIN!$Q$1</f>
        <v>0</v>
      </c>
      <c r="AP154" s="13">
        <f>AP144*$I118*2/MAIN!$Q$1</f>
        <v>0</v>
      </c>
      <c r="AQ154" s="13">
        <f>AQ144*$I118*2/MAIN!$Q$1</f>
        <v>0</v>
      </c>
      <c r="AR154" s="59">
        <f>AR144*$I118*2/MAIN!$Q$1</f>
        <v>0</v>
      </c>
      <c r="AS154" s="13">
        <f>AS144*$I118*2/MAIN!$Q$1</f>
        <v>0</v>
      </c>
      <c r="AT154" s="13">
        <f>AT144*$I118*2/MAIN!$Q$1</f>
        <v>0</v>
      </c>
      <c r="AU154" s="13">
        <f>AU144*$I118*2/MAIN!$Q$1</f>
        <v>0</v>
      </c>
      <c r="AV154" s="13">
        <f>AV144*$I118*2/MAIN!$Q$1</f>
        <v>0</v>
      </c>
      <c r="AW154" s="13">
        <f>AW144*$I118*2/MAIN!$Q$1</f>
        <v>0</v>
      </c>
      <c r="AX154" s="13">
        <f>AX144*$I118*2/MAIN!$Q$1</f>
        <v>0</v>
      </c>
      <c r="AY154" s="13">
        <f>AY144*$I118*2/MAIN!$Q$1</f>
        <v>0</v>
      </c>
      <c r="AZ154" s="13">
        <f>AZ144*$I118*2/MAIN!$Q$1</f>
        <v>0</v>
      </c>
      <c r="BA154" s="13">
        <f>BA144*$I118*2/MAIN!$Q$1</f>
        <v>0</v>
      </c>
      <c r="BB154" s="13">
        <f>BB144*$I118*2/MAIN!$Q$1</f>
        <v>0</v>
      </c>
      <c r="BC154" s="13">
        <f>BC144*$I118*2/MAIN!$Q$1</f>
        <v>0</v>
      </c>
      <c r="BD154" s="13">
        <f>BD144*$I118*2/MAIN!$Q$1</f>
        <v>0</v>
      </c>
      <c r="BE154" s="13">
        <f>BE144*$I118*2/MAIN!$Q$1</f>
        <v>0</v>
      </c>
      <c r="BF154" s="13">
        <f>BF144*$I118*2/MAIN!$Q$1</f>
        <v>0</v>
      </c>
      <c r="BG154" s="13">
        <f>BG144*$I118*2/MAIN!$Q$1</f>
        <v>0</v>
      </c>
      <c r="BH154" s="13">
        <f>BH144*$I118*2/MAIN!$Q$1</f>
        <v>0</v>
      </c>
      <c r="BI154" s="13">
        <f>BI144*$I118*2/MAIN!$Q$1</f>
        <v>0</v>
      </c>
      <c r="BJ154" s="13">
        <f>BJ144*$I118*2/MAIN!$Q$1</f>
        <v>0</v>
      </c>
      <c r="BK154" s="13">
        <f>BK144*$I118*2/MAIN!$Q$1</f>
        <v>0</v>
      </c>
      <c r="BL154" s="13">
        <f>BL144*$I118*2/MAIN!$Q$1</f>
        <v>0</v>
      </c>
      <c r="BM154" s="13">
        <f>BM144*$I118*2/MAIN!$Q$1</f>
        <v>0</v>
      </c>
      <c r="BN154" s="13">
        <f>BN144*$I118*2/MAIN!$Q$1</f>
        <v>0</v>
      </c>
      <c r="BO154" s="3">
        <f>BO144*$I118*2/MAIN!$Q$1</f>
        <v>0</v>
      </c>
      <c r="BP154" s="43"/>
      <c r="BQ154" s="43"/>
      <c r="BR154" s="42"/>
      <c r="BS154"/>
      <c r="BT154"/>
    </row>
    <row r="155" spans="2:72" ht="16.5">
      <c r="B155" s="14">
        <f t="shared" si="109"/>
        <v>4</v>
      </c>
      <c r="C155" s="298" t="s">
        <v>66</v>
      </c>
      <c r="D155" s="3">
        <f>D145*$I118*2/MAIN!$Q$1</f>
        <v>0</v>
      </c>
      <c r="E155" s="13">
        <f>E145*$I118*2/MAIN!$Q$1</f>
        <v>0</v>
      </c>
      <c r="F155" s="13">
        <f>F145*$I118*2/MAIN!$Q$1</f>
        <v>0</v>
      </c>
      <c r="G155" s="13">
        <f>G145*$I118*2/MAIN!$Q$1</f>
        <v>0</v>
      </c>
      <c r="H155" s="13">
        <f>H145*$I118*2/MAIN!$Q$1</f>
        <v>0</v>
      </c>
      <c r="I155" s="13">
        <f>I145*$I118*2/MAIN!$Q$1</f>
        <v>0</v>
      </c>
      <c r="J155" s="13">
        <f>J145*$I118*2/MAIN!$Q$1</f>
        <v>0</v>
      </c>
      <c r="K155" s="13">
        <f>K145*$I118*2/MAIN!$Q$1</f>
        <v>0</v>
      </c>
      <c r="L155" s="13">
        <f>L145*$I118*2/MAIN!$Q$1</f>
        <v>0</v>
      </c>
      <c r="M155" s="13">
        <f>M145*$I118*2/MAIN!$Q$1</f>
        <v>0</v>
      </c>
      <c r="N155" s="13">
        <f>N145*$I118*2/MAIN!$Q$1</f>
        <v>0</v>
      </c>
      <c r="O155" s="13">
        <f>O145*$I118*2/MAIN!$Q$1</f>
        <v>0</v>
      </c>
      <c r="P155" s="13">
        <f>P145*$I118*2/MAIN!$Q$1</f>
        <v>0</v>
      </c>
      <c r="Q155" s="13">
        <f>Q145*$I118*2/MAIN!$Q$1</f>
        <v>0</v>
      </c>
      <c r="R155" s="13">
        <f>R145*$I118*2/MAIN!$Q$1</f>
        <v>0</v>
      </c>
      <c r="S155" s="13">
        <f>S145*$I118*2/MAIN!$Q$1</f>
        <v>0</v>
      </c>
      <c r="T155" s="13">
        <f>T145*$I118*2/MAIN!$Q$1</f>
        <v>0</v>
      </c>
      <c r="U155" s="13">
        <f>U145*$I118*2/MAIN!$Q$1</f>
        <v>0</v>
      </c>
      <c r="V155" s="13">
        <f>V145*$I118*2/MAIN!$Q$1</f>
        <v>0</v>
      </c>
      <c r="W155" s="13">
        <f>W145*$I118*2/MAIN!$Q$1</f>
        <v>0</v>
      </c>
      <c r="X155" s="13">
        <f>X145*$I118*2/MAIN!$Q$1</f>
        <v>0</v>
      </c>
      <c r="Y155" s="13">
        <f>Y145*$I118*2/MAIN!$Q$1</f>
        <v>0</v>
      </c>
      <c r="Z155" s="13">
        <f>Z145*$I118*2/MAIN!$Q$1</f>
        <v>0</v>
      </c>
      <c r="AA155" s="13">
        <f>AA145*$I118*2/MAIN!$Q$1</f>
        <v>0</v>
      </c>
      <c r="AB155" s="13">
        <f>AB145*$I118*2/MAIN!$Q$1</f>
        <v>0</v>
      </c>
      <c r="AC155" s="13">
        <f>AC145*$I118*2/MAIN!$Q$1</f>
        <v>0</v>
      </c>
      <c r="AD155" s="13">
        <f>AD145*$I118*2/MAIN!$Q$1</f>
        <v>0</v>
      </c>
      <c r="AE155" s="13">
        <f>AE145*$I118*2/MAIN!$Q$1</f>
        <v>0</v>
      </c>
      <c r="AF155" s="13">
        <f>AF145*$I118*2/MAIN!$Q$1</f>
        <v>0</v>
      </c>
      <c r="AG155" s="13">
        <f>AG145*$I118*2/MAIN!$Q$1</f>
        <v>0</v>
      </c>
      <c r="AH155" s="13">
        <f>AH145*$I118*2/MAIN!$Q$1</f>
        <v>0</v>
      </c>
      <c r="AI155" s="13">
        <f>AI145*$I118*2/MAIN!$Q$1</f>
        <v>0</v>
      </c>
      <c r="AJ155" s="13">
        <f>AJ145*$I118*2/MAIN!$Q$1</f>
        <v>0</v>
      </c>
      <c r="AK155" s="13">
        <f>AK145*$I118*2/MAIN!$Q$1</f>
        <v>0</v>
      </c>
      <c r="AL155" s="13">
        <f>AL145*$I118*2/MAIN!$Q$1</f>
        <v>0</v>
      </c>
      <c r="AM155" s="13">
        <f>AM145*$I118*2/MAIN!$Q$1</f>
        <v>0</v>
      </c>
      <c r="AN155" s="13">
        <f>AN145*$I118*2/MAIN!$Q$1</f>
        <v>0</v>
      </c>
      <c r="AO155" s="13">
        <f>AO145*$I118*2/MAIN!$Q$1</f>
        <v>0</v>
      </c>
      <c r="AP155" s="13">
        <f>AP145*$I118*2/MAIN!$Q$1</f>
        <v>0</v>
      </c>
      <c r="AQ155" s="13">
        <f>AQ145*$I118*2/MAIN!$Q$1</f>
        <v>0</v>
      </c>
      <c r="AR155" s="59">
        <f>AR145*$I118*2/MAIN!$Q$1</f>
        <v>0</v>
      </c>
      <c r="AS155" s="13">
        <f>AS145*$I118*2/MAIN!$Q$1</f>
        <v>0</v>
      </c>
      <c r="AT155" s="13">
        <f>AT145*$I118*2/MAIN!$Q$1</f>
        <v>0</v>
      </c>
      <c r="AU155" s="13">
        <f>AU145*$I118*2/MAIN!$Q$1</f>
        <v>0</v>
      </c>
      <c r="AV155" s="13">
        <f>AV145*$I118*2/MAIN!$Q$1</f>
        <v>0</v>
      </c>
      <c r="AW155" s="13">
        <f>AW145*$I118*2/MAIN!$Q$1</f>
        <v>0</v>
      </c>
      <c r="AX155" s="13">
        <f>AX145*$I118*2/MAIN!$Q$1</f>
        <v>0</v>
      </c>
      <c r="AY155" s="13">
        <f>AY145*$I118*2/MAIN!$Q$1</f>
        <v>0</v>
      </c>
      <c r="AZ155" s="13">
        <f>AZ145*$I118*2/MAIN!$Q$1</f>
        <v>0</v>
      </c>
      <c r="BA155" s="13">
        <f>BA145*$I118*2/MAIN!$Q$1</f>
        <v>0</v>
      </c>
      <c r="BB155" s="13">
        <f>BB145*$I118*2/MAIN!$Q$1</f>
        <v>0</v>
      </c>
      <c r="BC155" s="13">
        <f>BC145*$I118*2/MAIN!$Q$1</f>
        <v>0</v>
      </c>
      <c r="BD155" s="13">
        <f>BD145*$I118*2/MAIN!$Q$1</f>
        <v>0</v>
      </c>
      <c r="BE155" s="13">
        <f>BE145*$I118*2/MAIN!$Q$1</f>
        <v>0</v>
      </c>
      <c r="BF155" s="13">
        <f>BF145*$I118*2/MAIN!$Q$1</f>
        <v>0</v>
      </c>
      <c r="BG155" s="13">
        <f>BG145*$I118*2/MAIN!$Q$1</f>
        <v>0</v>
      </c>
      <c r="BH155" s="13">
        <f>BH145*$I118*2/MAIN!$Q$1</f>
        <v>0</v>
      </c>
      <c r="BI155" s="13">
        <f>BI145*$I118*2/MAIN!$Q$1</f>
        <v>0</v>
      </c>
      <c r="BJ155" s="13">
        <f>BJ145*$I118*2/MAIN!$Q$1</f>
        <v>0</v>
      </c>
      <c r="BK155" s="13">
        <f>BK145*$I118*2/MAIN!$Q$1</f>
        <v>0</v>
      </c>
      <c r="BL155" s="13">
        <f>BL145*$I118*2/MAIN!$Q$1</f>
        <v>0</v>
      </c>
      <c r="BM155" s="13">
        <f>BM145*$I118*2/MAIN!$Q$1</f>
        <v>0</v>
      </c>
      <c r="BN155" s="13">
        <f>BN145*$I118*2/MAIN!$Q$1</f>
        <v>0</v>
      </c>
      <c r="BO155" s="3">
        <f>BO145*$I118*2/MAIN!$Q$1</f>
        <v>0</v>
      </c>
      <c r="BP155" s="43"/>
      <c r="BQ155" s="43"/>
      <c r="BR155" s="42"/>
      <c r="BS155"/>
      <c r="BT155"/>
    </row>
    <row r="156" spans="2:72" ht="16.5">
      <c r="B156" s="14">
        <f t="shared" si="109"/>
        <v>5</v>
      </c>
      <c r="C156" s="298" t="s">
        <v>66</v>
      </c>
      <c r="D156" s="3">
        <f>D146*$I118*2/MAIN!$Q$1</f>
        <v>0</v>
      </c>
      <c r="E156" s="13">
        <f>E146*$I118*2/MAIN!$Q$1</f>
        <v>0</v>
      </c>
      <c r="F156" s="13">
        <f>F146*$I118*2/MAIN!$Q$1</f>
        <v>0</v>
      </c>
      <c r="G156" s="13">
        <f>G146*$I118*2/MAIN!$Q$1</f>
        <v>0</v>
      </c>
      <c r="H156" s="13">
        <f>H146*$I118*2/MAIN!$Q$1</f>
        <v>0</v>
      </c>
      <c r="I156" s="13">
        <f>I146*$I118*2/MAIN!$Q$1</f>
        <v>0</v>
      </c>
      <c r="J156" s="13">
        <f>J146*$I118*2/MAIN!$Q$1</f>
        <v>0</v>
      </c>
      <c r="K156" s="13">
        <f>K146*$I118*2/MAIN!$Q$1</f>
        <v>0</v>
      </c>
      <c r="L156" s="13">
        <f>L146*$I118*2/MAIN!$Q$1</f>
        <v>0</v>
      </c>
      <c r="M156" s="13">
        <f>M146*$I118*2/MAIN!$Q$1</f>
        <v>0</v>
      </c>
      <c r="N156" s="13">
        <f>N146*$I118*2/MAIN!$Q$1</f>
        <v>0</v>
      </c>
      <c r="O156" s="13">
        <f>O146*$I118*2/MAIN!$Q$1</f>
        <v>0</v>
      </c>
      <c r="P156" s="13">
        <f>P146*$I118*2/MAIN!$Q$1</f>
        <v>0</v>
      </c>
      <c r="Q156" s="13">
        <f>Q146*$I118*2/MAIN!$Q$1</f>
        <v>0</v>
      </c>
      <c r="R156" s="13">
        <f>R146*$I118*2/MAIN!$Q$1</f>
        <v>0</v>
      </c>
      <c r="S156" s="13">
        <f>S146*$I118*2/MAIN!$Q$1</f>
        <v>0</v>
      </c>
      <c r="T156" s="13">
        <f>T146*$I118*2/MAIN!$Q$1</f>
        <v>0</v>
      </c>
      <c r="U156" s="13">
        <f>U146*$I118*2/MAIN!$Q$1</f>
        <v>0</v>
      </c>
      <c r="V156" s="13">
        <f>V146*$I118*2/MAIN!$Q$1</f>
        <v>0</v>
      </c>
      <c r="W156" s="13">
        <f>W146*$I118*2/MAIN!$Q$1</f>
        <v>0</v>
      </c>
      <c r="X156" s="13">
        <f>X146*$I118*2/MAIN!$Q$1</f>
        <v>0</v>
      </c>
      <c r="Y156" s="13">
        <f>Y146*$I118*2/MAIN!$Q$1</f>
        <v>0</v>
      </c>
      <c r="Z156" s="13">
        <f>Z146*$I118*2/MAIN!$Q$1</f>
        <v>0</v>
      </c>
      <c r="AA156" s="13">
        <f>AA146*$I118*2/MAIN!$Q$1</f>
        <v>0</v>
      </c>
      <c r="AB156" s="13">
        <f>AB146*$I118*2/MAIN!$Q$1</f>
        <v>0</v>
      </c>
      <c r="AC156" s="13">
        <f>AC146*$I118*2/MAIN!$Q$1</f>
        <v>0</v>
      </c>
      <c r="AD156" s="13">
        <f>AD146*$I118*2/MAIN!$Q$1</f>
        <v>0</v>
      </c>
      <c r="AE156" s="13">
        <f>AE146*$I118*2/MAIN!$Q$1</f>
        <v>0</v>
      </c>
      <c r="AF156" s="13">
        <f>AF146*$I118*2/MAIN!$Q$1</f>
        <v>0</v>
      </c>
      <c r="AG156" s="13">
        <f>AG146*$I118*2/MAIN!$Q$1</f>
        <v>0</v>
      </c>
      <c r="AH156" s="13">
        <f>AH146*$I118*2/MAIN!$Q$1</f>
        <v>0</v>
      </c>
      <c r="AI156" s="13">
        <f>AI146*$I118*2/MAIN!$Q$1</f>
        <v>0</v>
      </c>
      <c r="AJ156" s="13">
        <f>AJ146*$I118*2/MAIN!$Q$1</f>
        <v>0</v>
      </c>
      <c r="AK156" s="13">
        <f>AK146*$I118*2/MAIN!$Q$1</f>
        <v>0</v>
      </c>
      <c r="AL156" s="13">
        <f>AL146*$I118*2/MAIN!$Q$1</f>
        <v>0</v>
      </c>
      <c r="AM156" s="13">
        <f>AM146*$I118*2/MAIN!$Q$1</f>
        <v>0</v>
      </c>
      <c r="AN156" s="13">
        <f>AN146*$I118*2/MAIN!$Q$1</f>
        <v>0</v>
      </c>
      <c r="AO156" s="13">
        <f>AO146*$I118*2/MAIN!$Q$1</f>
        <v>0</v>
      </c>
      <c r="AP156" s="13">
        <f>AP146*$I118*2/MAIN!$Q$1</f>
        <v>0</v>
      </c>
      <c r="AQ156" s="13">
        <f>AQ146*$I118*2/MAIN!$Q$1</f>
        <v>0</v>
      </c>
      <c r="AR156" s="59">
        <f>AR146*$I118*2/MAIN!$Q$1</f>
        <v>0</v>
      </c>
      <c r="AS156" s="13">
        <f>AS146*$I118*2/MAIN!$Q$1</f>
        <v>0</v>
      </c>
      <c r="AT156" s="13">
        <f>AT146*$I118*2/MAIN!$Q$1</f>
        <v>0</v>
      </c>
      <c r="AU156" s="13">
        <f>AU146*$I118*2/MAIN!$Q$1</f>
        <v>0</v>
      </c>
      <c r="AV156" s="13">
        <f>AV146*$I118*2/MAIN!$Q$1</f>
        <v>0</v>
      </c>
      <c r="AW156" s="13">
        <f>AW146*$I118*2/MAIN!$Q$1</f>
        <v>0</v>
      </c>
      <c r="AX156" s="13">
        <f>AX146*$I118*2/MAIN!$Q$1</f>
        <v>0</v>
      </c>
      <c r="AY156" s="13">
        <f>AY146*$I118*2/MAIN!$Q$1</f>
        <v>0</v>
      </c>
      <c r="AZ156" s="13">
        <f>AZ146*$I118*2/MAIN!$Q$1</f>
        <v>0</v>
      </c>
      <c r="BA156" s="13">
        <f>BA146*$I118*2/MAIN!$Q$1</f>
        <v>0</v>
      </c>
      <c r="BB156" s="13">
        <f>BB146*$I118*2/MAIN!$Q$1</f>
        <v>0</v>
      </c>
      <c r="BC156" s="13">
        <f>BC146*$I118*2/MAIN!$Q$1</f>
        <v>0</v>
      </c>
      <c r="BD156" s="13">
        <f>BD146*$I118*2/MAIN!$Q$1</f>
        <v>0</v>
      </c>
      <c r="BE156" s="13">
        <f>BE146*$I118*2/MAIN!$Q$1</f>
        <v>0</v>
      </c>
      <c r="BF156" s="13">
        <f>BF146*$I118*2/MAIN!$Q$1</f>
        <v>0</v>
      </c>
      <c r="BG156" s="13">
        <f>BG146*$I118*2/MAIN!$Q$1</f>
        <v>0</v>
      </c>
      <c r="BH156" s="13">
        <f>BH146*$I118*2/MAIN!$Q$1</f>
        <v>0</v>
      </c>
      <c r="BI156" s="13">
        <f>BI146*$I118*2/MAIN!$Q$1</f>
        <v>0</v>
      </c>
      <c r="BJ156" s="13">
        <f>BJ146*$I118*2/MAIN!$Q$1</f>
        <v>0</v>
      </c>
      <c r="BK156" s="13">
        <f>BK146*$I118*2/MAIN!$Q$1</f>
        <v>0</v>
      </c>
      <c r="BL156" s="13">
        <f>BL146*$I118*2/MAIN!$Q$1</f>
        <v>0</v>
      </c>
      <c r="BM156" s="13">
        <f>BM146*$I118*2/MAIN!$Q$1</f>
        <v>0</v>
      </c>
      <c r="BN156" s="13">
        <f>BN146*$I118*2/MAIN!$Q$1</f>
        <v>0</v>
      </c>
      <c r="BO156" s="3">
        <f>BO146*$I118*2/MAIN!$Q$1</f>
        <v>0</v>
      </c>
      <c r="BP156" s="43"/>
      <c r="BQ156" s="43"/>
      <c r="BR156" s="42"/>
      <c r="BS156"/>
      <c r="BT156"/>
    </row>
    <row r="157" spans="2:72" ht="16.5">
      <c r="B157" s="14">
        <f t="shared" si="109"/>
        <v>6</v>
      </c>
      <c r="C157" s="298" t="s">
        <v>66</v>
      </c>
      <c r="D157" s="3">
        <f>D147*$I118*2/MAIN!$Q$1</f>
        <v>0</v>
      </c>
      <c r="E157" s="13">
        <f>E147*$I118*2/MAIN!$Q$1</f>
        <v>0</v>
      </c>
      <c r="F157" s="13">
        <f>F147*$I118*2/MAIN!$Q$1</f>
        <v>0</v>
      </c>
      <c r="G157" s="13">
        <f>G147*$I118*2/MAIN!$Q$1</f>
        <v>0</v>
      </c>
      <c r="H157" s="13">
        <f>H147*$I118*2/MAIN!$Q$1</f>
        <v>0</v>
      </c>
      <c r="I157" s="13">
        <f>I147*$I118*2/MAIN!$Q$1</f>
        <v>0</v>
      </c>
      <c r="J157" s="13">
        <f>J147*$I118*2/MAIN!$Q$1</f>
        <v>0</v>
      </c>
      <c r="K157" s="13">
        <f>K147*$I118*2/MAIN!$Q$1</f>
        <v>0</v>
      </c>
      <c r="L157" s="13">
        <f>L147*$I118*2/MAIN!$Q$1</f>
        <v>0</v>
      </c>
      <c r="M157" s="13">
        <f>M147*$I118*2/MAIN!$Q$1</f>
        <v>0</v>
      </c>
      <c r="N157" s="13">
        <f>N147*$I118*2/MAIN!$Q$1</f>
        <v>0</v>
      </c>
      <c r="O157" s="13">
        <f>O147*$I118*2/MAIN!$Q$1</f>
        <v>0</v>
      </c>
      <c r="P157" s="13">
        <f>P147*$I118*2/MAIN!$Q$1</f>
        <v>0</v>
      </c>
      <c r="Q157" s="13">
        <f>Q147*$I118*2/MAIN!$Q$1</f>
        <v>0</v>
      </c>
      <c r="R157" s="13">
        <f>R147*$I118*2/MAIN!$Q$1</f>
        <v>0</v>
      </c>
      <c r="S157" s="13">
        <f>S147*$I118*2/MAIN!$Q$1</f>
        <v>0</v>
      </c>
      <c r="T157" s="13">
        <f>T147*$I118*2/MAIN!$Q$1</f>
        <v>0</v>
      </c>
      <c r="U157" s="13">
        <f>U147*$I118*2/MAIN!$Q$1</f>
        <v>0</v>
      </c>
      <c r="V157" s="13">
        <f>V147*$I118*2/MAIN!$Q$1</f>
        <v>0</v>
      </c>
      <c r="W157" s="13">
        <f>W147*$I118*2/MAIN!$Q$1</f>
        <v>0</v>
      </c>
      <c r="X157" s="13">
        <f>X147*$I118*2/MAIN!$Q$1</f>
        <v>0</v>
      </c>
      <c r="Y157" s="13">
        <f>Y147*$I118*2/MAIN!$Q$1</f>
        <v>0</v>
      </c>
      <c r="Z157" s="13">
        <f>Z147*$I118*2/MAIN!$Q$1</f>
        <v>0</v>
      </c>
      <c r="AA157" s="13">
        <f>AA147*$I118*2/MAIN!$Q$1</f>
        <v>0</v>
      </c>
      <c r="AB157" s="13">
        <f>AB147*$I118*2/MAIN!$Q$1</f>
        <v>0</v>
      </c>
      <c r="AC157" s="13">
        <f>AC147*$I118*2/MAIN!$Q$1</f>
        <v>0</v>
      </c>
      <c r="AD157" s="13">
        <f>AD147*$I118*2/MAIN!$Q$1</f>
        <v>0</v>
      </c>
      <c r="AE157" s="13">
        <f>AE147*$I118*2/MAIN!$Q$1</f>
        <v>0</v>
      </c>
      <c r="AF157" s="13">
        <f>AF147*$I118*2/MAIN!$Q$1</f>
        <v>0</v>
      </c>
      <c r="AG157" s="13">
        <f>AG147*$I118*2/MAIN!$Q$1</f>
        <v>0</v>
      </c>
      <c r="AH157" s="13">
        <f>AH147*$I118*2/MAIN!$Q$1</f>
        <v>0</v>
      </c>
      <c r="AI157" s="13">
        <f>AI147*$I118*2/MAIN!$Q$1</f>
        <v>0</v>
      </c>
      <c r="AJ157" s="13">
        <f>AJ147*$I118*2/MAIN!$Q$1</f>
        <v>0</v>
      </c>
      <c r="AK157" s="13">
        <f>AK147*$I118*2/MAIN!$Q$1</f>
        <v>0</v>
      </c>
      <c r="AL157" s="13">
        <f>AL147*$I118*2/MAIN!$Q$1</f>
        <v>0</v>
      </c>
      <c r="AM157" s="13">
        <f>AM147*$I118*2/MAIN!$Q$1</f>
        <v>0</v>
      </c>
      <c r="AN157" s="13">
        <f>AN147*$I118*2/MAIN!$Q$1</f>
        <v>0</v>
      </c>
      <c r="AO157" s="13">
        <f>AO147*$I118*2/MAIN!$Q$1</f>
        <v>0</v>
      </c>
      <c r="AP157" s="13">
        <f>AP147*$I118*2/MAIN!$Q$1</f>
        <v>0</v>
      </c>
      <c r="AQ157" s="13">
        <f>AQ147*$I118*2/MAIN!$Q$1</f>
        <v>0</v>
      </c>
      <c r="AR157" s="59">
        <f>AR147*$I118*2/MAIN!$Q$1</f>
        <v>0</v>
      </c>
      <c r="AS157" s="13">
        <f>AS147*$I118*2/MAIN!$Q$1</f>
        <v>0</v>
      </c>
      <c r="AT157" s="13">
        <f>AT147*$I118*2/MAIN!$Q$1</f>
        <v>0</v>
      </c>
      <c r="AU157" s="13">
        <f>AU147*$I118*2/MAIN!$Q$1</f>
        <v>0</v>
      </c>
      <c r="AV157" s="13">
        <f>AV147*$I118*2/MAIN!$Q$1</f>
        <v>0</v>
      </c>
      <c r="AW157" s="13">
        <f>AW147*$I118*2/MAIN!$Q$1</f>
        <v>0</v>
      </c>
      <c r="AX157" s="13">
        <f>AX147*$I118*2/MAIN!$Q$1</f>
        <v>0</v>
      </c>
      <c r="AY157" s="13">
        <f>AY147*$I118*2/MAIN!$Q$1</f>
        <v>0</v>
      </c>
      <c r="AZ157" s="13">
        <f>AZ147*$I118*2/MAIN!$Q$1</f>
        <v>0</v>
      </c>
      <c r="BA157" s="13">
        <f>BA147*$I118*2/MAIN!$Q$1</f>
        <v>0</v>
      </c>
      <c r="BB157" s="13">
        <f>BB147*$I118*2/MAIN!$Q$1</f>
        <v>0</v>
      </c>
      <c r="BC157" s="13">
        <f>BC147*$I118*2/MAIN!$Q$1</f>
        <v>0</v>
      </c>
      <c r="BD157" s="13">
        <f>BD147*$I118*2/MAIN!$Q$1</f>
        <v>0</v>
      </c>
      <c r="BE157" s="13">
        <f>BE147*$I118*2/MAIN!$Q$1</f>
        <v>0</v>
      </c>
      <c r="BF157" s="13">
        <f>BF147*$I118*2/MAIN!$Q$1</f>
        <v>0</v>
      </c>
      <c r="BG157" s="13">
        <f>BG147*$I118*2/MAIN!$Q$1</f>
        <v>0</v>
      </c>
      <c r="BH157" s="13">
        <f>BH147*$I118*2/MAIN!$Q$1</f>
        <v>0</v>
      </c>
      <c r="BI157" s="13">
        <f>BI147*$I118*2/MAIN!$Q$1</f>
        <v>0</v>
      </c>
      <c r="BJ157" s="13">
        <f>BJ147*$I118*2/MAIN!$Q$1</f>
        <v>0</v>
      </c>
      <c r="BK157" s="13">
        <f>BK147*$I118*2/MAIN!$Q$1</f>
        <v>0</v>
      </c>
      <c r="BL157" s="13">
        <f>BL147*$I118*2/MAIN!$Q$1</f>
        <v>0</v>
      </c>
      <c r="BM157" s="13">
        <f>BM147*$I118*2/MAIN!$Q$1</f>
        <v>0</v>
      </c>
      <c r="BN157" s="13">
        <f>BN147*$I118*2/MAIN!$Q$1</f>
        <v>0</v>
      </c>
      <c r="BO157" s="3">
        <f>BO147*$I118*2/MAIN!$Q$1</f>
        <v>0</v>
      </c>
      <c r="BP157" s="43"/>
      <c r="BQ157" s="43"/>
      <c r="BR157" s="42"/>
      <c r="BS157"/>
      <c r="BT157"/>
    </row>
    <row r="158" spans="2:72" ht="16.5">
      <c r="B158" s="14">
        <f t="shared" si="109"/>
        <v>7</v>
      </c>
      <c r="C158" s="298" t="s">
        <v>66</v>
      </c>
      <c r="D158" s="3">
        <f>D148*$I118*2/MAIN!$Q$1</f>
        <v>0</v>
      </c>
      <c r="E158" s="13">
        <f>E148*$I118*2/MAIN!$Q$1</f>
        <v>0</v>
      </c>
      <c r="F158" s="13">
        <f>F148*$I118*2/MAIN!$Q$1</f>
        <v>0</v>
      </c>
      <c r="G158" s="13">
        <f>G148*$I118*2/MAIN!$Q$1</f>
        <v>0</v>
      </c>
      <c r="H158" s="13">
        <f>H148*$I118*2/MAIN!$Q$1</f>
        <v>0</v>
      </c>
      <c r="I158" s="13">
        <f>I148*$I118*2/MAIN!$Q$1</f>
        <v>0</v>
      </c>
      <c r="J158" s="13">
        <f>J148*$I118*2/MAIN!$Q$1</f>
        <v>0</v>
      </c>
      <c r="K158" s="13">
        <f>K148*$I118*2/MAIN!$Q$1</f>
        <v>0</v>
      </c>
      <c r="L158" s="13">
        <f>L148*$I118*2/MAIN!$Q$1</f>
        <v>0</v>
      </c>
      <c r="M158" s="13">
        <f>M148*$I118*2/MAIN!$Q$1</f>
        <v>0</v>
      </c>
      <c r="N158" s="13">
        <f>N148*$I118*2/MAIN!$Q$1</f>
        <v>0</v>
      </c>
      <c r="O158" s="13">
        <f>O148*$I118*2/MAIN!$Q$1</f>
        <v>0</v>
      </c>
      <c r="P158" s="13">
        <f>P148*$I118*2/MAIN!$Q$1</f>
        <v>0</v>
      </c>
      <c r="Q158" s="13">
        <f>Q148*$I118*2/MAIN!$Q$1</f>
        <v>0</v>
      </c>
      <c r="R158" s="13">
        <f>R148*$I118*2/MAIN!$Q$1</f>
        <v>0</v>
      </c>
      <c r="S158" s="13">
        <f>S148*$I118*2/MAIN!$Q$1</f>
        <v>0</v>
      </c>
      <c r="T158" s="13">
        <f>T148*$I118*2/MAIN!$Q$1</f>
        <v>0</v>
      </c>
      <c r="U158" s="13">
        <f>U148*$I118*2/MAIN!$Q$1</f>
        <v>0</v>
      </c>
      <c r="V158" s="13">
        <f>V148*$I118*2/MAIN!$Q$1</f>
        <v>0</v>
      </c>
      <c r="W158" s="13">
        <f>W148*$I118*2/MAIN!$Q$1</f>
        <v>0</v>
      </c>
      <c r="X158" s="13">
        <f>X148*$I118*2/MAIN!$Q$1</f>
        <v>0</v>
      </c>
      <c r="Y158" s="13">
        <f>Y148*$I118*2/MAIN!$Q$1</f>
        <v>0</v>
      </c>
      <c r="Z158" s="13">
        <f>Z148*$I118*2/MAIN!$Q$1</f>
        <v>0</v>
      </c>
      <c r="AA158" s="13">
        <f>AA148*$I118*2/MAIN!$Q$1</f>
        <v>0</v>
      </c>
      <c r="AB158" s="13">
        <f>AB148*$I118*2/MAIN!$Q$1</f>
        <v>0</v>
      </c>
      <c r="AC158" s="13">
        <f>AC148*$I118*2/MAIN!$Q$1</f>
        <v>0</v>
      </c>
      <c r="AD158" s="13">
        <f>AD148*$I118*2/MAIN!$Q$1</f>
        <v>0</v>
      </c>
      <c r="AE158" s="13">
        <f>AE148*$I118*2/MAIN!$Q$1</f>
        <v>0</v>
      </c>
      <c r="AF158" s="13">
        <f>AF148*$I118*2/MAIN!$Q$1</f>
        <v>0</v>
      </c>
      <c r="AG158" s="13">
        <f>AG148*$I118*2/MAIN!$Q$1</f>
        <v>0</v>
      </c>
      <c r="AH158" s="13">
        <f>AH148*$I118*2/MAIN!$Q$1</f>
        <v>0</v>
      </c>
      <c r="AI158" s="13">
        <f>AI148*$I118*2/MAIN!$Q$1</f>
        <v>0</v>
      </c>
      <c r="AJ158" s="13">
        <f>AJ148*$I118*2/MAIN!$Q$1</f>
        <v>0</v>
      </c>
      <c r="AK158" s="13">
        <f>AK148*$I118*2/MAIN!$Q$1</f>
        <v>0</v>
      </c>
      <c r="AL158" s="13">
        <f>AL148*$I118*2/MAIN!$Q$1</f>
        <v>0</v>
      </c>
      <c r="AM158" s="13">
        <f>AM148*$I118*2/MAIN!$Q$1</f>
        <v>0</v>
      </c>
      <c r="AN158" s="13">
        <f>AN148*$I118*2/MAIN!$Q$1</f>
        <v>0</v>
      </c>
      <c r="AO158" s="13">
        <f>AO148*$I118*2/MAIN!$Q$1</f>
        <v>0</v>
      </c>
      <c r="AP158" s="13">
        <f>AP148*$I118*2/MAIN!$Q$1</f>
        <v>0</v>
      </c>
      <c r="AQ158" s="13">
        <f>AQ148*$I118*2/MAIN!$Q$1</f>
        <v>0</v>
      </c>
      <c r="AR158" s="59">
        <f>AR148*$I118*2/MAIN!$Q$1</f>
        <v>0</v>
      </c>
      <c r="AS158" s="13">
        <f>AS148*$I118*2/MAIN!$Q$1</f>
        <v>0</v>
      </c>
      <c r="AT158" s="13">
        <f>AT148*$I118*2/MAIN!$Q$1</f>
        <v>0</v>
      </c>
      <c r="AU158" s="13">
        <f>AU148*$I118*2/MAIN!$Q$1</f>
        <v>0</v>
      </c>
      <c r="AV158" s="13">
        <f>AV148*$I118*2/MAIN!$Q$1</f>
        <v>0</v>
      </c>
      <c r="AW158" s="13">
        <f>AW148*$I118*2/MAIN!$Q$1</f>
        <v>0</v>
      </c>
      <c r="AX158" s="13">
        <f>AX148*$I118*2/MAIN!$Q$1</f>
        <v>0</v>
      </c>
      <c r="AY158" s="13">
        <f>AY148*$I118*2/MAIN!$Q$1</f>
        <v>0</v>
      </c>
      <c r="AZ158" s="13">
        <f>AZ148*$I118*2/MAIN!$Q$1</f>
        <v>0</v>
      </c>
      <c r="BA158" s="13">
        <f>BA148*$I118*2/MAIN!$Q$1</f>
        <v>0</v>
      </c>
      <c r="BB158" s="13">
        <f>BB148*$I118*2/MAIN!$Q$1</f>
        <v>0</v>
      </c>
      <c r="BC158" s="13">
        <f>BC148*$I118*2/MAIN!$Q$1</f>
        <v>0</v>
      </c>
      <c r="BD158" s="13">
        <f>BD148*$I118*2/MAIN!$Q$1</f>
        <v>0</v>
      </c>
      <c r="BE158" s="13">
        <f>BE148*$I118*2/MAIN!$Q$1</f>
        <v>0</v>
      </c>
      <c r="BF158" s="13">
        <f>BF148*$I118*2/MAIN!$Q$1</f>
        <v>0</v>
      </c>
      <c r="BG158" s="13">
        <f>BG148*$I118*2/MAIN!$Q$1</f>
        <v>0</v>
      </c>
      <c r="BH158" s="13">
        <f>BH148*$I118*2/MAIN!$Q$1</f>
        <v>0</v>
      </c>
      <c r="BI158" s="13">
        <f>BI148*$I118*2/MAIN!$Q$1</f>
        <v>0</v>
      </c>
      <c r="BJ158" s="13">
        <f>BJ148*$I118*2/MAIN!$Q$1</f>
        <v>0</v>
      </c>
      <c r="BK158" s="13">
        <f>BK148*$I118*2/MAIN!$Q$1</f>
        <v>0</v>
      </c>
      <c r="BL158" s="13">
        <f>BL148*$I118*2/MAIN!$Q$1</f>
        <v>0</v>
      </c>
      <c r="BM158" s="13">
        <f>BM148*$I118*2/MAIN!$Q$1</f>
        <v>0</v>
      </c>
      <c r="BN158" s="13">
        <f>BN148*$I118*2/MAIN!$Q$1</f>
        <v>0</v>
      </c>
      <c r="BO158" s="3">
        <f>BO148*$I118*2/MAIN!$Q$1</f>
        <v>0</v>
      </c>
      <c r="BP158" s="43"/>
      <c r="BQ158" s="43"/>
      <c r="BR158" s="42"/>
      <c r="BS158"/>
      <c r="BT158"/>
    </row>
    <row r="159" spans="2:72" ht="16.5">
      <c r="B159" s="14">
        <f t="shared" si="109"/>
        <v>8</v>
      </c>
      <c r="C159" s="298" t="s">
        <v>66</v>
      </c>
      <c r="D159" s="3">
        <f>D149*$I118*2/MAIN!$Q$1</f>
        <v>0</v>
      </c>
      <c r="E159" s="13">
        <f>E149*$I118*2/MAIN!$Q$1</f>
        <v>0</v>
      </c>
      <c r="F159" s="13">
        <f>F149*$I118*2/MAIN!$Q$1</f>
        <v>0</v>
      </c>
      <c r="G159" s="13">
        <f>G149*$I118*2/MAIN!$Q$1</f>
        <v>0</v>
      </c>
      <c r="H159" s="13">
        <f>H149*$I118*2/MAIN!$Q$1</f>
        <v>0</v>
      </c>
      <c r="I159" s="13">
        <f>I149*$I118*2/MAIN!$Q$1</f>
        <v>0</v>
      </c>
      <c r="J159" s="13">
        <f>J149*$I118*2/MAIN!$Q$1</f>
        <v>0</v>
      </c>
      <c r="K159" s="13">
        <f>K149*$I118*2/MAIN!$Q$1</f>
        <v>0</v>
      </c>
      <c r="L159" s="13">
        <f>L149*$I118*2/MAIN!$Q$1</f>
        <v>0</v>
      </c>
      <c r="M159" s="13">
        <f>M149*$I118*2/MAIN!$Q$1</f>
        <v>0</v>
      </c>
      <c r="N159" s="13">
        <f>N149*$I118*2/MAIN!$Q$1</f>
        <v>0</v>
      </c>
      <c r="O159" s="13">
        <f>O149*$I118*2/MAIN!$Q$1</f>
        <v>0</v>
      </c>
      <c r="P159" s="13">
        <f>P149*$I118*2/MAIN!$Q$1</f>
        <v>0</v>
      </c>
      <c r="Q159" s="13">
        <f>Q149*$I118*2/MAIN!$Q$1</f>
        <v>0</v>
      </c>
      <c r="R159" s="13">
        <f>R149*$I118*2/MAIN!$Q$1</f>
        <v>0</v>
      </c>
      <c r="S159" s="13">
        <f>S149*$I118*2/MAIN!$Q$1</f>
        <v>0</v>
      </c>
      <c r="T159" s="13">
        <f>T149*$I118*2/MAIN!$Q$1</f>
        <v>0</v>
      </c>
      <c r="U159" s="13">
        <f>U149*$I118*2/MAIN!$Q$1</f>
        <v>0</v>
      </c>
      <c r="V159" s="13">
        <f>V149*$I118*2/MAIN!$Q$1</f>
        <v>0</v>
      </c>
      <c r="W159" s="13">
        <f>W149*$I118*2/MAIN!$Q$1</f>
        <v>0</v>
      </c>
      <c r="X159" s="13">
        <f>X149*$I118*2/MAIN!$Q$1</f>
        <v>0</v>
      </c>
      <c r="Y159" s="13">
        <f>Y149*$I118*2/MAIN!$Q$1</f>
        <v>0</v>
      </c>
      <c r="Z159" s="13">
        <f>Z149*$I118*2/MAIN!$Q$1</f>
        <v>0</v>
      </c>
      <c r="AA159" s="13">
        <f>AA149*$I118*2/MAIN!$Q$1</f>
        <v>0</v>
      </c>
      <c r="AB159" s="13">
        <f>AB149*$I118*2/MAIN!$Q$1</f>
        <v>0</v>
      </c>
      <c r="AC159" s="13">
        <f>AC149*$I118*2/MAIN!$Q$1</f>
        <v>0</v>
      </c>
      <c r="AD159" s="13">
        <f>AD149*$I118*2/MAIN!$Q$1</f>
        <v>0</v>
      </c>
      <c r="AE159" s="13">
        <f>AE149*$I118*2/MAIN!$Q$1</f>
        <v>0</v>
      </c>
      <c r="AF159" s="13">
        <f>AF149*$I118*2/MAIN!$Q$1</f>
        <v>0</v>
      </c>
      <c r="AG159" s="13">
        <f>AG149*$I118*2/MAIN!$Q$1</f>
        <v>0</v>
      </c>
      <c r="AH159" s="13">
        <f>AH149*$I118*2/MAIN!$Q$1</f>
        <v>0</v>
      </c>
      <c r="AI159" s="13">
        <f>AI149*$I118*2/MAIN!$Q$1</f>
        <v>0</v>
      </c>
      <c r="AJ159" s="13">
        <f>AJ149*$I118*2/MAIN!$Q$1</f>
        <v>0</v>
      </c>
      <c r="AK159" s="13">
        <f>AK149*$I118*2/MAIN!$Q$1</f>
        <v>0</v>
      </c>
      <c r="AL159" s="13">
        <f>AL149*$I118*2/MAIN!$Q$1</f>
        <v>0</v>
      </c>
      <c r="AM159" s="13">
        <f>AM149*$I118*2/MAIN!$Q$1</f>
        <v>0</v>
      </c>
      <c r="AN159" s="13">
        <f>AN149*$I118*2/MAIN!$Q$1</f>
        <v>0</v>
      </c>
      <c r="AO159" s="13">
        <f>AO149*$I118*2/MAIN!$Q$1</f>
        <v>0</v>
      </c>
      <c r="AP159" s="13">
        <f>AP149*$I118*2/MAIN!$Q$1</f>
        <v>0</v>
      </c>
      <c r="AQ159" s="13">
        <f>AQ149*$I118*2/MAIN!$Q$1</f>
        <v>0</v>
      </c>
      <c r="AR159" s="59">
        <f>AR149*$I118*2/MAIN!$Q$1</f>
        <v>0</v>
      </c>
      <c r="AS159" s="13">
        <f>AS149*$I118*2/MAIN!$Q$1</f>
        <v>0</v>
      </c>
      <c r="AT159" s="13">
        <f>AT149*$I118*2/MAIN!$Q$1</f>
        <v>0</v>
      </c>
      <c r="AU159" s="13">
        <f>AU149*$I118*2/MAIN!$Q$1</f>
        <v>0</v>
      </c>
      <c r="AV159" s="13">
        <f>AV149*$I118*2/MAIN!$Q$1</f>
        <v>0</v>
      </c>
      <c r="AW159" s="13">
        <f>AW149*$I118*2/MAIN!$Q$1</f>
        <v>0</v>
      </c>
      <c r="AX159" s="13">
        <f>AX149*$I118*2/MAIN!$Q$1</f>
        <v>0</v>
      </c>
      <c r="AY159" s="13">
        <f>AY149*$I118*2/MAIN!$Q$1</f>
        <v>0</v>
      </c>
      <c r="AZ159" s="13">
        <f>AZ149*$I118*2/MAIN!$Q$1</f>
        <v>0</v>
      </c>
      <c r="BA159" s="13">
        <f>BA149*$I118*2/MAIN!$Q$1</f>
        <v>0</v>
      </c>
      <c r="BB159" s="13">
        <f>BB149*$I118*2/MAIN!$Q$1</f>
        <v>0</v>
      </c>
      <c r="BC159" s="13">
        <f>BC149*$I118*2/MAIN!$Q$1</f>
        <v>0</v>
      </c>
      <c r="BD159" s="13">
        <f>BD149*$I118*2/MAIN!$Q$1</f>
        <v>0</v>
      </c>
      <c r="BE159" s="13">
        <f>BE149*$I118*2/MAIN!$Q$1</f>
        <v>0</v>
      </c>
      <c r="BF159" s="13">
        <f>BF149*$I118*2/MAIN!$Q$1</f>
        <v>0</v>
      </c>
      <c r="BG159" s="13">
        <f>BG149*$I118*2/MAIN!$Q$1</f>
        <v>0</v>
      </c>
      <c r="BH159" s="13">
        <f>BH149*$I118*2/MAIN!$Q$1</f>
        <v>0</v>
      </c>
      <c r="BI159" s="13">
        <f>BI149*$I118*2/MAIN!$Q$1</f>
        <v>0</v>
      </c>
      <c r="BJ159" s="13">
        <f>BJ149*$I118*2/MAIN!$Q$1</f>
        <v>0</v>
      </c>
      <c r="BK159" s="13">
        <f>BK149*$I118*2/MAIN!$Q$1</f>
        <v>0</v>
      </c>
      <c r="BL159" s="13">
        <f>BL149*$I118*2/MAIN!$Q$1</f>
        <v>0</v>
      </c>
      <c r="BM159" s="13">
        <f>BM149*$I118*2/MAIN!$Q$1</f>
        <v>0</v>
      </c>
      <c r="BN159" s="13">
        <f>BN149*$I118*2/MAIN!$Q$1</f>
        <v>0</v>
      </c>
      <c r="BO159" s="3">
        <f>BO149*$I118*2/MAIN!$Q$1</f>
        <v>0</v>
      </c>
      <c r="BP159" s="43"/>
      <c r="BQ159" s="43"/>
      <c r="BR159" s="42"/>
      <c r="BS159"/>
      <c r="BT159"/>
    </row>
    <row r="160" spans="2:72" ht="16.5">
      <c r="B160" s="14">
        <f t="shared" si="109"/>
        <v>9</v>
      </c>
      <c r="C160" s="298" t="s">
        <v>66</v>
      </c>
      <c r="D160" s="3">
        <f>D150*$I118*2/MAIN!$Q$1</f>
        <v>0</v>
      </c>
      <c r="E160" s="13">
        <f>E150*$I118*2/MAIN!$Q$1</f>
        <v>0</v>
      </c>
      <c r="F160" s="13">
        <f>F150*$I118*2/MAIN!$Q$1</f>
        <v>0</v>
      </c>
      <c r="G160" s="13">
        <f>G150*$I118*2/MAIN!$Q$1</f>
        <v>0</v>
      </c>
      <c r="H160" s="13">
        <f>H150*$I118*2/MAIN!$Q$1</f>
        <v>0</v>
      </c>
      <c r="I160" s="13">
        <f>I150*$I118*2/MAIN!$Q$1</f>
        <v>0</v>
      </c>
      <c r="J160" s="13">
        <f>J150*$I118*2/MAIN!$Q$1</f>
        <v>0</v>
      </c>
      <c r="K160" s="13">
        <f>K150*$I118*2/MAIN!$Q$1</f>
        <v>0</v>
      </c>
      <c r="L160" s="13">
        <f>L150*$I118*2/MAIN!$Q$1</f>
        <v>0</v>
      </c>
      <c r="M160" s="13">
        <f>M150*$I118*2/MAIN!$Q$1</f>
        <v>0</v>
      </c>
      <c r="N160" s="13">
        <f>N150*$I118*2/MAIN!$Q$1</f>
        <v>0</v>
      </c>
      <c r="O160" s="13">
        <f>O150*$I118*2/MAIN!$Q$1</f>
        <v>0</v>
      </c>
      <c r="P160" s="13">
        <f>P150*$I118*2/MAIN!$Q$1</f>
        <v>0</v>
      </c>
      <c r="Q160" s="13">
        <f>Q150*$I118*2/MAIN!$Q$1</f>
        <v>0</v>
      </c>
      <c r="R160" s="13">
        <f>R150*$I118*2/MAIN!$Q$1</f>
        <v>0</v>
      </c>
      <c r="S160" s="13">
        <f>S150*$I118*2/MAIN!$Q$1</f>
        <v>0</v>
      </c>
      <c r="T160" s="13">
        <f>T150*$I118*2/MAIN!$Q$1</f>
        <v>0</v>
      </c>
      <c r="U160" s="13">
        <f>U150*$I118*2/MAIN!$Q$1</f>
        <v>0</v>
      </c>
      <c r="V160" s="13">
        <f>V150*$I118*2/MAIN!$Q$1</f>
        <v>0</v>
      </c>
      <c r="W160" s="13">
        <f>W150*$I118*2/MAIN!$Q$1</f>
        <v>0</v>
      </c>
      <c r="X160" s="13">
        <f>X150*$I118*2/MAIN!$Q$1</f>
        <v>0</v>
      </c>
      <c r="Y160" s="13">
        <f>Y150*$I118*2/MAIN!$Q$1</f>
        <v>0</v>
      </c>
      <c r="Z160" s="13">
        <f>Z150*$I118*2/MAIN!$Q$1</f>
        <v>0</v>
      </c>
      <c r="AA160" s="13">
        <f>AA150*$I118*2/MAIN!$Q$1</f>
        <v>0</v>
      </c>
      <c r="AB160" s="13">
        <f>AB150*$I118*2/MAIN!$Q$1</f>
        <v>0</v>
      </c>
      <c r="AC160" s="13">
        <f>AC150*$I118*2/MAIN!$Q$1</f>
        <v>0</v>
      </c>
      <c r="AD160" s="13">
        <f>AD150*$I118*2/MAIN!$Q$1</f>
        <v>0</v>
      </c>
      <c r="AE160" s="13">
        <f>AE150*$I118*2/MAIN!$Q$1</f>
        <v>0</v>
      </c>
      <c r="AF160" s="13">
        <f>AF150*$I118*2/MAIN!$Q$1</f>
        <v>0</v>
      </c>
      <c r="AG160" s="13">
        <f>AG150*$I118*2/MAIN!$Q$1</f>
        <v>0</v>
      </c>
      <c r="AH160" s="13">
        <f>AH150*$I118*2/MAIN!$Q$1</f>
        <v>0</v>
      </c>
      <c r="AI160" s="13">
        <f>AI150*$I118*2/MAIN!$Q$1</f>
        <v>0</v>
      </c>
      <c r="AJ160" s="13">
        <f>AJ150*$I118*2/MAIN!$Q$1</f>
        <v>0</v>
      </c>
      <c r="AK160" s="13">
        <f>AK150*$I118*2/MAIN!$Q$1</f>
        <v>0</v>
      </c>
      <c r="AL160" s="13">
        <f>AL150*$I118*2/MAIN!$Q$1</f>
        <v>0</v>
      </c>
      <c r="AM160" s="13">
        <f>AM150*$I118*2/MAIN!$Q$1</f>
        <v>0</v>
      </c>
      <c r="AN160" s="13">
        <f>AN150*$I118*2/MAIN!$Q$1</f>
        <v>0</v>
      </c>
      <c r="AO160" s="13">
        <f>AO150*$I118*2/MAIN!$Q$1</f>
        <v>0</v>
      </c>
      <c r="AP160" s="13">
        <f>AP150*$I118*2/MAIN!$Q$1</f>
        <v>0</v>
      </c>
      <c r="AQ160" s="13">
        <f>AQ150*$I118*2/MAIN!$Q$1</f>
        <v>0</v>
      </c>
      <c r="AR160" s="59">
        <f>AR150*$I118*2/MAIN!$Q$1</f>
        <v>0</v>
      </c>
      <c r="AS160" s="13">
        <f>AS150*$I118*2/MAIN!$Q$1</f>
        <v>0</v>
      </c>
      <c r="AT160" s="13">
        <f>AT150*$I118*2/MAIN!$Q$1</f>
        <v>0</v>
      </c>
      <c r="AU160" s="13">
        <f>AU150*$I118*2/MAIN!$Q$1</f>
        <v>0</v>
      </c>
      <c r="AV160" s="13">
        <f>AV150*$I118*2/MAIN!$Q$1</f>
        <v>0</v>
      </c>
      <c r="AW160" s="13">
        <f>AW150*$I118*2/MAIN!$Q$1</f>
        <v>0</v>
      </c>
      <c r="AX160" s="13">
        <f>AX150*$I118*2/MAIN!$Q$1</f>
        <v>0</v>
      </c>
      <c r="AY160" s="13">
        <f>AY150*$I118*2/MAIN!$Q$1</f>
        <v>0</v>
      </c>
      <c r="AZ160" s="13">
        <f>AZ150*$I118*2/MAIN!$Q$1</f>
        <v>0</v>
      </c>
      <c r="BA160" s="13">
        <f>BA150*$I118*2/MAIN!$Q$1</f>
        <v>0</v>
      </c>
      <c r="BB160" s="13">
        <f>BB150*$I118*2/MAIN!$Q$1</f>
        <v>0</v>
      </c>
      <c r="BC160" s="13">
        <f>BC150*$I118*2/MAIN!$Q$1</f>
        <v>0</v>
      </c>
      <c r="BD160" s="13">
        <f>BD150*$I118*2/MAIN!$Q$1</f>
        <v>0</v>
      </c>
      <c r="BE160" s="13">
        <f>BE150*$I118*2/MAIN!$Q$1</f>
        <v>0</v>
      </c>
      <c r="BF160" s="13">
        <f>BF150*$I118*2/MAIN!$Q$1</f>
        <v>0</v>
      </c>
      <c r="BG160" s="13">
        <f>BG150*$I118*2/MAIN!$Q$1</f>
        <v>0</v>
      </c>
      <c r="BH160" s="13">
        <f>BH150*$I118*2/MAIN!$Q$1</f>
        <v>0</v>
      </c>
      <c r="BI160" s="13">
        <f>BI150*$I118*2/MAIN!$Q$1</f>
        <v>0</v>
      </c>
      <c r="BJ160" s="13">
        <f>BJ150*$I118*2/MAIN!$Q$1</f>
        <v>0</v>
      </c>
      <c r="BK160" s="13">
        <f>BK150*$I118*2/MAIN!$Q$1</f>
        <v>0</v>
      </c>
      <c r="BL160" s="13">
        <f>BL150*$I118*2/MAIN!$Q$1</f>
        <v>0</v>
      </c>
      <c r="BM160" s="13">
        <f>BM150*$I118*2/MAIN!$Q$1</f>
        <v>0</v>
      </c>
      <c r="BN160" s="13">
        <f>BN150*$I118*2/MAIN!$Q$1</f>
        <v>0</v>
      </c>
      <c r="BO160" s="3">
        <f>BO150*$I118*2/MAIN!$Q$1</f>
        <v>0</v>
      </c>
      <c r="BP160" s="43"/>
      <c r="BQ160" s="43"/>
      <c r="BR160" s="42"/>
      <c r="BS160"/>
      <c r="BT160"/>
    </row>
    <row r="161" spans="1:72" ht="16.5">
      <c r="B161" s="290" t="s">
        <v>67</v>
      </c>
      <c r="C161" s="298" t="s">
        <v>68</v>
      </c>
      <c r="D161" s="3">
        <f>D151*$I118*MAIN!$C$16/MAIN!$Q$1</f>
        <v>-853693.65586679149</v>
      </c>
      <c r="E161" s="13">
        <f>E151*$I118*MAIN!$C$16/MAIN!$Q$1</f>
        <v>-853693.65586679149</v>
      </c>
      <c r="F161" s="13">
        <f>F151*$I118*MAIN!$C$16/MAIN!$Q$1</f>
        <v>-853693.65586679149</v>
      </c>
      <c r="G161" s="13">
        <f>G151*$I118*MAIN!$C$16/MAIN!$Q$1</f>
        <v>-853693.65586679149</v>
      </c>
      <c r="H161" s="13">
        <f>H151*$I118*MAIN!$C$16/MAIN!$Q$1</f>
        <v>-853693.65586679149</v>
      </c>
      <c r="I161" s="13">
        <f>I151*$I118*MAIN!$C$16/MAIN!$Q$1</f>
        <v>-853693.65586679149</v>
      </c>
      <c r="J161" s="13">
        <f>J151*$I118*MAIN!$C$16/MAIN!$Q$1</f>
        <v>-853693.65586679149</v>
      </c>
      <c r="K161" s="13">
        <f>K151*$I118*MAIN!$C$16/MAIN!$Q$1</f>
        <v>-853693.65586679149</v>
      </c>
      <c r="L161" s="13">
        <f>L151*$I118*MAIN!$C$16/MAIN!$Q$1</f>
        <v>-853693.65586679149</v>
      </c>
      <c r="M161" s="13">
        <f>M151*$I118*MAIN!$C$16/MAIN!$Q$1</f>
        <v>-853693.65586679149</v>
      </c>
      <c r="N161" s="13">
        <f>N151*$I118*MAIN!$C$16/MAIN!$Q$1</f>
        <v>-853693.65586679149</v>
      </c>
      <c r="O161" s="13">
        <f>O151*$I118*MAIN!$C$16/MAIN!$Q$1</f>
        <v>-853693.65586679149</v>
      </c>
      <c r="P161" s="13">
        <f>P151*$I118*MAIN!$C$16/MAIN!$Q$1</f>
        <v>-853693.65586679149</v>
      </c>
      <c r="Q161" s="13">
        <f>Q151*$I118*MAIN!$C$16/MAIN!$Q$1</f>
        <v>-853693.65586679149</v>
      </c>
      <c r="R161" s="13">
        <f>R151*$I118*MAIN!$C$16/MAIN!$Q$1</f>
        <v>-853693.65586679149</v>
      </c>
      <c r="S161" s="13">
        <f>S151*$I118*MAIN!$C$16/MAIN!$Q$1</f>
        <v>-853693.65586679149</v>
      </c>
      <c r="T161" s="13">
        <f>T151*$I118*MAIN!$C$16/MAIN!$Q$1</f>
        <v>-853693.65586679149</v>
      </c>
      <c r="U161" s="13">
        <f>U151*$I118*MAIN!$C$16/MAIN!$Q$1</f>
        <v>-853693.65586679149</v>
      </c>
      <c r="V161" s="13">
        <f>V151*$I118*MAIN!$C$16/MAIN!$Q$1</f>
        <v>-853693.65586679149</v>
      </c>
      <c r="W161" s="13">
        <f>W151*$I118*MAIN!$C$16/MAIN!$Q$1</f>
        <v>-853693.65586679149</v>
      </c>
      <c r="X161" s="13">
        <f>X151*$I118*MAIN!$C$16/MAIN!$Q$1</f>
        <v>-853693.65586679149</v>
      </c>
      <c r="Y161" s="13">
        <f>Y151*$I118*MAIN!$C$16/MAIN!$Q$1</f>
        <v>-853693.65586679149</v>
      </c>
      <c r="Z161" s="13">
        <f>Z151*$I118*MAIN!$C$16/MAIN!$Q$1</f>
        <v>-853693.65586679149</v>
      </c>
      <c r="AA161" s="13">
        <f>AA151*$I118*MAIN!$C$16/MAIN!$Q$1</f>
        <v>-853693.65586679149</v>
      </c>
      <c r="AB161" s="13">
        <f>AB151*$I118*MAIN!$C$16/MAIN!$Q$1</f>
        <v>-853693.65586679149</v>
      </c>
      <c r="AC161" s="13">
        <f>AC151*$I118*MAIN!$C$16/MAIN!$Q$1</f>
        <v>-853693.65586679149</v>
      </c>
      <c r="AD161" s="13">
        <f>AD151*$I118*MAIN!$C$16/MAIN!$Q$1</f>
        <v>-853693.65586679149</v>
      </c>
      <c r="AE161" s="13">
        <f>AE151*$I118*MAIN!$C$16/MAIN!$Q$1</f>
        <v>-853693.65586679149</v>
      </c>
      <c r="AF161" s="13">
        <f>AF151*$I118*MAIN!$C$16/MAIN!$Q$1</f>
        <v>-853693.65586679149</v>
      </c>
      <c r="AG161" s="13">
        <f>AG151*$I118*MAIN!$C$16/MAIN!$Q$1</f>
        <v>-853693.65586679149</v>
      </c>
      <c r="AH161" s="13">
        <f>AH151*$I118*MAIN!$C$16/MAIN!$Q$1</f>
        <v>-853693.65586679149</v>
      </c>
      <c r="AI161" s="13">
        <f>AI151*$I118*MAIN!$C$16/MAIN!$Q$1</f>
        <v>-853693.65586679149</v>
      </c>
      <c r="AJ161" s="13">
        <f>AJ151*$I118*MAIN!$C$16/MAIN!$Q$1</f>
        <v>-853693.65586679149</v>
      </c>
      <c r="AK161" s="13">
        <f>AK151*$I118*MAIN!$C$16/MAIN!$Q$1</f>
        <v>-853693.65586679149</v>
      </c>
      <c r="AL161" s="13">
        <f>AL151*$I118*MAIN!$C$16/MAIN!$Q$1</f>
        <v>-853693.65586679149</v>
      </c>
      <c r="AM161" s="13">
        <f>AM151*$I118*MAIN!$C$16/MAIN!$Q$1</f>
        <v>-853693.65586679149</v>
      </c>
      <c r="AN161" s="13">
        <f>AN151*$I118*MAIN!$C$16/MAIN!$Q$1</f>
        <v>-853693.65586679149</v>
      </c>
      <c r="AO161" s="13">
        <f>AO151*$I118*MAIN!$C$16/MAIN!$Q$1</f>
        <v>-853693.65586679149</v>
      </c>
      <c r="AP161" s="13">
        <f>AP151*$I118*MAIN!$C$16/MAIN!$Q$1</f>
        <v>-853693.65586679149</v>
      </c>
      <c r="AQ161" s="13">
        <f>AQ151*$I118*MAIN!$C$16/MAIN!$Q$1</f>
        <v>-853693.65586679149</v>
      </c>
      <c r="AR161" s="59">
        <f>AR151*$I118*MAIN!$C$16/MAIN!$Q$1</f>
        <v>-853693.65586679149</v>
      </c>
      <c r="AS161" s="13">
        <f>AS151*$I118*MAIN!$C$16/MAIN!$Q$1</f>
        <v>-697070.5762408555</v>
      </c>
      <c r="AT161" s="13">
        <f>AT151*$I118*MAIN!$C$16/MAIN!$Q$1</f>
        <v>-561020.42877442983</v>
      </c>
      <c r="AU161" s="13">
        <f>AU151*$I118*MAIN!$C$16/MAIN!$Q$1</f>
        <v>-441739.54661445657</v>
      </c>
      <c r="AV161" s="13">
        <f>AV151*$I118*MAIN!$C$16/MAIN!$Q$1</f>
        <v>-336307.49475194508</v>
      </c>
      <c r="AW161" s="13">
        <f>AW151*$I118*MAIN!$C$16/MAIN!$Q$1</f>
        <v>-242444.77179474587</v>
      </c>
      <c r="AX161" s="13">
        <f>AX151*$I118*MAIN!$C$16/MAIN!$Q$1</f>
        <v>-158346.12702488239</v>
      </c>
      <c r="AY161" s="13">
        <f>AY151*$I118*MAIN!$C$16/MAIN!$Q$1</f>
        <v>-82563.323277137315</v>
      </c>
      <c r="AZ161" s="13">
        <f>AZ151*$I118*MAIN!$C$16/MAIN!$Q$1</f>
        <v>-13921.039287562253</v>
      </c>
      <c r="BA161" s="13">
        <f>BA151*$I118*MAIN!$C$16/MAIN!$Q$1</f>
        <v>48544.525585301169</v>
      </c>
      <c r="BB161" s="13">
        <f>BB151*$I118*MAIN!$C$16/MAIN!$Q$1</f>
        <v>105631.18641377805</v>
      </c>
      <c r="BC161" s="13">
        <f>BC151*$I118*MAIN!$C$16/MAIN!$Q$1</f>
        <v>158005.0302491234</v>
      </c>
      <c r="BD161" s="13">
        <f>BD151*$I118*MAIN!$C$16/MAIN!$Q$1</f>
        <v>206226.52555964486</v>
      </c>
      <c r="BE161" s="13">
        <f>BE151*$I118*MAIN!$C$16/MAIN!$Q$1</f>
        <v>246584.53223180806</v>
      </c>
      <c r="BF161" s="13">
        <f>BF151*$I118*MAIN!$C$16/MAIN!$Q$1</f>
        <v>232815.85313463749</v>
      </c>
      <c r="BG161" s="13">
        <f>BG151*$I118*MAIN!$C$16/MAIN!$Q$1</f>
        <v>259544.48088411099</v>
      </c>
      <c r="BH161" s="13">
        <f>BH151*$I118*MAIN!$C$16/MAIN!$Q$1</f>
        <v>283000.68531464715</v>
      </c>
      <c r="BI161" s="13">
        <f>BI151*$I118*MAIN!$C$16/MAIN!$Q$1</f>
        <v>303750.77076296008</v>
      </c>
      <c r="BJ161" s="13">
        <f>BJ151*$I118*MAIN!$C$16/MAIN!$Q$1</f>
        <v>322237.50005964492</v>
      </c>
      <c r="BK161" s="13">
        <f>BK151*$I118*MAIN!$C$16/MAIN!$Q$1</f>
        <v>338812.04104339919</v>
      </c>
      <c r="BL161" s="13">
        <f>BL151*$I118*MAIN!$C$16/MAIN!$Q$1</f>
        <v>471770.67804493592</v>
      </c>
      <c r="BM161" s="13">
        <f>BM151*$I118*MAIN!$C$16/MAIN!$Q$1</f>
        <v>523797.9707846677</v>
      </c>
      <c r="BN161" s="13">
        <f>BN151*$I118*MAIN!$C$16/MAIN!$Q$1</f>
        <v>551545.86024585785</v>
      </c>
      <c r="BO161" s="3">
        <f>BO151*$I118*MAIN!$C$16/MAIN!$Q$1</f>
        <v>642717.49704691162</v>
      </c>
      <c r="BS161"/>
      <c r="BT161"/>
    </row>
    <row r="162" spans="1:72" ht="16.5">
      <c r="B162" s="290" t="s">
        <v>69</v>
      </c>
      <c r="C162" s="298" t="s">
        <v>70</v>
      </c>
      <c r="D162" s="3">
        <f>MAX($F118-$C$8/2*D121,$F118-MAIN!$C$14/2)</f>
        <v>234.59269068417734</v>
      </c>
      <c r="E162" s="304">
        <f>MAX($F118-$C$8/2*E121,$F118-MAIN!$C$14/2)</f>
        <v>233.4263121143909</v>
      </c>
      <c r="F162" s="304">
        <f>MAX($F118-$C$8/2*F121,$F118-MAIN!$C$14/2)</f>
        <v>232.25993354460448</v>
      </c>
      <c r="G162" s="304">
        <f>MAX($F118-$C$8/2*G121,$F118-MAIN!$C$14/2)</f>
        <v>231.09355497481806</v>
      </c>
      <c r="H162" s="304">
        <f>MAX($F118-$C$8/2*H121,$F118-MAIN!$C$14/2)</f>
        <v>229.92717640503162</v>
      </c>
      <c r="I162" s="304">
        <f>MAX($F118-$C$8/2*I121,$F118-MAIN!$C$14/2)</f>
        <v>228.7607978352452</v>
      </c>
      <c r="J162" s="304">
        <f>MAX($F118-$C$8/2*J121,$F118-MAIN!$C$14/2)</f>
        <v>227.59441926545878</v>
      </c>
      <c r="K162" s="304">
        <f>MAX($F118-$C$8/2*K121,$F118-MAIN!$C$14/2)</f>
        <v>226.42804069567234</v>
      </c>
      <c r="L162" s="304">
        <f>MAX($F118-$C$8/2*L121,$F118-MAIN!$C$14/2)</f>
        <v>225.26166212588592</v>
      </c>
      <c r="M162" s="304">
        <f>MAX($F118-$C$8/2*M121,$F118-MAIN!$C$14/2)</f>
        <v>224.0952835560995</v>
      </c>
      <c r="N162" s="304">
        <f>MAX($F118-$C$8/2*N121,$F118-MAIN!$C$14/2)</f>
        <v>222.92890498631306</v>
      </c>
      <c r="O162" s="304">
        <f>MAX($F118-$C$8/2*O121,$F118-MAIN!$C$14/2)</f>
        <v>221.76252641652664</v>
      </c>
      <c r="P162" s="304">
        <f>MAX($F118-$C$8/2*P121,$F118-MAIN!$C$14/2)</f>
        <v>220.59614784674022</v>
      </c>
      <c r="Q162" s="304">
        <f>MAX($F118-$C$8/2*Q121,$F118-MAIN!$C$14/2)</f>
        <v>219.42976927695381</v>
      </c>
      <c r="R162" s="304">
        <f>MAX($F118-$C$8/2*R121,$F118-MAIN!$C$14/2)</f>
        <v>218.26339070716739</v>
      </c>
      <c r="S162" s="304">
        <f>MAX($F118-$C$8/2*S121,$F118-MAIN!$C$14/2)</f>
        <v>217.09701213738094</v>
      </c>
      <c r="T162" s="304">
        <f>MAX($F118-$C$8/2*T121,$F118-MAIN!$C$14/2)</f>
        <v>215.93063356759453</v>
      </c>
      <c r="U162" s="304">
        <f>MAX($F118-$C$8/2*U121,$F118-MAIN!$C$14/2)</f>
        <v>214.76425499780811</v>
      </c>
      <c r="V162" s="304">
        <f>MAX($F118-$C$8/2*V121,$F118-MAIN!$C$14/2)</f>
        <v>213.59787642802169</v>
      </c>
      <c r="W162" s="304">
        <f>MAX($F118-$C$8/2*W121,$F118-MAIN!$C$14/2)</f>
        <v>212.43149785823528</v>
      </c>
      <c r="X162" s="304">
        <f>MAX($F118-$C$8/2*X121,$F118-MAIN!$C$14/2)</f>
        <v>211.26511928844883</v>
      </c>
      <c r="Y162" s="304">
        <f>MAX($F118-$C$8/2*Y121,$F118-MAIN!$C$14/2)</f>
        <v>210.09874071866241</v>
      </c>
      <c r="Z162" s="304">
        <f>MAX($F118-$C$8/2*Z121,$F118-MAIN!$C$14/2)</f>
        <v>208.932362148876</v>
      </c>
      <c r="AA162" s="304">
        <f>MAX($F118-$C$8/2*AA121,$F118-MAIN!$C$14/2)</f>
        <v>207.76598357908958</v>
      </c>
      <c r="AB162" s="304">
        <f>MAX($F118-$C$8/2*AB121,$F118-MAIN!$C$14/2)</f>
        <v>206.59960500930316</v>
      </c>
      <c r="AC162" s="304">
        <f>MAX($F118-$C$8/2*AC121,$F118-MAIN!$C$14/2)</f>
        <v>205.43322643951672</v>
      </c>
      <c r="AD162" s="304">
        <f>MAX($F118-$C$8/2*AD121,$F118-MAIN!$C$14/2)</f>
        <v>204.2668478697303</v>
      </c>
      <c r="AE162" s="304">
        <f>MAX($F118-$C$8/2*AE121,$F118-MAIN!$C$14/2)</f>
        <v>203.10046929994388</v>
      </c>
      <c r="AF162" s="304">
        <f>MAX($F118-$C$8/2*AF121,$F118-MAIN!$C$14/2)</f>
        <v>201.93409073015746</v>
      </c>
      <c r="AG162" s="304">
        <f>MAX($F118-$C$8/2*AG121,$F118-MAIN!$C$14/2)</f>
        <v>200.76771216037105</v>
      </c>
      <c r="AH162" s="304">
        <f>MAX($F118-$C$8/2*AH121,$F118-MAIN!$C$14/2)</f>
        <v>199.6013335905846</v>
      </c>
      <c r="AI162" s="304">
        <f>MAX($F118-$C$8/2*AI121,$F118-MAIN!$C$14/2)</f>
        <v>198.43495502079818</v>
      </c>
      <c r="AJ162" s="304">
        <f>MAX($F118-$C$8/2*AJ121,$F118-MAIN!$C$14/2)</f>
        <v>197.26857645101177</v>
      </c>
      <c r="AK162" s="304">
        <f>MAX($F118-$C$8/2*AK121,$F118-MAIN!$C$14/2)</f>
        <v>196.10219788122535</v>
      </c>
      <c r="AL162" s="304">
        <f>MAX($F118-$C$8/2*AL121,$F118-MAIN!$C$14/2)</f>
        <v>194.93581931143893</v>
      </c>
      <c r="AM162" s="304">
        <f>MAX($F118-$C$8/2*AM121,$F118-MAIN!$C$14/2)</f>
        <v>193.76944074165249</v>
      </c>
      <c r="AN162" s="304">
        <f>MAX($F118-$C$8/2*AN121,$F118-MAIN!$C$14/2)</f>
        <v>192.60306217186607</v>
      </c>
      <c r="AO162" s="304">
        <f>MAX($F118-$C$8/2*AO121,$F118-MAIN!$C$14/2)</f>
        <v>191.43668360207965</v>
      </c>
      <c r="AP162" s="304">
        <f>MAX($F118-$C$8/2*AP121,$F118-MAIN!$C$14/2)</f>
        <v>190.27030503229324</v>
      </c>
      <c r="AQ162" s="304">
        <f>MAX($F118-$C$8/2*AQ121,$F118-MAIN!$C$14/2)</f>
        <v>189.10392646250682</v>
      </c>
      <c r="AR162" s="56">
        <f>MAX($F118-$C$8/2*AR121,$F118-MAIN!$C$14/2)</f>
        <v>187.93754789272032</v>
      </c>
      <c r="AS162" s="304">
        <f>MAX($F118-$C$8/2*AS121,$F118-MAIN!$C$14/2)</f>
        <v>183.28294010889292</v>
      </c>
      <c r="AT162" s="304">
        <f>MAX($F118-$C$8/2*AT121,$F118-MAIN!$C$14/2)</f>
        <v>178.62833232506551</v>
      </c>
      <c r="AU162" s="304">
        <f>MAX($F118-$C$8/2*AU121,$F118-MAIN!$C$14/2)</f>
        <v>173.97372454123814</v>
      </c>
      <c r="AV162" s="304">
        <f>MAX($F118-$C$8/2*AV121,$F118-MAIN!$C$14/2)</f>
        <v>169.31911675741077</v>
      </c>
      <c r="AW162" s="304">
        <f>MAX($F118-$C$8/2*AW121,$F118-MAIN!$C$14/2)</f>
        <v>164.66450897358339</v>
      </c>
      <c r="AX162" s="304">
        <f>MAX($F118-$C$8/2*AX121,$F118-MAIN!$C$14/2)</f>
        <v>160.00990118975599</v>
      </c>
      <c r="AY162" s="304">
        <f>MAX($F118-$C$8/2*AY121,$F118-MAIN!$C$14/2)</f>
        <v>155.35529340592859</v>
      </c>
      <c r="AZ162" s="304">
        <f>MAX($F118-$C$8/2*AZ121,$F118-MAIN!$C$14/2)</f>
        <v>150.70068562210122</v>
      </c>
      <c r="BA162" s="304">
        <f>MAX($F118-$C$8/2*BA121,$F118-MAIN!$C$14/2)</f>
        <v>146.04607783827385</v>
      </c>
      <c r="BB162" s="304">
        <f>MAX($F118-$C$8/2*BB121,$F118-MAIN!$C$14/2)</f>
        <v>141.39147005444647</v>
      </c>
      <c r="BC162" s="304">
        <f>MAX($F118-$C$8/2*BC121,$F118-MAIN!$C$14/2)</f>
        <v>136.73686227061907</v>
      </c>
      <c r="BD162" s="304">
        <f>MAX($F118-$C$8/2*BD121,$F118-MAIN!$C$14/2)</f>
        <v>132.08225448679167</v>
      </c>
      <c r="BE162" s="304">
        <f>MAX($F118-$C$8/2*BE121,$F118-MAIN!$C$14/2)</f>
        <v>127.42764670296428</v>
      </c>
      <c r="BF162" s="304">
        <f>MAX($F118-$C$8/2*BF121,$F118-MAIN!$C$14/2)</f>
        <v>122.77303891913688</v>
      </c>
      <c r="BG162" s="304">
        <f>MAX($F118-$C$8/2*BG121,$F118-MAIN!$C$14/2)</f>
        <v>118.11843113530949</v>
      </c>
      <c r="BH162" s="304">
        <f>MAX($F118-$C$8/2*BH121,$F118-MAIN!$C$14/2)</f>
        <v>113.46382335148209</v>
      </c>
      <c r="BI162" s="304">
        <f>MAX($F118-$C$8/2*BI121,$F118-MAIN!$C$14/2)</f>
        <v>108.80921556765469</v>
      </c>
      <c r="BJ162" s="304">
        <f>MAX($F118-$C$8/2*BJ121,$F118-MAIN!$C$14/2)</f>
        <v>104.15460778382729</v>
      </c>
      <c r="BK162" s="304">
        <f>MAX($F118-$C$8/2*BK121,$F118-MAIN!$C$14/2)</f>
        <v>99.5</v>
      </c>
      <c r="BL162" s="304">
        <f>MAX($F118-$C$8/2*BL121,$F118-MAIN!$C$14/2)</f>
        <v>99.5</v>
      </c>
      <c r="BM162" s="304">
        <f>MAX($F118-$C$8/2*BM121,$F118-MAIN!$C$14/2)</f>
        <v>99.5</v>
      </c>
      <c r="BN162" s="304">
        <f>MAX($F118-$C$8/2*BN121,$F118-MAIN!$C$14/2)</f>
        <v>99.5</v>
      </c>
      <c r="BO162" s="3">
        <f>$F118-MAIN!$C$14/2</f>
        <v>99.5</v>
      </c>
      <c r="BS162"/>
      <c r="BT162"/>
    </row>
    <row r="163" spans="1:72" ht="16.5">
      <c r="A163" s="227">
        <f>IF(I118=0,0,1)</f>
        <v>1</v>
      </c>
      <c r="B163" s="295" t="s">
        <v>31</v>
      </c>
      <c r="C163" s="298" t="s">
        <v>71</v>
      </c>
      <c r="D163" s="3">
        <f>$A163*(D122+SUM(D152:D161))/1000</f>
        <v>-530.71957767654021</v>
      </c>
      <c r="E163" s="304">
        <f t="shared" ref="E163:BO163" si="110">$A163*(E122+SUM(E152:E161))/1000</f>
        <v>-332.12232175214052</v>
      </c>
      <c r="F163" s="304">
        <f t="shared" si="110"/>
        <v>-151.81173587905965</v>
      </c>
      <c r="G163" s="304">
        <f t="shared" si="110"/>
        <v>13.688545970706153</v>
      </c>
      <c r="H163" s="304">
        <f t="shared" si="110"/>
        <v>167.02623905515171</v>
      </c>
      <c r="I163" s="304">
        <f t="shared" si="110"/>
        <v>310.25342562550804</v>
      </c>
      <c r="J163" s="304">
        <f t="shared" si="110"/>
        <v>444.98512948835139</v>
      </c>
      <c r="K163" s="304">
        <f t="shared" si="110"/>
        <v>572.50979114923177</v>
      </c>
      <c r="L163" s="304">
        <f t="shared" si="110"/>
        <v>693.86784575921979</v>
      </c>
      <c r="M163" s="304">
        <f t="shared" si="110"/>
        <v>765.40275916294092</v>
      </c>
      <c r="N163" s="304">
        <f t="shared" si="110"/>
        <v>876.82654888314244</v>
      </c>
      <c r="O163" s="304">
        <f t="shared" si="110"/>
        <v>984.21576490914254</v>
      </c>
      <c r="P163" s="304">
        <f t="shared" si="110"/>
        <v>1088.0588376691969</v>
      </c>
      <c r="Q163" s="304">
        <f t="shared" si="110"/>
        <v>1188.7684156942285</v>
      </c>
      <c r="R163" s="304">
        <f t="shared" si="110"/>
        <v>1286.6955141414714</v>
      </c>
      <c r="S163" s="304">
        <f t="shared" si="110"/>
        <v>1382.1406075749537</v>
      </c>
      <c r="T163" s="304">
        <f t="shared" si="110"/>
        <v>1475.3624102123513</v>
      </c>
      <c r="U163" s="304">
        <f t="shared" si="110"/>
        <v>1566.5848872001263</v>
      </c>
      <c r="V163" s="304">
        <f t="shared" si="110"/>
        <v>1656.0028992060943</v>
      </c>
      <c r="W163" s="304">
        <f t="shared" si="110"/>
        <v>1743.7867813527805</v>
      </c>
      <c r="X163" s="304">
        <f t="shared" si="110"/>
        <v>1830.0860840516909</v>
      </c>
      <c r="Y163" s="304">
        <f t="shared" si="110"/>
        <v>1915.0326494077196</v>
      </c>
      <c r="Z163" s="304">
        <f t="shared" si="110"/>
        <v>1998.7431569169523</v>
      </c>
      <c r="AA163" s="304">
        <f t="shared" si="110"/>
        <v>2081.3212422828624</v>
      </c>
      <c r="AB163" s="304">
        <f t="shared" si="110"/>
        <v>2162.8592705934784</v>
      </c>
      <c r="AC163" s="304">
        <f t="shared" si="110"/>
        <v>2243.4398278991939</v>
      </c>
      <c r="AD163" s="304">
        <f t="shared" si="110"/>
        <v>2323.1369820203163</v>
      </c>
      <c r="AE163" s="304">
        <f t="shared" si="110"/>
        <v>2402.0173531916262</v>
      </c>
      <c r="AF163" s="304">
        <f t="shared" si="110"/>
        <v>2480.1410271852742</v>
      </c>
      <c r="AG163" s="304">
        <f t="shared" si="110"/>
        <v>2557.5623373033263</v>
      </c>
      <c r="AH163" s="304">
        <f t="shared" si="110"/>
        <v>2634.3305366961135</v>
      </c>
      <c r="AI163" s="304">
        <f t="shared" si="110"/>
        <v>2710.4903785418996</v>
      </c>
      <c r="AJ163" s="304">
        <f t="shared" si="110"/>
        <v>2786.0826184906764</v>
      </c>
      <c r="AK163" s="304">
        <f t="shared" si="110"/>
        <v>2860.3345393354866</v>
      </c>
      <c r="AL163" s="304">
        <f t="shared" si="110"/>
        <v>2923.7855335318677</v>
      </c>
      <c r="AM163" s="304">
        <f t="shared" si="110"/>
        <v>2987.2365277282493</v>
      </c>
      <c r="AN163" s="304">
        <f t="shared" si="110"/>
        <v>3050.6875219246299</v>
      </c>
      <c r="AO163" s="304">
        <f t="shared" si="110"/>
        <v>3114.1385161210114</v>
      </c>
      <c r="AP163" s="304">
        <f t="shared" si="110"/>
        <v>3177.5895103173925</v>
      </c>
      <c r="AQ163" s="304">
        <f t="shared" si="110"/>
        <v>3241.040504513775</v>
      </c>
      <c r="AR163" s="61">
        <f t="shared" si="110"/>
        <v>3304.4914987101602</v>
      </c>
      <c r="AS163" s="304">
        <f t="shared" si="110"/>
        <v>3714.3252417763056</v>
      </c>
      <c r="AT163" s="304">
        <f t="shared" si="110"/>
        <v>4103.586052682942</v>
      </c>
      <c r="AU163" s="304">
        <f t="shared" si="110"/>
        <v>4476.0775982831237</v>
      </c>
      <c r="AV163" s="304">
        <f t="shared" si="110"/>
        <v>4834.7203135858454</v>
      </c>
      <c r="AW163" s="304">
        <f t="shared" si="110"/>
        <v>5181.7936999832536</v>
      </c>
      <c r="AX163" s="304">
        <f t="shared" si="110"/>
        <v>5519.1030081933277</v>
      </c>
      <c r="AY163" s="304">
        <f t="shared" si="110"/>
        <v>5848.0964753812832</v>
      </c>
      <c r="AZ163" s="304">
        <f t="shared" si="110"/>
        <v>6169.949422811068</v>
      </c>
      <c r="BA163" s="304">
        <f t="shared" si="110"/>
        <v>6485.6256511241399</v>
      </c>
      <c r="BB163" s="304">
        <f t="shared" si="110"/>
        <v>6795.9229753928266</v>
      </c>
      <c r="BC163" s="304">
        <f t="shared" si="110"/>
        <v>7101.5074826683831</v>
      </c>
      <c r="BD163" s="304">
        <f t="shared" si="110"/>
        <v>7402.9396414191142</v>
      </c>
      <c r="BE163" s="304">
        <f t="shared" si="110"/>
        <v>7696.5083115314865</v>
      </c>
      <c r="BF163" s="304">
        <f t="shared" si="110"/>
        <v>7935.950295874527</v>
      </c>
      <c r="BG163" s="304">
        <f t="shared" si="110"/>
        <v>8215.8895870642118</v>
      </c>
      <c r="BH163" s="304">
        <f t="shared" si="110"/>
        <v>8492.5564549349583</v>
      </c>
      <c r="BI163" s="304">
        <f t="shared" si="110"/>
        <v>8766.5172038234832</v>
      </c>
      <c r="BJ163" s="304">
        <f t="shared" si="110"/>
        <v>9038.2145965603777</v>
      </c>
      <c r="BK163" s="304">
        <f t="shared" si="110"/>
        <v>9307.9998009843348</v>
      </c>
      <c r="BL163" s="304">
        <f>$A163*(BL122+SUM(BL152:BL161))/1000</f>
        <v>9440.9584379858716</v>
      </c>
      <c r="BM163" s="304">
        <f>$A163*(BM122+SUM(BM152:BM161))/1000</f>
        <v>9445.4349940938246</v>
      </c>
      <c r="BN163" s="304">
        <f>$A163*(BN122+SUM(BN152:BN161))/1000</f>
        <v>9445.4349940938246</v>
      </c>
      <c r="BO163" s="3">
        <f t="shared" si="110"/>
        <v>9445.4349940938246</v>
      </c>
      <c r="BS163"/>
      <c r="BT163"/>
    </row>
    <row r="164" spans="1:72" ht="16.5">
      <c r="B164" s="295" t="s">
        <v>72</v>
      </c>
      <c r="C164" s="298" t="s">
        <v>73</v>
      </c>
      <c r="D164" s="3">
        <f>$A163*IF(D163+E163=0,0,IF(D163=0,2*E164-F164,(D122*D162+D152*($F118-$C118)+D153*($F118-$D123)+D154*($F118-$D124)+D155*($F118-$D125)+D156*($F118-$D126)+D157*($F118-$D127)+D158*($F118-$D128)+D159*($F118-$D129)+D160*($F118-$D130))/1000000-D163*($F118-MAIN!$C$14/2)/1000))</f>
        <v>145.94260350665769</v>
      </c>
      <c r="E164" s="304">
        <f>$A163*IF(E163+F163=0,0,IF(E163=0,2*F164-G164,(E122*E162+E152*($F118-$C118)+E153*($F118-$D123)+E154*($F118-$D124)+E155*($F118-$D125)+E156*($F118-$D126)+E157*($F118-$D127)+E158*($F118-$D128)+E159*($F118-$D129)+E160*($F118-$D130))/1000000-E163*($F118-MAIN!$C$14/2)/1000))</f>
        <v>166.94153060442645</v>
      </c>
      <c r="F164" s="304">
        <f>$A163*IF(F163+G163=0,0,IF(F163=0,2*G164-H164,(F122*F162+F152*($F118-$C118)+F153*($F118-$D123)+F154*($F118-$D124)+F155*($F118-$D125)+F156*($F118-$D126)+F157*($F118-$D127)+F158*($F118-$D128)+F159*($F118-$D129)+F160*($F118-$D130))/1000000-F163*($F118-MAIN!$C$14/2)/1000))</f>
        <v>185.97291827236458</v>
      </c>
      <c r="G164" s="304">
        <f>$A163*IF(G163+H163=0,0,IF(G163=0,2*H164-I164,(G122*G162+G152*($F118-$C118)+G153*($F118-$D123)+G154*($F118-$D124)+G155*($F118-$D125)+G156*($F118-$D126)+G157*($F118-$D127)+G158*($F118-$D128)+G159*($F118-$D129)+G160*($F118-$D130))/1000000-G163*($F118-MAIN!$C$14/2)/1000))</f>
        <v>203.38266493025819</v>
      </c>
      <c r="H164" s="304">
        <f>$A163*IF(H163+I163=0,0,IF(H163=0,2*I164-J164,(H122*H162+H152*($F118-$C118)+H153*($F118-$D123)+H154*($F118-$D124)+H155*($F118-$D125)+H156*($F118-$D126)+H157*($F118-$D127)+H158*($F118-$D128)+H159*($F118-$D129)+H160*($F118-$D130))/1000000-H163*($F118-MAIN!$C$14/2)/1000))</f>
        <v>219.43421824627777</v>
      </c>
      <c r="I164" s="304">
        <f>$A163*IF(I163+J163=0,0,IF(I163=0,2*J164-K164,(I122*I162+I152*($F118-$C118)+I153*($F118-$D123)+I154*($F118-$D124)+I155*($F118-$D125)+I156*($F118-$D126)+I157*($F118-$D127)+I158*($F118-$D128)+I159*($F118-$D129)+I160*($F118-$D130))/1000000-I163*($F118-MAIN!$C$14/2)/1000))</f>
        <v>234.33176040442092</v>
      </c>
      <c r="J164" s="304">
        <f>$A163*IF(J163+K163=0,0,IF(J163=0,2*K164-L164,(J122*J162+J152*($F118-$C118)+J153*($F118-$D123)+J154*($F118-$D124)+J155*($F118-$D125)+J156*($F118-$D126)+J157*($F118-$D127)+J158*($F118-$D128)+J159*($F118-$D129)+J160*($F118-$D130))/1000000-J163*($F118-MAIN!$C$14/2)/1000))</f>
        <v>248.23598627344197</v>
      </c>
      <c r="K164" s="304">
        <f>$A163*IF(K163+L163=0,0,IF(K163=0,2*L164-M164,(K122*K162+K152*($F118-$C118)+K153*($F118-$D123)+K154*($F118-$D124)+K155*($F118-$D125)+K156*($F118-$D126)+K157*($F118-$D127)+K158*($F118-$D128)+K159*($F118-$D129)+K160*($F118-$D130))/1000000-K163*($F118-MAIN!$C$14/2)/1000))</f>
        <v>261.27509568364297</v>
      </c>
      <c r="L164" s="304">
        <f>$A163*IF(L163+M163=0,0,IF(L163=0,2*M164-N164,(L122*L162+L152*($F118-$C118)+L153*($F118-$D123)+L154*($F118-$D124)+L155*($F118-$D125)+L156*($F118-$D126)+L157*($F118-$D127)+L158*($F118-$D128)+L159*($F118-$D129)+L160*($F118-$D130))/1000000-L163*($F118-MAIN!$C$14/2)/1000))</f>
        <v>273.55261193255569</v>
      </c>
      <c r="M164" s="304">
        <f>$A163*IF(M163+N163=0,0,IF(M163=0,2*N164-O164,(M122*M162+M152*($F118-$C118)+M153*($F118-$D123)+M154*($F118-$D124)+M155*($F118-$D125)+M156*($F118-$D126)+M157*($F118-$D127)+M158*($F118-$D128)+M159*($F118-$D129)+M160*($F118-$D130))/1000000-M163*($F118-MAIN!$C$14/2)/1000))</f>
        <v>280.72470987172022</v>
      </c>
      <c r="N164" s="304">
        <f>$A163*IF(N163+O163=0,0,IF(N163=0,2*O164-P164,(N122*N162+N152*($F118-$C118)+N153*($F118-$D123)+N154*($F118-$D124)+N155*($F118-$D125)+N156*($F118-$D126)+N157*($F118-$D127)+N158*($F118-$D128)+N159*($F118-$D129)+N160*($F118-$D130))/1000000-N163*($F118-MAIN!$C$14/2)/1000))</f>
        <v>291.71773524464982</v>
      </c>
      <c r="O164" s="304">
        <f>$A163*IF(O163+P163=0,0,IF(O163=0,2*P164-Q164,(O122*O162+O152*($F118-$C118)+O153*($F118-$D123)+O154*($F118-$D124)+O155*($F118-$D125)+O156*($F118-$D126)+O157*($F118-$D127)+O158*($F118-$D128)+O159*($F118-$D129)+O160*($F118-$D130))/1000000-O163*($F118-MAIN!$C$14/2)/1000))</f>
        <v>302.16130477528202</v>
      </c>
      <c r="P164" s="304">
        <f>$A163*IF(P163+Q163=0,0,IF(P163=0,2*Q164-R164,(P122*P162+P152*($F118-$C118)+P153*($F118-$D123)+P154*($F118-$D124)+P155*($F118-$D125)+P156*($F118-$D126)+P157*($F118-$D127)+P158*($F118-$D128)+P159*($F118-$D129)+P160*($F118-$D130))/1000000-P163*($F118-MAIN!$C$14/2)/1000))</f>
        <v>312.10401729122788</v>
      </c>
      <c r="Q164" s="304">
        <f>$A163*IF(Q163+R163=0,0,IF(Q163=0,2*R164-S164,(Q122*Q162+Q152*($F118-$C118)+Q153*($F118-$D123)+Q154*($F118-$D124)+Q155*($F118-$D125)+Q156*($F118-$D126)+Q157*($F118-$D127)+Q158*($F118-$D128)+Q159*($F118-$D129)+Q160*($F118-$D130))/1000000-Q163*($F118-MAIN!$C$14/2)/1000))</f>
        <v>321.58693132131435</v>
      </c>
      <c r="R164" s="304">
        <f>$A163*IF(R163+S163=0,0,IF(R163=0,2*S164-T164,(R122*R162+R152*($F118-$C118)+R153*($F118-$D123)+R154*($F118-$D124)+R155*($F118-$D125)+R156*($F118-$D126)+R157*($F118-$D127)+R158*($F118-$D128)+R159*($F118-$D129)+R160*($F118-$D130))/1000000-R163*($F118-MAIN!$C$14/2)/1000))</f>
        <v>330.6449728736863</v>
      </c>
      <c r="S164" s="304">
        <f>$A163*IF(S163+T163=0,0,IF(S163=0,2*T164-U164,(S122*S162+S152*($F118-$C118)+S153*($F118-$D123)+S154*($F118-$D124)+S155*($F118-$D125)+S156*($F118-$D126)+S157*($F118-$D127)+S158*($F118-$D128)+S159*($F118-$D129)+S160*($F118-$D130))/1000000-S163*($F118-MAIN!$C$14/2)/1000))</f>
        <v>339.30803916746436</v>
      </c>
      <c r="T164" s="304">
        <f>$A163*IF(T163+U163=0,0,IF(T163=0,2*U164-V164,(T122*T162+T152*($F118-$C118)+T153*($F118-$D123)+T154*($F118-$D124)+T155*($F118-$D125)+T156*($F118-$D126)+T157*($F118-$D127)+T158*($F118-$D128)+T159*($F118-$D129)+T160*($F118-$D130))/1000000-T163*($F118-MAIN!$C$14/2)/1000))</f>
        <v>347.6018722673075</v>
      </c>
      <c r="U164" s="304">
        <f>$A163*IF(U163+V163=0,0,IF(U163=0,2*V164-W164,(U122*U162+U152*($F118-$C118)+U153*($F118-$D123)+U154*($F118-$D124)+U155*($F118-$D125)+U156*($F118-$D126)+U157*($F118-$D127)+U158*($F118-$D128)+U159*($F118-$D129)+U160*($F118-$D130))/1000000-U163*($F118-MAIN!$C$14/2)/1000))</f>
        <v>355.54875670528855</v>
      </c>
      <c r="V164" s="304">
        <f>$A163*IF(V163+W163=0,0,IF(V163=0,2*W164-X164,(V122*V162+V152*($F118-$C118)+V153*($F118-$D123)+V154*($F118-$D124)+V155*($F118-$D125)+V156*($F118-$D126)+V157*($F118-$D127)+V158*($F118-$D128)+V159*($F118-$D129)+V160*($F118-$D130))/1000000-V163*($F118-MAIN!$C$14/2)/1000))</f>
        <v>363.16808111785519</v>
      </c>
      <c r="W164" s="304">
        <f>$A163*IF(W163+X163=0,0,IF(W163=0,2*X164-Y164,(W122*W162+W152*($F118-$C118)+W153*($F118-$D123)+W154*($F118-$D124)+W155*($F118-$D125)+W156*($F118-$D126)+W157*($F118-$D127)+W158*($F118-$D128)+W159*($F118-$D129)+W160*($F118-$D130))/1000000-W163*($F118-MAIN!$C$14/2)/1000))</f>
        <v>370.47679384969888</v>
      </c>
      <c r="X164" s="304">
        <f>$A163*IF(X163+Y163=0,0,IF(X163=0,2*Y164-Z164,(X122*X162+X152*($F118-$C118)+X153*($F118-$D123)+X154*($F118-$D124)+X155*($F118-$D125)+X156*($F118-$D126)+X157*($F118-$D127)+X158*($F118-$D128)+X159*($F118-$D129)+X160*($F118-$D130))/1000000-X163*($F118-MAIN!$C$14/2)/1000))</f>
        <v>377.48977516676393</v>
      </c>
      <c r="Y164" s="304">
        <f>$A163*IF(Y163+Z163=0,0,IF(Y163=0,2*Z164-AA164,(Y122*Y162+Y152*($F118-$C118)+Y153*($F118-$D123)+Y154*($F118-$D124)+Y155*($F118-$D125)+Y156*($F118-$D126)+Y157*($F118-$D127)+Y158*($F118-$D128)+Y159*($F118-$D129)+Y160*($F118-$D130))/1000000-Y163*($F118-MAIN!$C$14/2)/1000))</f>
        <v>384.22014335848792</v>
      </c>
      <c r="Z164" s="304">
        <f>$A163*IF(Z163+AA163=0,0,IF(Z163=0,2*AA164-AB164,(Z122*Z162+Z152*($F118-$C118)+Z153*($F118-$D123)+Z154*($F118-$D124)+Z155*($F118-$D125)+Z156*($F118-$D126)+Z157*($F118-$D127)+Z158*($F118-$D128)+Z159*($F118-$D129)+Z160*($F118-$D130))/1000000-Z163*($F118-MAIN!$C$14/2)/1000))</f>
        <v>390.67950803473093</v>
      </c>
      <c r="AA164" s="304">
        <f>$A163*IF(AA163+AB163=0,0,IF(AA163=0,2*AB164-AC164,(AA122*AA162+AA152*($F118-$C118)+AA153*($F118-$D123)+AA154*($F118-$D124)+AA155*($F118-$D125)+AA156*($F118-$D126)+AA157*($F118-$D127)+AA158*($F118-$D128)+AA159*($F118-$D129)+AA160*($F118-$D130))/1000000-AA163*($F118-MAIN!$C$14/2)/1000))</f>
        <v>396.87818094798871</v>
      </c>
      <c r="AB164" s="304">
        <f>$A163*IF(AB163+AC163=0,0,IF(AB163=0,2*AC164-AD164,(AB122*AB162+AB152*($F118-$C118)+AB153*($F118-$D123)+AB154*($F118-$D124)+AB155*($F118-$D125)+AB156*($F118-$D126)+AB157*($F118-$D127)+AB158*($F118-$D128)+AB159*($F118-$D129)+AB160*($F118-$D130))/1000000-AB163*($F118-MAIN!$C$14/2)/1000))</f>
        <v>402.82535242452019</v>
      </c>
      <c r="AC164" s="304">
        <f>$A163*IF(AC163+AD163=0,0,IF(AC163=0,2*AD164-AE164,(AC122*AC162+AC152*($F118-$C118)+AC153*($F118-$D123)+AC154*($F118-$D124)+AC155*($F118-$D125)+AC156*($F118-$D126)+AC157*($F118-$D127)+AC158*($F118-$D128)+AC159*($F118-$D129)+AC160*($F118-$D130))/1000000-AC163*($F118-MAIN!$C$14/2)/1000))</f>
        <v>408.52923977633952</v>
      </c>
      <c r="AD164" s="304">
        <f>$A163*IF(AD163+AE163=0,0,IF(AD163=0,2*AE164-AF164,(AD122*AD162+AD152*($F118-$C118)+AD153*($F118-$D123)+AD154*($F118-$D124)+AD155*($F118-$D125)+AD156*($F118-$D126)+AD157*($F118-$D127)+AD158*($F118-$D128)+AD159*($F118-$D129)+AD160*($F118-$D130))/1000000-AD163*($F118-MAIN!$C$14/2)/1000))</f>
        <v>413.99721275156736</v>
      </c>
      <c r="AE164" s="304">
        <f>$A163*IF(AE163+AF163=0,0,IF(AE163=0,2*AF164-AG164,(AE122*AE162+AE152*($F118-$C118)+AE153*($F118-$D123)+AE154*($F118-$D124)+AE155*($F118-$D125)+AE156*($F118-$D126)+AE157*($F118-$D127)+AE158*($F118-$D128)+AE159*($F118-$D129)+AE160*($F118-$D130))/1000000-AE163*($F118-MAIN!$C$14/2)/1000))</f>
        <v>419.23590006356409</v>
      </c>
      <c r="AF164" s="304">
        <f>$A163*IF(AF163+AG163=0,0,IF(AF163=0,2*AG164-AH164,(AF122*AF162+AF152*($F118-$C118)+AF153*($F118-$D123)+AF154*($F118-$D124)+AF155*($F118-$D125)+AF156*($F118-$D126)+AF157*($F118-$D127)+AF158*($F118-$D128)+AF159*($F118-$D129)+AF160*($F118-$D130))/1000000-AF163*($F118-MAIN!$C$14/2)/1000))</f>
        <v>424.25128024665889</v>
      </c>
      <c r="AG164" s="304">
        <f>$A163*IF(AG163+AH163=0,0,IF(AG163=0,2*AH164-AI164,(AG122*AG162+AG152*($F118-$C118)+AG153*($F118-$D123)+AG154*($F118-$D124)+AG155*($F118-$D125)+AG156*($F118-$D126)+AG157*($F118-$D127)+AG158*($F118-$D128)+AG159*($F118-$D129)+AG160*($F118-$D130))/1000000-AG163*($F118-MAIN!$C$14/2)/1000))</f>
        <v>429.04875946440717</v>
      </c>
      <c r="AH164" s="304">
        <f>$A163*IF(AH163+AI163=0,0,IF(AH163=0,2*AI164-AJ164,(AH122*AH162+AH152*($F118-$C118)+AH153*($F118-$D123)+AH154*($F118-$D124)+AH155*($F118-$D125)+AH156*($F118-$D126)+AH157*($F118-$D127)+AH158*($F118-$D128)+AH159*($F118-$D129)+AH160*($F118-$D130))/1000000-AH163*($F118-MAIN!$C$14/2)/1000))</f>
        <v>433.63323840526709</v>
      </c>
      <c r="AI164" s="304">
        <f>$A163*IF(AI163+AJ163=0,0,IF(AI163=0,2*AJ164-AK164,(AI122*AI162+AI152*($F118-$C118)+AI153*($F118-$D123)+AI154*($F118-$D124)+AI155*($F118-$D125)+AI156*($F118-$D126)+AI157*($F118-$D127)+AI158*($F118-$D128)+AI159*($F118-$D129)+AI160*($F118-$D130))/1000000-AI163*($F118-MAIN!$C$14/2)/1000))</f>
        <v>438.00917001047583</v>
      </c>
      <c r="AJ164" s="304">
        <f>$A163*IF(AJ163+AK163=0,0,IF(AJ163=0,2*AK164-AL164,(AJ122*AJ162+AJ152*($F118-$C118)+AJ153*($F118-$D123)+AJ154*($F118-$D124)+AJ155*($F118-$D125)+AJ156*($F118-$D126)+AJ157*($F118-$D127)+AJ158*($F118-$D128)+AJ159*($F118-$D129)+AJ160*($F118-$D130))/1000000-AJ163*($F118-MAIN!$C$14/2)/1000))</f>
        <v>442.18060946720732</v>
      </c>
      <c r="AK164" s="304">
        <f>$A163*IF(AK163+AL163=0,0,IF(AK163=0,2*AL164-AM164,(AK122*AK162+AK152*($F118-$C118)+AK153*($F118-$D123)+AK154*($F118-$D124)+AK155*($F118-$D125)+AK156*($F118-$D126)+AK157*($F118-$D127)+AK158*($F118-$D128)+AK159*($F118-$D129)+AK160*($F118-$D130))/1000000-AK163*($F118-MAIN!$C$14/2)/1000))</f>
        <v>446.07067141336984</v>
      </c>
      <c r="AL164" s="304">
        <f>$A163*IF(AL163+AM163=0,0,IF(AL163=0,2*AM164-AN164,(AL122*AL162+AL152*($F118-$C118)+AL153*($F118-$D123)+AL154*($F118-$D124)+AL155*($F118-$D125)+AL156*($F118-$D126)+AL157*($F118-$D127)+AL158*($F118-$D128)+AL159*($F118-$D129)+AL160*($F118-$D130))/1000000-AL163*($F118-MAIN!$C$14/2)/1000))</f>
        <v>448.73802539828893</v>
      </c>
      <c r="AM164" s="304">
        <f>$A163*IF(AM163+AN163=0,0,IF(AM163=0,2*AN164-AO164,(AM122*AM162+AM152*($F118-$C118)+AM153*($F118-$D123)+AM154*($F118-$D124)+AM155*($F118-$D125)+AM156*($F118-$D126)+AM157*($F118-$D127)+AM158*($F118-$D128)+AM159*($F118-$D129)+AM160*($F118-$D130))/1000000-AM163*($F118-MAIN!$C$14/2)/1000))</f>
        <v>451.25736362348334</v>
      </c>
      <c r="AN164" s="304">
        <f>$A163*IF(AN163+AO163=0,0,IF(AN163=0,2*AO164-AP164,(AN122*AN162+AN152*($F118-$C118)+AN153*($F118-$D123)+AN154*($F118-$D124)+AN155*($F118-$D125)+AN156*($F118-$D126)+AN157*($F118-$D127)+AN158*($F118-$D128)+AN159*($F118-$D129)+AN160*($F118-$D130))/1000000-AN163*($F118-MAIN!$C$14/2)/1000))</f>
        <v>453.62868608895326</v>
      </c>
      <c r="AO164" s="304">
        <f>$A163*IF(AO163+AP163=0,0,IF(AO163=0,2*AP164-AQ164,(AO122*AO162+AO152*($F118-$C118)+AO153*($F118-$D123)+AO154*($F118-$D124)+AO155*($F118-$D125)+AO156*($F118-$D126)+AO157*($F118-$D127)+AO158*($F118-$D128)+AO159*($F118-$D129)+AO160*($F118-$D130))/1000000-AO163*($F118-MAIN!$C$14/2)/1000))</f>
        <v>455.85199279469839</v>
      </c>
      <c r="AP164" s="304">
        <f>$A163*IF(AP163+AQ163=0,0,IF(AP163=0,2*AQ164-AR164,(AP122*AP162+AP152*($F118-$C118)+AP153*($F118-$D123)+AP154*($F118-$D124)+AP155*($F118-$D125)+AP156*($F118-$D126)+AP157*($F118-$D127)+AP158*($F118-$D128)+AP159*($F118-$D129)+AP160*($F118-$D130))/1000000-AP163*($F118-MAIN!$C$14/2)/1000))</f>
        <v>457.9272837407193</v>
      </c>
      <c r="AQ164" s="304">
        <f>$A163*IF(AQ163+AR163=0,0,IF(AQ163=0,2*AR164-AS164,(AQ122*AQ162+AQ152*($F118-$C118)+AQ153*($F118-$D123)+AQ154*($F118-$D124)+AQ155*($F118-$D125)+AQ156*($F118-$D126)+AQ157*($F118-$D127)+AQ158*($F118-$D128)+AQ159*($F118-$D129)+AQ160*($F118-$D130))/1000000-AQ163*($F118-MAIN!$C$14/2)/1000))</f>
        <v>459.85455892701543</v>
      </c>
      <c r="AR164" s="56">
        <f>$A163*IF(AR163+AS163=0,0,IF(AR163=0,2*AS164-AT164,(AR122*AR162+AR152*($F118-$C118)+AR153*($F118-$D123)+AR154*($F118-$D124)+AR155*($F118-$D125)+AR156*($F118-$D126)+AR157*($F118-$D127)+AR158*($F118-$D128)+AR159*($F118-$D129)+AR160*($F118-$D130))/1000000-AR163*($F118-MAIN!$C$14/2)/1000))</f>
        <v>461.63381835358717</v>
      </c>
      <c r="AS164" s="304">
        <f>$A163*IF(AS163+AT163=0,0,IF(AS163=0,2*AT164-AU164,(AS122*AS162+AS152*($F118-$C118)+AS153*($F118-$D123)+AS154*($F118-$D124)+AS155*($F118-$D125)+AS156*($F118-$D126)+AS157*($F118-$D127)+AS158*($F118-$D128)+AS159*($F118-$D129)+AS160*($F118-$D130))/1000000-AS163*($F118-MAIN!$C$14/2)/1000))</f>
        <v>451.67628643966015</v>
      </c>
      <c r="AT164" s="304">
        <f>$A163*IF(AT163+AU163=0,0,IF(AT163=0,2*AU164-AV164,(AT122*AT162+AT152*($F118-$C118)+AT153*($F118-$D123)+AT154*($F118-$D124)+AT155*($F118-$D125)+AT156*($F118-$D126)+AT157*($F118-$D127)+AT158*($F118-$D128)+AT159*($F118-$D129)+AT160*($F118-$D130))/1000000-AT163*($F118-MAIN!$C$14/2)/1000))</f>
        <v>441.40856862561049</v>
      </c>
      <c r="AU164" s="304">
        <f>$A163*IF(AU163+AV163=0,0,IF(AU163=0,2*AV164-AW164,(AU122*AU162+AU152*($F118-$C118)+AU153*($F118-$D123)+AU154*($F118-$D124)+AU155*($F118-$D125)+AU156*($F118-$D126)+AU157*($F118-$D127)+AU158*($F118-$D128)+AU159*($F118-$D129)+AU160*($F118-$D130))/1000000-AU163*($F118-MAIN!$C$14/2)/1000))</f>
        <v>430.45220005955963</v>
      </c>
      <c r="AV164" s="304">
        <f>$A163*IF(AV163+AW163=0,0,IF(AV163=0,2*AW164-AX164,(AV122*AV162+AV152*($F118-$C118)+AV153*($F118-$D123)+AV154*($F118-$D124)+AV155*($F118-$D125)+AV156*($F118-$D126)+AV157*($F118-$D127)+AV158*($F118-$D128)+AV159*($F118-$D129)+AV160*($F118-$D130))/1000000-AV163*($F118-MAIN!$C$14/2)/1000))</f>
        <v>418.51659745811196</v>
      </c>
      <c r="AW164" s="304">
        <f>$A163*IF(AW163+AX163=0,0,IF(AW163=0,2*AX164-AY164,(AW122*AW162+AW152*($F118-$C118)+AW153*($F118-$D123)+AW154*($F118-$D124)+AW155*($F118-$D125)+AW156*($F118-$D126)+AW157*($F118-$D127)+AW158*($F118-$D128)+AW159*($F118-$D129)+AW160*($F118-$D130))/1000000-AW163*($F118-MAIN!$C$14/2)/1000))</f>
        <v>405.3749504327493</v>
      </c>
      <c r="AX164" s="304">
        <f>$A163*IF(AX163+AY163=0,0,IF(AX163=0,2*AY164-AZ164,(AX122*AX162+AX152*($F118-$C118)+AX153*($F118-$D123)+AX154*($F118-$D124)+AX155*($F118-$D125)+AX156*($F118-$D126)+AX157*($F118-$D127)+AX158*($F118-$D128)+AX159*($F118-$D129)+AX160*($F118-$D130))/1000000-AX163*($F118-MAIN!$C$14/2)/1000))</f>
        <v>390.84763653703237</v>
      </c>
      <c r="AY164" s="304">
        <f>$A163*IF(AY163+AZ163=0,0,IF(AY163=0,2*AZ164-BA164,(AY122*AY162+AY152*($F118-$C118)+AY153*($F118-$D123)+AY154*($F118-$D124)+AY155*($F118-$D125)+AY156*($F118-$D126)+AY157*($F118-$D127)+AY158*($F118-$D128)+AY159*($F118-$D129)+AY160*($F118-$D130))/1000000-AY163*($F118-MAIN!$C$14/2)/1000))</f>
        <v>374.79055617302242</v>
      </c>
      <c r="AZ164" s="304">
        <f>$A163*IF(AZ163+BA163=0,0,IF(AZ163=0,2*BA164-BB164,(AZ122*AZ162+AZ152*($F118-$C118)+AZ153*($F118-$D123)+AZ154*($F118-$D124)+AZ155*($F118-$D125)+AZ156*($F118-$D126)+AZ157*($F118-$D127)+AZ158*($F118-$D128)+AZ159*($F118-$D129)+AZ160*($F118-$D130))/1000000-AZ163*($F118-MAIN!$C$14/2)/1000))</f>
        <v>357.086764874957</v>
      </c>
      <c r="BA164" s="304">
        <f>$A163*IF(BA163+BB163=0,0,IF(BA163=0,2*BB164-BC164,(BA122*BA162+BA152*($F118-$C118)+BA153*($F118-$D123)+BA154*($F118-$D124)+BA155*($F118-$D125)+BA156*($F118-$D126)+BA157*($F118-$D127)+BA158*($F118-$D128)+BA159*($F118-$D129)+BA160*($F118-$D130))/1000000-BA163*($F118-MAIN!$C$14/2)/1000))</f>
        <v>337.6403644790106</v>
      </c>
      <c r="BB164" s="304">
        <f>$A163*IF(BB163+BC163=0,0,IF(BB163=0,2*BC164-BD164,(BB122*BB162+BB152*($F118-$C118)+BB153*($F118-$D123)+BB154*($F118-$D124)+BB155*($F118-$D125)+BB156*($F118-$D126)+BB157*($F118-$D127)+BB158*($F118-$D128)+BB159*($F118-$D129)+BB160*($F118-$D130))/1000000-BB163*($F118-MAIN!$C$14/2)/1000))</f>
        <v>316.37197238548674</v>
      </c>
      <c r="BC164" s="304">
        <f>$A163*IF(BC163+BD163=0,0,IF(BC163=0,2*BD164-BE164,(BC122*BC162+BC152*($F118-$C118)+BC153*($F118-$D123)+BC154*($F118-$D124)+BC155*($F118-$D125)+BC156*($F118-$D126)+BC157*($F118-$D127)+BC158*($F118-$D128)+BC159*($F118-$D129)+BC160*($F118-$D130))/1000000-BC163*($F118-MAIN!$C$14/2)/1000))</f>
        <v>293.21531293278588</v>
      </c>
      <c r="BD164" s="304">
        <f>$A163*IF(BD163+BE163=0,0,IF(BD163=0,2*BE164-BF164,(BD122*BD162+BD152*($F118-$C118)+BD153*($F118-$D123)+BD154*($F118-$D124)+BD155*($F118-$D125)+BD156*($F118-$D126)+BD157*($F118-$D127)+BD158*($F118-$D128)+BD159*($F118-$D129)+BD160*($F118-$D130))/1000000-BD163*($F118-MAIN!$C$14/2)/1000))</f>
        <v>268.11461950831085</v>
      </c>
      <c r="BE164" s="304">
        <f>$A163*IF(BE163+BF163=0,0,IF(BE163=0,2*BF164-BG164,(BE122*BE162+BE152*($F118-$C118)+BE153*($F118-$D123)+BE154*($F118-$D124)+BE155*($F118-$D125)+BE156*($F118-$D126)+BE157*($F118-$D127)+BE158*($F118-$D128)+BE159*($F118-$D129)+BE160*($F118-$D130))/1000000-BE163*($F118-MAIN!$C$14/2)/1000))</f>
        <v>241.43915055335844</v>
      </c>
      <c r="BF164" s="304">
        <f>$A163*IF(BF163+BG163=0,0,IF(BF163=0,2*BG164-BH164,(BF122*BF162+BF152*($F118-$C118)+BF153*($F118-$D123)+BF154*($F118-$D124)+BF155*($F118-$D125)+BF156*($F118-$D126)+BF157*($F118-$D127)+BF158*($F118-$D128)+BF159*($F118-$D129)+BF160*($F118-$D130))/1000000-BF163*($F118-MAIN!$C$14/2)/1000))</f>
        <v>217.79209418246148</v>
      </c>
      <c r="BG164" s="304">
        <f>$A163*IF(BG163+BH163=0,0,IF(BG163=0,2*BH164-BI164,(BG122*BG162+BG152*($F118-$C118)+BG153*($F118-$D123)+BG154*($F118-$D124)+BG155*($F118-$D125)+BG156*($F118-$D126)+BG157*($F118-$D127)+BG158*($F118-$D128)+BG159*($F118-$D129)+BG160*($F118-$D130))/1000000-BG163*($F118-MAIN!$C$14/2)/1000))</f>
        <v>187.75836313032937</v>
      </c>
      <c r="BH164" s="304">
        <f>$A163*IF(BH163+BI163=0,0,IF(BH163=0,2*BI164-BJ164,(BH122*BH162+BH152*($F118-$C118)+BH153*($F118-$D123)+BH154*($F118-$D124)+BH155*($F118-$D125)+BH156*($F118-$D126)+BH157*($F118-$D127)+BH158*($F118-$D128)+BH159*($F118-$D129)+BH160*($F118-$D130))/1000000-BH163*($F118-MAIN!$C$14/2)/1000))</f>
        <v>155.69304554843768</v>
      </c>
      <c r="BI164" s="304">
        <f>$A163*IF(BI163+BJ163=0,0,IF(BI163=0,2*BJ164-BK164,(BI122*BI162+BI152*($F118-$C118)+BI153*($F118-$D123)+BI154*($F118-$D124)+BI155*($F118-$D125)+BI156*($F118-$D126)+BI157*($F118-$D127)+BI158*($F118-$D128)+BI159*($F118-$D129)+BI160*($F118-$D130))/1000000-BI163*($F118-MAIN!$C$14/2)/1000))</f>
        <v>121.53979415528318</v>
      </c>
      <c r="BJ164" s="304">
        <f>$A163*IF(BJ163+BK163=0,0,IF(BJ163=0,2*BK164-BO164,(BJ122*BJ162+BJ152*($F118-$C118)+BJ153*($F118-$D123)+BJ154*($F118-$D124)+BJ155*($F118-$D125)+BJ156*($F118-$D126)+BJ157*($F118-$D127)+BJ158*($F118-$D128)+BJ159*($F118-$D129)+BJ160*($F118-$D130))/1000000-BJ163*($F118-MAIN!$C$14/2)/1000))</f>
        <v>85.254554049222179</v>
      </c>
      <c r="BK164" s="304">
        <f>$A163*IF(BK163+BO163=0,0,IF(BK163=0,2*BO164-BP164,(BK122*BK162+BK152*($F118-$C118)+BK153*($F118-$D123)+BK154*($F118-$D124)+BK155*($F118-$D125)+BK156*($F118-$D126)+BK157*($F118-$D127)+BK158*($F118-$D128)+BK159*($F118-$D129)+BK160*($F118-$D130))/1000000-BK163*($F118-MAIN!$C$14/2)/1000))</f>
        <v>46.802384030304893</v>
      </c>
      <c r="BL164" s="304">
        <f>$A163*IF(BL163+BP163=0,0,IF(BL163=0,2*BP164-BQ164,(BL122*BL162+BL152*($F118-$C118)+BL153*($F118-$D123)+BL154*($F118-$D124)+BL155*($F118-$D125)+BL156*($F118-$D126)+BL157*($F118-$D127)+BL158*($F118-$D128)+BL159*($F118-$D129)+BL160*($F118-$D130))/1000000-BL163*($F118-MAIN!$C$14/2)/1000))</f>
        <v>33.572999648651944</v>
      </c>
      <c r="BM164" s="304">
        <f>$A163*IF(BM163+BQ163=0,0,IF(BM163=0,2*BQ164-BR164,(BM122*BM162+BM152*($F118-$C118)+BM153*($F118-$D123)+BM154*($F118-$D124)+BM155*($F118-$D125)+BM156*($F118-$D126)+BM157*($F118-$D127)+BM158*($F118-$D128)+BM159*($F118-$D129)+BM160*($F118-$D130))/1000000-BM163*($F118-MAIN!$C$14/2)/1000))</f>
        <v>23.664985726186387</v>
      </c>
      <c r="BN164" s="304">
        <f>$A163*IF(BN163+BR163=0,0,IF(BN163=0,2*BR164-BS164,(BN122*BN162+BN152*($F118-$C118)+BN153*($F118-$D123)+BN154*($F118-$D124)+BN155*($F118-$D125)+BN156*($F118-$D126)+BN157*($F118-$D127)+BN158*($F118-$D128)+BN159*($F118-$D129)+BN160*($F118-$D130))/1000000-BN163*($F118-MAIN!$C$14/2)/1000))</f>
        <v>18.143155723409564</v>
      </c>
      <c r="BO164" s="3">
        <v>0</v>
      </c>
      <c r="BS164"/>
      <c r="BT164"/>
    </row>
    <row r="165" spans="1:72" ht="16.5">
      <c r="B165" s="296" t="s">
        <v>74</v>
      </c>
      <c r="C165" s="303" t="s">
        <v>75</v>
      </c>
      <c r="D165" s="15"/>
      <c r="E165" s="308"/>
      <c r="F165" s="308"/>
      <c r="G165" s="308"/>
      <c r="H165" s="308"/>
      <c r="I165" s="308"/>
      <c r="J165" s="308"/>
      <c r="K165" s="308"/>
      <c r="L165" s="308"/>
      <c r="M165" s="308"/>
      <c r="N165" s="308"/>
      <c r="O165" s="308"/>
      <c r="P165" s="308"/>
      <c r="Q165" s="308"/>
      <c r="R165" s="308"/>
      <c r="S165" s="308"/>
      <c r="T165" s="308"/>
      <c r="U165" s="308"/>
      <c r="V165" s="308"/>
      <c r="W165" s="308"/>
      <c r="X165" s="308"/>
      <c r="Y165" s="308"/>
      <c r="Z165" s="308"/>
      <c r="AA165" s="308"/>
      <c r="AB165" s="308"/>
      <c r="AC165" s="308"/>
      <c r="AD165" s="308"/>
      <c r="AE165" s="309" t="str">
        <f>FIXED(MAIN!$Q$1,0)&amp;MAIN!R$1&amp;FIXED(B117,0)</f>
        <v>8H25</v>
      </c>
      <c r="AF165" s="308"/>
      <c r="AG165" s="308"/>
      <c r="AH165" s="308"/>
      <c r="AI165" s="308"/>
      <c r="AJ165" s="308"/>
      <c r="AK165" s="308"/>
      <c r="AL165" s="308"/>
      <c r="AM165" s="308"/>
      <c r="AN165" s="308"/>
      <c r="AO165" s="308"/>
      <c r="AP165" s="308"/>
      <c r="AQ165" s="308"/>
      <c r="AR165" s="60"/>
      <c r="AS165" s="308"/>
      <c r="AT165" s="308"/>
      <c r="AU165" s="308"/>
      <c r="AV165" s="308"/>
      <c r="AW165" s="308"/>
      <c r="AX165" s="308"/>
      <c r="AY165" s="308"/>
      <c r="AZ165" s="308"/>
      <c r="BA165" s="308"/>
      <c r="BB165" s="308"/>
      <c r="BC165" s="308"/>
      <c r="BD165" s="308"/>
      <c r="BE165" s="308"/>
      <c r="BF165" s="308"/>
      <c r="BG165" s="308"/>
      <c r="BH165" s="308"/>
      <c r="BI165" s="308"/>
      <c r="BJ165" s="308"/>
      <c r="BK165" s="308"/>
      <c r="BL165" s="621"/>
      <c r="BM165" s="621"/>
      <c r="BN165" s="621"/>
      <c r="BO165" s="15"/>
      <c r="BS165"/>
      <c r="BT165"/>
    </row>
    <row r="166" spans="1:72">
      <c r="B166"/>
      <c r="C166" s="65" t="s">
        <v>135</v>
      </c>
      <c r="D166" s="66">
        <f t="shared" ref="D166:BJ167" si="111">E163-D163</f>
        <v>198.59725592439969</v>
      </c>
      <c r="E166" s="66">
        <f t="shared" si="111"/>
        <v>180.31058587308087</v>
      </c>
      <c r="F166" s="66">
        <f t="shared" si="111"/>
        <v>165.5002818497658</v>
      </c>
      <c r="G166" s="66">
        <f t="shared" si="111"/>
        <v>153.33769308444556</v>
      </c>
      <c r="H166" s="66">
        <f t="shared" si="111"/>
        <v>143.22718657035634</v>
      </c>
      <c r="I166" s="66">
        <f t="shared" si="111"/>
        <v>134.73170386284335</v>
      </c>
      <c r="J166" s="66">
        <f t="shared" si="111"/>
        <v>127.52466166088038</v>
      </c>
      <c r="K166" s="66">
        <f t="shared" si="111"/>
        <v>121.35805460998802</v>
      </c>
      <c r="L166" s="66">
        <f t="shared" si="111"/>
        <v>71.534913403721134</v>
      </c>
      <c r="M166" s="66">
        <f t="shared" si="111"/>
        <v>111.42378972020151</v>
      </c>
      <c r="N166" s="66">
        <f t="shared" si="111"/>
        <v>107.3892160260001</v>
      </c>
      <c r="O166" s="66">
        <f t="shared" si="111"/>
        <v>103.84307276005438</v>
      </c>
      <c r="P166" s="66">
        <f t="shared" si="111"/>
        <v>100.70957802503153</v>
      </c>
      <c r="Q166" s="66">
        <f t="shared" si="111"/>
        <v>97.927098447242997</v>
      </c>
      <c r="R166" s="66">
        <f t="shared" si="111"/>
        <v>95.44509343348227</v>
      </c>
      <c r="S166" s="66">
        <f t="shared" si="111"/>
        <v>93.221802637397559</v>
      </c>
      <c r="T166" s="66">
        <f t="shared" si="111"/>
        <v>91.222476987775053</v>
      </c>
      <c r="U166" s="66">
        <f t="shared" si="111"/>
        <v>89.418012005967967</v>
      </c>
      <c r="V166" s="66">
        <f t="shared" si="111"/>
        <v>87.78388214668621</v>
      </c>
      <c r="W166" s="66">
        <f t="shared" si="111"/>
        <v>86.299302698910424</v>
      </c>
      <c r="X166" s="66">
        <f t="shared" si="111"/>
        <v>84.946565356028714</v>
      </c>
      <c r="Y166" s="66">
        <f t="shared" si="111"/>
        <v>83.710507509232684</v>
      </c>
      <c r="Z166" s="66">
        <f t="shared" si="111"/>
        <v>82.578085365910056</v>
      </c>
      <c r="AA166" s="66">
        <f t="shared" si="111"/>
        <v>81.538028310616028</v>
      </c>
      <c r="AB166" s="66">
        <f t="shared" si="111"/>
        <v>80.580557305715502</v>
      </c>
      <c r="AC166" s="66">
        <f t="shared" si="111"/>
        <v>79.697154121122367</v>
      </c>
      <c r="AD166" s="66">
        <f t="shared" si="111"/>
        <v>78.880371171309889</v>
      </c>
      <c r="AE166" s="66">
        <f t="shared" si="111"/>
        <v>78.123673993648026</v>
      </c>
      <c r="AF166" s="66">
        <f t="shared" si="111"/>
        <v>77.421310118052133</v>
      </c>
      <c r="AG166" s="66">
        <f t="shared" si="111"/>
        <v>76.76819939278721</v>
      </c>
      <c r="AH166" s="66">
        <f t="shared" si="111"/>
        <v>76.159841845786104</v>
      </c>
      <c r="AI166" s="66">
        <f t="shared" si="111"/>
        <v>75.592239948776751</v>
      </c>
      <c r="AJ166" s="66">
        <f t="shared" si="111"/>
        <v>74.251920844810229</v>
      </c>
      <c r="AK166" s="66">
        <f t="shared" si="111"/>
        <v>63.450994196381089</v>
      </c>
      <c r="AL166" s="66">
        <f t="shared" si="111"/>
        <v>63.450994196381544</v>
      </c>
      <c r="AM166" s="66">
        <f t="shared" si="111"/>
        <v>63.450994196380634</v>
      </c>
      <c r="AN166" s="66">
        <f t="shared" si="111"/>
        <v>63.450994196381544</v>
      </c>
      <c r="AO166" s="66">
        <f t="shared" si="111"/>
        <v>63.450994196381089</v>
      </c>
      <c r="AP166" s="66">
        <f t="shared" si="111"/>
        <v>63.450994196382453</v>
      </c>
      <c r="AQ166" s="66">
        <f t="shared" si="111"/>
        <v>63.450994196385182</v>
      </c>
      <c r="AR166" s="66">
        <f t="shared" si="111"/>
        <v>409.83374306614542</v>
      </c>
      <c r="AS166" s="66">
        <f t="shared" si="111"/>
        <v>389.26081090663638</v>
      </c>
      <c r="AT166" s="66">
        <f t="shared" si="111"/>
        <v>372.49154560018178</v>
      </c>
      <c r="AU166" s="66">
        <f t="shared" si="111"/>
        <v>358.64271530272163</v>
      </c>
      <c r="AV166" s="66">
        <f t="shared" si="111"/>
        <v>347.07338639740829</v>
      </c>
      <c r="AW166" s="66">
        <f t="shared" si="111"/>
        <v>337.30930821007405</v>
      </c>
      <c r="AX166" s="66">
        <f t="shared" si="111"/>
        <v>328.9934671879555</v>
      </c>
      <c r="AY166" s="66">
        <f t="shared" si="111"/>
        <v>321.85294742978476</v>
      </c>
      <c r="AZ166" s="66">
        <f t="shared" si="111"/>
        <v>315.67622831307199</v>
      </c>
      <c r="BA166" s="66">
        <f t="shared" si="111"/>
        <v>310.29732426868668</v>
      </c>
      <c r="BB166" s="66">
        <f t="shared" si="111"/>
        <v>305.58450727555646</v>
      </c>
      <c r="BC166" s="66">
        <f t="shared" si="111"/>
        <v>301.43215875073111</v>
      </c>
      <c r="BD166" s="66">
        <f t="shared" si="111"/>
        <v>293.56867011237227</v>
      </c>
      <c r="BE166" s="66">
        <f t="shared" si="111"/>
        <v>239.44198434304053</v>
      </c>
      <c r="BF166" s="66">
        <f t="shared" si="111"/>
        <v>279.93929118968481</v>
      </c>
      <c r="BG166" s="66">
        <f t="shared" si="111"/>
        <v>276.6668678707465</v>
      </c>
      <c r="BH166" s="66">
        <f t="shared" si="111"/>
        <v>273.9607488885249</v>
      </c>
      <c r="BI166" s="66">
        <f t="shared" si="111"/>
        <v>271.69739273689447</v>
      </c>
      <c r="BJ166" s="66">
        <f t="shared" si="111"/>
        <v>269.78520442395711</v>
      </c>
      <c r="BK166" s="66">
        <f t="shared" ref="BK166:BN167" si="112">BL163-BK163</f>
        <v>132.95863700153677</v>
      </c>
      <c r="BL166" s="66">
        <f t="shared" si="112"/>
        <v>4.4765561079530016</v>
      </c>
      <c r="BM166" s="66">
        <f t="shared" si="112"/>
        <v>0</v>
      </c>
      <c r="BN166" s="66">
        <f t="shared" si="112"/>
        <v>0</v>
      </c>
      <c r="BO166" s="65">
        <v>0</v>
      </c>
      <c r="BQ166" s="43"/>
      <c r="BR166" s="42"/>
      <c r="BS166"/>
      <c r="BT166"/>
    </row>
    <row r="167" spans="1:72">
      <c r="B167"/>
      <c r="C167" s="65" t="s">
        <v>136</v>
      </c>
      <c r="D167" s="66">
        <f t="shared" si="111"/>
        <v>20.998927097768757</v>
      </c>
      <c r="E167" s="66">
        <f t="shared" si="111"/>
        <v>19.031387667938134</v>
      </c>
      <c r="F167" s="66">
        <f t="shared" si="111"/>
        <v>17.409746657893606</v>
      </c>
      <c r="G167" s="66">
        <f t="shared" si="111"/>
        <v>16.051553316019579</v>
      </c>
      <c r="H167" s="66">
        <f t="shared" si="111"/>
        <v>14.897542158143153</v>
      </c>
      <c r="I167" s="66">
        <f t="shared" si="111"/>
        <v>13.904225869021047</v>
      </c>
      <c r="J167" s="66">
        <f t="shared" si="111"/>
        <v>13.039109410201007</v>
      </c>
      <c r="K167" s="66">
        <f t="shared" si="111"/>
        <v>12.277516248912718</v>
      </c>
      <c r="L167" s="66">
        <f t="shared" si="111"/>
        <v>7.1720979391645301</v>
      </c>
      <c r="M167" s="66">
        <f t="shared" si="111"/>
        <v>10.993025372929594</v>
      </c>
      <c r="N167" s="66">
        <f t="shared" si="111"/>
        <v>10.443569530632203</v>
      </c>
      <c r="O167" s="66">
        <f t="shared" si="111"/>
        <v>9.9427125159458569</v>
      </c>
      <c r="P167" s="66">
        <f t="shared" si="111"/>
        <v>9.4829140300864765</v>
      </c>
      <c r="Q167" s="66">
        <f t="shared" si="111"/>
        <v>9.0580415523719466</v>
      </c>
      <c r="R167" s="66">
        <f t="shared" si="111"/>
        <v>8.6630662937780585</v>
      </c>
      <c r="S167" s="66">
        <f t="shared" si="111"/>
        <v>8.2938330998431411</v>
      </c>
      <c r="T167" s="66">
        <f t="shared" si="111"/>
        <v>7.9468844379810548</v>
      </c>
      <c r="U167" s="66">
        <f t="shared" si="111"/>
        <v>7.6193244125666411</v>
      </c>
      <c r="V167" s="66">
        <f t="shared" si="111"/>
        <v>7.3087127318436842</v>
      </c>
      <c r="W167" s="66">
        <f t="shared" si="111"/>
        <v>7.012981317065055</v>
      </c>
      <c r="X167" s="66">
        <f t="shared" si="111"/>
        <v>6.7303681917239828</v>
      </c>
      <c r="Y167" s="66">
        <f t="shared" si="111"/>
        <v>6.4593646762430126</v>
      </c>
      <c r="Z167" s="66">
        <f t="shared" si="111"/>
        <v>6.1986729132577807</v>
      </c>
      <c r="AA167" s="66">
        <f t="shared" si="111"/>
        <v>5.94717147653148</v>
      </c>
      <c r="AB167" s="66">
        <f t="shared" si="111"/>
        <v>5.7038873518193327</v>
      </c>
      <c r="AC167" s="66">
        <f t="shared" si="111"/>
        <v>5.4679729752278377</v>
      </c>
      <c r="AD167" s="66">
        <f t="shared" si="111"/>
        <v>5.2386873119967277</v>
      </c>
      <c r="AE167" s="66">
        <f t="shared" si="111"/>
        <v>5.0153801830948055</v>
      </c>
      <c r="AF167" s="66">
        <f t="shared" si="111"/>
        <v>4.7974792177482755</v>
      </c>
      <c r="AG167" s="66">
        <f t="shared" si="111"/>
        <v>4.584478940859924</v>
      </c>
      <c r="AH167" s="66">
        <f t="shared" si="111"/>
        <v>4.3759316052087343</v>
      </c>
      <c r="AI167" s="66">
        <f t="shared" si="111"/>
        <v>4.1714394567314912</v>
      </c>
      <c r="AJ167" s="66">
        <f t="shared" si="111"/>
        <v>3.8900619461625183</v>
      </c>
      <c r="AK167" s="66">
        <f t="shared" si="111"/>
        <v>2.6673539849190888</v>
      </c>
      <c r="AL167" s="66">
        <f t="shared" si="111"/>
        <v>2.5193382251944172</v>
      </c>
      <c r="AM167" s="66">
        <f t="shared" si="111"/>
        <v>2.3713224654699161</v>
      </c>
      <c r="AN167" s="66">
        <f t="shared" si="111"/>
        <v>2.2233067057451308</v>
      </c>
      <c r="AO167" s="66">
        <f t="shared" si="111"/>
        <v>2.0752909460209139</v>
      </c>
      <c r="AP167" s="66">
        <f t="shared" si="111"/>
        <v>1.9272751862961286</v>
      </c>
      <c r="AQ167" s="66">
        <f t="shared" si="111"/>
        <v>1.7792594265717412</v>
      </c>
      <c r="AR167" s="66">
        <f t="shared" si="111"/>
        <v>-9.9575319139270277</v>
      </c>
      <c r="AS167" s="66">
        <f t="shared" si="111"/>
        <v>-10.267717814049661</v>
      </c>
      <c r="AT167" s="66">
        <f t="shared" si="111"/>
        <v>-10.956368566050855</v>
      </c>
      <c r="AU167" s="66">
        <f t="shared" si="111"/>
        <v>-11.93560260144767</v>
      </c>
      <c r="AV167" s="66">
        <f t="shared" si="111"/>
        <v>-13.141647025362658</v>
      </c>
      <c r="AW167" s="66">
        <f t="shared" si="111"/>
        <v>-14.527313895716929</v>
      </c>
      <c r="AX167" s="66">
        <f t="shared" si="111"/>
        <v>-16.057080364009948</v>
      </c>
      <c r="AY167" s="66">
        <f t="shared" si="111"/>
        <v>-17.703791298065426</v>
      </c>
      <c r="AZ167" s="66">
        <f t="shared" si="111"/>
        <v>-19.446400395946398</v>
      </c>
      <c r="BA167" s="66">
        <f t="shared" si="111"/>
        <v>-21.268392093523858</v>
      </c>
      <c r="BB167" s="66">
        <f t="shared" si="111"/>
        <v>-23.156659452700865</v>
      </c>
      <c r="BC167" s="66">
        <f t="shared" si="111"/>
        <v>-25.100693424475025</v>
      </c>
      <c r="BD167" s="66">
        <f t="shared" si="111"/>
        <v>-26.675468954952407</v>
      </c>
      <c r="BE167" s="66">
        <f t="shared" si="111"/>
        <v>-23.647056370896962</v>
      </c>
      <c r="BF167" s="66">
        <f t="shared" si="111"/>
        <v>-30.033731052132111</v>
      </c>
      <c r="BG167" s="66">
        <f t="shared" si="111"/>
        <v>-32.065317581891691</v>
      </c>
      <c r="BH167" s="66">
        <f t="shared" si="111"/>
        <v>-34.153251393154505</v>
      </c>
      <c r="BI167" s="66">
        <f t="shared" si="111"/>
        <v>-36.285240106060996</v>
      </c>
      <c r="BJ167" s="66">
        <f t="shared" si="111"/>
        <v>-38.452170018917286</v>
      </c>
      <c r="BK167" s="66">
        <f t="shared" si="112"/>
        <v>-13.229384381652949</v>
      </c>
      <c r="BL167" s="66">
        <f t="shared" si="112"/>
        <v>-9.9080139224655568</v>
      </c>
      <c r="BM167" s="66">
        <f t="shared" si="112"/>
        <v>-5.5218300027768237</v>
      </c>
      <c r="BN167" s="66">
        <f t="shared" si="112"/>
        <v>-18.143155723409564</v>
      </c>
      <c r="BO167" s="65">
        <v>0</v>
      </c>
      <c r="BQ167" s="43"/>
      <c r="BR167" s="42"/>
      <c r="BS167"/>
      <c r="BT167"/>
    </row>
    <row r="168" spans="1:72">
      <c r="B168"/>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c r="AX168" s="2"/>
      <c r="AY168" s="2"/>
      <c r="AZ168" s="2"/>
      <c r="BA168" s="2"/>
      <c r="BB168" s="2"/>
      <c r="BC168" s="2"/>
      <c r="BD168" s="2"/>
      <c r="BE168" s="2"/>
      <c r="BF168" s="2"/>
      <c r="BG168" s="2"/>
      <c r="BH168" s="2"/>
      <c r="BI168" s="2"/>
      <c r="BJ168" s="2"/>
      <c r="BK168" s="2"/>
      <c r="BL168" s="2"/>
      <c r="BM168" s="2"/>
      <c r="BN168" s="2"/>
      <c r="BO168" s="16"/>
      <c r="BQ168" s="43"/>
      <c r="BR168" s="42"/>
      <c r="BS168"/>
      <c r="BT168"/>
    </row>
    <row r="169" spans="1:72" ht="18.75">
      <c r="B169" s="275">
        <f>MAIN!C$36</f>
        <v>20</v>
      </c>
      <c r="C169" s="276" t="s">
        <v>43</v>
      </c>
      <c r="D169" s="258"/>
      <c r="E169" s="259"/>
      <c r="F169" s="259"/>
      <c r="G169" s="259"/>
      <c r="H169" s="259"/>
      <c r="I169" s="259"/>
      <c r="J169" s="259"/>
      <c r="K169" s="277"/>
      <c r="L169" s="259"/>
      <c r="M169" s="259"/>
      <c r="N169" s="278" t="s">
        <v>93</v>
      </c>
      <c r="O169" s="279">
        <f>$C$8*$C$9*MAIN!C$13</f>
        <v>21760.000000000004</v>
      </c>
      <c r="P169" s="73"/>
      <c r="Q169" s="73"/>
      <c r="R169" s="73"/>
      <c r="S169" s="73"/>
      <c r="T169" s="73"/>
      <c r="U169" s="73"/>
      <c r="V169" s="73"/>
      <c r="W169" s="73"/>
      <c r="X169" s="73"/>
      <c r="Y169" s="73"/>
      <c r="Z169" s="73"/>
      <c r="AA169" s="73"/>
      <c r="AB169" s="73"/>
      <c r="AC169" s="73"/>
      <c r="AD169" s="73"/>
      <c r="AE169" s="73"/>
      <c r="AF169" s="73"/>
      <c r="AG169" s="73"/>
      <c r="AH169" s="73"/>
      <c r="AI169" s="73"/>
      <c r="AJ169" s="73"/>
      <c r="AK169" s="73"/>
      <c r="AL169" s="73"/>
      <c r="AM169" s="73"/>
      <c r="AN169" s="73"/>
      <c r="AO169" s="73"/>
      <c r="AP169" s="73"/>
      <c r="AQ169" s="73"/>
      <c r="AS169" s="73"/>
      <c r="BS169"/>
      <c r="BT169"/>
    </row>
    <row r="170" spans="1:72" ht="18.75">
      <c r="B170" s="260" t="str">
        <f>B118</f>
        <v>d' =</v>
      </c>
      <c r="C170" s="261">
        <f>MAIN!I$8+MAIN!E36+MAIN!C36/2</f>
        <v>48</v>
      </c>
      <c r="D170" s="262"/>
      <c r="E170" s="263" t="str">
        <f>E118</f>
        <v>d =</v>
      </c>
      <c r="F170" s="261">
        <f>IF(I170=0,0,MAIN!C$14-C170)</f>
        <v>252</v>
      </c>
      <c r="G170" s="262" t="str">
        <f>G118</f>
        <v>mm</v>
      </c>
      <c r="H170" s="263" t="s">
        <v>76</v>
      </c>
      <c r="I170" s="264">
        <f>IF(MAIN!I36="ok",MAIN!C$13*MAIN!C$14*MAIN!D36/100,0)</f>
        <v>2513.2741228718351</v>
      </c>
      <c r="J170" s="262" t="str">
        <f>J118</f>
        <v>mm²</v>
      </c>
      <c r="K170" s="263" t="s">
        <v>48</v>
      </c>
      <c r="L170" s="261">
        <f>(F170-C170)/(MAIN!C$15-1)</f>
        <v>204</v>
      </c>
      <c r="M170" s="262" t="s">
        <v>14</v>
      </c>
      <c r="N170" s="263" t="s">
        <v>17</v>
      </c>
      <c r="O170" s="280">
        <f>I170*MAIN!C$16/MAIN!Q$1*(200000*F$8-C$9-C$10)</f>
        <v>304798.22985784808</v>
      </c>
      <c r="P170" s="45"/>
      <c r="Q170" s="45"/>
      <c r="R170" s="45"/>
      <c r="S170" s="45"/>
      <c r="T170" s="45"/>
      <c r="U170" s="45"/>
      <c r="V170" s="45"/>
      <c r="W170" s="45"/>
      <c r="X170" s="45"/>
      <c r="Y170" s="45"/>
      <c r="Z170" s="45"/>
      <c r="AA170" s="45"/>
      <c r="AB170" s="45"/>
      <c r="AC170" s="45"/>
      <c r="AD170" s="45"/>
      <c r="AE170" s="45"/>
      <c r="AF170" s="45"/>
      <c r="AG170" s="45"/>
      <c r="AH170" s="45"/>
      <c r="AI170" s="289"/>
      <c r="AJ170" s="45"/>
      <c r="AK170" s="45"/>
      <c r="AL170" s="45"/>
      <c r="AM170" s="45"/>
      <c r="AN170" s="45"/>
      <c r="AO170" s="45"/>
      <c r="AP170" s="45"/>
      <c r="AQ170" s="45"/>
      <c r="AS170" s="45"/>
      <c r="BS170"/>
      <c r="BT170"/>
    </row>
    <row r="171" spans="1:72" ht="18.75">
      <c r="B171" s="265"/>
      <c r="C171" s="266"/>
      <c r="D171" s="267"/>
      <c r="E171" s="268" t="str">
        <f>E119</f>
        <v>Interval =</v>
      </c>
      <c r="F171" s="269">
        <f>(AR173-D173)/40</f>
        <v>3.1342154047272737</v>
      </c>
      <c r="G171" s="270" t="s">
        <v>50</v>
      </c>
      <c r="H171" s="281"/>
      <c r="I171" s="281"/>
      <c r="J171" s="281"/>
      <c r="K171" s="281"/>
      <c r="L171" s="281"/>
      <c r="M171" s="281"/>
      <c r="N171" s="282" t="s">
        <v>120</v>
      </c>
      <c r="O171" s="283">
        <f>-100000*F$8*C170*I170*MAIN!C$16/MAIN!Q$1*2</f>
        <v>-42223005.264246829</v>
      </c>
      <c r="P171" s="49"/>
      <c r="Q171" s="49"/>
      <c r="R171" s="49"/>
      <c r="S171" s="49"/>
      <c r="T171" s="49"/>
      <c r="U171" s="49"/>
      <c r="V171" s="49"/>
      <c r="W171" s="49"/>
      <c r="X171" s="49"/>
      <c r="Y171" s="49"/>
      <c r="Z171" s="49"/>
      <c r="AA171" s="49"/>
      <c r="AB171" s="49"/>
      <c r="AC171" s="49"/>
      <c r="AD171" s="49"/>
      <c r="AE171" s="49"/>
      <c r="AF171" s="49"/>
      <c r="AG171" s="289"/>
      <c r="AH171" s="49"/>
      <c r="AI171" s="310" t="str">
        <f>B169&amp;" Bar diameter continued"</f>
        <v>20 Bar diameter continued</v>
      </c>
      <c r="AJ171" s="49"/>
      <c r="AK171" s="49"/>
      <c r="AL171" s="49"/>
      <c r="AM171" s="49"/>
      <c r="AN171" s="49"/>
      <c r="AO171" s="49"/>
      <c r="AP171" s="49"/>
      <c r="AQ171" s="49"/>
      <c r="AR171" s="49" t="s">
        <v>49</v>
      </c>
      <c r="AS171" s="50">
        <f>IF(I170=0,0,(BK173-AR173)/19)</f>
        <v>11.555353901996371</v>
      </c>
      <c r="AT171" s="46" t="s">
        <v>121</v>
      </c>
      <c r="BS171"/>
      <c r="BT171"/>
    </row>
    <row r="172" spans="1:72" ht="15.75">
      <c r="C172" s="51"/>
      <c r="D172" s="52"/>
      <c r="E172" s="52"/>
      <c r="F172" s="52"/>
      <c r="G172" s="52"/>
      <c r="H172" s="52"/>
      <c r="I172" s="52"/>
      <c r="J172" s="52"/>
      <c r="K172" s="52"/>
      <c r="L172" s="52"/>
      <c r="M172" s="52"/>
      <c r="N172" s="45"/>
      <c r="O172" s="52"/>
      <c r="P172" s="52"/>
      <c r="Q172" s="52"/>
      <c r="R172" s="52"/>
      <c r="S172" s="52"/>
      <c r="T172" s="52"/>
      <c r="U172" s="52"/>
      <c r="V172" s="52"/>
      <c r="W172" s="52"/>
      <c r="X172" s="52"/>
      <c r="Y172" s="52"/>
      <c r="Z172" s="52"/>
      <c r="AA172" s="52"/>
      <c r="AB172" s="52"/>
      <c r="AC172" s="52"/>
      <c r="AD172" s="52"/>
      <c r="AE172" s="52"/>
      <c r="AF172" s="52"/>
      <c r="AG172" s="52"/>
      <c r="AH172" s="52"/>
      <c r="AI172" s="52"/>
      <c r="AJ172" s="52"/>
      <c r="AK172" s="52"/>
      <c r="AL172" s="52"/>
      <c r="AM172" s="52"/>
      <c r="AN172" s="52"/>
      <c r="AO172" s="52"/>
      <c r="AP172" s="52"/>
      <c r="AQ172" s="52"/>
      <c r="AR172" s="52"/>
      <c r="AS172" s="52"/>
      <c r="BK172" s="53"/>
      <c r="BL172" s="53"/>
      <c r="BM172" s="53"/>
      <c r="BN172" s="53"/>
      <c r="BO172" s="288" t="s">
        <v>51</v>
      </c>
      <c r="BS172"/>
      <c r="BT172"/>
    </row>
    <row r="173" spans="1:72" ht="16.5">
      <c r="B173" s="284" t="s">
        <v>115</v>
      </c>
      <c r="C173" s="297" t="s">
        <v>52</v>
      </c>
      <c r="D173" s="285">
        <f>0.8*(-O170+SQRT(O170^2-4*O169*O171))/2/O169</f>
        <v>30.079659672978003</v>
      </c>
      <c r="E173" s="286">
        <f t="shared" ref="E173:AQ173" si="113">D173+$F171</f>
        <v>33.213875077705275</v>
      </c>
      <c r="F173" s="286">
        <f t="shared" si="113"/>
        <v>36.348090482432546</v>
      </c>
      <c r="G173" s="286">
        <f t="shared" si="113"/>
        <v>39.482305887159818</v>
      </c>
      <c r="H173" s="286">
        <f t="shared" si="113"/>
        <v>42.616521291887089</v>
      </c>
      <c r="I173" s="286">
        <f t="shared" si="113"/>
        <v>45.750736696614361</v>
      </c>
      <c r="J173" s="286">
        <f t="shared" si="113"/>
        <v>48.884952101341632</v>
      </c>
      <c r="K173" s="286">
        <f t="shared" si="113"/>
        <v>52.019167506068904</v>
      </c>
      <c r="L173" s="286">
        <f t="shared" si="113"/>
        <v>55.153382910796175</v>
      </c>
      <c r="M173" s="286">
        <f t="shared" si="113"/>
        <v>58.287598315523447</v>
      </c>
      <c r="N173" s="286">
        <f t="shared" si="113"/>
        <v>61.421813720250718</v>
      </c>
      <c r="O173" s="286">
        <f t="shared" si="113"/>
        <v>64.556029124977997</v>
      </c>
      <c r="P173" s="286">
        <f t="shared" si="113"/>
        <v>67.690244529705268</v>
      </c>
      <c r="Q173" s="286">
        <f t="shared" si="113"/>
        <v>70.824459934432539</v>
      </c>
      <c r="R173" s="286">
        <f t="shared" si="113"/>
        <v>73.958675339159811</v>
      </c>
      <c r="S173" s="286">
        <f t="shared" si="113"/>
        <v>77.092890743887082</v>
      </c>
      <c r="T173" s="286">
        <f t="shared" si="113"/>
        <v>80.227106148614354</v>
      </c>
      <c r="U173" s="286">
        <f t="shared" si="113"/>
        <v>83.361321553341625</v>
      </c>
      <c r="V173" s="286">
        <f t="shared" si="113"/>
        <v>86.495536958068897</v>
      </c>
      <c r="W173" s="286">
        <f t="shared" si="113"/>
        <v>89.629752362796168</v>
      </c>
      <c r="X173" s="286">
        <f t="shared" si="113"/>
        <v>92.76396776752344</v>
      </c>
      <c r="Y173" s="286">
        <f t="shared" si="113"/>
        <v>95.898183172250711</v>
      </c>
      <c r="Z173" s="286">
        <f t="shared" si="113"/>
        <v>99.032398576977982</v>
      </c>
      <c r="AA173" s="286">
        <f t="shared" si="113"/>
        <v>102.16661398170525</v>
      </c>
      <c r="AB173" s="286">
        <f t="shared" si="113"/>
        <v>105.30082938643253</v>
      </c>
      <c r="AC173" s="286">
        <f t="shared" si="113"/>
        <v>108.4350447911598</v>
      </c>
      <c r="AD173" s="286">
        <f t="shared" si="113"/>
        <v>111.56926019588707</v>
      </c>
      <c r="AE173" s="286">
        <f t="shared" si="113"/>
        <v>114.70347560061434</v>
      </c>
      <c r="AF173" s="286">
        <f t="shared" si="113"/>
        <v>117.83769100534161</v>
      </c>
      <c r="AG173" s="286">
        <f t="shared" si="113"/>
        <v>120.97190641006888</v>
      </c>
      <c r="AH173" s="286">
        <f t="shared" si="113"/>
        <v>124.10612181479615</v>
      </c>
      <c r="AI173" s="286">
        <f t="shared" si="113"/>
        <v>127.24033721952343</v>
      </c>
      <c r="AJ173" s="286">
        <f t="shared" si="113"/>
        <v>130.3745526242507</v>
      </c>
      <c r="AK173" s="286">
        <f t="shared" si="113"/>
        <v>133.50876802897798</v>
      </c>
      <c r="AL173" s="286">
        <f t="shared" si="113"/>
        <v>136.64298343370527</v>
      </c>
      <c r="AM173" s="286">
        <f t="shared" si="113"/>
        <v>139.77719883843255</v>
      </c>
      <c r="AN173" s="286">
        <f t="shared" si="113"/>
        <v>142.91141424315984</v>
      </c>
      <c r="AO173" s="286">
        <f t="shared" si="113"/>
        <v>146.04562964788713</v>
      </c>
      <c r="AP173" s="286">
        <f t="shared" si="113"/>
        <v>149.17984505261441</v>
      </c>
      <c r="AQ173" s="286">
        <f t="shared" si="113"/>
        <v>152.3140604573417</v>
      </c>
      <c r="AR173" s="62">
        <f>200000*F$8/C$10*F170/(1+200000*F$8/C$10)</f>
        <v>155.44827586206895</v>
      </c>
      <c r="AS173" s="286">
        <f t="shared" ref="AS173:BJ173" si="114">AR173+$AS171</f>
        <v>167.00362976406532</v>
      </c>
      <c r="AT173" s="286">
        <f t="shared" si="114"/>
        <v>178.55898366606169</v>
      </c>
      <c r="AU173" s="286">
        <f t="shared" si="114"/>
        <v>190.11433756805806</v>
      </c>
      <c r="AV173" s="286">
        <f t="shared" si="114"/>
        <v>201.66969147005443</v>
      </c>
      <c r="AW173" s="286">
        <f t="shared" si="114"/>
        <v>213.2250453720508</v>
      </c>
      <c r="AX173" s="286">
        <f t="shared" si="114"/>
        <v>224.78039927404717</v>
      </c>
      <c r="AY173" s="286">
        <f t="shared" si="114"/>
        <v>236.33575317604354</v>
      </c>
      <c r="AZ173" s="286">
        <f t="shared" si="114"/>
        <v>247.89110707803991</v>
      </c>
      <c r="BA173" s="286">
        <f t="shared" si="114"/>
        <v>259.44646098003631</v>
      </c>
      <c r="BB173" s="286">
        <f t="shared" si="114"/>
        <v>271.0018148820327</v>
      </c>
      <c r="BC173" s="286">
        <f t="shared" si="114"/>
        <v>282.5571687840291</v>
      </c>
      <c r="BD173" s="286">
        <f t="shared" si="114"/>
        <v>294.1125226860255</v>
      </c>
      <c r="BE173" s="286">
        <f t="shared" si="114"/>
        <v>305.6678765880219</v>
      </c>
      <c r="BF173" s="286">
        <f t="shared" si="114"/>
        <v>317.2232304900183</v>
      </c>
      <c r="BG173" s="286">
        <f t="shared" si="114"/>
        <v>328.77858439201469</v>
      </c>
      <c r="BH173" s="286">
        <f t="shared" si="114"/>
        <v>340.33393829401109</v>
      </c>
      <c r="BI173" s="286">
        <f t="shared" si="114"/>
        <v>351.88929219600749</v>
      </c>
      <c r="BJ173" s="286">
        <f t="shared" si="114"/>
        <v>363.44464609800389</v>
      </c>
      <c r="BK173" s="286">
        <f>BK17</f>
        <v>375</v>
      </c>
      <c r="BL173" s="286">
        <f>BL17</f>
        <v>550</v>
      </c>
      <c r="BM173" s="286">
        <f>BM17</f>
        <v>725</v>
      </c>
      <c r="BN173" s="286">
        <f>BN17</f>
        <v>900</v>
      </c>
      <c r="BO173" s="287"/>
      <c r="BS173"/>
      <c r="BT173"/>
    </row>
    <row r="174" spans="1:72" ht="16.5">
      <c r="B174" s="290" t="s">
        <v>53</v>
      </c>
      <c r="C174" s="298" t="s">
        <v>54</v>
      </c>
      <c r="D174" s="3">
        <f>MIN($C$8*D173,MAIN!$C$14)*MAIN!$C$13*$C$9</f>
        <v>654533.39448400144</v>
      </c>
      <c r="E174" s="304">
        <f>MIN($C$8*E173,MAIN!$C$14)*MAIN!$C$13*$C$9</f>
        <v>722733.92169086682</v>
      </c>
      <c r="F174" s="304">
        <f>MIN($C$8*F173,MAIN!$C$14)*MAIN!$C$13*$C$9</f>
        <v>790934.44889773219</v>
      </c>
      <c r="G174" s="304">
        <f>MIN($C$8*G173,MAIN!$C$14)*MAIN!$C$13*$C$9</f>
        <v>859134.97610459768</v>
      </c>
      <c r="H174" s="304">
        <f>MIN($C$8*H173,MAIN!$C$14)*MAIN!$C$13*$C$9</f>
        <v>927335.50331146317</v>
      </c>
      <c r="I174" s="304">
        <f>MIN($C$8*I173,MAIN!$C$14)*MAIN!$C$13*$C$9</f>
        <v>995536.03051832854</v>
      </c>
      <c r="J174" s="304">
        <f>MIN($C$8*J173,MAIN!$C$14)*MAIN!$C$13*$C$9</f>
        <v>1063736.5577251941</v>
      </c>
      <c r="K174" s="304">
        <f>MIN($C$8*K173,MAIN!$C$14)*MAIN!$C$13*$C$9</f>
        <v>1131937.0849320595</v>
      </c>
      <c r="L174" s="304">
        <f>MIN($C$8*L173,MAIN!$C$14)*MAIN!$C$13*$C$9</f>
        <v>1200137.6121389251</v>
      </c>
      <c r="M174" s="304">
        <f>MIN($C$8*M173,MAIN!$C$14)*MAIN!$C$13*$C$9</f>
        <v>1268338.1393457903</v>
      </c>
      <c r="N174" s="304">
        <f>MIN($C$8*N173,MAIN!$C$14)*MAIN!$C$13*$C$9</f>
        <v>1336538.6665526556</v>
      </c>
      <c r="O174" s="304">
        <f>MIN($C$8*O173,MAIN!$C$14)*MAIN!$C$13*$C$9</f>
        <v>1404739.1937595212</v>
      </c>
      <c r="P174" s="304">
        <f>MIN($C$8*P173,MAIN!$C$14)*MAIN!$C$13*$C$9</f>
        <v>1472939.7209663866</v>
      </c>
      <c r="Q174" s="304">
        <f>MIN($C$8*Q173,MAIN!$C$14)*MAIN!$C$13*$C$9</f>
        <v>1541140.2481732522</v>
      </c>
      <c r="R174" s="304">
        <f>MIN($C$8*R173,MAIN!$C$14)*MAIN!$C$13*$C$9</f>
        <v>1609340.7753801176</v>
      </c>
      <c r="S174" s="304">
        <f>MIN($C$8*S173,MAIN!$C$14)*MAIN!$C$13*$C$9</f>
        <v>1677541.3025869832</v>
      </c>
      <c r="T174" s="304">
        <f>MIN($C$8*T173,MAIN!$C$14)*MAIN!$C$13*$C$9</f>
        <v>1745741.8297938486</v>
      </c>
      <c r="U174" s="304">
        <f>MIN($C$8*U173,MAIN!$C$14)*MAIN!$C$13*$C$9</f>
        <v>1813942.3570007137</v>
      </c>
      <c r="V174" s="304">
        <f>MIN($C$8*V173,MAIN!$C$14)*MAIN!$C$13*$C$9</f>
        <v>1882142.8842075793</v>
      </c>
      <c r="W174" s="304">
        <f>MIN($C$8*W173,MAIN!$C$14)*MAIN!$C$13*$C$9</f>
        <v>1950343.4114144447</v>
      </c>
      <c r="X174" s="304">
        <f>MIN($C$8*X173,MAIN!$C$14)*MAIN!$C$13*$C$9</f>
        <v>2018543.9386213103</v>
      </c>
      <c r="Y174" s="304">
        <f>MIN($C$8*Y173,MAIN!$C$14)*MAIN!$C$13*$C$9</f>
        <v>2086744.4658281757</v>
      </c>
      <c r="Z174" s="304">
        <f>MIN($C$8*Z173,MAIN!$C$14)*MAIN!$C$13*$C$9</f>
        <v>2154944.9930350408</v>
      </c>
      <c r="AA174" s="304">
        <f>MIN($C$8*AA173,MAIN!$C$14)*MAIN!$C$13*$C$9</f>
        <v>2223145.5202419069</v>
      </c>
      <c r="AB174" s="304">
        <f>MIN($C$8*AB173,MAIN!$C$14)*MAIN!$C$13*$C$9</f>
        <v>2291346.0474487725</v>
      </c>
      <c r="AC174" s="304">
        <f>MIN($C$8*AC173,MAIN!$C$14)*MAIN!$C$13*$C$9</f>
        <v>2359546.5746556376</v>
      </c>
      <c r="AD174" s="304">
        <f>MIN($C$8*AD173,MAIN!$C$14)*MAIN!$C$13*$C$9</f>
        <v>2427747.1018625028</v>
      </c>
      <c r="AE174" s="304">
        <f>MIN($C$8*AE173,MAIN!$C$14)*MAIN!$C$13*$C$9</f>
        <v>2495947.6290693679</v>
      </c>
      <c r="AF174" s="304">
        <f>MIN($C$8*AF173,MAIN!$C$14)*MAIN!$C$13*$C$9</f>
        <v>2564148.156276234</v>
      </c>
      <c r="AG174" s="304">
        <f>MIN($C$8*AG173,MAIN!$C$14)*MAIN!$C$13*$C$9</f>
        <v>2632348.6834830996</v>
      </c>
      <c r="AH174" s="304">
        <f>MIN($C$8*AH173,MAIN!$C$14)*MAIN!$C$13*$C$9</f>
        <v>2700549.2106899647</v>
      </c>
      <c r="AI174" s="304">
        <f>MIN($C$8*AI173,MAIN!$C$14)*MAIN!$C$13*$C$9</f>
        <v>2768749.7378968298</v>
      </c>
      <c r="AJ174" s="304">
        <f>MIN($C$8*AJ173,MAIN!$C$14)*MAIN!$C$13*$C$9</f>
        <v>2836950.265103695</v>
      </c>
      <c r="AK174" s="304">
        <f>MIN($C$8*AK173,MAIN!$C$14)*MAIN!$C$13*$C$9</f>
        <v>2905150.7923105615</v>
      </c>
      <c r="AL174" s="304">
        <f>MIN($C$8*AL173,MAIN!$C$14)*MAIN!$C$13*$C$9</f>
        <v>2973351.3195174271</v>
      </c>
      <c r="AM174" s="304">
        <f>MIN($C$8*AM173,MAIN!$C$14)*MAIN!$C$13*$C$9</f>
        <v>3041551.8467242927</v>
      </c>
      <c r="AN174" s="304">
        <f>MIN($C$8*AN173,MAIN!$C$14)*MAIN!$C$13*$C$9</f>
        <v>3109752.3739311583</v>
      </c>
      <c r="AO174" s="304">
        <f>MIN($C$8*AO173,MAIN!$C$14)*MAIN!$C$13*$C$9</f>
        <v>3177952.9011380244</v>
      </c>
      <c r="AP174" s="304">
        <f>MIN($C$8*AP173,MAIN!$C$14)*MAIN!$C$13*$C$9</f>
        <v>3246153.42834489</v>
      </c>
      <c r="AQ174" s="304">
        <f>MIN($C$8*AQ173,MAIN!$C$14)*MAIN!$C$13*$C$9</f>
        <v>3314353.9555517551</v>
      </c>
      <c r="AR174" s="56">
        <f>MIN($C$8*AR173,MAIN!$C$14)*MAIN!$C$13*$C$9</f>
        <v>3382554.4827586208</v>
      </c>
      <c r="AS174" s="304">
        <f>MIN($C$8*AS173,MAIN!$C$14)*MAIN!$C$13*$C$9</f>
        <v>3633998.9836660624</v>
      </c>
      <c r="AT174" s="304">
        <f>MIN($C$8*AT173,MAIN!$C$14)*MAIN!$C$13*$C$9</f>
        <v>3885443.484573503</v>
      </c>
      <c r="AU174" s="304">
        <f>MIN($C$8*AU173,MAIN!$C$14)*MAIN!$C$13*$C$9</f>
        <v>4136887.9854809442</v>
      </c>
      <c r="AV174" s="304">
        <f>MIN($C$8*AV173,MAIN!$C$14)*MAIN!$C$13*$C$9</f>
        <v>4388332.4863883853</v>
      </c>
      <c r="AW174" s="304">
        <f>MIN($C$8*AW173,MAIN!$C$14)*MAIN!$C$13*$C$9</f>
        <v>4639776.987295826</v>
      </c>
      <c r="AX174" s="304">
        <f>MIN($C$8*AX173,MAIN!$C$14)*MAIN!$C$13*$C$9</f>
        <v>4891221.4882032666</v>
      </c>
      <c r="AY174" s="304">
        <f>MIN($C$8*AY173,MAIN!$C$14)*MAIN!$C$13*$C$9</f>
        <v>5142665.9891107082</v>
      </c>
      <c r="AZ174" s="304">
        <f>MIN($C$8*AZ173,MAIN!$C$14)*MAIN!$C$13*$C$9</f>
        <v>5394110.4900181489</v>
      </c>
      <c r="BA174" s="304">
        <f>MIN($C$8*BA173,MAIN!$C$14)*MAIN!$C$13*$C$9</f>
        <v>5645554.9909255905</v>
      </c>
      <c r="BB174" s="304">
        <f>MIN($C$8*BB173,MAIN!$C$14)*MAIN!$C$13*$C$9</f>
        <v>5896999.491833033</v>
      </c>
      <c r="BC174" s="304">
        <f>MIN($C$8*BC173,MAIN!$C$14)*MAIN!$C$13*$C$9</f>
        <v>6148443.9927404737</v>
      </c>
      <c r="BD174" s="304">
        <f>MIN($C$8*BD173,MAIN!$C$14)*MAIN!$C$13*$C$9</f>
        <v>6399888.4936479162</v>
      </c>
      <c r="BE174" s="304">
        <f>MIN($C$8*BE173,MAIN!$C$14)*MAIN!$C$13*$C$9</f>
        <v>6651332.9945553578</v>
      </c>
      <c r="BF174" s="304">
        <f>MIN($C$8*BF173,MAIN!$C$14)*MAIN!$C$13*$C$9</f>
        <v>6902777.4954627985</v>
      </c>
      <c r="BG174" s="304">
        <f>MIN($C$8*BG173,MAIN!$C$14)*MAIN!$C$13*$C$9</f>
        <v>7154221.9963702401</v>
      </c>
      <c r="BH174" s="304">
        <f>MIN($C$8*BH173,MAIN!$C$14)*MAIN!$C$13*$C$9</f>
        <v>7405666.4972776826</v>
      </c>
      <c r="BI174" s="304">
        <f>MIN($C$8*BI173,MAIN!$C$14)*MAIN!$C$13*$C$9</f>
        <v>7657110.9981851242</v>
      </c>
      <c r="BJ174" s="304">
        <f>MIN($C$8*BJ173,MAIN!$C$14)*MAIN!$C$13*$C$9</f>
        <v>7908555.4990925658</v>
      </c>
      <c r="BK174" s="304">
        <f>MIN($C$8*BK173,MAIN!$C$14)*MAIN!$C$13*$C$9</f>
        <v>8160000</v>
      </c>
      <c r="BL174" s="304">
        <f>MIN($C$8*BL173,MAIN!$C$14)*MAIN!$C$13*$C$9</f>
        <v>8160000</v>
      </c>
      <c r="BM174" s="304">
        <f>MIN($C$8*BM173,MAIN!$C$14)*MAIN!$C$13*$C$9</f>
        <v>8160000</v>
      </c>
      <c r="BN174" s="304">
        <f>MIN($C$8*BN173,MAIN!$C$14)*MAIN!$C$13*$C$9</f>
        <v>8160000</v>
      </c>
      <c r="BO174" s="3">
        <f>MAIN!$C$13*MAIN!$C$14*$C$9</f>
        <v>8160000</v>
      </c>
      <c r="BS174"/>
      <c r="BT174"/>
    </row>
    <row r="175" spans="1:72" ht="16.5">
      <c r="B175" s="4">
        <v>2</v>
      </c>
      <c r="C175" s="299" t="s">
        <v>55</v>
      </c>
      <c r="D175" s="5">
        <f>IF(C170+L170&gt;=F170,0,C170+L170)</f>
        <v>0</v>
      </c>
      <c r="E175" s="6"/>
      <c r="F175" s="6"/>
      <c r="G175" s="6"/>
      <c r="H175" s="6"/>
      <c r="I175" s="6"/>
      <c r="J175" s="6"/>
      <c r="K175" s="6"/>
      <c r="L175" s="6"/>
      <c r="M175" s="6"/>
      <c r="N175" s="6"/>
      <c r="O175" s="6"/>
      <c r="P175" s="6"/>
      <c r="Q175" s="6"/>
      <c r="R175" s="6"/>
      <c r="S175" s="6"/>
      <c r="T175" s="6"/>
      <c r="U175" s="6"/>
      <c r="V175" s="6"/>
      <c r="W175" s="6"/>
      <c r="X175" s="6"/>
      <c r="Y175" s="6"/>
      <c r="Z175" s="6"/>
      <c r="AA175" s="6"/>
      <c r="AB175" s="6"/>
      <c r="AC175" s="6"/>
      <c r="AD175" s="6"/>
      <c r="AE175" s="6"/>
      <c r="AF175" s="6"/>
      <c r="AG175" s="6"/>
      <c r="AH175" s="6"/>
      <c r="AI175" s="6"/>
      <c r="AJ175" s="6"/>
      <c r="AK175" s="6"/>
      <c r="AL175" s="6"/>
      <c r="AM175" s="6"/>
      <c r="AN175" s="6"/>
      <c r="AO175" s="6"/>
      <c r="AP175" s="6"/>
      <c r="AQ175" s="6"/>
      <c r="AR175" s="57"/>
      <c r="AS175" s="6"/>
      <c r="AT175" s="6"/>
      <c r="AU175" s="6"/>
      <c r="AV175" s="6"/>
      <c r="AW175" s="6"/>
      <c r="AX175" s="6"/>
      <c r="AY175" s="6"/>
      <c r="AZ175" s="6"/>
      <c r="BA175" s="6"/>
      <c r="BB175" s="6"/>
      <c r="BC175" s="6"/>
      <c r="BD175" s="6"/>
      <c r="BE175" s="6"/>
      <c r="BF175" s="6"/>
      <c r="BG175" s="6"/>
      <c r="BH175" s="6"/>
      <c r="BI175" s="6"/>
      <c r="BJ175" s="6"/>
      <c r="BK175" s="6"/>
      <c r="BL175" s="6"/>
      <c r="BM175" s="6"/>
      <c r="BN175" s="6"/>
      <c r="BO175" s="7"/>
      <c r="BP175" s="43"/>
      <c r="BQ175" s="43"/>
      <c r="BR175" s="42"/>
      <c r="BS175"/>
      <c r="BT175"/>
    </row>
    <row r="176" spans="1:72" ht="16.5">
      <c r="B176" s="4">
        <f t="shared" ref="B176:B182" si="115">1+B175</f>
        <v>3</v>
      </c>
      <c r="C176" s="299" t="s">
        <v>55</v>
      </c>
      <c r="D176" s="5">
        <f>IF(C170+B175*L170&gt;=F170,0,C170+B175*L170)</f>
        <v>0</v>
      </c>
      <c r="E176" s="6"/>
      <c r="F176" s="6"/>
      <c r="G176" s="6"/>
      <c r="H176" s="6"/>
      <c r="I176" s="6"/>
      <c r="J176" s="6"/>
      <c r="K176" s="6"/>
      <c r="L176" s="6"/>
      <c r="M176" s="6"/>
      <c r="N176" s="6"/>
      <c r="O176" s="6"/>
      <c r="P176" s="6"/>
      <c r="Q176" s="6"/>
      <c r="R176" s="6"/>
      <c r="S176" s="6"/>
      <c r="T176" s="6"/>
      <c r="U176" s="6"/>
      <c r="V176" s="6"/>
      <c r="W176" s="6"/>
      <c r="X176" s="6"/>
      <c r="Y176" s="6"/>
      <c r="Z176" s="6"/>
      <c r="AA176" s="6"/>
      <c r="AB176" s="6"/>
      <c r="AC176" s="6"/>
      <c r="AD176" s="6"/>
      <c r="AE176" s="6"/>
      <c r="AF176" s="6"/>
      <c r="AG176" s="6"/>
      <c r="AH176" s="6"/>
      <c r="AI176" s="6"/>
      <c r="AJ176" s="6"/>
      <c r="AK176" s="6"/>
      <c r="AL176" s="6"/>
      <c r="AM176" s="6"/>
      <c r="AN176" s="6"/>
      <c r="AO176" s="6"/>
      <c r="AP176" s="6"/>
      <c r="AQ176" s="6"/>
      <c r="AR176" s="57"/>
      <c r="AS176" s="6"/>
      <c r="AT176" s="6"/>
      <c r="AU176" s="6"/>
      <c r="AV176" s="6"/>
      <c r="AW176" s="6"/>
      <c r="AX176" s="6"/>
      <c r="AY176" s="6"/>
      <c r="AZ176" s="6"/>
      <c r="BA176" s="6"/>
      <c r="BB176" s="6"/>
      <c r="BC176" s="6"/>
      <c r="BD176" s="6"/>
      <c r="BE176" s="6"/>
      <c r="BF176" s="6"/>
      <c r="BG176" s="6"/>
      <c r="BH176" s="6"/>
      <c r="BI176" s="6"/>
      <c r="BJ176" s="6"/>
      <c r="BK176" s="6"/>
      <c r="BL176" s="6"/>
      <c r="BM176" s="6"/>
      <c r="BN176" s="6"/>
      <c r="BO176" s="7"/>
      <c r="BP176" s="43"/>
      <c r="BQ176" s="43"/>
      <c r="BR176" s="42"/>
      <c r="BS176"/>
      <c r="BT176"/>
    </row>
    <row r="177" spans="2:72" ht="16.5">
      <c r="B177" s="4">
        <f t="shared" si="115"/>
        <v>4</v>
      </c>
      <c r="C177" s="299" t="s">
        <v>55</v>
      </c>
      <c r="D177" s="5">
        <f>IF(C170+B176*L170&gt;=F170,0,C170+B176*L170)</f>
        <v>0</v>
      </c>
      <c r="E177" s="6"/>
      <c r="F177" s="6"/>
      <c r="G177" s="6"/>
      <c r="H177" s="6"/>
      <c r="I177" s="6"/>
      <c r="J177" s="6"/>
      <c r="K177" s="6"/>
      <c r="L177" s="6"/>
      <c r="M177" s="6"/>
      <c r="N177" s="6"/>
      <c r="O177" s="6"/>
      <c r="P177" s="6"/>
      <c r="Q177" s="6"/>
      <c r="R177" s="6"/>
      <c r="S177" s="6"/>
      <c r="T177" s="6"/>
      <c r="U177" s="6"/>
      <c r="V177" s="6"/>
      <c r="W177" s="6"/>
      <c r="X177" s="6"/>
      <c r="Y177" s="6"/>
      <c r="Z177" s="6"/>
      <c r="AA177" s="6"/>
      <c r="AB177" s="6"/>
      <c r="AC177" s="6"/>
      <c r="AD177" s="6"/>
      <c r="AE177" s="6"/>
      <c r="AF177" s="6"/>
      <c r="AG177" s="6"/>
      <c r="AH177" s="6"/>
      <c r="AI177" s="6"/>
      <c r="AJ177" s="6"/>
      <c r="AK177" s="6"/>
      <c r="AL177" s="6"/>
      <c r="AM177" s="6"/>
      <c r="AN177" s="6"/>
      <c r="AO177" s="6"/>
      <c r="AP177" s="6"/>
      <c r="AQ177" s="6"/>
      <c r="AR177" s="57"/>
      <c r="AS177" s="6"/>
      <c r="AT177" s="6"/>
      <c r="AU177" s="6"/>
      <c r="AV177" s="6"/>
      <c r="AW177" s="6"/>
      <c r="AX177" s="6"/>
      <c r="AY177" s="6"/>
      <c r="AZ177" s="6"/>
      <c r="BA177" s="6"/>
      <c r="BB177" s="6"/>
      <c r="BC177" s="6"/>
      <c r="BD177" s="6"/>
      <c r="BE177" s="6"/>
      <c r="BF177" s="6"/>
      <c r="BG177" s="6"/>
      <c r="BH177" s="6"/>
      <c r="BI177" s="6"/>
      <c r="BJ177" s="6"/>
      <c r="BK177" s="6"/>
      <c r="BL177" s="6"/>
      <c r="BM177" s="6"/>
      <c r="BN177" s="6"/>
      <c r="BO177" s="7"/>
      <c r="BP177" s="43"/>
      <c r="BQ177" s="43"/>
      <c r="BR177" s="42"/>
      <c r="BS177"/>
      <c r="BT177"/>
    </row>
    <row r="178" spans="2:72" ht="16.5">
      <c r="B178" s="4">
        <f t="shared" si="115"/>
        <v>5</v>
      </c>
      <c r="C178" s="299" t="s">
        <v>55</v>
      </c>
      <c r="D178" s="5">
        <f>IF(C170+B177*L170&gt;=F170,0,C170+B177*L170)</f>
        <v>0</v>
      </c>
      <c r="E178" s="6"/>
      <c r="F178" s="6"/>
      <c r="G178" s="6"/>
      <c r="H178" s="6"/>
      <c r="I178" s="6"/>
      <c r="J178" s="6"/>
      <c r="K178" s="6"/>
      <c r="L178" s="6"/>
      <c r="M178" s="6"/>
      <c r="N178" s="6"/>
      <c r="O178" s="6"/>
      <c r="P178" s="6"/>
      <c r="Q178" s="6"/>
      <c r="R178" s="6"/>
      <c r="S178" s="6"/>
      <c r="T178" s="6"/>
      <c r="U178" s="6"/>
      <c r="V178" s="6"/>
      <c r="W178" s="6"/>
      <c r="X178" s="6"/>
      <c r="Y178" s="6"/>
      <c r="Z178" s="6"/>
      <c r="AA178" s="6"/>
      <c r="AB178" s="6"/>
      <c r="AC178" s="6"/>
      <c r="AD178" s="6"/>
      <c r="AE178" s="6"/>
      <c r="AF178" s="6"/>
      <c r="AG178" s="6"/>
      <c r="AH178" s="6"/>
      <c r="AI178" s="6"/>
      <c r="AJ178" s="6"/>
      <c r="AK178" s="6"/>
      <c r="AL178" s="6"/>
      <c r="AM178" s="6"/>
      <c r="AN178" s="6"/>
      <c r="AO178" s="6"/>
      <c r="AP178" s="6"/>
      <c r="AQ178" s="6"/>
      <c r="AR178" s="57"/>
      <c r="AS178" s="6"/>
      <c r="AT178" s="6"/>
      <c r="AU178" s="6"/>
      <c r="AV178" s="6"/>
      <c r="AW178" s="6"/>
      <c r="AX178" s="6"/>
      <c r="AY178" s="6"/>
      <c r="AZ178" s="6"/>
      <c r="BA178" s="6"/>
      <c r="BB178" s="6"/>
      <c r="BC178" s="6"/>
      <c r="BD178" s="6"/>
      <c r="BE178" s="6"/>
      <c r="BF178" s="6"/>
      <c r="BG178" s="6"/>
      <c r="BH178" s="6"/>
      <c r="BI178" s="6"/>
      <c r="BJ178" s="6"/>
      <c r="BK178" s="6"/>
      <c r="BL178" s="6"/>
      <c r="BM178" s="6"/>
      <c r="BN178" s="6"/>
      <c r="BO178" s="7"/>
      <c r="BP178" s="43"/>
      <c r="BQ178" s="43"/>
      <c r="BR178" s="42"/>
      <c r="BS178"/>
      <c r="BT178"/>
    </row>
    <row r="179" spans="2:72" ht="16.5">
      <c r="B179" s="4">
        <f t="shared" si="115"/>
        <v>6</v>
      </c>
      <c r="C179" s="299" t="s">
        <v>55</v>
      </c>
      <c r="D179" s="5">
        <f>IF(C170+B178*L170&gt;=F170,0,C170+B178*L170)</f>
        <v>0</v>
      </c>
      <c r="E179" s="6"/>
      <c r="F179" s="6"/>
      <c r="G179" s="6"/>
      <c r="H179" s="6"/>
      <c r="I179" s="6"/>
      <c r="J179" s="6"/>
      <c r="K179" s="6"/>
      <c r="L179" s="6"/>
      <c r="M179" s="6"/>
      <c r="N179" s="6"/>
      <c r="O179" s="6"/>
      <c r="P179" s="6"/>
      <c r="Q179" s="6"/>
      <c r="R179" s="6"/>
      <c r="S179" s="6"/>
      <c r="T179" s="6"/>
      <c r="U179" s="6"/>
      <c r="V179" s="6"/>
      <c r="W179" s="6"/>
      <c r="X179" s="6"/>
      <c r="Y179" s="6"/>
      <c r="Z179" s="6"/>
      <c r="AA179" s="6"/>
      <c r="AB179" s="6"/>
      <c r="AC179" s="6"/>
      <c r="AD179" s="6"/>
      <c r="AE179" s="6"/>
      <c r="AF179" s="6"/>
      <c r="AG179" s="6"/>
      <c r="AH179" s="6"/>
      <c r="AI179" s="6"/>
      <c r="AJ179" s="6"/>
      <c r="AK179" s="6"/>
      <c r="AL179" s="6"/>
      <c r="AM179" s="6"/>
      <c r="AN179" s="6"/>
      <c r="AO179" s="6"/>
      <c r="AP179" s="6"/>
      <c r="AQ179" s="6"/>
      <c r="AR179" s="57"/>
      <c r="AS179" s="6"/>
      <c r="AT179" s="6"/>
      <c r="AU179" s="6"/>
      <c r="AV179" s="6"/>
      <c r="AW179" s="6"/>
      <c r="AX179" s="6"/>
      <c r="AY179" s="6"/>
      <c r="AZ179" s="6"/>
      <c r="BA179" s="6"/>
      <c r="BB179" s="6"/>
      <c r="BC179" s="6"/>
      <c r="BD179" s="6"/>
      <c r="BE179" s="6"/>
      <c r="BF179" s="6"/>
      <c r="BG179" s="6"/>
      <c r="BH179" s="6"/>
      <c r="BI179" s="6"/>
      <c r="BJ179" s="6"/>
      <c r="BK179" s="6"/>
      <c r="BL179" s="6"/>
      <c r="BM179" s="6"/>
      <c r="BN179" s="6"/>
      <c r="BO179" s="7"/>
      <c r="BP179" s="43"/>
      <c r="BQ179" s="43"/>
      <c r="BR179" s="42"/>
      <c r="BS179"/>
      <c r="BT179"/>
    </row>
    <row r="180" spans="2:72" ht="16.5">
      <c r="B180" s="4">
        <f t="shared" si="115"/>
        <v>7</v>
      </c>
      <c r="C180" s="299" t="s">
        <v>55</v>
      </c>
      <c r="D180" s="5">
        <f>IF(C170+B179*L170&gt;=F170,0,C170+B179*L170)</f>
        <v>0</v>
      </c>
      <c r="E180" s="6"/>
      <c r="F180" s="6"/>
      <c r="G180" s="6"/>
      <c r="H180" s="6"/>
      <c r="I180" s="6"/>
      <c r="J180" s="6"/>
      <c r="K180" s="6"/>
      <c r="L180" s="6"/>
      <c r="M180" s="6"/>
      <c r="N180" s="6"/>
      <c r="O180" s="6"/>
      <c r="P180" s="6"/>
      <c r="Q180" s="6"/>
      <c r="R180" s="6"/>
      <c r="S180" s="6"/>
      <c r="T180" s="6"/>
      <c r="U180" s="6"/>
      <c r="V180" s="6"/>
      <c r="W180" s="6"/>
      <c r="X180" s="6"/>
      <c r="Y180" s="6"/>
      <c r="Z180" s="6"/>
      <c r="AA180" s="6"/>
      <c r="AB180" s="6"/>
      <c r="AC180" s="6"/>
      <c r="AD180" s="6"/>
      <c r="AE180" s="6"/>
      <c r="AF180" s="6"/>
      <c r="AG180" s="6"/>
      <c r="AH180" s="6"/>
      <c r="AI180" s="6"/>
      <c r="AJ180" s="6"/>
      <c r="AK180" s="6"/>
      <c r="AL180" s="6"/>
      <c r="AM180" s="6"/>
      <c r="AN180" s="6"/>
      <c r="AO180" s="6"/>
      <c r="AP180" s="6"/>
      <c r="AQ180" s="6"/>
      <c r="AR180" s="57"/>
      <c r="AS180" s="6"/>
      <c r="AT180" s="6"/>
      <c r="AU180" s="6"/>
      <c r="AV180" s="6"/>
      <c r="AW180" s="6"/>
      <c r="AX180" s="6"/>
      <c r="AY180" s="6"/>
      <c r="AZ180" s="6"/>
      <c r="BA180" s="6"/>
      <c r="BB180" s="6"/>
      <c r="BC180" s="6"/>
      <c r="BD180" s="6"/>
      <c r="BE180" s="6"/>
      <c r="BF180" s="6"/>
      <c r="BG180" s="6"/>
      <c r="BH180" s="6"/>
      <c r="BI180" s="6"/>
      <c r="BJ180" s="6"/>
      <c r="BK180" s="6"/>
      <c r="BL180" s="6"/>
      <c r="BM180" s="6"/>
      <c r="BN180" s="6"/>
      <c r="BO180" s="7"/>
      <c r="BP180" s="43"/>
      <c r="BQ180" s="43"/>
      <c r="BR180" s="42"/>
      <c r="BS180"/>
      <c r="BT180"/>
    </row>
    <row r="181" spans="2:72" ht="16.5">
      <c r="B181" s="4">
        <f t="shared" si="115"/>
        <v>8</v>
      </c>
      <c r="C181" s="299" t="s">
        <v>55</v>
      </c>
      <c r="D181" s="5">
        <f>IF(C170+B180*L170&gt;=F170,0,C170+B180*L170)</f>
        <v>0</v>
      </c>
      <c r="E181" s="6"/>
      <c r="F181" s="6"/>
      <c r="G181" s="6"/>
      <c r="H181" s="6"/>
      <c r="I181" s="6"/>
      <c r="J181" s="6"/>
      <c r="K181" s="6"/>
      <c r="L181" s="6"/>
      <c r="M181" s="6"/>
      <c r="N181" s="6"/>
      <c r="O181" s="6"/>
      <c r="P181" s="6"/>
      <c r="Q181" s="6"/>
      <c r="R181" s="6"/>
      <c r="S181" s="6"/>
      <c r="T181" s="6"/>
      <c r="U181" s="6"/>
      <c r="V181" s="6"/>
      <c r="W181" s="6"/>
      <c r="X181" s="6"/>
      <c r="Y181" s="6"/>
      <c r="Z181" s="6"/>
      <c r="AA181" s="6"/>
      <c r="AB181" s="6"/>
      <c r="AC181" s="6"/>
      <c r="AD181" s="6"/>
      <c r="AE181" s="6"/>
      <c r="AF181" s="6"/>
      <c r="AG181" s="6"/>
      <c r="AH181" s="6"/>
      <c r="AI181" s="6"/>
      <c r="AJ181" s="6"/>
      <c r="AK181" s="6"/>
      <c r="AL181" s="6"/>
      <c r="AM181" s="6"/>
      <c r="AN181" s="6"/>
      <c r="AO181" s="6"/>
      <c r="AP181" s="6"/>
      <c r="AQ181" s="6"/>
      <c r="AR181" s="57"/>
      <c r="AS181" s="6"/>
      <c r="AT181" s="6"/>
      <c r="AU181" s="6"/>
      <c r="AV181" s="6"/>
      <c r="AW181" s="6"/>
      <c r="AX181" s="6"/>
      <c r="AY181" s="6"/>
      <c r="AZ181" s="6"/>
      <c r="BA181" s="6"/>
      <c r="BB181" s="6"/>
      <c r="BC181" s="6"/>
      <c r="BD181" s="6"/>
      <c r="BE181" s="6"/>
      <c r="BF181" s="6"/>
      <c r="BG181" s="6"/>
      <c r="BH181" s="6"/>
      <c r="BI181" s="6"/>
      <c r="BJ181" s="6"/>
      <c r="BK181" s="6"/>
      <c r="BL181" s="6"/>
      <c r="BM181" s="6"/>
      <c r="BN181" s="6"/>
      <c r="BO181" s="7"/>
      <c r="BP181" s="43"/>
      <c r="BQ181" s="43"/>
      <c r="BR181" s="42"/>
      <c r="BS181"/>
      <c r="BT181"/>
    </row>
    <row r="182" spans="2:72" ht="16.5">
      <c r="B182" s="4">
        <f t="shared" si="115"/>
        <v>9</v>
      </c>
      <c r="C182" s="299" t="s">
        <v>55</v>
      </c>
      <c r="D182" s="5">
        <f>IF(C170+B181*L170&gt;=F170,0,C170+B181*L170)</f>
        <v>0</v>
      </c>
      <c r="E182" s="6"/>
      <c r="F182" s="6"/>
      <c r="G182" s="6"/>
      <c r="H182" s="6"/>
      <c r="I182" s="6"/>
      <c r="J182" s="6"/>
      <c r="K182" s="6"/>
      <c r="L182" s="6"/>
      <c r="M182" s="6"/>
      <c r="N182" s="6"/>
      <c r="O182" s="6"/>
      <c r="P182" s="6"/>
      <c r="Q182" s="6"/>
      <c r="R182" s="6"/>
      <c r="S182" s="6"/>
      <c r="T182" s="6"/>
      <c r="U182" s="6"/>
      <c r="V182" s="6"/>
      <c r="W182" s="6"/>
      <c r="X182" s="6"/>
      <c r="Y182" s="6"/>
      <c r="Z182" s="6"/>
      <c r="AA182" s="6"/>
      <c r="AB182" s="6"/>
      <c r="AC182" s="6"/>
      <c r="AD182" s="6"/>
      <c r="AE182" s="6"/>
      <c r="AF182" s="6"/>
      <c r="AG182" s="6"/>
      <c r="AH182" s="6"/>
      <c r="AI182" s="6"/>
      <c r="AJ182" s="6"/>
      <c r="AK182" s="6"/>
      <c r="AL182" s="6"/>
      <c r="AM182" s="6"/>
      <c r="AN182" s="6"/>
      <c r="AO182" s="6"/>
      <c r="AP182" s="6"/>
      <c r="AQ182" s="6"/>
      <c r="AR182" s="57"/>
      <c r="AS182" s="6"/>
      <c r="AT182" s="6"/>
      <c r="AU182" s="6"/>
      <c r="AV182" s="6"/>
      <c r="AW182" s="6"/>
      <c r="AX182" s="6"/>
      <c r="AY182" s="6"/>
      <c r="AZ182" s="6"/>
      <c r="BA182" s="6"/>
      <c r="BB182" s="6"/>
      <c r="BC182" s="6"/>
      <c r="BD182" s="6"/>
      <c r="BE182" s="6"/>
      <c r="BF182" s="6"/>
      <c r="BG182" s="6"/>
      <c r="BH182" s="6"/>
      <c r="BI182" s="6"/>
      <c r="BJ182" s="6"/>
      <c r="BK182" s="6"/>
      <c r="BL182" s="6"/>
      <c r="BM182" s="6"/>
      <c r="BN182" s="6"/>
      <c r="BO182" s="7"/>
      <c r="BP182" s="43"/>
      <c r="BQ182" s="43"/>
      <c r="BR182" s="42"/>
      <c r="BS182"/>
      <c r="BT182"/>
    </row>
    <row r="183" spans="2:72" ht="16.5">
      <c r="B183" s="291" t="s">
        <v>116</v>
      </c>
      <c r="C183" s="298" t="s">
        <v>117</v>
      </c>
      <c r="D183" s="3">
        <f>IF(D173&gt;MAIN!$C$14,MAX($F$9,$F$9*D173/(D173-$F$10)),$F$8)</f>
        <v>3.5000000000000001E-3</v>
      </c>
      <c r="E183" s="304">
        <f>IF(E173&gt;MAIN!$C$14,MAX($F$9,$F$9*E173/(E173-$F$10)),$F$8)</f>
        <v>3.5000000000000001E-3</v>
      </c>
      <c r="F183" s="304">
        <f>IF(F173&gt;MAIN!$C$14,MAX($F$9,$F$9*F173/(F173-$F$10)),$F$8)</f>
        <v>3.5000000000000001E-3</v>
      </c>
      <c r="G183" s="304">
        <f>IF(G173&gt;MAIN!$C$14,MAX($F$9,$F$9*G173/(G173-$F$10)),$F$8)</f>
        <v>3.5000000000000001E-3</v>
      </c>
      <c r="H183" s="304">
        <f>IF(H173&gt;MAIN!$C$14,MAX($F$9,$F$9*H173/(H173-$F$10)),$F$8)</f>
        <v>3.5000000000000001E-3</v>
      </c>
      <c r="I183" s="304">
        <f>IF(I173&gt;MAIN!$C$14,MAX($F$9,$F$9*I173/(I173-$F$10)),$F$8)</f>
        <v>3.5000000000000001E-3</v>
      </c>
      <c r="J183" s="304">
        <f>IF(J173&gt;MAIN!$C$14,MAX($F$9,$F$9*J173/(J173-$F$10)),$F$8)</f>
        <v>3.5000000000000001E-3</v>
      </c>
      <c r="K183" s="304">
        <f>IF(K173&gt;MAIN!$C$14,MAX($F$9,$F$9*K173/(K173-$F$10)),$F$8)</f>
        <v>3.5000000000000001E-3</v>
      </c>
      <c r="L183" s="304">
        <f>IF(L173&gt;MAIN!$C$14,MAX($F$9,$F$9*L173/(L173-$F$10)),$F$8)</f>
        <v>3.5000000000000001E-3</v>
      </c>
      <c r="M183" s="304">
        <f>IF(M173&gt;MAIN!$C$14,MAX($F$9,$F$9*M173/(M173-$F$10)),$F$8)</f>
        <v>3.5000000000000001E-3</v>
      </c>
      <c r="N183" s="304">
        <f>IF(N173&gt;MAIN!$C$14,MAX($F$9,$F$9*N173/(N173-$F$10)),$F$8)</f>
        <v>3.5000000000000001E-3</v>
      </c>
      <c r="O183" s="304">
        <f>IF(O173&gt;MAIN!$C$14,MAX($F$9,$F$9*O173/(O173-$F$10)),$F$8)</f>
        <v>3.5000000000000001E-3</v>
      </c>
      <c r="P183" s="304">
        <f>IF(P173&gt;MAIN!$C$14,MAX($F$9,$F$9*P173/(P173-$F$10)),$F$8)</f>
        <v>3.5000000000000001E-3</v>
      </c>
      <c r="Q183" s="304">
        <f>IF(Q173&gt;MAIN!$C$14,MAX($F$9,$F$9*Q173/(Q173-$F$10)),$F$8)</f>
        <v>3.5000000000000001E-3</v>
      </c>
      <c r="R183" s="304">
        <f>IF(R173&gt;MAIN!$C$14,MAX($F$9,$F$9*R173/(R173-$F$10)),$F$8)</f>
        <v>3.5000000000000001E-3</v>
      </c>
      <c r="S183" s="304">
        <f>IF(S173&gt;MAIN!$C$14,MAX($F$9,$F$9*S173/(S173-$F$10)),$F$8)</f>
        <v>3.5000000000000001E-3</v>
      </c>
      <c r="T183" s="304">
        <f>IF(T173&gt;MAIN!$C$14,MAX($F$9,$F$9*T173/(T173-$F$10)),$F$8)</f>
        <v>3.5000000000000001E-3</v>
      </c>
      <c r="U183" s="304">
        <f>IF(U173&gt;MAIN!$C$14,MAX($F$9,$F$9*U173/(U173-$F$10)),$F$8)</f>
        <v>3.5000000000000001E-3</v>
      </c>
      <c r="V183" s="304">
        <f>IF(V173&gt;MAIN!$C$14,MAX($F$9,$F$9*V173/(V173-$F$10)),$F$8)</f>
        <v>3.5000000000000001E-3</v>
      </c>
      <c r="W183" s="304">
        <f>IF(W173&gt;MAIN!$C$14,MAX($F$9,$F$9*W173/(W173-$F$10)),$F$8)</f>
        <v>3.5000000000000001E-3</v>
      </c>
      <c r="X183" s="304">
        <f>IF(X173&gt;MAIN!$C$14,MAX($F$9,$F$9*X173/(X173-$F$10)),$F$8)</f>
        <v>3.5000000000000001E-3</v>
      </c>
      <c r="Y183" s="304">
        <f>IF(Y173&gt;MAIN!$C$14,MAX($F$9,$F$9*Y173/(Y173-$F$10)),$F$8)</f>
        <v>3.5000000000000001E-3</v>
      </c>
      <c r="Z183" s="304">
        <f>IF(Z173&gt;MAIN!$C$14,MAX($F$9,$F$9*Z173/(Z173-$F$10)),$F$8)</f>
        <v>3.5000000000000001E-3</v>
      </c>
      <c r="AA183" s="304">
        <f>IF(AA173&gt;MAIN!$C$14,MAX($F$9,$F$9*AA173/(AA173-$F$10)),$F$8)</f>
        <v>3.5000000000000001E-3</v>
      </c>
      <c r="AB183" s="304">
        <f>IF(AB173&gt;MAIN!$C$14,MAX($F$9,$F$9*AB173/(AB173-$F$10)),$F$8)</f>
        <v>3.5000000000000001E-3</v>
      </c>
      <c r="AC183" s="304">
        <f>IF(AC173&gt;MAIN!$C$14,MAX($F$9,$F$9*AC173/(AC173-$F$10)),$F$8)</f>
        <v>3.5000000000000001E-3</v>
      </c>
      <c r="AD183" s="304">
        <f>IF(AD173&gt;MAIN!$C$14,MAX($F$9,$F$9*AD173/(AD173-$F$10)),$F$8)</f>
        <v>3.5000000000000001E-3</v>
      </c>
      <c r="AE183" s="304">
        <f>IF(AE173&gt;MAIN!$C$14,MAX($F$9,$F$9*AE173/(AE173-$F$10)),$F$8)</f>
        <v>3.5000000000000001E-3</v>
      </c>
      <c r="AF183" s="304">
        <f>IF(AF173&gt;MAIN!$C$14,MAX($F$9,$F$9*AF173/(AF173-$F$10)),$F$8)</f>
        <v>3.5000000000000001E-3</v>
      </c>
      <c r="AG183" s="304">
        <f>IF(AG173&gt;MAIN!$C$14,MAX($F$9,$F$9*AG173/(AG173-$F$10)),$F$8)</f>
        <v>3.5000000000000001E-3</v>
      </c>
      <c r="AH183" s="304">
        <f>IF(AH173&gt;MAIN!$C$14,MAX($F$9,$F$9*AH173/(AH173-$F$10)),$F$8)</f>
        <v>3.5000000000000001E-3</v>
      </c>
      <c r="AI183" s="304">
        <f>IF(AI173&gt;MAIN!$C$14,MAX($F$9,$F$9*AI173/(AI173-$F$10)),$F$8)</f>
        <v>3.5000000000000001E-3</v>
      </c>
      <c r="AJ183" s="304">
        <f>IF(AJ173&gt;MAIN!$C$14,MAX($F$9,$F$9*AJ173/(AJ173-$F$10)),$F$8)</f>
        <v>3.5000000000000001E-3</v>
      </c>
      <c r="AK183" s="304">
        <f>IF(AK173&gt;MAIN!$C$14,MAX($F$9,$F$9*AK173/(AK173-$F$10)),$F$8)</f>
        <v>3.5000000000000001E-3</v>
      </c>
      <c r="AL183" s="304">
        <f>IF(AL173&gt;MAIN!$C$14,MAX($F$9,$F$9*AL173/(AL173-$F$10)),$F$8)</f>
        <v>3.5000000000000001E-3</v>
      </c>
      <c r="AM183" s="304">
        <f>IF(AM173&gt;MAIN!$C$14,MAX($F$9,$F$9*AM173/(AM173-$F$10)),$F$8)</f>
        <v>3.5000000000000001E-3</v>
      </c>
      <c r="AN183" s="304">
        <f>IF(AN173&gt;MAIN!$C$14,MAX($F$9,$F$9*AN173/(AN173-$F$10)),$F$8)</f>
        <v>3.5000000000000001E-3</v>
      </c>
      <c r="AO183" s="304">
        <f>IF(AO173&gt;MAIN!$C$14,MAX($F$9,$F$9*AO173/(AO173-$F$10)),$F$8)</f>
        <v>3.5000000000000001E-3</v>
      </c>
      <c r="AP183" s="304">
        <f>IF(AP173&gt;MAIN!$C$14,MAX($F$9,$F$9*AP173/(AP173-$F$10)),$F$8)</f>
        <v>3.5000000000000001E-3</v>
      </c>
      <c r="AQ183" s="304">
        <f>IF(AQ173&gt;MAIN!$C$14,MAX($F$9,$F$9*AQ173/(AQ173-$F$10)),$F$8)</f>
        <v>3.5000000000000001E-3</v>
      </c>
      <c r="AR183" s="56">
        <f>IF(AR173&gt;MAIN!$C$14,MAX($F$9,$F$9*AR173/(AR173-$F$10)),$F$8)</f>
        <v>3.5000000000000001E-3</v>
      </c>
      <c r="AS183" s="304">
        <f>IF(AS173&gt;MAIN!$C$14,MAX($F$9,$F$9*AS173/(AS173-$F$10)),$F$8)</f>
        <v>3.5000000000000001E-3</v>
      </c>
      <c r="AT183" s="304">
        <f>IF(AT173&gt;MAIN!$C$14,MAX($F$9,$F$9*AT173/(AT173-$F$10)),$F$8)</f>
        <v>3.5000000000000001E-3</v>
      </c>
      <c r="AU183" s="304">
        <f>IF(AU173&gt;MAIN!$C$14,MAX($F$9,$F$9*AU173/(AU173-$F$10)),$F$8)</f>
        <v>3.5000000000000001E-3</v>
      </c>
      <c r="AV183" s="304">
        <f>IF(AV173&gt;MAIN!$C$14,MAX($F$9,$F$9*AV173/(AV173-$F$10)),$F$8)</f>
        <v>3.5000000000000001E-3</v>
      </c>
      <c r="AW183" s="304">
        <f>IF(AW173&gt;MAIN!$C$14,MAX($F$9,$F$9*AW173/(AW173-$F$10)),$F$8)</f>
        <v>3.5000000000000001E-3</v>
      </c>
      <c r="AX183" s="304">
        <f>IF(AX173&gt;MAIN!$C$14,MAX($F$9,$F$9*AX173/(AX173-$F$10)),$F$8)</f>
        <v>3.5000000000000001E-3</v>
      </c>
      <c r="AY183" s="304">
        <f>IF(AY173&gt;MAIN!$C$14,MAX($F$9,$F$9*AY173/(AY173-$F$10)),$F$8)</f>
        <v>3.5000000000000001E-3</v>
      </c>
      <c r="AZ183" s="304">
        <f>IF(AZ173&gt;MAIN!$C$14,MAX($F$9,$F$9*AZ173/(AZ173-$F$10)),$F$8)</f>
        <v>3.5000000000000001E-3</v>
      </c>
      <c r="BA183" s="304">
        <f>IF(BA173&gt;MAIN!$C$14,MAX($F$9,$F$9*BA173/(BA173-$F$10)),$F$8)</f>
        <v>3.5000000000000001E-3</v>
      </c>
      <c r="BB183" s="304">
        <f>IF(BB173&gt;MAIN!$C$14,MAX($F$9,$F$9*BB173/(BB173-$F$10)),$F$8)</f>
        <v>3.5000000000000001E-3</v>
      </c>
      <c r="BC183" s="304">
        <f>IF(BC173&gt;MAIN!$C$14,MAX($F$9,$F$9*BC173/(BC173-$F$10)),$F$8)</f>
        <v>3.5000000000000001E-3</v>
      </c>
      <c r="BD183" s="304">
        <f>IF(BD173&gt;MAIN!$C$14,MAX($F$9,$F$9*BD173/(BD173-$F$10)),$F$8)</f>
        <v>3.5000000000000001E-3</v>
      </c>
      <c r="BE183" s="304">
        <f>IF(BE173&gt;MAIN!$C$14,MAX($F$9,$F$9*BE173/(BE173-$F$10)),$F$8)</f>
        <v>3.4362823965583566E-3</v>
      </c>
      <c r="BF183" s="304">
        <f>IF(BF173&gt;MAIN!$C$14,MAX($F$9,$F$9*BF173/(BF173-$F$10)),$F$8)</f>
        <v>3.3197579769915333E-3</v>
      </c>
      <c r="BG183" s="304">
        <f>IF(BG173&gt;MAIN!$C$14,MAX($F$9,$F$9*BG173/(BG173-$F$10)),$F$8)</f>
        <v>3.218296669272233E-3</v>
      </c>
      <c r="BH183" s="304">
        <f>IF(BH173&gt;MAIN!$C$14,MAX($F$9,$F$9*BH173/(BH173-$F$10)),$F$8)</f>
        <v>3.1291549859831782E-3</v>
      </c>
      <c r="BI183" s="304">
        <f>IF(BI173&gt;MAIN!$C$14,MAX($F$9,$F$9*BI173/(BI173-$F$10)),$F$8)</f>
        <v>3.0502175456890877E-3</v>
      </c>
      <c r="BJ183" s="304">
        <f>IF(BJ173&gt;MAIN!$C$14,MAX($F$9,$F$9*BJ173/(BJ173-$F$10)),$F$8)</f>
        <v>2.9798270525814552E-3</v>
      </c>
      <c r="BK183" s="304">
        <f>IF(BK173&gt;MAIN!$C$14,MAX($F$9,$F$9*BK173/(BK173-$F$10)),$F$8)</f>
        <v>2.9166666666666668E-3</v>
      </c>
      <c r="BL183" s="304">
        <f>IF(BL173&gt;MAIN!$C$14,MAX($F$9,$F$9*BL173/(BL173-$F$10)),$F$8)</f>
        <v>2.40625E-3</v>
      </c>
      <c r="BM183" s="304">
        <f>IF(BM173&gt;MAIN!$C$14,MAX($F$9,$F$9*BM173/(BM173-$F$10)),$F$8)</f>
        <v>2.2065217391304347E-3</v>
      </c>
      <c r="BN183" s="304">
        <f>IF(BN173&gt;MAIN!$C$14,MAX($F$9,$F$9*BN173/(BN173-$F$10)),$F$8)</f>
        <v>2.0999999999999999E-3</v>
      </c>
      <c r="BO183" s="3">
        <f>$F$9</f>
        <v>1.75E-3</v>
      </c>
      <c r="BP183" s="43"/>
      <c r="BQ183" s="43"/>
      <c r="BR183" s="42"/>
      <c r="BS183"/>
      <c r="BT183"/>
    </row>
    <row r="184" spans="2:72" ht="16.5">
      <c r="B184" s="292" t="s">
        <v>118</v>
      </c>
      <c r="C184" s="300" t="s">
        <v>56</v>
      </c>
      <c r="D184" s="8">
        <f t="shared" ref="D184:AI184" si="116">D183*(D173-$C170)/D173</f>
        <v>-2.0851695739404403E-3</v>
      </c>
      <c r="E184" s="305">
        <f t="shared" si="116"/>
        <v>-1.5581270510278264E-3</v>
      </c>
      <c r="F184" s="305">
        <f t="shared" si="116"/>
        <v>-1.1219759489483044E-3</v>
      </c>
      <c r="G184" s="305">
        <f t="shared" si="116"/>
        <v>-7.5507062531106827E-4</v>
      </c>
      <c r="H184" s="305">
        <f t="shared" si="116"/>
        <v>-4.4213311896910208E-4</v>
      </c>
      <c r="I184" s="305">
        <f t="shared" si="116"/>
        <v>-1.7207201742026399E-4</v>
      </c>
      <c r="J184" s="305">
        <f t="shared" si="116"/>
        <v>6.3359627483622043E-5</v>
      </c>
      <c r="K184" s="305">
        <f t="shared" si="116"/>
        <v>2.704212109815099E-4</v>
      </c>
      <c r="L184" s="305">
        <f t="shared" si="116"/>
        <v>4.53949311292122E-4</v>
      </c>
      <c r="M184" s="305">
        <f t="shared" si="116"/>
        <v>6.1774022510621457E-4</v>
      </c>
      <c r="N184" s="305">
        <f t="shared" si="116"/>
        <v>7.6481538358398322E-4</v>
      </c>
      <c r="O184" s="305">
        <f t="shared" si="116"/>
        <v>8.9760945217435162E-4</v>
      </c>
      <c r="P184" s="305">
        <f t="shared" si="116"/>
        <v>1.0181061736854167E-3</v>
      </c>
      <c r="Q184" s="305">
        <f t="shared" si="116"/>
        <v>1.1279381423376885E-3</v>
      </c>
      <c r="R184" s="305">
        <f t="shared" si="116"/>
        <v>1.2284612085115729E-3</v>
      </c>
      <c r="S184" s="305">
        <f t="shared" si="116"/>
        <v>1.3208107339220353E-3</v>
      </c>
      <c r="T184" s="305">
        <f t="shared" si="116"/>
        <v>1.4059446605391287E-3</v>
      </c>
      <c r="U184" s="305">
        <f t="shared" si="116"/>
        <v>1.4846768636879229E-3</v>
      </c>
      <c r="V184" s="305">
        <f t="shared" si="116"/>
        <v>1.5577032537361709E-3</v>
      </c>
      <c r="W184" s="305">
        <f t="shared" si="116"/>
        <v>1.6256224013653079E-3</v>
      </c>
      <c r="X184" s="305">
        <f t="shared" si="116"/>
        <v>1.6889519816462983E-3</v>
      </c>
      <c r="Y184" s="305">
        <f t="shared" si="116"/>
        <v>1.7481419934907295E-3</v>
      </c>
      <c r="Z184" s="305">
        <f t="shared" si="116"/>
        <v>1.8035854688563013E-3</v>
      </c>
      <c r="AA184" s="305">
        <f t="shared" si="116"/>
        <v>1.8556272107629662E-3</v>
      </c>
      <c r="AB184" s="305">
        <f t="shared" si="116"/>
        <v>1.9045709708185267E-3</v>
      </c>
      <c r="AC184" s="305">
        <f t="shared" si="116"/>
        <v>1.9506853819855087E-3</v>
      </c>
      <c r="AD184" s="305">
        <f t="shared" si="116"/>
        <v>1.9942088913645658E-3</v>
      </c>
      <c r="AE184" s="305">
        <f t="shared" si="116"/>
        <v>2.0353538842627695E-3</v>
      </c>
      <c r="AF184" s="305">
        <f t="shared" si="116"/>
        <v>2.0743101501167014E-3</v>
      </c>
      <c r="AG184" s="305">
        <f t="shared" si="116"/>
        <v>2.1112478096318005E-3</v>
      </c>
      <c r="AH184" s="305">
        <f t="shared" si="116"/>
        <v>2.1463197983842669E-3</v>
      </c>
      <c r="AI184" s="305">
        <f t="shared" si="116"/>
        <v>2.1796639833627971E-3</v>
      </c>
      <c r="AJ184" s="305">
        <f t="shared" ref="AJ184:BK184" si="117">AJ183*(AJ173-$C170)/AJ173</f>
        <v>2.2114049742192506E-3</v>
      </c>
      <c r="AK184" s="305">
        <f t="shared" si="117"/>
        <v>2.2416556793967589E-3</v>
      </c>
      <c r="AL184" s="305">
        <f t="shared" si="117"/>
        <v>2.2705186480979599E-3</v>
      </c>
      <c r="AM184" s="305">
        <f t="shared" si="117"/>
        <v>2.2980872317080129E-3</v>
      </c>
      <c r="AN184" s="305">
        <f t="shared" si="117"/>
        <v>2.3244465923893762E-3</v>
      </c>
      <c r="AO184" s="305">
        <f t="shared" si="117"/>
        <v>2.3496745818067659E-3</v>
      </c>
      <c r="AP184" s="305">
        <f t="shared" si="117"/>
        <v>2.3738425090819213E-3</v>
      </c>
      <c r="AQ184" s="305">
        <f t="shared" si="117"/>
        <v>2.3970158139336624E-3</v>
      </c>
      <c r="AR184" s="58">
        <f t="shared" si="117"/>
        <v>2.419254658385093E-3</v>
      </c>
      <c r="AS184" s="305">
        <f t="shared" si="117"/>
        <v>2.4940338408372185E-3</v>
      </c>
      <c r="AT184" s="305">
        <f t="shared" si="117"/>
        <v>2.5591344296952818E-3</v>
      </c>
      <c r="AU184" s="305">
        <f t="shared" si="117"/>
        <v>2.6163212509426937E-3</v>
      </c>
      <c r="AV184" s="305">
        <f t="shared" si="117"/>
        <v>2.6669546436285099E-3</v>
      </c>
      <c r="AW184" s="305">
        <f t="shared" si="117"/>
        <v>2.7121000621345339E-3</v>
      </c>
      <c r="AX184" s="305">
        <f t="shared" si="117"/>
        <v>2.7526038723012579E-3</v>
      </c>
      <c r="AY184" s="305">
        <f t="shared" si="117"/>
        <v>2.7891469117884214E-3</v>
      </c>
      <c r="AZ184" s="305">
        <f t="shared" si="117"/>
        <v>2.8222830702550735E-3</v>
      </c>
      <c r="BA184" s="305">
        <f t="shared" si="117"/>
        <v>2.8524675597215911E-3</v>
      </c>
      <c r="BB184" s="305">
        <f t="shared" si="117"/>
        <v>2.8800779523445977E-3</v>
      </c>
      <c r="BC184" s="305">
        <f t="shared" si="117"/>
        <v>2.9054300560733257E-3</v>
      </c>
      <c r="BD184" s="305">
        <f t="shared" si="117"/>
        <v>2.928790047884682E-3</v>
      </c>
      <c r="BE184" s="305">
        <f t="shared" si="117"/>
        <v>2.8966720296596826E-3</v>
      </c>
      <c r="BF184" s="305">
        <f t="shared" si="117"/>
        <v>2.8174354243542424E-3</v>
      </c>
      <c r="BG184" s="305">
        <f t="shared" si="117"/>
        <v>2.7484417351051186E-3</v>
      </c>
      <c r="BH184" s="305">
        <f t="shared" si="117"/>
        <v>2.6878253904685612E-3</v>
      </c>
      <c r="BI184" s="305">
        <f t="shared" si="117"/>
        <v>2.6341479310685798E-3</v>
      </c>
      <c r="BJ184" s="305">
        <f t="shared" si="117"/>
        <v>2.5862823957553895E-3</v>
      </c>
      <c r="BK184" s="305">
        <f t="shared" si="117"/>
        <v>2.5433333333333336E-3</v>
      </c>
      <c r="BL184" s="305">
        <f>BL183*(BL173-$C170)/BL173</f>
        <v>2.1962499999999999E-3</v>
      </c>
      <c r="BM184" s="305">
        <f>BM183*(BM173-$C170)/BM173</f>
        <v>2.0604347826086956E-3</v>
      </c>
      <c r="BN184" s="305">
        <f>BN183*(BN173-$C170)/BN173</f>
        <v>1.9879999999999997E-3</v>
      </c>
      <c r="BO184" s="8">
        <f>BO183</f>
        <v>1.75E-3</v>
      </c>
      <c r="BS184"/>
      <c r="BT184"/>
    </row>
    <row r="185" spans="2:72" ht="16.5">
      <c r="B185" s="9">
        <v>2</v>
      </c>
      <c r="C185" s="300" t="s">
        <v>57</v>
      </c>
      <c r="D185" s="8">
        <f>IF($D175=0,0,D183*(D173-$D175)/D173)</f>
        <v>0</v>
      </c>
      <c r="E185" s="305">
        <f t="shared" ref="E185:BK185" si="118">IF($D175=0,0,E183*(E173-$D175)/E173)</f>
        <v>0</v>
      </c>
      <c r="F185" s="305">
        <f t="shared" si="118"/>
        <v>0</v>
      </c>
      <c r="G185" s="305">
        <f t="shared" si="118"/>
        <v>0</v>
      </c>
      <c r="H185" s="305">
        <f t="shared" si="118"/>
        <v>0</v>
      </c>
      <c r="I185" s="305">
        <f t="shared" si="118"/>
        <v>0</v>
      </c>
      <c r="J185" s="305">
        <f t="shared" si="118"/>
        <v>0</v>
      </c>
      <c r="K185" s="305">
        <f t="shared" si="118"/>
        <v>0</v>
      </c>
      <c r="L185" s="305">
        <f t="shared" si="118"/>
        <v>0</v>
      </c>
      <c r="M185" s="305">
        <f t="shared" si="118"/>
        <v>0</v>
      </c>
      <c r="N185" s="305">
        <f t="shared" si="118"/>
        <v>0</v>
      </c>
      <c r="O185" s="305">
        <f t="shared" si="118"/>
        <v>0</v>
      </c>
      <c r="P185" s="305">
        <f t="shared" si="118"/>
        <v>0</v>
      </c>
      <c r="Q185" s="305">
        <f t="shared" si="118"/>
        <v>0</v>
      </c>
      <c r="R185" s="305">
        <f t="shared" si="118"/>
        <v>0</v>
      </c>
      <c r="S185" s="305">
        <f t="shared" si="118"/>
        <v>0</v>
      </c>
      <c r="T185" s="305">
        <f t="shared" si="118"/>
        <v>0</v>
      </c>
      <c r="U185" s="305">
        <f t="shared" si="118"/>
        <v>0</v>
      </c>
      <c r="V185" s="305">
        <f t="shared" si="118"/>
        <v>0</v>
      </c>
      <c r="W185" s="305">
        <f t="shared" si="118"/>
        <v>0</v>
      </c>
      <c r="X185" s="305">
        <f t="shared" si="118"/>
        <v>0</v>
      </c>
      <c r="Y185" s="305">
        <f t="shared" si="118"/>
        <v>0</v>
      </c>
      <c r="Z185" s="305">
        <f t="shared" si="118"/>
        <v>0</v>
      </c>
      <c r="AA185" s="305">
        <f t="shared" si="118"/>
        <v>0</v>
      </c>
      <c r="AB185" s="305">
        <f t="shared" si="118"/>
        <v>0</v>
      </c>
      <c r="AC185" s="305">
        <f t="shared" si="118"/>
        <v>0</v>
      </c>
      <c r="AD185" s="305">
        <f t="shared" si="118"/>
        <v>0</v>
      </c>
      <c r="AE185" s="305">
        <f t="shared" si="118"/>
        <v>0</v>
      </c>
      <c r="AF185" s="305">
        <f t="shared" si="118"/>
        <v>0</v>
      </c>
      <c r="AG185" s="305">
        <f t="shared" si="118"/>
        <v>0</v>
      </c>
      <c r="AH185" s="305">
        <f t="shared" si="118"/>
        <v>0</v>
      </c>
      <c r="AI185" s="305">
        <f t="shared" si="118"/>
        <v>0</v>
      </c>
      <c r="AJ185" s="305">
        <f t="shared" si="118"/>
        <v>0</v>
      </c>
      <c r="AK185" s="305">
        <f t="shared" si="118"/>
        <v>0</v>
      </c>
      <c r="AL185" s="305">
        <f t="shared" si="118"/>
        <v>0</v>
      </c>
      <c r="AM185" s="305">
        <f t="shared" si="118"/>
        <v>0</v>
      </c>
      <c r="AN185" s="305">
        <f t="shared" si="118"/>
        <v>0</v>
      </c>
      <c r="AO185" s="305">
        <f t="shared" si="118"/>
        <v>0</v>
      </c>
      <c r="AP185" s="305">
        <f t="shared" si="118"/>
        <v>0</v>
      </c>
      <c r="AQ185" s="305">
        <f t="shared" si="118"/>
        <v>0</v>
      </c>
      <c r="AR185" s="58">
        <f t="shared" si="118"/>
        <v>0</v>
      </c>
      <c r="AS185" s="305">
        <f t="shared" si="118"/>
        <v>0</v>
      </c>
      <c r="AT185" s="305">
        <f t="shared" si="118"/>
        <v>0</v>
      </c>
      <c r="AU185" s="305">
        <f t="shared" si="118"/>
        <v>0</v>
      </c>
      <c r="AV185" s="305">
        <f t="shared" si="118"/>
        <v>0</v>
      </c>
      <c r="AW185" s="305">
        <f t="shared" si="118"/>
        <v>0</v>
      </c>
      <c r="AX185" s="305">
        <f t="shared" si="118"/>
        <v>0</v>
      </c>
      <c r="AY185" s="305">
        <f t="shared" si="118"/>
        <v>0</v>
      </c>
      <c r="AZ185" s="305">
        <f t="shared" si="118"/>
        <v>0</v>
      </c>
      <c r="BA185" s="305">
        <f t="shared" si="118"/>
        <v>0</v>
      </c>
      <c r="BB185" s="305">
        <f t="shared" si="118"/>
        <v>0</v>
      </c>
      <c r="BC185" s="305">
        <f t="shared" si="118"/>
        <v>0</v>
      </c>
      <c r="BD185" s="305">
        <f t="shared" si="118"/>
        <v>0</v>
      </c>
      <c r="BE185" s="305">
        <f t="shared" si="118"/>
        <v>0</v>
      </c>
      <c r="BF185" s="305">
        <f t="shared" si="118"/>
        <v>0</v>
      </c>
      <c r="BG185" s="305">
        <f t="shared" si="118"/>
        <v>0</v>
      </c>
      <c r="BH185" s="305">
        <f t="shared" si="118"/>
        <v>0</v>
      </c>
      <c r="BI185" s="305">
        <f t="shared" si="118"/>
        <v>0</v>
      </c>
      <c r="BJ185" s="305">
        <f t="shared" si="118"/>
        <v>0</v>
      </c>
      <c r="BK185" s="305">
        <f t="shared" si="118"/>
        <v>0</v>
      </c>
      <c r="BL185" s="305">
        <f>IF($D175=0,0,BL183*(BL173-$D175)/BL173)</f>
        <v>0</v>
      </c>
      <c r="BM185" s="305">
        <f>IF($D175=0,0,BM183*(BM173-$D175)/BM173)</f>
        <v>0</v>
      </c>
      <c r="BN185" s="305">
        <f>IF($D175=0,0,BN183*(BN173-$D175)/BN173)</f>
        <v>0</v>
      </c>
      <c r="BO185" s="8">
        <f>IF(D185=0,0,BO184)</f>
        <v>0</v>
      </c>
      <c r="BP185" s="43"/>
      <c r="BQ185" s="43"/>
      <c r="BR185" s="42"/>
      <c r="BS185"/>
      <c r="BT185"/>
    </row>
    <row r="186" spans="2:72" ht="16.5">
      <c r="B186" s="9">
        <f t="shared" ref="B186:B192" si="119">1+B185</f>
        <v>3</v>
      </c>
      <c r="C186" s="300" t="s">
        <v>57</v>
      </c>
      <c r="D186" s="8">
        <f>IF($D176=0,0,D183*(D173-$D176)/D173)</f>
        <v>0</v>
      </c>
      <c r="E186" s="305">
        <f t="shared" ref="E186:BK186" si="120">IF($D176=0,0,E183*(E173-$D176)/E173)</f>
        <v>0</v>
      </c>
      <c r="F186" s="305">
        <f t="shared" si="120"/>
        <v>0</v>
      </c>
      <c r="G186" s="305">
        <f t="shared" si="120"/>
        <v>0</v>
      </c>
      <c r="H186" s="305">
        <f t="shared" si="120"/>
        <v>0</v>
      </c>
      <c r="I186" s="305">
        <f t="shared" si="120"/>
        <v>0</v>
      </c>
      <c r="J186" s="305">
        <f t="shared" si="120"/>
        <v>0</v>
      </c>
      <c r="K186" s="305">
        <f t="shared" si="120"/>
        <v>0</v>
      </c>
      <c r="L186" s="305">
        <f t="shared" si="120"/>
        <v>0</v>
      </c>
      <c r="M186" s="305">
        <f t="shared" si="120"/>
        <v>0</v>
      </c>
      <c r="N186" s="305">
        <f t="shared" si="120"/>
        <v>0</v>
      </c>
      <c r="O186" s="305">
        <f t="shared" si="120"/>
        <v>0</v>
      </c>
      <c r="P186" s="305">
        <f t="shared" si="120"/>
        <v>0</v>
      </c>
      <c r="Q186" s="305">
        <f t="shared" si="120"/>
        <v>0</v>
      </c>
      <c r="R186" s="305">
        <f t="shared" si="120"/>
        <v>0</v>
      </c>
      <c r="S186" s="305">
        <f t="shared" si="120"/>
        <v>0</v>
      </c>
      <c r="T186" s="305">
        <f t="shared" si="120"/>
        <v>0</v>
      </c>
      <c r="U186" s="305">
        <f t="shared" si="120"/>
        <v>0</v>
      </c>
      <c r="V186" s="305">
        <f t="shared" si="120"/>
        <v>0</v>
      </c>
      <c r="W186" s="305">
        <f t="shared" si="120"/>
        <v>0</v>
      </c>
      <c r="X186" s="305">
        <f t="shared" si="120"/>
        <v>0</v>
      </c>
      <c r="Y186" s="305">
        <f t="shared" si="120"/>
        <v>0</v>
      </c>
      <c r="Z186" s="305">
        <f t="shared" si="120"/>
        <v>0</v>
      </c>
      <c r="AA186" s="305">
        <f t="shared" si="120"/>
        <v>0</v>
      </c>
      <c r="AB186" s="305">
        <f t="shared" si="120"/>
        <v>0</v>
      </c>
      <c r="AC186" s="305">
        <f t="shared" si="120"/>
        <v>0</v>
      </c>
      <c r="AD186" s="305">
        <f t="shared" si="120"/>
        <v>0</v>
      </c>
      <c r="AE186" s="305">
        <f t="shared" si="120"/>
        <v>0</v>
      </c>
      <c r="AF186" s="305">
        <f t="shared" si="120"/>
        <v>0</v>
      </c>
      <c r="AG186" s="305">
        <f t="shared" si="120"/>
        <v>0</v>
      </c>
      <c r="AH186" s="305">
        <f t="shared" si="120"/>
        <v>0</v>
      </c>
      <c r="AI186" s="305">
        <f t="shared" si="120"/>
        <v>0</v>
      </c>
      <c r="AJ186" s="305">
        <f t="shared" si="120"/>
        <v>0</v>
      </c>
      <c r="AK186" s="305">
        <f t="shared" si="120"/>
        <v>0</v>
      </c>
      <c r="AL186" s="305">
        <f t="shared" si="120"/>
        <v>0</v>
      </c>
      <c r="AM186" s="305">
        <f t="shared" si="120"/>
        <v>0</v>
      </c>
      <c r="AN186" s="305">
        <f t="shared" si="120"/>
        <v>0</v>
      </c>
      <c r="AO186" s="305">
        <f t="shared" si="120"/>
        <v>0</v>
      </c>
      <c r="AP186" s="305">
        <f t="shared" si="120"/>
        <v>0</v>
      </c>
      <c r="AQ186" s="305">
        <f t="shared" si="120"/>
        <v>0</v>
      </c>
      <c r="AR186" s="58">
        <f t="shared" si="120"/>
        <v>0</v>
      </c>
      <c r="AS186" s="305">
        <f t="shared" si="120"/>
        <v>0</v>
      </c>
      <c r="AT186" s="305">
        <f t="shared" si="120"/>
        <v>0</v>
      </c>
      <c r="AU186" s="305">
        <f t="shared" si="120"/>
        <v>0</v>
      </c>
      <c r="AV186" s="305">
        <f t="shared" si="120"/>
        <v>0</v>
      </c>
      <c r="AW186" s="305">
        <f t="shared" si="120"/>
        <v>0</v>
      </c>
      <c r="AX186" s="305">
        <f t="shared" si="120"/>
        <v>0</v>
      </c>
      <c r="AY186" s="305">
        <f t="shared" si="120"/>
        <v>0</v>
      </c>
      <c r="AZ186" s="305">
        <f t="shared" si="120"/>
        <v>0</v>
      </c>
      <c r="BA186" s="305">
        <f t="shared" si="120"/>
        <v>0</v>
      </c>
      <c r="BB186" s="305">
        <f t="shared" si="120"/>
        <v>0</v>
      </c>
      <c r="BC186" s="305">
        <f t="shared" si="120"/>
        <v>0</v>
      </c>
      <c r="BD186" s="305">
        <f t="shared" si="120"/>
        <v>0</v>
      </c>
      <c r="BE186" s="305">
        <f t="shared" si="120"/>
        <v>0</v>
      </c>
      <c r="BF186" s="305">
        <f t="shared" si="120"/>
        <v>0</v>
      </c>
      <c r="BG186" s="305">
        <f t="shared" si="120"/>
        <v>0</v>
      </c>
      <c r="BH186" s="305">
        <f t="shared" si="120"/>
        <v>0</v>
      </c>
      <c r="BI186" s="305">
        <f t="shared" si="120"/>
        <v>0</v>
      </c>
      <c r="BJ186" s="305">
        <f t="shared" si="120"/>
        <v>0</v>
      </c>
      <c r="BK186" s="305">
        <f t="shared" si="120"/>
        <v>0</v>
      </c>
      <c r="BL186" s="305">
        <f>IF($D176=0,0,BL183*(BL173-$D176)/BL173)</f>
        <v>0</v>
      </c>
      <c r="BM186" s="305">
        <f>IF($D176=0,0,BM183*(BM173-$D176)/BM173)</f>
        <v>0</v>
      </c>
      <c r="BN186" s="305">
        <f>IF($D176=0,0,BN183*(BN173-$D176)/BN173)</f>
        <v>0</v>
      </c>
      <c r="BO186" s="8">
        <f>IF(D186=0,0,BO184)</f>
        <v>0</v>
      </c>
      <c r="BP186" s="43"/>
      <c r="BQ186" s="43"/>
      <c r="BR186" s="42"/>
      <c r="BS186"/>
      <c r="BT186"/>
    </row>
    <row r="187" spans="2:72" ht="16.5">
      <c r="B187" s="9">
        <f t="shared" si="119"/>
        <v>4</v>
      </c>
      <c r="C187" s="300" t="s">
        <v>57</v>
      </c>
      <c r="D187" s="8">
        <f>IF($D177=0,0,D183*(D173-$D177)/D173)</f>
        <v>0</v>
      </c>
      <c r="E187" s="305">
        <f t="shared" ref="E187:BK187" si="121">IF($D177=0,0,E183*(E173-$D177)/E173)</f>
        <v>0</v>
      </c>
      <c r="F187" s="305">
        <f t="shared" si="121"/>
        <v>0</v>
      </c>
      <c r="G187" s="305">
        <f t="shared" si="121"/>
        <v>0</v>
      </c>
      <c r="H187" s="305">
        <f t="shared" si="121"/>
        <v>0</v>
      </c>
      <c r="I187" s="305">
        <f t="shared" si="121"/>
        <v>0</v>
      </c>
      <c r="J187" s="305">
        <f t="shared" si="121"/>
        <v>0</v>
      </c>
      <c r="K187" s="305">
        <f t="shared" si="121"/>
        <v>0</v>
      </c>
      <c r="L187" s="305">
        <f t="shared" si="121"/>
        <v>0</v>
      </c>
      <c r="M187" s="305">
        <f t="shared" si="121"/>
        <v>0</v>
      </c>
      <c r="N187" s="305">
        <f t="shared" si="121"/>
        <v>0</v>
      </c>
      <c r="O187" s="305">
        <f t="shared" si="121"/>
        <v>0</v>
      </c>
      <c r="P187" s="305">
        <f t="shared" si="121"/>
        <v>0</v>
      </c>
      <c r="Q187" s="305">
        <f t="shared" si="121"/>
        <v>0</v>
      </c>
      <c r="R187" s="305">
        <f t="shared" si="121"/>
        <v>0</v>
      </c>
      <c r="S187" s="305">
        <f t="shared" si="121"/>
        <v>0</v>
      </c>
      <c r="T187" s="305">
        <f t="shared" si="121"/>
        <v>0</v>
      </c>
      <c r="U187" s="305">
        <f t="shared" si="121"/>
        <v>0</v>
      </c>
      <c r="V187" s="305">
        <f t="shared" si="121"/>
        <v>0</v>
      </c>
      <c r="W187" s="305">
        <f t="shared" si="121"/>
        <v>0</v>
      </c>
      <c r="X187" s="305">
        <f t="shared" si="121"/>
        <v>0</v>
      </c>
      <c r="Y187" s="305">
        <f t="shared" si="121"/>
        <v>0</v>
      </c>
      <c r="Z187" s="305">
        <f t="shared" si="121"/>
        <v>0</v>
      </c>
      <c r="AA187" s="305">
        <f t="shared" si="121"/>
        <v>0</v>
      </c>
      <c r="AB187" s="305">
        <f t="shared" si="121"/>
        <v>0</v>
      </c>
      <c r="AC187" s="305">
        <f t="shared" si="121"/>
        <v>0</v>
      </c>
      <c r="AD187" s="305">
        <f t="shared" si="121"/>
        <v>0</v>
      </c>
      <c r="AE187" s="305">
        <f t="shared" si="121"/>
        <v>0</v>
      </c>
      <c r="AF187" s="305">
        <f t="shared" si="121"/>
        <v>0</v>
      </c>
      <c r="AG187" s="305">
        <f t="shared" si="121"/>
        <v>0</v>
      </c>
      <c r="AH187" s="305">
        <f t="shared" si="121"/>
        <v>0</v>
      </c>
      <c r="AI187" s="305">
        <f t="shared" si="121"/>
        <v>0</v>
      </c>
      <c r="AJ187" s="305">
        <f t="shared" si="121"/>
        <v>0</v>
      </c>
      <c r="AK187" s="305">
        <f t="shared" si="121"/>
        <v>0</v>
      </c>
      <c r="AL187" s="305">
        <f t="shared" si="121"/>
        <v>0</v>
      </c>
      <c r="AM187" s="305">
        <f t="shared" si="121"/>
        <v>0</v>
      </c>
      <c r="AN187" s="305">
        <f t="shared" si="121"/>
        <v>0</v>
      </c>
      <c r="AO187" s="305">
        <f t="shared" si="121"/>
        <v>0</v>
      </c>
      <c r="AP187" s="305">
        <f t="shared" si="121"/>
        <v>0</v>
      </c>
      <c r="AQ187" s="305">
        <f t="shared" si="121"/>
        <v>0</v>
      </c>
      <c r="AR187" s="58">
        <f t="shared" si="121"/>
        <v>0</v>
      </c>
      <c r="AS187" s="305">
        <f t="shared" si="121"/>
        <v>0</v>
      </c>
      <c r="AT187" s="305">
        <f t="shared" si="121"/>
        <v>0</v>
      </c>
      <c r="AU187" s="305">
        <f t="shared" si="121"/>
        <v>0</v>
      </c>
      <c r="AV187" s="305">
        <f t="shared" si="121"/>
        <v>0</v>
      </c>
      <c r="AW187" s="305">
        <f t="shared" si="121"/>
        <v>0</v>
      </c>
      <c r="AX187" s="305">
        <f t="shared" si="121"/>
        <v>0</v>
      </c>
      <c r="AY187" s="305">
        <f t="shared" si="121"/>
        <v>0</v>
      </c>
      <c r="AZ187" s="305">
        <f t="shared" si="121"/>
        <v>0</v>
      </c>
      <c r="BA187" s="305">
        <f t="shared" si="121"/>
        <v>0</v>
      </c>
      <c r="BB187" s="305">
        <f t="shared" si="121"/>
        <v>0</v>
      </c>
      <c r="BC187" s="305">
        <f t="shared" si="121"/>
        <v>0</v>
      </c>
      <c r="BD187" s="305">
        <f t="shared" si="121"/>
        <v>0</v>
      </c>
      <c r="BE187" s="305">
        <f t="shared" si="121"/>
        <v>0</v>
      </c>
      <c r="BF187" s="305">
        <f t="shared" si="121"/>
        <v>0</v>
      </c>
      <c r="BG187" s="305">
        <f t="shared" si="121"/>
        <v>0</v>
      </c>
      <c r="BH187" s="305">
        <f t="shared" si="121"/>
        <v>0</v>
      </c>
      <c r="BI187" s="305">
        <f t="shared" si="121"/>
        <v>0</v>
      </c>
      <c r="BJ187" s="305">
        <f t="shared" si="121"/>
        <v>0</v>
      </c>
      <c r="BK187" s="305">
        <f t="shared" si="121"/>
        <v>0</v>
      </c>
      <c r="BL187" s="305">
        <f>IF($D177=0,0,BL183*(BL173-$D177)/BL173)</f>
        <v>0</v>
      </c>
      <c r="BM187" s="305">
        <f>IF($D177=0,0,BM183*(BM173-$D177)/BM173)</f>
        <v>0</v>
      </c>
      <c r="BN187" s="305">
        <f>IF($D177=0,0,BN183*(BN173-$D177)/BN173)</f>
        <v>0</v>
      </c>
      <c r="BO187" s="8">
        <f>IF(D187=0,0,BO184)</f>
        <v>0</v>
      </c>
      <c r="BP187" s="43"/>
      <c r="BQ187" s="43"/>
      <c r="BR187" s="42"/>
      <c r="BS187"/>
      <c r="BT187"/>
    </row>
    <row r="188" spans="2:72" ht="16.5">
      <c r="B188" s="9">
        <f t="shared" si="119"/>
        <v>5</v>
      </c>
      <c r="C188" s="300" t="s">
        <v>57</v>
      </c>
      <c r="D188" s="8">
        <f>IF($D178=0,0,D183*(D173-$D178)/D173)</f>
        <v>0</v>
      </c>
      <c r="E188" s="305">
        <f t="shared" ref="E188:BK188" si="122">IF($D178=0,0,E183*(E173-$D178)/E173)</f>
        <v>0</v>
      </c>
      <c r="F188" s="305">
        <f t="shared" si="122"/>
        <v>0</v>
      </c>
      <c r="G188" s="305">
        <f t="shared" si="122"/>
        <v>0</v>
      </c>
      <c r="H188" s="305">
        <f t="shared" si="122"/>
        <v>0</v>
      </c>
      <c r="I188" s="305">
        <f t="shared" si="122"/>
        <v>0</v>
      </c>
      <c r="J188" s="305">
        <f t="shared" si="122"/>
        <v>0</v>
      </c>
      <c r="K188" s="305">
        <f t="shared" si="122"/>
        <v>0</v>
      </c>
      <c r="L188" s="305">
        <f t="shared" si="122"/>
        <v>0</v>
      </c>
      <c r="M188" s="305">
        <f t="shared" si="122"/>
        <v>0</v>
      </c>
      <c r="N188" s="305">
        <f t="shared" si="122"/>
        <v>0</v>
      </c>
      <c r="O188" s="305">
        <f t="shared" si="122"/>
        <v>0</v>
      </c>
      <c r="P188" s="305">
        <f t="shared" si="122"/>
        <v>0</v>
      </c>
      <c r="Q188" s="305">
        <f t="shared" si="122"/>
        <v>0</v>
      </c>
      <c r="R188" s="305">
        <f t="shared" si="122"/>
        <v>0</v>
      </c>
      <c r="S188" s="305">
        <f t="shared" si="122"/>
        <v>0</v>
      </c>
      <c r="T188" s="305">
        <f t="shared" si="122"/>
        <v>0</v>
      </c>
      <c r="U188" s="305">
        <f t="shared" si="122"/>
        <v>0</v>
      </c>
      <c r="V188" s="305">
        <f t="shared" si="122"/>
        <v>0</v>
      </c>
      <c r="W188" s="305">
        <f t="shared" si="122"/>
        <v>0</v>
      </c>
      <c r="X188" s="305">
        <f t="shared" si="122"/>
        <v>0</v>
      </c>
      <c r="Y188" s="305">
        <f t="shared" si="122"/>
        <v>0</v>
      </c>
      <c r="Z188" s="305">
        <f t="shared" si="122"/>
        <v>0</v>
      </c>
      <c r="AA188" s="305">
        <f t="shared" si="122"/>
        <v>0</v>
      </c>
      <c r="AB188" s="305">
        <f t="shared" si="122"/>
        <v>0</v>
      </c>
      <c r="AC188" s="305">
        <f t="shared" si="122"/>
        <v>0</v>
      </c>
      <c r="AD188" s="305">
        <f t="shared" si="122"/>
        <v>0</v>
      </c>
      <c r="AE188" s="305">
        <f t="shared" si="122"/>
        <v>0</v>
      </c>
      <c r="AF188" s="305">
        <f t="shared" si="122"/>
        <v>0</v>
      </c>
      <c r="AG188" s="305">
        <f t="shared" si="122"/>
        <v>0</v>
      </c>
      <c r="AH188" s="305">
        <f t="shared" si="122"/>
        <v>0</v>
      </c>
      <c r="AI188" s="305">
        <f t="shared" si="122"/>
        <v>0</v>
      </c>
      <c r="AJ188" s="305">
        <f t="shared" si="122"/>
        <v>0</v>
      </c>
      <c r="AK188" s="305">
        <f t="shared" si="122"/>
        <v>0</v>
      </c>
      <c r="AL188" s="305">
        <f t="shared" si="122"/>
        <v>0</v>
      </c>
      <c r="AM188" s="305">
        <f t="shared" si="122"/>
        <v>0</v>
      </c>
      <c r="AN188" s="305">
        <f t="shared" si="122"/>
        <v>0</v>
      </c>
      <c r="AO188" s="305">
        <f t="shared" si="122"/>
        <v>0</v>
      </c>
      <c r="AP188" s="305">
        <f t="shared" si="122"/>
        <v>0</v>
      </c>
      <c r="AQ188" s="305">
        <f t="shared" si="122"/>
        <v>0</v>
      </c>
      <c r="AR188" s="58">
        <f t="shared" si="122"/>
        <v>0</v>
      </c>
      <c r="AS188" s="305">
        <f t="shared" si="122"/>
        <v>0</v>
      </c>
      <c r="AT188" s="305">
        <f t="shared" si="122"/>
        <v>0</v>
      </c>
      <c r="AU188" s="305">
        <f t="shared" si="122"/>
        <v>0</v>
      </c>
      <c r="AV188" s="305">
        <f t="shared" si="122"/>
        <v>0</v>
      </c>
      <c r="AW188" s="305">
        <f t="shared" si="122"/>
        <v>0</v>
      </c>
      <c r="AX188" s="305">
        <f t="shared" si="122"/>
        <v>0</v>
      </c>
      <c r="AY188" s="305">
        <f t="shared" si="122"/>
        <v>0</v>
      </c>
      <c r="AZ188" s="305">
        <f t="shared" si="122"/>
        <v>0</v>
      </c>
      <c r="BA188" s="305">
        <f t="shared" si="122"/>
        <v>0</v>
      </c>
      <c r="BB188" s="305">
        <f t="shared" si="122"/>
        <v>0</v>
      </c>
      <c r="BC188" s="305">
        <f t="shared" si="122"/>
        <v>0</v>
      </c>
      <c r="BD188" s="305">
        <f t="shared" si="122"/>
        <v>0</v>
      </c>
      <c r="BE188" s="305">
        <f t="shared" si="122"/>
        <v>0</v>
      </c>
      <c r="BF188" s="305">
        <f t="shared" si="122"/>
        <v>0</v>
      </c>
      <c r="BG188" s="305">
        <f t="shared" si="122"/>
        <v>0</v>
      </c>
      <c r="BH188" s="305">
        <f t="shared" si="122"/>
        <v>0</v>
      </c>
      <c r="BI188" s="305">
        <f t="shared" si="122"/>
        <v>0</v>
      </c>
      <c r="BJ188" s="305">
        <f t="shared" si="122"/>
        <v>0</v>
      </c>
      <c r="BK188" s="305">
        <f t="shared" si="122"/>
        <v>0</v>
      </c>
      <c r="BL188" s="305">
        <f>IF($D178=0,0,BL183*(BL173-$D178)/BL173)</f>
        <v>0</v>
      </c>
      <c r="BM188" s="305">
        <f>IF($D178=0,0,BM183*(BM173-$D178)/BM173)</f>
        <v>0</v>
      </c>
      <c r="BN188" s="305">
        <f>IF($D178=0,0,BN183*(BN173-$D178)/BN173)</f>
        <v>0</v>
      </c>
      <c r="BO188" s="8">
        <f>IF(D188=0,0,BO184)</f>
        <v>0</v>
      </c>
      <c r="BP188" s="43"/>
      <c r="BQ188" s="43"/>
      <c r="BR188" s="42"/>
      <c r="BS188"/>
      <c r="BT188"/>
    </row>
    <row r="189" spans="2:72" ht="16.5">
      <c r="B189" s="9">
        <f t="shared" si="119"/>
        <v>6</v>
      </c>
      <c r="C189" s="300" t="s">
        <v>57</v>
      </c>
      <c r="D189" s="8">
        <f>IF($D179=0,0,D183*(D173-$D179)/D173)</f>
        <v>0</v>
      </c>
      <c r="E189" s="305">
        <f t="shared" ref="E189:BK189" si="123">IF($D179=0,0,E183*(E173-$D179)/E173)</f>
        <v>0</v>
      </c>
      <c r="F189" s="306">
        <f t="shared" si="123"/>
        <v>0</v>
      </c>
      <c r="G189" s="306">
        <f t="shared" si="123"/>
        <v>0</v>
      </c>
      <c r="H189" s="306">
        <f t="shared" si="123"/>
        <v>0</v>
      </c>
      <c r="I189" s="305">
        <f t="shared" si="123"/>
        <v>0</v>
      </c>
      <c r="J189" s="305">
        <f t="shared" si="123"/>
        <v>0</v>
      </c>
      <c r="K189" s="305">
        <f t="shared" si="123"/>
        <v>0</v>
      </c>
      <c r="L189" s="305">
        <f t="shared" si="123"/>
        <v>0</v>
      </c>
      <c r="M189" s="305">
        <f t="shared" si="123"/>
        <v>0</v>
      </c>
      <c r="N189" s="305">
        <f t="shared" si="123"/>
        <v>0</v>
      </c>
      <c r="O189" s="305">
        <f t="shared" si="123"/>
        <v>0</v>
      </c>
      <c r="P189" s="305">
        <f t="shared" si="123"/>
        <v>0</v>
      </c>
      <c r="Q189" s="305">
        <f t="shared" si="123"/>
        <v>0</v>
      </c>
      <c r="R189" s="305">
        <f t="shared" si="123"/>
        <v>0</v>
      </c>
      <c r="S189" s="305">
        <f t="shared" si="123"/>
        <v>0</v>
      </c>
      <c r="T189" s="305">
        <f t="shared" si="123"/>
        <v>0</v>
      </c>
      <c r="U189" s="305">
        <f t="shared" si="123"/>
        <v>0</v>
      </c>
      <c r="V189" s="305">
        <f t="shared" si="123"/>
        <v>0</v>
      </c>
      <c r="W189" s="305">
        <f t="shared" si="123"/>
        <v>0</v>
      </c>
      <c r="X189" s="305">
        <f t="shared" si="123"/>
        <v>0</v>
      </c>
      <c r="Y189" s="305">
        <f t="shared" si="123"/>
        <v>0</v>
      </c>
      <c r="Z189" s="305">
        <f t="shared" si="123"/>
        <v>0</v>
      </c>
      <c r="AA189" s="305">
        <f t="shared" si="123"/>
        <v>0</v>
      </c>
      <c r="AB189" s="305">
        <f t="shared" si="123"/>
        <v>0</v>
      </c>
      <c r="AC189" s="305">
        <f t="shared" si="123"/>
        <v>0</v>
      </c>
      <c r="AD189" s="305">
        <f t="shared" si="123"/>
        <v>0</v>
      </c>
      <c r="AE189" s="305">
        <f t="shared" si="123"/>
        <v>0</v>
      </c>
      <c r="AF189" s="305">
        <f t="shared" si="123"/>
        <v>0</v>
      </c>
      <c r="AG189" s="305">
        <f t="shared" si="123"/>
        <v>0</v>
      </c>
      <c r="AH189" s="305">
        <f t="shared" si="123"/>
        <v>0</v>
      </c>
      <c r="AI189" s="305">
        <f t="shared" si="123"/>
        <v>0</v>
      </c>
      <c r="AJ189" s="305">
        <f t="shared" si="123"/>
        <v>0</v>
      </c>
      <c r="AK189" s="305">
        <f t="shared" si="123"/>
        <v>0</v>
      </c>
      <c r="AL189" s="305">
        <f t="shared" si="123"/>
        <v>0</v>
      </c>
      <c r="AM189" s="305">
        <f t="shared" si="123"/>
        <v>0</v>
      </c>
      <c r="AN189" s="305">
        <f t="shared" si="123"/>
        <v>0</v>
      </c>
      <c r="AO189" s="305">
        <f t="shared" si="123"/>
        <v>0</v>
      </c>
      <c r="AP189" s="305">
        <f t="shared" si="123"/>
        <v>0</v>
      </c>
      <c r="AQ189" s="305">
        <f t="shared" si="123"/>
        <v>0</v>
      </c>
      <c r="AR189" s="58">
        <f t="shared" si="123"/>
        <v>0</v>
      </c>
      <c r="AS189" s="305">
        <f t="shared" si="123"/>
        <v>0</v>
      </c>
      <c r="AT189" s="305">
        <f t="shared" si="123"/>
        <v>0</v>
      </c>
      <c r="AU189" s="305">
        <f t="shared" si="123"/>
        <v>0</v>
      </c>
      <c r="AV189" s="305">
        <f t="shared" si="123"/>
        <v>0</v>
      </c>
      <c r="AW189" s="305">
        <f t="shared" si="123"/>
        <v>0</v>
      </c>
      <c r="AX189" s="305">
        <f t="shared" si="123"/>
        <v>0</v>
      </c>
      <c r="AY189" s="305">
        <f t="shared" si="123"/>
        <v>0</v>
      </c>
      <c r="AZ189" s="305">
        <f t="shared" si="123"/>
        <v>0</v>
      </c>
      <c r="BA189" s="305">
        <f t="shared" si="123"/>
        <v>0</v>
      </c>
      <c r="BB189" s="305">
        <f t="shared" si="123"/>
        <v>0</v>
      </c>
      <c r="BC189" s="305">
        <f t="shared" si="123"/>
        <v>0</v>
      </c>
      <c r="BD189" s="305">
        <f t="shared" si="123"/>
        <v>0</v>
      </c>
      <c r="BE189" s="305">
        <f t="shared" si="123"/>
        <v>0</v>
      </c>
      <c r="BF189" s="305">
        <f t="shared" si="123"/>
        <v>0</v>
      </c>
      <c r="BG189" s="305">
        <f t="shared" si="123"/>
        <v>0</v>
      </c>
      <c r="BH189" s="305">
        <f t="shared" si="123"/>
        <v>0</v>
      </c>
      <c r="BI189" s="305">
        <f t="shared" si="123"/>
        <v>0</v>
      </c>
      <c r="BJ189" s="305">
        <f t="shared" si="123"/>
        <v>0</v>
      </c>
      <c r="BK189" s="305">
        <f t="shared" si="123"/>
        <v>0</v>
      </c>
      <c r="BL189" s="305">
        <f>IF($D179=0,0,BL183*(BL173-$D179)/BL173)</f>
        <v>0</v>
      </c>
      <c r="BM189" s="305">
        <f>IF($D179=0,0,BM183*(BM173-$D179)/BM173)</f>
        <v>0</v>
      </c>
      <c r="BN189" s="305">
        <f>IF($D179=0,0,BN183*(BN173-$D179)/BN173)</f>
        <v>0</v>
      </c>
      <c r="BO189" s="8">
        <f>IF(D189=0,0,BO184)</f>
        <v>0</v>
      </c>
      <c r="BP189" s="43"/>
      <c r="BQ189" s="43"/>
      <c r="BR189" s="42"/>
      <c r="BS189"/>
      <c r="BT189"/>
    </row>
    <row r="190" spans="2:72" ht="16.5">
      <c r="B190" s="9">
        <f t="shared" si="119"/>
        <v>7</v>
      </c>
      <c r="C190" s="300" t="s">
        <v>57</v>
      </c>
      <c r="D190" s="8">
        <f>IF($D180=0,0,D183*(D173-$D180)/D173)</f>
        <v>0</v>
      </c>
      <c r="E190" s="305">
        <f t="shared" ref="E190:BK190" si="124">IF($D180=0,0,E183*(E173-$D180)/E173)</f>
        <v>0</v>
      </c>
      <c r="F190" s="306">
        <f t="shared" si="124"/>
        <v>0</v>
      </c>
      <c r="G190" s="306">
        <f t="shared" si="124"/>
        <v>0</v>
      </c>
      <c r="H190" s="306">
        <f t="shared" si="124"/>
        <v>0</v>
      </c>
      <c r="I190" s="305">
        <f t="shared" si="124"/>
        <v>0</v>
      </c>
      <c r="J190" s="305">
        <f t="shared" si="124"/>
        <v>0</v>
      </c>
      <c r="K190" s="305">
        <f t="shared" si="124"/>
        <v>0</v>
      </c>
      <c r="L190" s="305">
        <f t="shared" si="124"/>
        <v>0</v>
      </c>
      <c r="M190" s="305">
        <f t="shared" si="124"/>
        <v>0</v>
      </c>
      <c r="N190" s="305">
        <f t="shared" si="124"/>
        <v>0</v>
      </c>
      <c r="O190" s="305">
        <f t="shared" si="124"/>
        <v>0</v>
      </c>
      <c r="P190" s="305">
        <f t="shared" si="124"/>
        <v>0</v>
      </c>
      <c r="Q190" s="305">
        <f t="shared" si="124"/>
        <v>0</v>
      </c>
      <c r="R190" s="305">
        <f t="shared" si="124"/>
        <v>0</v>
      </c>
      <c r="S190" s="305">
        <f t="shared" si="124"/>
        <v>0</v>
      </c>
      <c r="T190" s="305">
        <f t="shared" si="124"/>
        <v>0</v>
      </c>
      <c r="U190" s="305">
        <f t="shared" si="124"/>
        <v>0</v>
      </c>
      <c r="V190" s="305">
        <f t="shared" si="124"/>
        <v>0</v>
      </c>
      <c r="W190" s="305">
        <f t="shared" si="124"/>
        <v>0</v>
      </c>
      <c r="X190" s="305">
        <f t="shared" si="124"/>
        <v>0</v>
      </c>
      <c r="Y190" s="305">
        <f t="shared" si="124"/>
        <v>0</v>
      </c>
      <c r="Z190" s="305">
        <f t="shared" si="124"/>
        <v>0</v>
      </c>
      <c r="AA190" s="305">
        <f t="shared" si="124"/>
        <v>0</v>
      </c>
      <c r="AB190" s="305">
        <f t="shared" si="124"/>
        <v>0</v>
      </c>
      <c r="AC190" s="305">
        <f t="shared" si="124"/>
        <v>0</v>
      </c>
      <c r="AD190" s="305">
        <f t="shared" si="124"/>
        <v>0</v>
      </c>
      <c r="AE190" s="305">
        <f t="shared" si="124"/>
        <v>0</v>
      </c>
      <c r="AF190" s="305">
        <f t="shared" si="124"/>
        <v>0</v>
      </c>
      <c r="AG190" s="305">
        <f t="shared" si="124"/>
        <v>0</v>
      </c>
      <c r="AH190" s="305">
        <f t="shared" si="124"/>
        <v>0</v>
      </c>
      <c r="AI190" s="305">
        <f t="shared" si="124"/>
        <v>0</v>
      </c>
      <c r="AJ190" s="305">
        <f t="shared" si="124"/>
        <v>0</v>
      </c>
      <c r="AK190" s="305">
        <f t="shared" si="124"/>
        <v>0</v>
      </c>
      <c r="AL190" s="305">
        <f t="shared" si="124"/>
        <v>0</v>
      </c>
      <c r="AM190" s="305">
        <f t="shared" si="124"/>
        <v>0</v>
      </c>
      <c r="AN190" s="305">
        <f t="shared" si="124"/>
        <v>0</v>
      </c>
      <c r="AO190" s="305">
        <f t="shared" si="124"/>
        <v>0</v>
      </c>
      <c r="AP190" s="305">
        <f t="shared" si="124"/>
        <v>0</v>
      </c>
      <c r="AQ190" s="305">
        <f t="shared" si="124"/>
        <v>0</v>
      </c>
      <c r="AR190" s="58">
        <f t="shared" si="124"/>
        <v>0</v>
      </c>
      <c r="AS190" s="305">
        <f t="shared" si="124"/>
        <v>0</v>
      </c>
      <c r="AT190" s="305">
        <f t="shared" si="124"/>
        <v>0</v>
      </c>
      <c r="AU190" s="305">
        <f t="shared" si="124"/>
        <v>0</v>
      </c>
      <c r="AV190" s="305">
        <f t="shared" si="124"/>
        <v>0</v>
      </c>
      <c r="AW190" s="305">
        <f t="shared" si="124"/>
        <v>0</v>
      </c>
      <c r="AX190" s="305">
        <f t="shared" si="124"/>
        <v>0</v>
      </c>
      <c r="AY190" s="305">
        <f t="shared" si="124"/>
        <v>0</v>
      </c>
      <c r="AZ190" s="305">
        <f t="shared" si="124"/>
        <v>0</v>
      </c>
      <c r="BA190" s="305">
        <f t="shared" si="124"/>
        <v>0</v>
      </c>
      <c r="BB190" s="305">
        <f t="shared" si="124"/>
        <v>0</v>
      </c>
      <c r="BC190" s="305">
        <f t="shared" si="124"/>
        <v>0</v>
      </c>
      <c r="BD190" s="305">
        <f t="shared" si="124"/>
        <v>0</v>
      </c>
      <c r="BE190" s="305">
        <f t="shared" si="124"/>
        <v>0</v>
      </c>
      <c r="BF190" s="305">
        <f t="shared" si="124"/>
        <v>0</v>
      </c>
      <c r="BG190" s="305">
        <f t="shared" si="124"/>
        <v>0</v>
      </c>
      <c r="BH190" s="305">
        <f t="shared" si="124"/>
        <v>0</v>
      </c>
      <c r="BI190" s="305">
        <f t="shared" si="124"/>
        <v>0</v>
      </c>
      <c r="BJ190" s="305">
        <f t="shared" si="124"/>
        <v>0</v>
      </c>
      <c r="BK190" s="305">
        <f t="shared" si="124"/>
        <v>0</v>
      </c>
      <c r="BL190" s="305">
        <f>IF($D180=0,0,BL183*(BL173-$D180)/BL173)</f>
        <v>0</v>
      </c>
      <c r="BM190" s="305">
        <f>IF($D180=0,0,BM183*(BM173-$D180)/BM173)</f>
        <v>0</v>
      </c>
      <c r="BN190" s="305">
        <f>IF($D180=0,0,BN183*(BN173-$D180)/BN173)</f>
        <v>0</v>
      </c>
      <c r="BO190" s="8">
        <f>IF(D190=0,0,BO184)</f>
        <v>0</v>
      </c>
      <c r="BP190" s="43"/>
      <c r="BQ190" s="43"/>
      <c r="BR190" s="42"/>
      <c r="BS190"/>
      <c r="BT190"/>
    </row>
    <row r="191" spans="2:72" ht="16.5">
      <c r="B191" s="9">
        <f t="shared" si="119"/>
        <v>8</v>
      </c>
      <c r="C191" s="300" t="s">
        <v>57</v>
      </c>
      <c r="D191" s="8">
        <f>IF($D181=0,0,D183*(D173-$D181)/D173)</f>
        <v>0</v>
      </c>
      <c r="E191" s="305">
        <f t="shared" ref="E191:BK191" si="125">IF($D181=0,0,E183*(E173-$D181)/E173)</f>
        <v>0</v>
      </c>
      <c r="F191" s="306">
        <f t="shared" si="125"/>
        <v>0</v>
      </c>
      <c r="G191" s="306">
        <f t="shared" si="125"/>
        <v>0</v>
      </c>
      <c r="H191" s="306">
        <f t="shared" si="125"/>
        <v>0</v>
      </c>
      <c r="I191" s="305">
        <f t="shared" si="125"/>
        <v>0</v>
      </c>
      <c r="J191" s="305">
        <f t="shared" si="125"/>
        <v>0</v>
      </c>
      <c r="K191" s="305">
        <f t="shared" si="125"/>
        <v>0</v>
      </c>
      <c r="L191" s="305">
        <f t="shared" si="125"/>
        <v>0</v>
      </c>
      <c r="M191" s="305">
        <f t="shared" si="125"/>
        <v>0</v>
      </c>
      <c r="N191" s="305">
        <f t="shared" si="125"/>
        <v>0</v>
      </c>
      <c r="O191" s="305">
        <f t="shared" si="125"/>
        <v>0</v>
      </c>
      <c r="P191" s="305">
        <f t="shared" si="125"/>
        <v>0</v>
      </c>
      <c r="Q191" s="305">
        <f t="shared" si="125"/>
        <v>0</v>
      </c>
      <c r="R191" s="305">
        <f t="shared" si="125"/>
        <v>0</v>
      </c>
      <c r="S191" s="305">
        <f t="shared" si="125"/>
        <v>0</v>
      </c>
      <c r="T191" s="305">
        <f t="shared" si="125"/>
        <v>0</v>
      </c>
      <c r="U191" s="305">
        <f t="shared" si="125"/>
        <v>0</v>
      </c>
      <c r="V191" s="305">
        <f t="shared" si="125"/>
        <v>0</v>
      </c>
      <c r="W191" s="305">
        <f t="shared" si="125"/>
        <v>0</v>
      </c>
      <c r="X191" s="305">
        <f t="shared" si="125"/>
        <v>0</v>
      </c>
      <c r="Y191" s="305">
        <f t="shared" si="125"/>
        <v>0</v>
      </c>
      <c r="Z191" s="305">
        <f t="shared" si="125"/>
        <v>0</v>
      </c>
      <c r="AA191" s="305">
        <f t="shared" si="125"/>
        <v>0</v>
      </c>
      <c r="AB191" s="305">
        <f t="shared" si="125"/>
        <v>0</v>
      </c>
      <c r="AC191" s="305">
        <f t="shared" si="125"/>
        <v>0</v>
      </c>
      <c r="AD191" s="305">
        <f t="shared" si="125"/>
        <v>0</v>
      </c>
      <c r="AE191" s="305">
        <f t="shared" si="125"/>
        <v>0</v>
      </c>
      <c r="AF191" s="305">
        <f t="shared" si="125"/>
        <v>0</v>
      </c>
      <c r="AG191" s="305">
        <f t="shared" si="125"/>
        <v>0</v>
      </c>
      <c r="AH191" s="305">
        <f t="shared" si="125"/>
        <v>0</v>
      </c>
      <c r="AI191" s="305">
        <f t="shared" si="125"/>
        <v>0</v>
      </c>
      <c r="AJ191" s="305">
        <f t="shared" si="125"/>
        <v>0</v>
      </c>
      <c r="AK191" s="305">
        <f t="shared" si="125"/>
        <v>0</v>
      </c>
      <c r="AL191" s="305">
        <f t="shared" si="125"/>
        <v>0</v>
      </c>
      <c r="AM191" s="305">
        <f t="shared" si="125"/>
        <v>0</v>
      </c>
      <c r="AN191" s="305">
        <f t="shared" si="125"/>
        <v>0</v>
      </c>
      <c r="AO191" s="305">
        <f t="shared" si="125"/>
        <v>0</v>
      </c>
      <c r="AP191" s="305">
        <f t="shared" si="125"/>
        <v>0</v>
      </c>
      <c r="AQ191" s="305">
        <f t="shared" si="125"/>
        <v>0</v>
      </c>
      <c r="AR191" s="58">
        <f t="shared" si="125"/>
        <v>0</v>
      </c>
      <c r="AS191" s="305">
        <f t="shared" si="125"/>
        <v>0</v>
      </c>
      <c r="AT191" s="305">
        <f t="shared" si="125"/>
        <v>0</v>
      </c>
      <c r="AU191" s="305">
        <f t="shared" si="125"/>
        <v>0</v>
      </c>
      <c r="AV191" s="305">
        <f t="shared" si="125"/>
        <v>0</v>
      </c>
      <c r="AW191" s="305">
        <f t="shared" si="125"/>
        <v>0</v>
      </c>
      <c r="AX191" s="305">
        <f t="shared" si="125"/>
        <v>0</v>
      </c>
      <c r="AY191" s="305">
        <f t="shared" si="125"/>
        <v>0</v>
      </c>
      <c r="AZ191" s="305">
        <f t="shared" si="125"/>
        <v>0</v>
      </c>
      <c r="BA191" s="305">
        <f t="shared" si="125"/>
        <v>0</v>
      </c>
      <c r="BB191" s="305">
        <f t="shared" si="125"/>
        <v>0</v>
      </c>
      <c r="BC191" s="305">
        <f t="shared" si="125"/>
        <v>0</v>
      </c>
      <c r="BD191" s="305">
        <f t="shared" si="125"/>
        <v>0</v>
      </c>
      <c r="BE191" s="305">
        <f t="shared" si="125"/>
        <v>0</v>
      </c>
      <c r="BF191" s="305">
        <f t="shared" si="125"/>
        <v>0</v>
      </c>
      <c r="BG191" s="305">
        <f t="shared" si="125"/>
        <v>0</v>
      </c>
      <c r="BH191" s="305">
        <f t="shared" si="125"/>
        <v>0</v>
      </c>
      <c r="BI191" s="305">
        <f t="shared" si="125"/>
        <v>0</v>
      </c>
      <c r="BJ191" s="305">
        <f t="shared" si="125"/>
        <v>0</v>
      </c>
      <c r="BK191" s="305">
        <f t="shared" si="125"/>
        <v>0</v>
      </c>
      <c r="BL191" s="305">
        <f>IF($D181=0,0,BL183*(BL173-$D181)/BL173)</f>
        <v>0</v>
      </c>
      <c r="BM191" s="305">
        <f>IF($D181=0,0,BM183*(BM173-$D181)/BM173)</f>
        <v>0</v>
      </c>
      <c r="BN191" s="305">
        <f>IF($D181=0,0,BN183*(BN173-$D181)/BN173)</f>
        <v>0</v>
      </c>
      <c r="BO191" s="8">
        <f>IF(D191=0,0,BO184)</f>
        <v>0</v>
      </c>
      <c r="BP191" s="43"/>
      <c r="BQ191" s="43"/>
      <c r="BR191" s="42"/>
      <c r="BS191"/>
      <c r="BT191"/>
    </row>
    <row r="192" spans="2:72" ht="16.5">
      <c r="B192" s="9">
        <f t="shared" si="119"/>
        <v>9</v>
      </c>
      <c r="C192" s="300" t="s">
        <v>57</v>
      </c>
      <c r="D192" s="8">
        <f>IF($D182=0,0,D183*(D173-$D182)/D173)</f>
        <v>0</v>
      </c>
      <c r="E192" s="305">
        <f t="shared" ref="E192:BK192" si="126">IF($D182=0,0,E183*(E173-$D182)/E173)</f>
        <v>0</v>
      </c>
      <c r="F192" s="306">
        <f t="shared" si="126"/>
        <v>0</v>
      </c>
      <c r="G192" s="306">
        <f t="shared" si="126"/>
        <v>0</v>
      </c>
      <c r="H192" s="306">
        <f t="shared" si="126"/>
        <v>0</v>
      </c>
      <c r="I192" s="305">
        <f t="shared" si="126"/>
        <v>0</v>
      </c>
      <c r="J192" s="305">
        <f t="shared" si="126"/>
        <v>0</v>
      </c>
      <c r="K192" s="305">
        <f t="shared" si="126"/>
        <v>0</v>
      </c>
      <c r="L192" s="305">
        <f t="shared" si="126"/>
        <v>0</v>
      </c>
      <c r="M192" s="305">
        <f t="shared" si="126"/>
        <v>0</v>
      </c>
      <c r="N192" s="305">
        <f t="shared" si="126"/>
        <v>0</v>
      </c>
      <c r="O192" s="305">
        <f t="shared" si="126"/>
        <v>0</v>
      </c>
      <c r="P192" s="305">
        <f t="shared" si="126"/>
        <v>0</v>
      </c>
      <c r="Q192" s="305">
        <f t="shared" si="126"/>
        <v>0</v>
      </c>
      <c r="R192" s="305">
        <f t="shared" si="126"/>
        <v>0</v>
      </c>
      <c r="S192" s="305">
        <f t="shared" si="126"/>
        <v>0</v>
      </c>
      <c r="T192" s="305">
        <f t="shared" si="126"/>
        <v>0</v>
      </c>
      <c r="U192" s="305">
        <f t="shared" si="126"/>
        <v>0</v>
      </c>
      <c r="V192" s="305">
        <f t="shared" si="126"/>
        <v>0</v>
      </c>
      <c r="W192" s="305">
        <f t="shared" si="126"/>
        <v>0</v>
      </c>
      <c r="X192" s="305">
        <f t="shared" si="126"/>
        <v>0</v>
      </c>
      <c r="Y192" s="305">
        <f t="shared" si="126"/>
        <v>0</v>
      </c>
      <c r="Z192" s="305">
        <f t="shared" si="126"/>
        <v>0</v>
      </c>
      <c r="AA192" s="305">
        <f t="shared" si="126"/>
        <v>0</v>
      </c>
      <c r="AB192" s="305">
        <f t="shared" si="126"/>
        <v>0</v>
      </c>
      <c r="AC192" s="305">
        <f t="shared" si="126"/>
        <v>0</v>
      </c>
      <c r="AD192" s="305">
        <f t="shared" si="126"/>
        <v>0</v>
      </c>
      <c r="AE192" s="305">
        <f t="shared" si="126"/>
        <v>0</v>
      </c>
      <c r="AF192" s="305">
        <f t="shared" si="126"/>
        <v>0</v>
      </c>
      <c r="AG192" s="305">
        <f t="shared" si="126"/>
        <v>0</v>
      </c>
      <c r="AH192" s="305">
        <f t="shared" si="126"/>
        <v>0</v>
      </c>
      <c r="AI192" s="305">
        <f t="shared" si="126"/>
        <v>0</v>
      </c>
      <c r="AJ192" s="305">
        <f t="shared" si="126"/>
        <v>0</v>
      </c>
      <c r="AK192" s="305">
        <f t="shared" si="126"/>
        <v>0</v>
      </c>
      <c r="AL192" s="305">
        <f t="shared" si="126"/>
        <v>0</v>
      </c>
      <c r="AM192" s="305">
        <f t="shared" si="126"/>
        <v>0</v>
      </c>
      <c r="AN192" s="305">
        <f t="shared" si="126"/>
        <v>0</v>
      </c>
      <c r="AO192" s="305">
        <f t="shared" si="126"/>
        <v>0</v>
      </c>
      <c r="AP192" s="305">
        <f t="shared" si="126"/>
        <v>0</v>
      </c>
      <c r="AQ192" s="305">
        <f t="shared" si="126"/>
        <v>0</v>
      </c>
      <c r="AR192" s="58">
        <f t="shared" si="126"/>
        <v>0</v>
      </c>
      <c r="AS192" s="305">
        <f t="shared" si="126"/>
        <v>0</v>
      </c>
      <c r="AT192" s="305">
        <f t="shared" si="126"/>
        <v>0</v>
      </c>
      <c r="AU192" s="305">
        <f t="shared" si="126"/>
        <v>0</v>
      </c>
      <c r="AV192" s="305">
        <f t="shared" si="126"/>
        <v>0</v>
      </c>
      <c r="AW192" s="305">
        <f t="shared" si="126"/>
        <v>0</v>
      </c>
      <c r="AX192" s="305">
        <f t="shared" si="126"/>
        <v>0</v>
      </c>
      <c r="AY192" s="305">
        <f t="shared" si="126"/>
        <v>0</v>
      </c>
      <c r="AZ192" s="305">
        <f t="shared" si="126"/>
        <v>0</v>
      </c>
      <c r="BA192" s="305">
        <f t="shared" si="126"/>
        <v>0</v>
      </c>
      <c r="BB192" s="305">
        <f t="shared" si="126"/>
        <v>0</v>
      </c>
      <c r="BC192" s="305">
        <f t="shared" si="126"/>
        <v>0</v>
      </c>
      <c r="BD192" s="305">
        <f t="shared" si="126"/>
        <v>0</v>
      </c>
      <c r="BE192" s="305">
        <f t="shared" si="126"/>
        <v>0</v>
      </c>
      <c r="BF192" s="305">
        <f t="shared" si="126"/>
        <v>0</v>
      </c>
      <c r="BG192" s="305">
        <f t="shared" si="126"/>
        <v>0</v>
      </c>
      <c r="BH192" s="305">
        <f t="shared" si="126"/>
        <v>0</v>
      </c>
      <c r="BI192" s="305">
        <f t="shared" si="126"/>
        <v>0</v>
      </c>
      <c r="BJ192" s="305">
        <f t="shared" si="126"/>
        <v>0</v>
      </c>
      <c r="BK192" s="305">
        <f t="shared" si="126"/>
        <v>0</v>
      </c>
      <c r="BL192" s="305">
        <f>IF($D182=0,0,BL183*(BL173-$D182)/BL173)</f>
        <v>0</v>
      </c>
      <c r="BM192" s="305">
        <f>IF($D182=0,0,BM183*(BM173-$D182)/BM173)</f>
        <v>0</v>
      </c>
      <c r="BN192" s="305">
        <f>IF($D182=0,0,BN183*(BN173-$D182)/BN173)</f>
        <v>0</v>
      </c>
      <c r="BO192" s="8">
        <f>IF(D192=0,0,BO184)</f>
        <v>0</v>
      </c>
      <c r="BP192" s="43"/>
      <c r="BQ192" s="43"/>
      <c r="BR192" s="42"/>
      <c r="BS192"/>
      <c r="BT192"/>
    </row>
    <row r="193" spans="2:72" ht="16.5">
      <c r="B193" s="292" t="s">
        <v>119</v>
      </c>
      <c r="C193" s="300" t="s">
        <v>58</v>
      </c>
      <c r="D193" s="8">
        <f>D183*(D173-$F170)/D173</f>
        <v>-2.5822140263187309E-2</v>
      </c>
      <c r="E193" s="10">
        <f t="shared" ref="E193:BK193" si="127">E183*(E173-$F170)/E173</f>
        <v>-2.3055167017896092E-2</v>
      </c>
      <c r="F193" s="32">
        <f t="shared" si="127"/>
        <v>-2.0765373731978599E-2</v>
      </c>
      <c r="G193" s="32">
        <f t="shared" si="127"/>
        <v>-1.883912078288311E-2</v>
      </c>
      <c r="H193" s="32">
        <f t="shared" si="127"/>
        <v>-1.7196198874587783E-2</v>
      </c>
      <c r="I193" s="10">
        <f t="shared" si="127"/>
        <v>-1.5778378091456387E-2</v>
      </c>
      <c r="J193" s="10">
        <f t="shared" si="127"/>
        <v>-1.4542361955710984E-2</v>
      </c>
      <c r="K193" s="10">
        <f t="shared" si="127"/>
        <v>-1.3455288642347074E-2</v>
      </c>
      <c r="L193" s="10">
        <f t="shared" si="127"/>
        <v>-1.249176611571636E-2</v>
      </c>
      <c r="M193" s="10">
        <f t="shared" si="127"/>
        <v>-1.1631863818192374E-2</v>
      </c>
      <c r="N193" s="10">
        <f t="shared" si="127"/>
        <v>-1.0859719236184088E-2</v>
      </c>
      <c r="O193" s="10">
        <f t="shared" si="127"/>
        <v>-1.0162550376084654E-2</v>
      </c>
      <c r="P193" s="10">
        <f t="shared" si="127"/>
        <v>-9.5299425881515618E-3</v>
      </c>
      <c r="Q193" s="10">
        <f t="shared" si="127"/>
        <v>-8.9533247527271362E-3</v>
      </c>
      <c r="R193" s="10">
        <f t="shared" si="127"/>
        <v>-8.4255786553142416E-3</v>
      </c>
      <c r="S193" s="10">
        <f t="shared" si="127"/>
        <v>-7.9407436469093127E-3</v>
      </c>
      <c r="T193" s="10">
        <f t="shared" si="127"/>
        <v>-7.4937905321695751E-3</v>
      </c>
      <c r="U193" s="10">
        <f t="shared" si="127"/>
        <v>-7.0804464656384052E-3</v>
      </c>
      <c r="V193" s="10">
        <f t="shared" si="127"/>
        <v>-6.6970579178851032E-3</v>
      </c>
      <c r="W193" s="10">
        <f t="shared" si="127"/>
        <v>-6.3404823928321329E-3</v>
      </c>
      <c r="X193" s="10">
        <f t="shared" si="127"/>
        <v>-6.0080020963569347E-3</v>
      </c>
      <c r="Y193" s="10">
        <f t="shared" si="127"/>
        <v>-5.6972545341736703E-3</v>
      </c>
      <c r="Z193" s="10">
        <f t="shared" si="127"/>
        <v>-5.4061762885044187E-3</v>
      </c>
      <c r="AA193" s="10">
        <f t="shared" si="127"/>
        <v>-5.1329571434944269E-3</v>
      </c>
      <c r="AB193" s="10">
        <f t="shared" si="127"/>
        <v>-4.876002403202735E-3</v>
      </c>
      <c r="AC193" s="10">
        <f t="shared" si="127"/>
        <v>-4.6339017445760798E-3</v>
      </c>
      <c r="AD193" s="10">
        <f t="shared" si="127"/>
        <v>-4.405403320336029E-3</v>
      </c>
      <c r="AE193" s="10">
        <f t="shared" si="127"/>
        <v>-4.1893921076204604E-3</v>
      </c>
      <c r="AF193" s="10">
        <f t="shared" si="127"/>
        <v>-3.9848717118873174E-3</v>
      </c>
      <c r="AG193" s="10">
        <f t="shared" si="127"/>
        <v>-3.7909489994330482E-3</v>
      </c>
      <c r="AH193" s="10">
        <f t="shared" si="127"/>
        <v>-3.606821058482599E-3</v>
      </c>
      <c r="AI193" s="10">
        <f t="shared" si="127"/>
        <v>-3.4317640873453158E-3</v>
      </c>
      <c r="AJ193" s="10">
        <f t="shared" si="127"/>
        <v>-3.2651238853489343E-3</v>
      </c>
      <c r="AK193" s="10">
        <f t="shared" si="127"/>
        <v>-3.1063076831670151E-3</v>
      </c>
      <c r="AL193" s="10">
        <f t="shared" si="127"/>
        <v>-2.9547770974857096E-3</v>
      </c>
      <c r="AM193" s="10">
        <f t="shared" si="127"/>
        <v>-2.8100420335329325E-3</v>
      </c>
      <c r="AN193" s="10">
        <f t="shared" si="127"/>
        <v>-2.6716553899557758E-3</v>
      </c>
      <c r="AO193" s="10">
        <f t="shared" si="127"/>
        <v>-2.539208445514481E-3</v>
      </c>
      <c r="AP193" s="10">
        <f t="shared" si="127"/>
        <v>-2.4123268273199133E-3</v>
      </c>
      <c r="AQ193" s="10">
        <f t="shared" si="127"/>
        <v>-2.2906669768482735E-3</v>
      </c>
      <c r="AR193" s="58">
        <f t="shared" si="127"/>
        <v>-2.1739130434782613E-3</v>
      </c>
      <c r="AS193" s="10">
        <f t="shared" si="127"/>
        <v>-1.7813223356046039E-3</v>
      </c>
      <c r="AT193" s="10">
        <f t="shared" si="127"/>
        <v>-1.4395442440997706E-3</v>
      </c>
      <c r="AU193" s="10">
        <f t="shared" si="127"/>
        <v>-1.1393134325508581E-3</v>
      </c>
      <c r="AV193" s="10">
        <f t="shared" si="127"/>
        <v>-8.7348812095032436E-4</v>
      </c>
      <c r="AW193" s="10">
        <f t="shared" si="127"/>
        <v>-6.3647467379369656E-4</v>
      </c>
      <c r="AX193" s="10">
        <f t="shared" si="127"/>
        <v>-4.2382967041839617E-4</v>
      </c>
      <c r="AY193" s="10">
        <f t="shared" si="127"/>
        <v>-2.3197871311078888E-4</v>
      </c>
      <c r="AZ193" s="10">
        <f t="shared" si="127"/>
        <v>-5.8013881160863596E-5</v>
      </c>
      <c r="BA193" s="10">
        <f t="shared" si="127"/>
        <v>1.0045468853835136E-4</v>
      </c>
      <c r="BB193" s="10">
        <f t="shared" si="127"/>
        <v>2.4540924980913771E-4</v>
      </c>
      <c r="BC193" s="10">
        <f t="shared" si="127"/>
        <v>3.7850779438496047E-4</v>
      </c>
      <c r="BD193" s="10">
        <f t="shared" si="127"/>
        <v>5.0114775139458063E-4</v>
      </c>
      <c r="BE193" s="10">
        <f t="shared" si="127"/>
        <v>6.0332797034031783E-4</v>
      </c>
      <c r="BF193" s="10">
        <f t="shared" si="127"/>
        <v>6.8256457564575739E-4</v>
      </c>
      <c r="BG193" s="10">
        <f t="shared" si="127"/>
        <v>7.5155826489488157E-4</v>
      </c>
      <c r="BH193" s="10">
        <f t="shared" si="127"/>
        <v>8.1217460953143859E-4</v>
      </c>
      <c r="BI193" s="10">
        <f t="shared" si="127"/>
        <v>8.658520689314201E-4</v>
      </c>
      <c r="BJ193" s="10">
        <f t="shared" si="127"/>
        <v>9.1371760424461006E-4</v>
      </c>
      <c r="BK193" s="10">
        <f t="shared" si="127"/>
        <v>9.5666666666666675E-4</v>
      </c>
      <c r="BL193" s="10">
        <f>BL183*(BL173-$F170)/BL173</f>
        <v>1.3037499999999998E-3</v>
      </c>
      <c r="BM193" s="10">
        <f>BM183*(BM173-$F170)/BM173</f>
        <v>1.4395652173913045E-3</v>
      </c>
      <c r="BN193" s="10">
        <f>BN183*(BN173-$F170)/BN173</f>
        <v>1.5120000000000001E-3</v>
      </c>
      <c r="BO193" s="8">
        <f>BO184</f>
        <v>1.75E-3</v>
      </c>
      <c r="BS193"/>
      <c r="BT193"/>
    </row>
    <row r="194" spans="2:72" ht="16.5">
      <c r="B194" s="293" t="s">
        <v>59</v>
      </c>
      <c r="C194" s="301" t="s">
        <v>60</v>
      </c>
      <c r="D194" s="12">
        <f t="shared" ref="D194:BJ194" si="128">IF(D184&lt;0,MAX(-$C$10,200000*D184),MIN(200000*D184,$C$10)-IF(AND($C170&lt;$C$8*D173,$C170&gt;0),$C$9,0))</f>
        <v>-417.03391478808805</v>
      </c>
      <c r="E194" s="307">
        <f t="shared" si="128"/>
        <v>-311.62541020556529</v>
      </c>
      <c r="F194" s="307">
        <f t="shared" si="128"/>
        <v>-224.39518978966086</v>
      </c>
      <c r="G194" s="307">
        <f t="shared" si="128"/>
        <v>-151.01412506221365</v>
      </c>
      <c r="H194" s="307">
        <f t="shared" si="128"/>
        <v>-88.426623793820411</v>
      </c>
      <c r="I194" s="307">
        <f t="shared" si="128"/>
        <v>-34.414403484052798</v>
      </c>
      <c r="J194" s="307">
        <f t="shared" si="128"/>
        <v>12.671925496724409</v>
      </c>
      <c r="K194" s="307">
        <f t="shared" si="128"/>
        <v>54.084242196301979</v>
      </c>
      <c r="L194" s="307">
        <f t="shared" si="128"/>
        <v>90.789862258424407</v>
      </c>
      <c r="M194" s="307">
        <f t="shared" si="128"/>
        <v>123.54804502124291</v>
      </c>
      <c r="N194" s="307">
        <f t="shared" si="128"/>
        <v>130.29641005012999</v>
      </c>
      <c r="O194" s="307">
        <f t="shared" si="128"/>
        <v>156.85522376820367</v>
      </c>
      <c r="P194" s="307">
        <f t="shared" si="128"/>
        <v>180.95456807041668</v>
      </c>
      <c r="Q194" s="307">
        <f t="shared" si="128"/>
        <v>202.92096180087105</v>
      </c>
      <c r="R194" s="307">
        <f t="shared" si="128"/>
        <v>223.02557503564793</v>
      </c>
      <c r="S194" s="307">
        <f t="shared" si="128"/>
        <v>241.49548011774041</v>
      </c>
      <c r="T194" s="307">
        <f t="shared" si="128"/>
        <v>258.52226544115905</v>
      </c>
      <c r="U194" s="307">
        <f t="shared" si="128"/>
        <v>274.26870607091791</v>
      </c>
      <c r="V194" s="307">
        <f t="shared" si="128"/>
        <v>288.87398408056748</v>
      </c>
      <c r="W194" s="307">
        <f t="shared" si="128"/>
        <v>302.45781360639489</v>
      </c>
      <c r="X194" s="307">
        <f t="shared" si="128"/>
        <v>315.12372966259295</v>
      </c>
      <c r="Y194" s="307">
        <f t="shared" si="128"/>
        <v>326.96173203147919</v>
      </c>
      <c r="Z194" s="307">
        <f t="shared" si="128"/>
        <v>338.05042710459361</v>
      </c>
      <c r="AA194" s="307">
        <f t="shared" si="128"/>
        <v>348.45877548592654</v>
      </c>
      <c r="AB194" s="307">
        <f t="shared" si="128"/>
        <v>358.24752749703862</v>
      </c>
      <c r="AC194" s="307">
        <f t="shared" si="128"/>
        <v>367.47040973043505</v>
      </c>
      <c r="AD194" s="307">
        <f t="shared" si="128"/>
        <v>376.1751116062465</v>
      </c>
      <c r="AE194" s="307">
        <f t="shared" si="128"/>
        <v>384.40411018588719</v>
      </c>
      <c r="AF194" s="307">
        <f t="shared" si="128"/>
        <v>392.19536335667357</v>
      </c>
      <c r="AG194" s="307">
        <f t="shared" si="128"/>
        <v>399.58289525969343</v>
      </c>
      <c r="AH194" s="307">
        <f t="shared" si="128"/>
        <v>406.59729301018672</v>
      </c>
      <c r="AI194" s="307">
        <f t="shared" si="128"/>
        <v>412.1159420289855</v>
      </c>
      <c r="AJ194" s="307">
        <f t="shared" si="128"/>
        <v>412.1159420289855</v>
      </c>
      <c r="AK194" s="307">
        <f t="shared" si="128"/>
        <v>412.1159420289855</v>
      </c>
      <c r="AL194" s="307">
        <f t="shared" si="128"/>
        <v>412.1159420289855</v>
      </c>
      <c r="AM194" s="307">
        <f t="shared" si="128"/>
        <v>412.1159420289855</v>
      </c>
      <c r="AN194" s="307">
        <f t="shared" si="128"/>
        <v>412.1159420289855</v>
      </c>
      <c r="AO194" s="307">
        <f t="shared" si="128"/>
        <v>412.1159420289855</v>
      </c>
      <c r="AP194" s="307">
        <f t="shared" si="128"/>
        <v>412.1159420289855</v>
      </c>
      <c r="AQ194" s="307">
        <f t="shared" si="128"/>
        <v>412.1159420289855</v>
      </c>
      <c r="AR194" s="61">
        <f t="shared" si="128"/>
        <v>412.1159420289855</v>
      </c>
      <c r="AS194" s="307">
        <f t="shared" si="128"/>
        <v>412.1159420289855</v>
      </c>
      <c r="AT194" s="307">
        <f t="shared" si="128"/>
        <v>412.1159420289855</v>
      </c>
      <c r="AU194" s="307">
        <f t="shared" si="128"/>
        <v>412.1159420289855</v>
      </c>
      <c r="AV194" s="307">
        <f t="shared" si="128"/>
        <v>412.1159420289855</v>
      </c>
      <c r="AW194" s="307">
        <f t="shared" si="128"/>
        <v>412.1159420289855</v>
      </c>
      <c r="AX194" s="307">
        <f t="shared" si="128"/>
        <v>412.1159420289855</v>
      </c>
      <c r="AY194" s="307">
        <f t="shared" si="128"/>
        <v>412.1159420289855</v>
      </c>
      <c r="AZ194" s="307">
        <f t="shared" si="128"/>
        <v>412.1159420289855</v>
      </c>
      <c r="BA194" s="307">
        <f t="shared" si="128"/>
        <v>412.1159420289855</v>
      </c>
      <c r="BB194" s="307">
        <f t="shared" si="128"/>
        <v>412.1159420289855</v>
      </c>
      <c r="BC194" s="307">
        <f t="shared" si="128"/>
        <v>412.1159420289855</v>
      </c>
      <c r="BD194" s="307">
        <f t="shared" si="128"/>
        <v>412.1159420289855</v>
      </c>
      <c r="BE194" s="307">
        <f t="shared" si="128"/>
        <v>412.1159420289855</v>
      </c>
      <c r="BF194" s="307">
        <f t="shared" si="128"/>
        <v>412.1159420289855</v>
      </c>
      <c r="BG194" s="307">
        <f t="shared" si="128"/>
        <v>412.1159420289855</v>
      </c>
      <c r="BH194" s="307">
        <f t="shared" si="128"/>
        <v>412.1159420289855</v>
      </c>
      <c r="BI194" s="307">
        <f t="shared" si="128"/>
        <v>412.1159420289855</v>
      </c>
      <c r="BJ194" s="307">
        <f t="shared" si="128"/>
        <v>412.1159420289855</v>
      </c>
      <c r="BK194" s="307">
        <f>IF(BK184&lt;0,MAX(-$C$10,200000*BK184),MIN(200000*BK184,$C$10)-IF(AND($C170&lt;$C$8*BK173,$C170&gt;0),$C$9,0))</f>
        <v>412.1159420289855</v>
      </c>
      <c r="BL194" s="307">
        <f>IF(BL184&lt;0,MAX(-$C$10,200000*BL184),MIN(200000*BL184,$C$10)-IF(AND($C170&lt;$C$8*BL173,$C170&gt;0),$C$9,0))</f>
        <v>412.1159420289855</v>
      </c>
      <c r="BM194" s="307">
        <f>IF(BM184&lt;0,MAX(-$C$10,200000*BM184),MIN(200000*BM184,$C$10)-IF(AND($C170&lt;$C$8*BM173,$C170&gt;0),$C$9,0))</f>
        <v>389.42028985507244</v>
      </c>
      <c r="BN194" s="307">
        <f>IF(BN184&lt;0,MAX(-$C$10,200000*BN184),MIN(200000*BN184,$C$10)-IF(AND($C170&lt;$C$8*BN173,$C170&gt;0),$C$9,0))</f>
        <v>374.93333333333328</v>
      </c>
      <c r="BO194" s="12">
        <f>200000*BO184-C$9</f>
        <v>327.33333333333331</v>
      </c>
      <c r="BS194"/>
      <c r="BT194"/>
    </row>
    <row r="195" spans="2:72" ht="16.5">
      <c r="B195" s="11">
        <v>2</v>
      </c>
      <c r="C195" s="302" t="s">
        <v>61</v>
      </c>
      <c r="D195" s="12">
        <f t="shared" ref="D195:AI195" si="129">IF(D185&lt;0,MAX(-$C$10,200000*D185),MIN(200000*D185,$C$10)-IF(AND($D175&lt;$C$8*D173,$D175&gt;0),$C$9,0))</f>
        <v>0</v>
      </c>
      <c r="E195" s="307">
        <f t="shared" si="129"/>
        <v>0</v>
      </c>
      <c r="F195" s="307">
        <f t="shared" si="129"/>
        <v>0</v>
      </c>
      <c r="G195" s="307">
        <f t="shared" si="129"/>
        <v>0</v>
      </c>
      <c r="H195" s="307">
        <f t="shared" si="129"/>
        <v>0</v>
      </c>
      <c r="I195" s="307">
        <f t="shared" si="129"/>
        <v>0</v>
      </c>
      <c r="J195" s="307">
        <f t="shared" si="129"/>
        <v>0</v>
      </c>
      <c r="K195" s="307">
        <f t="shared" si="129"/>
        <v>0</v>
      </c>
      <c r="L195" s="307">
        <f t="shared" si="129"/>
        <v>0</v>
      </c>
      <c r="M195" s="307">
        <f t="shared" si="129"/>
        <v>0</v>
      </c>
      <c r="N195" s="307">
        <f t="shared" si="129"/>
        <v>0</v>
      </c>
      <c r="O195" s="307">
        <f t="shared" si="129"/>
        <v>0</v>
      </c>
      <c r="P195" s="307">
        <f t="shared" si="129"/>
        <v>0</v>
      </c>
      <c r="Q195" s="307">
        <f t="shared" si="129"/>
        <v>0</v>
      </c>
      <c r="R195" s="307">
        <f t="shared" si="129"/>
        <v>0</v>
      </c>
      <c r="S195" s="307">
        <f t="shared" si="129"/>
        <v>0</v>
      </c>
      <c r="T195" s="307">
        <f t="shared" si="129"/>
        <v>0</v>
      </c>
      <c r="U195" s="307">
        <f t="shared" si="129"/>
        <v>0</v>
      </c>
      <c r="V195" s="307">
        <f t="shared" si="129"/>
        <v>0</v>
      </c>
      <c r="W195" s="307">
        <f t="shared" si="129"/>
        <v>0</v>
      </c>
      <c r="X195" s="307">
        <f t="shared" si="129"/>
        <v>0</v>
      </c>
      <c r="Y195" s="307">
        <f t="shared" si="129"/>
        <v>0</v>
      </c>
      <c r="Z195" s="307">
        <f t="shared" si="129"/>
        <v>0</v>
      </c>
      <c r="AA195" s="307">
        <f t="shared" si="129"/>
        <v>0</v>
      </c>
      <c r="AB195" s="307">
        <f t="shared" si="129"/>
        <v>0</v>
      </c>
      <c r="AC195" s="307">
        <f t="shared" si="129"/>
        <v>0</v>
      </c>
      <c r="AD195" s="307">
        <f t="shared" si="129"/>
        <v>0</v>
      </c>
      <c r="AE195" s="307">
        <f t="shared" si="129"/>
        <v>0</v>
      </c>
      <c r="AF195" s="307">
        <f t="shared" si="129"/>
        <v>0</v>
      </c>
      <c r="AG195" s="307">
        <f t="shared" si="129"/>
        <v>0</v>
      </c>
      <c r="AH195" s="307">
        <f t="shared" si="129"/>
        <v>0</v>
      </c>
      <c r="AI195" s="307">
        <f t="shared" si="129"/>
        <v>0</v>
      </c>
      <c r="AJ195" s="307">
        <f t="shared" ref="AJ195:BK195" si="130">IF(AJ185&lt;0,MAX(-$C$10,200000*AJ185),MIN(200000*AJ185,$C$10)-IF(AND($D175&lt;$C$8*AJ173,$D175&gt;0),$C$9,0))</f>
        <v>0</v>
      </c>
      <c r="AK195" s="307">
        <f t="shared" si="130"/>
        <v>0</v>
      </c>
      <c r="AL195" s="307">
        <f t="shared" si="130"/>
        <v>0</v>
      </c>
      <c r="AM195" s="307">
        <f t="shared" si="130"/>
        <v>0</v>
      </c>
      <c r="AN195" s="307">
        <f t="shared" si="130"/>
        <v>0</v>
      </c>
      <c r="AO195" s="307">
        <f t="shared" si="130"/>
        <v>0</v>
      </c>
      <c r="AP195" s="307">
        <f t="shared" si="130"/>
        <v>0</v>
      </c>
      <c r="AQ195" s="307">
        <f t="shared" si="130"/>
        <v>0</v>
      </c>
      <c r="AR195" s="61">
        <f t="shared" si="130"/>
        <v>0</v>
      </c>
      <c r="AS195" s="307">
        <f t="shared" si="130"/>
        <v>0</v>
      </c>
      <c r="AT195" s="307">
        <f t="shared" si="130"/>
        <v>0</v>
      </c>
      <c r="AU195" s="307">
        <f t="shared" si="130"/>
        <v>0</v>
      </c>
      <c r="AV195" s="307">
        <f t="shared" si="130"/>
        <v>0</v>
      </c>
      <c r="AW195" s="307">
        <f t="shared" si="130"/>
        <v>0</v>
      </c>
      <c r="AX195" s="307">
        <f t="shared" si="130"/>
        <v>0</v>
      </c>
      <c r="AY195" s="307">
        <f t="shared" si="130"/>
        <v>0</v>
      </c>
      <c r="AZ195" s="307">
        <f t="shared" si="130"/>
        <v>0</v>
      </c>
      <c r="BA195" s="307">
        <f t="shared" si="130"/>
        <v>0</v>
      </c>
      <c r="BB195" s="307">
        <f t="shared" si="130"/>
        <v>0</v>
      </c>
      <c r="BC195" s="307">
        <f t="shared" si="130"/>
        <v>0</v>
      </c>
      <c r="BD195" s="307">
        <f t="shared" si="130"/>
        <v>0</v>
      </c>
      <c r="BE195" s="307">
        <f t="shared" si="130"/>
        <v>0</v>
      </c>
      <c r="BF195" s="307">
        <f t="shared" si="130"/>
        <v>0</v>
      </c>
      <c r="BG195" s="307">
        <f t="shared" si="130"/>
        <v>0</v>
      </c>
      <c r="BH195" s="307">
        <f t="shared" si="130"/>
        <v>0</v>
      </c>
      <c r="BI195" s="307">
        <f t="shared" si="130"/>
        <v>0</v>
      </c>
      <c r="BJ195" s="307">
        <f t="shared" si="130"/>
        <v>0</v>
      </c>
      <c r="BK195" s="307">
        <f t="shared" si="130"/>
        <v>0</v>
      </c>
      <c r="BL195" s="307">
        <f>IF(BL185&lt;0,MAX(-$C$10,200000*BL185),MIN(200000*BL185,$C$10)-IF(AND($D175&lt;$C$8*BL173,$D175&gt;0),$C$9,0))</f>
        <v>0</v>
      </c>
      <c r="BM195" s="307">
        <f>IF(BM185&lt;0,MAX(-$C$10,200000*BM185),MIN(200000*BM185,$C$10)-IF(AND($D175&lt;$C$8*BM173,$D175&gt;0),$C$9,0))</f>
        <v>0</v>
      </c>
      <c r="BN195" s="307">
        <f>IF(BN185&lt;0,MAX(-$C$10,200000*BN185),MIN(200000*BN185,$C$10)-IF(AND($D175&lt;$C$8*BN173,$D175&gt;0),$C$9,0))</f>
        <v>0</v>
      </c>
      <c r="BO195" s="12">
        <f>IF(D195=0,0,BO194)</f>
        <v>0</v>
      </c>
      <c r="BP195" s="43"/>
      <c r="BQ195" s="43"/>
      <c r="BR195" s="42"/>
      <c r="BS195"/>
      <c r="BT195"/>
    </row>
    <row r="196" spans="2:72" ht="16.5">
      <c r="B196" s="11">
        <f t="shared" ref="B196:B202" si="131">1+B195</f>
        <v>3</v>
      </c>
      <c r="C196" s="302" t="s">
        <v>61</v>
      </c>
      <c r="D196" s="12">
        <f t="shared" ref="D196:AI196" si="132">IF(D186&lt;0,MAX(-$C$10,200000*D186),MIN(200000*D186,$C$10)-IF(AND($D176&lt;$C$8*D173,$D176&gt;0),$C$9,0))</f>
        <v>0</v>
      </c>
      <c r="E196" s="307">
        <f t="shared" si="132"/>
        <v>0</v>
      </c>
      <c r="F196" s="307">
        <f t="shared" si="132"/>
        <v>0</v>
      </c>
      <c r="G196" s="307">
        <f t="shared" si="132"/>
        <v>0</v>
      </c>
      <c r="H196" s="307">
        <f t="shared" si="132"/>
        <v>0</v>
      </c>
      <c r="I196" s="307">
        <f t="shared" si="132"/>
        <v>0</v>
      </c>
      <c r="J196" s="307">
        <f t="shared" si="132"/>
        <v>0</v>
      </c>
      <c r="K196" s="307">
        <f t="shared" si="132"/>
        <v>0</v>
      </c>
      <c r="L196" s="307">
        <f t="shared" si="132"/>
        <v>0</v>
      </c>
      <c r="M196" s="307">
        <f t="shared" si="132"/>
        <v>0</v>
      </c>
      <c r="N196" s="307">
        <f t="shared" si="132"/>
        <v>0</v>
      </c>
      <c r="O196" s="307">
        <f t="shared" si="132"/>
        <v>0</v>
      </c>
      <c r="P196" s="307">
        <f t="shared" si="132"/>
        <v>0</v>
      </c>
      <c r="Q196" s="307">
        <f t="shared" si="132"/>
        <v>0</v>
      </c>
      <c r="R196" s="307">
        <f t="shared" si="132"/>
        <v>0</v>
      </c>
      <c r="S196" s="307">
        <f t="shared" si="132"/>
        <v>0</v>
      </c>
      <c r="T196" s="307">
        <f t="shared" si="132"/>
        <v>0</v>
      </c>
      <c r="U196" s="307">
        <f t="shared" si="132"/>
        <v>0</v>
      </c>
      <c r="V196" s="307">
        <f t="shared" si="132"/>
        <v>0</v>
      </c>
      <c r="W196" s="307">
        <f t="shared" si="132"/>
        <v>0</v>
      </c>
      <c r="X196" s="307">
        <f t="shared" si="132"/>
        <v>0</v>
      </c>
      <c r="Y196" s="307">
        <f t="shared" si="132"/>
        <v>0</v>
      </c>
      <c r="Z196" s="307">
        <f t="shared" si="132"/>
        <v>0</v>
      </c>
      <c r="AA196" s="307">
        <f t="shared" si="132"/>
        <v>0</v>
      </c>
      <c r="AB196" s="307">
        <f t="shared" si="132"/>
        <v>0</v>
      </c>
      <c r="AC196" s="307">
        <f t="shared" si="132"/>
        <v>0</v>
      </c>
      <c r="AD196" s="307">
        <f t="shared" si="132"/>
        <v>0</v>
      </c>
      <c r="AE196" s="307">
        <f t="shared" si="132"/>
        <v>0</v>
      </c>
      <c r="AF196" s="307">
        <f t="shared" si="132"/>
        <v>0</v>
      </c>
      <c r="AG196" s="307">
        <f t="shared" si="132"/>
        <v>0</v>
      </c>
      <c r="AH196" s="307">
        <f t="shared" si="132"/>
        <v>0</v>
      </c>
      <c r="AI196" s="307">
        <f t="shared" si="132"/>
        <v>0</v>
      </c>
      <c r="AJ196" s="307">
        <f t="shared" ref="AJ196:BK196" si="133">IF(AJ186&lt;0,MAX(-$C$10,200000*AJ186),MIN(200000*AJ186,$C$10)-IF(AND($D176&lt;$C$8*AJ173,$D176&gt;0),$C$9,0))</f>
        <v>0</v>
      </c>
      <c r="AK196" s="307">
        <f t="shared" si="133"/>
        <v>0</v>
      </c>
      <c r="AL196" s="307">
        <f t="shared" si="133"/>
        <v>0</v>
      </c>
      <c r="AM196" s="307">
        <f t="shared" si="133"/>
        <v>0</v>
      </c>
      <c r="AN196" s="307">
        <f t="shared" si="133"/>
        <v>0</v>
      </c>
      <c r="AO196" s="307">
        <f t="shared" si="133"/>
        <v>0</v>
      </c>
      <c r="AP196" s="307">
        <f t="shared" si="133"/>
        <v>0</v>
      </c>
      <c r="AQ196" s="307">
        <f t="shared" si="133"/>
        <v>0</v>
      </c>
      <c r="AR196" s="61">
        <f t="shared" si="133"/>
        <v>0</v>
      </c>
      <c r="AS196" s="307">
        <f t="shared" si="133"/>
        <v>0</v>
      </c>
      <c r="AT196" s="307">
        <f t="shared" si="133"/>
        <v>0</v>
      </c>
      <c r="AU196" s="307">
        <f t="shared" si="133"/>
        <v>0</v>
      </c>
      <c r="AV196" s="307">
        <f t="shared" si="133"/>
        <v>0</v>
      </c>
      <c r="AW196" s="307">
        <f t="shared" si="133"/>
        <v>0</v>
      </c>
      <c r="AX196" s="307">
        <f t="shared" si="133"/>
        <v>0</v>
      </c>
      <c r="AY196" s="307">
        <f t="shared" si="133"/>
        <v>0</v>
      </c>
      <c r="AZ196" s="307">
        <f t="shared" si="133"/>
        <v>0</v>
      </c>
      <c r="BA196" s="307">
        <f t="shared" si="133"/>
        <v>0</v>
      </c>
      <c r="BB196" s="307">
        <f t="shared" si="133"/>
        <v>0</v>
      </c>
      <c r="BC196" s="307">
        <f t="shared" si="133"/>
        <v>0</v>
      </c>
      <c r="BD196" s="307">
        <f t="shared" si="133"/>
        <v>0</v>
      </c>
      <c r="BE196" s="307">
        <f t="shared" si="133"/>
        <v>0</v>
      </c>
      <c r="BF196" s="307">
        <f t="shared" si="133"/>
        <v>0</v>
      </c>
      <c r="BG196" s="307">
        <f t="shared" si="133"/>
        <v>0</v>
      </c>
      <c r="BH196" s="307">
        <f t="shared" si="133"/>
        <v>0</v>
      </c>
      <c r="BI196" s="307">
        <f t="shared" si="133"/>
        <v>0</v>
      </c>
      <c r="BJ196" s="307">
        <f t="shared" si="133"/>
        <v>0</v>
      </c>
      <c r="BK196" s="307">
        <f t="shared" si="133"/>
        <v>0</v>
      </c>
      <c r="BL196" s="307">
        <f>IF(BL186&lt;0,MAX(-$C$10,200000*BL186),MIN(200000*BL186,$C$10)-IF(AND($D176&lt;$C$8*BL173,$D176&gt;0),$C$9,0))</f>
        <v>0</v>
      </c>
      <c r="BM196" s="307">
        <f>IF(BM186&lt;0,MAX(-$C$10,200000*BM186),MIN(200000*BM186,$C$10)-IF(AND($D176&lt;$C$8*BM173,$D176&gt;0),$C$9,0))</f>
        <v>0</v>
      </c>
      <c r="BN196" s="307">
        <f>IF(BN186&lt;0,MAX(-$C$10,200000*BN186),MIN(200000*BN186,$C$10)-IF(AND($D176&lt;$C$8*BN173,$D176&gt;0),$C$9,0))</f>
        <v>0</v>
      </c>
      <c r="BO196" s="12">
        <f>IF(D196=0,0,BO194)</f>
        <v>0</v>
      </c>
      <c r="BP196" s="43"/>
      <c r="BQ196" s="43"/>
      <c r="BR196" s="42"/>
      <c r="BS196"/>
      <c r="BT196"/>
    </row>
    <row r="197" spans="2:72" ht="16.5">
      <c r="B197" s="11">
        <f t="shared" si="131"/>
        <v>4</v>
      </c>
      <c r="C197" s="302" t="s">
        <v>61</v>
      </c>
      <c r="D197" s="12">
        <f t="shared" ref="D197:AI197" si="134">IF(D187&lt;0,MAX(-$C$10,200000*D187),MIN(200000*D187,$C$10)-IF(AND($D177&lt;$C$8*D173,$D177&gt;0),$C$9,0))</f>
        <v>0</v>
      </c>
      <c r="E197" s="307">
        <f t="shared" si="134"/>
        <v>0</v>
      </c>
      <c r="F197" s="307">
        <f t="shared" si="134"/>
        <v>0</v>
      </c>
      <c r="G197" s="307">
        <f t="shared" si="134"/>
        <v>0</v>
      </c>
      <c r="H197" s="307">
        <f t="shared" si="134"/>
        <v>0</v>
      </c>
      <c r="I197" s="307">
        <f t="shared" si="134"/>
        <v>0</v>
      </c>
      <c r="J197" s="307">
        <f t="shared" si="134"/>
        <v>0</v>
      </c>
      <c r="K197" s="307">
        <f t="shared" si="134"/>
        <v>0</v>
      </c>
      <c r="L197" s="307">
        <f t="shared" si="134"/>
        <v>0</v>
      </c>
      <c r="M197" s="307">
        <f t="shared" si="134"/>
        <v>0</v>
      </c>
      <c r="N197" s="307">
        <f t="shared" si="134"/>
        <v>0</v>
      </c>
      <c r="O197" s="307">
        <f t="shared" si="134"/>
        <v>0</v>
      </c>
      <c r="P197" s="307">
        <f t="shared" si="134"/>
        <v>0</v>
      </c>
      <c r="Q197" s="307">
        <f t="shared" si="134"/>
        <v>0</v>
      </c>
      <c r="R197" s="307">
        <f t="shared" si="134"/>
        <v>0</v>
      </c>
      <c r="S197" s="307">
        <f t="shared" si="134"/>
        <v>0</v>
      </c>
      <c r="T197" s="307">
        <f t="shared" si="134"/>
        <v>0</v>
      </c>
      <c r="U197" s="307">
        <f t="shared" si="134"/>
        <v>0</v>
      </c>
      <c r="V197" s="307">
        <f t="shared" si="134"/>
        <v>0</v>
      </c>
      <c r="W197" s="307">
        <f t="shared" si="134"/>
        <v>0</v>
      </c>
      <c r="X197" s="307">
        <f t="shared" si="134"/>
        <v>0</v>
      </c>
      <c r="Y197" s="307">
        <f t="shared" si="134"/>
        <v>0</v>
      </c>
      <c r="Z197" s="307">
        <f t="shared" si="134"/>
        <v>0</v>
      </c>
      <c r="AA197" s="307">
        <f t="shared" si="134"/>
        <v>0</v>
      </c>
      <c r="AB197" s="307">
        <f t="shared" si="134"/>
        <v>0</v>
      </c>
      <c r="AC197" s="307">
        <f t="shared" si="134"/>
        <v>0</v>
      </c>
      <c r="AD197" s="307">
        <f t="shared" si="134"/>
        <v>0</v>
      </c>
      <c r="AE197" s="307">
        <f t="shared" si="134"/>
        <v>0</v>
      </c>
      <c r="AF197" s="307">
        <f t="shared" si="134"/>
        <v>0</v>
      </c>
      <c r="AG197" s="307">
        <f t="shared" si="134"/>
        <v>0</v>
      </c>
      <c r="AH197" s="307">
        <f t="shared" si="134"/>
        <v>0</v>
      </c>
      <c r="AI197" s="307">
        <f t="shared" si="134"/>
        <v>0</v>
      </c>
      <c r="AJ197" s="307">
        <f t="shared" ref="AJ197:BK197" si="135">IF(AJ187&lt;0,MAX(-$C$10,200000*AJ187),MIN(200000*AJ187,$C$10)-IF(AND($D177&lt;$C$8*AJ173,$D177&gt;0),$C$9,0))</f>
        <v>0</v>
      </c>
      <c r="AK197" s="307">
        <f t="shared" si="135"/>
        <v>0</v>
      </c>
      <c r="AL197" s="307">
        <f t="shared" si="135"/>
        <v>0</v>
      </c>
      <c r="AM197" s="307">
        <f t="shared" si="135"/>
        <v>0</v>
      </c>
      <c r="AN197" s="307">
        <f t="shared" si="135"/>
        <v>0</v>
      </c>
      <c r="AO197" s="307">
        <f t="shared" si="135"/>
        <v>0</v>
      </c>
      <c r="AP197" s="307">
        <f t="shared" si="135"/>
        <v>0</v>
      </c>
      <c r="AQ197" s="307">
        <f t="shared" si="135"/>
        <v>0</v>
      </c>
      <c r="AR197" s="61">
        <f t="shared" si="135"/>
        <v>0</v>
      </c>
      <c r="AS197" s="307">
        <f t="shared" si="135"/>
        <v>0</v>
      </c>
      <c r="AT197" s="307">
        <f t="shared" si="135"/>
        <v>0</v>
      </c>
      <c r="AU197" s="307">
        <f t="shared" si="135"/>
        <v>0</v>
      </c>
      <c r="AV197" s="307">
        <f t="shared" si="135"/>
        <v>0</v>
      </c>
      <c r="AW197" s="307">
        <f t="shared" si="135"/>
        <v>0</v>
      </c>
      <c r="AX197" s="307">
        <f t="shared" si="135"/>
        <v>0</v>
      </c>
      <c r="AY197" s="307">
        <f t="shared" si="135"/>
        <v>0</v>
      </c>
      <c r="AZ197" s="307">
        <f t="shared" si="135"/>
        <v>0</v>
      </c>
      <c r="BA197" s="307">
        <f t="shared" si="135"/>
        <v>0</v>
      </c>
      <c r="BB197" s="307">
        <f t="shared" si="135"/>
        <v>0</v>
      </c>
      <c r="BC197" s="307">
        <f t="shared" si="135"/>
        <v>0</v>
      </c>
      <c r="BD197" s="307">
        <f t="shared" si="135"/>
        <v>0</v>
      </c>
      <c r="BE197" s="307">
        <f t="shared" si="135"/>
        <v>0</v>
      </c>
      <c r="BF197" s="307">
        <f t="shared" si="135"/>
        <v>0</v>
      </c>
      <c r="BG197" s="307">
        <f t="shared" si="135"/>
        <v>0</v>
      </c>
      <c r="BH197" s="307">
        <f t="shared" si="135"/>
        <v>0</v>
      </c>
      <c r="BI197" s="307">
        <f t="shared" si="135"/>
        <v>0</v>
      </c>
      <c r="BJ197" s="307">
        <f t="shared" si="135"/>
        <v>0</v>
      </c>
      <c r="BK197" s="307">
        <f t="shared" si="135"/>
        <v>0</v>
      </c>
      <c r="BL197" s="307">
        <f>IF(BL187&lt;0,MAX(-$C$10,200000*BL187),MIN(200000*BL187,$C$10)-IF(AND($D177&lt;$C$8*BL173,$D177&gt;0),$C$9,0))</f>
        <v>0</v>
      </c>
      <c r="BM197" s="307">
        <f>IF(BM187&lt;0,MAX(-$C$10,200000*BM187),MIN(200000*BM187,$C$10)-IF(AND($D177&lt;$C$8*BM173,$D177&gt;0),$C$9,0))</f>
        <v>0</v>
      </c>
      <c r="BN197" s="307">
        <f>IF(BN187&lt;0,MAX(-$C$10,200000*BN187),MIN(200000*BN187,$C$10)-IF(AND($D177&lt;$C$8*BN173,$D177&gt;0),$C$9,0))</f>
        <v>0</v>
      </c>
      <c r="BO197" s="12">
        <f>IF(D197=0,0,BO194)</f>
        <v>0</v>
      </c>
      <c r="BP197" s="43"/>
      <c r="BQ197" s="43"/>
      <c r="BR197" s="42"/>
      <c r="BS197"/>
      <c r="BT197"/>
    </row>
    <row r="198" spans="2:72" ht="16.5">
      <c r="B198" s="11">
        <f t="shared" si="131"/>
        <v>5</v>
      </c>
      <c r="C198" s="302" t="s">
        <v>61</v>
      </c>
      <c r="D198" s="12">
        <f t="shared" ref="D198:AI198" si="136">IF(D188&lt;0,MAX(-$C$10,200000*D188),MIN(200000*D188,$C$10)-IF(AND($D178&lt;$C$8*D173,$D178&gt;0),$C$9,0))</f>
        <v>0</v>
      </c>
      <c r="E198" s="307">
        <f t="shared" si="136"/>
        <v>0</v>
      </c>
      <c r="F198" s="307">
        <f t="shared" si="136"/>
        <v>0</v>
      </c>
      <c r="G198" s="307">
        <f t="shared" si="136"/>
        <v>0</v>
      </c>
      <c r="H198" s="307">
        <f t="shared" si="136"/>
        <v>0</v>
      </c>
      <c r="I198" s="307">
        <f t="shared" si="136"/>
        <v>0</v>
      </c>
      <c r="J198" s="307">
        <f t="shared" si="136"/>
        <v>0</v>
      </c>
      <c r="K198" s="307">
        <f t="shared" si="136"/>
        <v>0</v>
      </c>
      <c r="L198" s="307">
        <f t="shared" si="136"/>
        <v>0</v>
      </c>
      <c r="M198" s="307">
        <f t="shared" si="136"/>
        <v>0</v>
      </c>
      <c r="N198" s="307">
        <f t="shared" si="136"/>
        <v>0</v>
      </c>
      <c r="O198" s="307">
        <f t="shared" si="136"/>
        <v>0</v>
      </c>
      <c r="P198" s="307">
        <f t="shared" si="136"/>
        <v>0</v>
      </c>
      <c r="Q198" s="307">
        <f t="shared" si="136"/>
        <v>0</v>
      </c>
      <c r="R198" s="307">
        <f t="shared" si="136"/>
        <v>0</v>
      </c>
      <c r="S198" s="307">
        <f t="shared" si="136"/>
        <v>0</v>
      </c>
      <c r="T198" s="307">
        <f t="shared" si="136"/>
        <v>0</v>
      </c>
      <c r="U198" s="307">
        <f t="shared" si="136"/>
        <v>0</v>
      </c>
      <c r="V198" s="307">
        <f t="shared" si="136"/>
        <v>0</v>
      </c>
      <c r="W198" s="307">
        <f t="shared" si="136"/>
        <v>0</v>
      </c>
      <c r="X198" s="307">
        <f t="shared" si="136"/>
        <v>0</v>
      </c>
      <c r="Y198" s="307">
        <f t="shared" si="136"/>
        <v>0</v>
      </c>
      <c r="Z198" s="307">
        <f t="shared" si="136"/>
        <v>0</v>
      </c>
      <c r="AA198" s="307">
        <f t="shared" si="136"/>
        <v>0</v>
      </c>
      <c r="AB198" s="307">
        <f t="shared" si="136"/>
        <v>0</v>
      </c>
      <c r="AC198" s="307">
        <f t="shared" si="136"/>
        <v>0</v>
      </c>
      <c r="AD198" s="307">
        <f t="shared" si="136"/>
        <v>0</v>
      </c>
      <c r="AE198" s="307">
        <f t="shared" si="136"/>
        <v>0</v>
      </c>
      <c r="AF198" s="307">
        <f t="shared" si="136"/>
        <v>0</v>
      </c>
      <c r="AG198" s="307">
        <f t="shared" si="136"/>
        <v>0</v>
      </c>
      <c r="AH198" s="307">
        <f t="shared" si="136"/>
        <v>0</v>
      </c>
      <c r="AI198" s="307">
        <f t="shared" si="136"/>
        <v>0</v>
      </c>
      <c r="AJ198" s="307">
        <f t="shared" ref="AJ198:BK198" si="137">IF(AJ188&lt;0,MAX(-$C$10,200000*AJ188),MIN(200000*AJ188,$C$10)-IF(AND($D178&lt;$C$8*AJ173,$D178&gt;0),$C$9,0))</f>
        <v>0</v>
      </c>
      <c r="AK198" s="307">
        <f t="shared" si="137"/>
        <v>0</v>
      </c>
      <c r="AL198" s="307">
        <f t="shared" si="137"/>
        <v>0</v>
      </c>
      <c r="AM198" s="307">
        <f t="shared" si="137"/>
        <v>0</v>
      </c>
      <c r="AN198" s="307">
        <f t="shared" si="137"/>
        <v>0</v>
      </c>
      <c r="AO198" s="307">
        <f t="shared" si="137"/>
        <v>0</v>
      </c>
      <c r="AP198" s="307">
        <f t="shared" si="137"/>
        <v>0</v>
      </c>
      <c r="AQ198" s="307">
        <f t="shared" si="137"/>
        <v>0</v>
      </c>
      <c r="AR198" s="61">
        <f t="shared" si="137"/>
        <v>0</v>
      </c>
      <c r="AS198" s="307">
        <f t="shared" si="137"/>
        <v>0</v>
      </c>
      <c r="AT198" s="307">
        <f t="shared" si="137"/>
        <v>0</v>
      </c>
      <c r="AU198" s="307">
        <f t="shared" si="137"/>
        <v>0</v>
      </c>
      <c r="AV198" s="307">
        <f t="shared" si="137"/>
        <v>0</v>
      </c>
      <c r="AW198" s="307">
        <f t="shared" si="137"/>
        <v>0</v>
      </c>
      <c r="AX198" s="307">
        <f t="shared" si="137"/>
        <v>0</v>
      </c>
      <c r="AY198" s="307">
        <f t="shared" si="137"/>
        <v>0</v>
      </c>
      <c r="AZ198" s="307">
        <f t="shared" si="137"/>
        <v>0</v>
      </c>
      <c r="BA198" s="307">
        <f t="shared" si="137"/>
        <v>0</v>
      </c>
      <c r="BB198" s="307">
        <f t="shared" si="137"/>
        <v>0</v>
      </c>
      <c r="BC198" s="307">
        <f t="shared" si="137"/>
        <v>0</v>
      </c>
      <c r="BD198" s="307">
        <f t="shared" si="137"/>
        <v>0</v>
      </c>
      <c r="BE198" s="307">
        <f t="shared" si="137"/>
        <v>0</v>
      </c>
      <c r="BF198" s="307">
        <f t="shared" si="137"/>
        <v>0</v>
      </c>
      <c r="BG198" s="307">
        <f t="shared" si="137"/>
        <v>0</v>
      </c>
      <c r="BH198" s="307">
        <f t="shared" si="137"/>
        <v>0</v>
      </c>
      <c r="BI198" s="307">
        <f t="shared" si="137"/>
        <v>0</v>
      </c>
      <c r="BJ198" s="307">
        <f t="shared" si="137"/>
        <v>0</v>
      </c>
      <c r="BK198" s="307">
        <f t="shared" si="137"/>
        <v>0</v>
      </c>
      <c r="BL198" s="307">
        <f>IF(BL188&lt;0,MAX(-$C$10,200000*BL188),MIN(200000*BL188,$C$10)-IF(AND($D178&lt;$C$8*BL173,$D178&gt;0),$C$9,0))</f>
        <v>0</v>
      </c>
      <c r="BM198" s="307">
        <f>IF(BM188&lt;0,MAX(-$C$10,200000*BM188),MIN(200000*BM188,$C$10)-IF(AND($D178&lt;$C$8*BM173,$D178&gt;0),$C$9,0))</f>
        <v>0</v>
      </c>
      <c r="BN198" s="307">
        <f>IF(BN188&lt;0,MAX(-$C$10,200000*BN188),MIN(200000*BN188,$C$10)-IF(AND($D178&lt;$C$8*BN173,$D178&gt;0),$C$9,0))</f>
        <v>0</v>
      </c>
      <c r="BO198" s="12">
        <f>IF(D198=0,0,BO194)</f>
        <v>0</v>
      </c>
      <c r="BP198" s="43"/>
      <c r="BQ198" s="43"/>
      <c r="BR198" s="42"/>
      <c r="BS198"/>
      <c r="BT198"/>
    </row>
    <row r="199" spans="2:72" ht="16.5">
      <c r="B199" s="11">
        <f t="shared" si="131"/>
        <v>6</v>
      </c>
      <c r="C199" s="302" t="s">
        <v>61</v>
      </c>
      <c r="D199" s="12">
        <f t="shared" ref="D199:AI199" si="138">IF(D189&lt;0,MAX(-$C$10,200000*D189),MIN(200000*D189,$C$10)-IF(AND($D179&lt;$C$8*D173,$D179&gt;0),$C$9,0))</f>
        <v>0</v>
      </c>
      <c r="E199" s="307">
        <f t="shared" si="138"/>
        <v>0</v>
      </c>
      <c r="F199" s="307">
        <f t="shared" si="138"/>
        <v>0</v>
      </c>
      <c r="G199" s="307">
        <f t="shared" si="138"/>
        <v>0</v>
      </c>
      <c r="H199" s="307">
        <f t="shared" si="138"/>
        <v>0</v>
      </c>
      <c r="I199" s="307">
        <f t="shared" si="138"/>
        <v>0</v>
      </c>
      <c r="J199" s="307">
        <f t="shared" si="138"/>
        <v>0</v>
      </c>
      <c r="K199" s="307">
        <f t="shared" si="138"/>
        <v>0</v>
      </c>
      <c r="L199" s="307">
        <f t="shared" si="138"/>
        <v>0</v>
      </c>
      <c r="M199" s="307">
        <f t="shared" si="138"/>
        <v>0</v>
      </c>
      <c r="N199" s="307">
        <f t="shared" si="138"/>
        <v>0</v>
      </c>
      <c r="O199" s="307">
        <f t="shared" si="138"/>
        <v>0</v>
      </c>
      <c r="P199" s="307">
        <f t="shared" si="138"/>
        <v>0</v>
      </c>
      <c r="Q199" s="307">
        <f t="shared" si="138"/>
        <v>0</v>
      </c>
      <c r="R199" s="307">
        <f t="shared" si="138"/>
        <v>0</v>
      </c>
      <c r="S199" s="307">
        <f t="shared" si="138"/>
        <v>0</v>
      </c>
      <c r="T199" s="307">
        <f t="shared" si="138"/>
        <v>0</v>
      </c>
      <c r="U199" s="307">
        <f t="shared" si="138"/>
        <v>0</v>
      </c>
      <c r="V199" s="307">
        <f t="shared" si="138"/>
        <v>0</v>
      </c>
      <c r="W199" s="307">
        <f t="shared" si="138"/>
        <v>0</v>
      </c>
      <c r="X199" s="307">
        <f t="shared" si="138"/>
        <v>0</v>
      </c>
      <c r="Y199" s="307">
        <f t="shared" si="138"/>
        <v>0</v>
      </c>
      <c r="Z199" s="307">
        <f t="shared" si="138"/>
        <v>0</v>
      </c>
      <c r="AA199" s="307">
        <f t="shared" si="138"/>
        <v>0</v>
      </c>
      <c r="AB199" s="307">
        <f t="shared" si="138"/>
        <v>0</v>
      </c>
      <c r="AC199" s="307">
        <f t="shared" si="138"/>
        <v>0</v>
      </c>
      <c r="AD199" s="307">
        <f t="shared" si="138"/>
        <v>0</v>
      </c>
      <c r="AE199" s="307">
        <f t="shared" si="138"/>
        <v>0</v>
      </c>
      <c r="AF199" s="307">
        <f t="shared" si="138"/>
        <v>0</v>
      </c>
      <c r="AG199" s="307">
        <f t="shared" si="138"/>
        <v>0</v>
      </c>
      <c r="AH199" s="307">
        <f t="shared" si="138"/>
        <v>0</v>
      </c>
      <c r="AI199" s="307">
        <f t="shared" si="138"/>
        <v>0</v>
      </c>
      <c r="AJ199" s="307">
        <f t="shared" ref="AJ199:BK199" si="139">IF(AJ189&lt;0,MAX(-$C$10,200000*AJ189),MIN(200000*AJ189,$C$10)-IF(AND($D179&lt;$C$8*AJ173,$D179&gt;0),$C$9,0))</f>
        <v>0</v>
      </c>
      <c r="AK199" s="307">
        <f t="shared" si="139"/>
        <v>0</v>
      </c>
      <c r="AL199" s="307">
        <f t="shared" si="139"/>
        <v>0</v>
      </c>
      <c r="AM199" s="307">
        <f t="shared" si="139"/>
        <v>0</v>
      </c>
      <c r="AN199" s="307">
        <f t="shared" si="139"/>
        <v>0</v>
      </c>
      <c r="AO199" s="307">
        <f t="shared" si="139"/>
        <v>0</v>
      </c>
      <c r="AP199" s="307">
        <f t="shared" si="139"/>
        <v>0</v>
      </c>
      <c r="AQ199" s="307">
        <f t="shared" si="139"/>
        <v>0</v>
      </c>
      <c r="AR199" s="61">
        <f t="shared" si="139"/>
        <v>0</v>
      </c>
      <c r="AS199" s="307">
        <f t="shared" si="139"/>
        <v>0</v>
      </c>
      <c r="AT199" s="307">
        <f t="shared" si="139"/>
        <v>0</v>
      </c>
      <c r="AU199" s="307">
        <f t="shared" si="139"/>
        <v>0</v>
      </c>
      <c r="AV199" s="307">
        <f t="shared" si="139"/>
        <v>0</v>
      </c>
      <c r="AW199" s="307">
        <f t="shared" si="139"/>
        <v>0</v>
      </c>
      <c r="AX199" s="307">
        <f t="shared" si="139"/>
        <v>0</v>
      </c>
      <c r="AY199" s="307">
        <f t="shared" si="139"/>
        <v>0</v>
      </c>
      <c r="AZ199" s="307">
        <f t="shared" si="139"/>
        <v>0</v>
      </c>
      <c r="BA199" s="307">
        <f t="shared" si="139"/>
        <v>0</v>
      </c>
      <c r="BB199" s="307">
        <f t="shared" si="139"/>
        <v>0</v>
      </c>
      <c r="BC199" s="307">
        <f t="shared" si="139"/>
        <v>0</v>
      </c>
      <c r="BD199" s="307">
        <f t="shared" si="139"/>
        <v>0</v>
      </c>
      <c r="BE199" s="307">
        <f t="shared" si="139"/>
        <v>0</v>
      </c>
      <c r="BF199" s="307">
        <f t="shared" si="139"/>
        <v>0</v>
      </c>
      <c r="BG199" s="307">
        <f t="shared" si="139"/>
        <v>0</v>
      </c>
      <c r="BH199" s="307">
        <f t="shared" si="139"/>
        <v>0</v>
      </c>
      <c r="BI199" s="307">
        <f t="shared" si="139"/>
        <v>0</v>
      </c>
      <c r="BJ199" s="307">
        <f t="shared" si="139"/>
        <v>0</v>
      </c>
      <c r="BK199" s="307">
        <f t="shared" si="139"/>
        <v>0</v>
      </c>
      <c r="BL199" s="307">
        <f>IF(BL189&lt;0,MAX(-$C$10,200000*BL189),MIN(200000*BL189,$C$10)-IF(AND($D179&lt;$C$8*BL173,$D179&gt;0),$C$9,0))</f>
        <v>0</v>
      </c>
      <c r="BM199" s="307">
        <f>IF(BM189&lt;0,MAX(-$C$10,200000*BM189),MIN(200000*BM189,$C$10)-IF(AND($D179&lt;$C$8*BM173,$D179&gt;0),$C$9,0))</f>
        <v>0</v>
      </c>
      <c r="BN199" s="307">
        <f>IF(BN189&lt;0,MAX(-$C$10,200000*BN189),MIN(200000*BN189,$C$10)-IF(AND($D179&lt;$C$8*BN173,$D179&gt;0),$C$9,0))</f>
        <v>0</v>
      </c>
      <c r="BO199" s="12">
        <f>IF(D199=0,0,BO194)</f>
        <v>0</v>
      </c>
      <c r="BP199" s="43"/>
      <c r="BQ199" s="43"/>
      <c r="BR199" s="42"/>
      <c r="BS199"/>
      <c r="BT199"/>
    </row>
    <row r="200" spans="2:72" ht="16.5">
      <c r="B200" s="11">
        <f t="shared" si="131"/>
        <v>7</v>
      </c>
      <c r="C200" s="302" t="s">
        <v>61</v>
      </c>
      <c r="D200" s="12">
        <f t="shared" ref="D200:AI200" si="140">IF(D190&lt;0,MAX(-$C$10,200000*D190),MIN(200000*D190,$C$10)-IF(AND($D180&lt;$C$8*D173,$D180&gt;0),$C$9,0))</f>
        <v>0</v>
      </c>
      <c r="E200" s="307">
        <f t="shared" si="140"/>
        <v>0</v>
      </c>
      <c r="F200" s="307">
        <f t="shared" si="140"/>
        <v>0</v>
      </c>
      <c r="G200" s="307">
        <f t="shared" si="140"/>
        <v>0</v>
      </c>
      <c r="H200" s="307">
        <f t="shared" si="140"/>
        <v>0</v>
      </c>
      <c r="I200" s="307">
        <f t="shared" si="140"/>
        <v>0</v>
      </c>
      <c r="J200" s="307">
        <f t="shared" si="140"/>
        <v>0</v>
      </c>
      <c r="K200" s="307">
        <f t="shared" si="140"/>
        <v>0</v>
      </c>
      <c r="L200" s="307">
        <f t="shared" si="140"/>
        <v>0</v>
      </c>
      <c r="M200" s="307">
        <f t="shared" si="140"/>
        <v>0</v>
      </c>
      <c r="N200" s="307">
        <f t="shared" si="140"/>
        <v>0</v>
      </c>
      <c r="O200" s="307">
        <f t="shared" si="140"/>
        <v>0</v>
      </c>
      <c r="P200" s="307">
        <f t="shared" si="140"/>
        <v>0</v>
      </c>
      <c r="Q200" s="307">
        <f t="shared" si="140"/>
        <v>0</v>
      </c>
      <c r="R200" s="307">
        <f t="shared" si="140"/>
        <v>0</v>
      </c>
      <c r="S200" s="307">
        <f t="shared" si="140"/>
        <v>0</v>
      </c>
      <c r="T200" s="307">
        <f t="shared" si="140"/>
        <v>0</v>
      </c>
      <c r="U200" s="307">
        <f t="shared" si="140"/>
        <v>0</v>
      </c>
      <c r="V200" s="307">
        <f t="shared" si="140"/>
        <v>0</v>
      </c>
      <c r="W200" s="307">
        <f t="shared" si="140"/>
        <v>0</v>
      </c>
      <c r="X200" s="307">
        <f t="shared" si="140"/>
        <v>0</v>
      </c>
      <c r="Y200" s="307">
        <f t="shared" si="140"/>
        <v>0</v>
      </c>
      <c r="Z200" s="307">
        <f t="shared" si="140"/>
        <v>0</v>
      </c>
      <c r="AA200" s="307">
        <f t="shared" si="140"/>
        <v>0</v>
      </c>
      <c r="AB200" s="307">
        <f t="shared" si="140"/>
        <v>0</v>
      </c>
      <c r="AC200" s="307">
        <f t="shared" si="140"/>
        <v>0</v>
      </c>
      <c r="AD200" s="307">
        <f t="shared" si="140"/>
        <v>0</v>
      </c>
      <c r="AE200" s="307">
        <f t="shared" si="140"/>
        <v>0</v>
      </c>
      <c r="AF200" s="307">
        <f t="shared" si="140"/>
        <v>0</v>
      </c>
      <c r="AG200" s="307">
        <f t="shared" si="140"/>
        <v>0</v>
      </c>
      <c r="AH200" s="307">
        <f t="shared" si="140"/>
        <v>0</v>
      </c>
      <c r="AI200" s="307">
        <f t="shared" si="140"/>
        <v>0</v>
      </c>
      <c r="AJ200" s="307">
        <f t="shared" ref="AJ200:BK200" si="141">IF(AJ190&lt;0,MAX(-$C$10,200000*AJ190),MIN(200000*AJ190,$C$10)-IF(AND($D180&lt;$C$8*AJ173,$D180&gt;0),$C$9,0))</f>
        <v>0</v>
      </c>
      <c r="AK200" s="307">
        <f t="shared" si="141"/>
        <v>0</v>
      </c>
      <c r="AL200" s="307">
        <f t="shared" si="141"/>
        <v>0</v>
      </c>
      <c r="AM200" s="307">
        <f t="shared" si="141"/>
        <v>0</v>
      </c>
      <c r="AN200" s="307">
        <f t="shared" si="141"/>
        <v>0</v>
      </c>
      <c r="AO200" s="307">
        <f t="shared" si="141"/>
        <v>0</v>
      </c>
      <c r="AP200" s="307">
        <f t="shared" si="141"/>
        <v>0</v>
      </c>
      <c r="AQ200" s="307">
        <f t="shared" si="141"/>
        <v>0</v>
      </c>
      <c r="AR200" s="61">
        <f t="shared" si="141"/>
        <v>0</v>
      </c>
      <c r="AS200" s="307">
        <f t="shared" si="141"/>
        <v>0</v>
      </c>
      <c r="AT200" s="307">
        <f t="shared" si="141"/>
        <v>0</v>
      </c>
      <c r="AU200" s="307">
        <f t="shared" si="141"/>
        <v>0</v>
      </c>
      <c r="AV200" s="307">
        <f t="shared" si="141"/>
        <v>0</v>
      </c>
      <c r="AW200" s="307">
        <f t="shared" si="141"/>
        <v>0</v>
      </c>
      <c r="AX200" s="307">
        <f t="shared" si="141"/>
        <v>0</v>
      </c>
      <c r="AY200" s="307">
        <f t="shared" si="141"/>
        <v>0</v>
      </c>
      <c r="AZ200" s="307">
        <f t="shared" si="141"/>
        <v>0</v>
      </c>
      <c r="BA200" s="307">
        <f t="shared" si="141"/>
        <v>0</v>
      </c>
      <c r="BB200" s="307">
        <f t="shared" si="141"/>
        <v>0</v>
      </c>
      <c r="BC200" s="307">
        <f t="shared" si="141"/>
        <v>0</v>
      </c>
      <c r="BD200" s="307">
        <f t="shared" si="141"/>
        <v>0</v>
      </c>
      <c r="BE200" s="307">
        <f t="shared" si="141"/>
        <v>0</v>
      </c>
      <c r="BF200" s="307">
        <f t="shared" si="141"/>
        <v>0</v>
      </c>
      <c r="BG200" s="307">
        <f t="shared" si="141"/>
        <v>0</v>
      </c>
      <c r="BH200" s="307">
        <f t="shared" si="141"/>
        <v>0</v>
      </c>
      <c r="BI200" s="307">
        <f t="shared" si="141"/>
        <v>0</v>
      </c>
      <c r="BJ200" s="307">
        <f t="shared" si="141"/>
        <v>0</v>
      </c>
      <c r="BK200" s="307">
        <f t="shared" si="141"/>
        <v>0</v>
      </c>
      <c r="BL200" s="307">
        <f>IF(BL190&lt;0,MAX(-$C$10,200000*BL190),MIN(200000*BL190,$C$10)-IF(AND($D180&lt;$C$8*BL173,$D180&gt;0),$C$9,0))</f>
        <v>0</v>
      </c>
      <c r="BM200" s="307">
        <f>IF(BM190&lt;0,MAX(-$C$10,200000*BM190),MIN(200000*BM190,$C$10)-IF(AND($D180&lt;$C$8*BM173,$D180&gt;0),$C$9,0))</f>
        <v>0</v>
      </c>
      <c r="BN200" s="307">
        <f>IF(BN190&lt;0,MAX(-$C$10,200000*BN190),MIN(200000*BN190,$C$10)-IF(AND($D180&lt;$C$8*BN173,$D180&gt;0),$C$9,0))</f>
        <v>0</v>
      </c>
      <c r="BO200" s="12">
        <f>IF(D200=0,0,BO194)</f>
        <v>0</v>
      </c>
      <c r="BP200" s="43"/>
      <c r="BQ200" s="43"/>
      <c r="BR200" s="42"/>
      <c r="BS200"/>
      <c r="BT200"/>
    </row>
    <row r="201" spans="2:72" ht="16.5">
      <c r="B201" s="11">
        <f t="shared" si="131"/>
        <v>8</v>
      </c>
      <c r="C201" s="302" t="s">
        <v>61</v>
      </c>
      <c r="D201" s="12">
        <f t="shared" ref="D201:AI201" si="142">IF(D191&lt;0,MAX(-$C$10,200000*D191),MIN(200000*D191,$C$10)-IF(AND($D181&lt;$C$8*D173,$D181&gt;0),$C$9,0))</f>
        <v>0</v>
      </c>
      <c r="E201" s="307">
        <f t="shared" si="142"/>
        <v>0</v>
      </c>
      <c r="F201" s="307">
        <f t="shared" si="142"/>
        <v>0</v>
      </c>
      <c r="G201" s="307">
        <f t="shared" si="142"/>
        <v>0</v>
      </c>
      <c r="H201" s="307">
        <f t="shared" si="142"/>
        <v>0</v>
      </c>
      <c r="I201" s="307">
        <f t="shared" si="142"/>
        <v>0</v>
      </c>
      <c r="J201" s="307">
        <f t="shared" si="142"/>
        <v>0</v>
      </c>
      <c r="K201" s="307">
        <f t="shared" si="142"/>
        <v>0</v>
      </c>
      <c r="L201" s="307">
        <f t="shared" si="142"/>
        <v>0</v>
      </c>
      <c r="M201" s="307">
        <f t="shared" si="142"/>
        <v>0</v>
      </c>
      <c r="N201" s="307">
        <f t="shared" si="142"/>
        <v>0</v>
      </c>
      <c r="O201" s="307">
        <f t="shared" si="142"/>
        <v>0</v>
      </c>
      <c r="P201" s="307">
        <f t="shared" si="142"/>
        <v>0</v>
      </c>
      <c r="Q201" s="307">
        <f t="shared" si="142"/>
        <v>0</v>
      </c>
      <c r="R201" s="307">
        <f t="shared" si="142"/>
        <v>0</v>
      </c>
      <c r="S201" s="307">
        <f t="shared" si="142"/>
        <v>0</v>
      </c>
      <c r="T201" s="307">
        <f t="shared" si="142"/>
        <v>0</v>
      </c>
      <c r="U201" s="307">
        <f t="shared" si="142"/>
        <v>0</v>
      </c>
      <c r="V201" s="307">
        <f t="shared" si="142"/>
        <v>0</v>
      </c>
      <c r="W201" s="307">
        <f t="shared" si="142"/>
        <v>0</v>
      </c>
      <c r="X201" s="307">
        <f t="shared" si="142"/>
        <v>0</v>
      </c>
      <c r="Y201" s="307">
        <f t="shared" si="142"/>
        <v>0</v>
      </c>
      <c r="Z201" s="307">
        <f t="shared" si="142"/>
        <v>0</v>
      </c>
      <c r="AA201" s="307">
        <f t="shared" si="142"/>
        <v>0</v>
      </c>
      <c r="AB201" s="307">
        <f t="shared" si="142"/>
        <v>0</v>
      </c>
      <c r="AC201" s="307">
        <f t="shared" si="142"/>
        <v>0</v>
      </c>
      <c r="AD201" s="307">
        <f t="shared" si="142"/>
        <v>0</v>
      </c>
      <c r="AE201" s="307">
        <f t="shared" si="142"/>
        <v>0</v>
      </c>
      <c r="AF201" s="307">
        <f t="shared" si="142"/>
        <v>0</v>
      </c>
      <c r="AG201" s="307">
        <f t="shared" si="142"/>
        <v>0</v>
      </c>
      <c r="AH201" s="307">
        <f t="shared" si="142"/>
        <v>0</v>
      </c>
      <c r="AI201" s="307">
        <f t="shared" si="142"/>
        <v>0</v>
      </c>
      <c r="AJ201" s="307">
        <f t="shared" ref="AJ201:BK201" si="143">IF(AJ191&lt;0,MAX(-$C$10,200000*AJ191),MIN(200000*AJ191,$C$10)-IF(AND($D181&lt;$C$8*AJ173,$D181&gt;0),$C$9,0))</f>
        <v>0</v>
      </c>
      <c r="AK201" s="307">
        <f t="shared" si="143"/>
        <v>0</v>
      </c>
      <c r="AL201" s="307">
        <f t="shared" si="143"/>
        <v>0</v>
      </c>
      <c r="AM201" s="307">
        <f t="shared" si="143"/>
        <v>0</v>
      </c>
      <c r="AN201" s="307">
        <f t="shared" si="143"/>
        <v>0</v>
      </c>
      <c r="AO201" s="307">
        <f t="shared" si="143"/>
        <v>0</v>
      </c>
      <c r="AP201" s="307">
        <f t="shared" si="143"/>
        <v>0</v>
      </c>
      <c r="AQ201" s="307">
        <f t="shared" si="143"/>
        <v>0</v>
      </c>
      <c r="AR201" s="61">
        <f t="shared" si="143"/>
        <v>0</v>
      </c>
      <c r="AS201" s="307">
        <f t="shared" si="143"/>
        <v>0</v>
      </c>
      <c r="AT201" s="307">
        <f t="shared" si="143"/>
        <v>0</v>
      </c>
      <c r="AU201" s="307">
        <f t="shared" si="143"/>
        <v>0</v>
      </c>
      <c r="AV201" s="307">
        <f t="shared" si="143"/>
        <v>0</v>
      </c>
      <c r="AW201" s="307">
        <f t="shared" si="143"/>
        <v>0</v>
      </c>
      <c r="AX201" s="307">
        <f t="shared" si="143"/>
        <v>0</v>
      </c>
      <c r="AY201" s="307">
        <f t="shared" si="143"/>
        <v>0</v>
      </c>
      <c r="AZ201" s="307">
        <f t="shared" si="143"/>
        <v>0</v>
      </c>
      <c r="BA201" s="307">
        <f t="shared" si="143"/>
        <v>0</v>
      </c>
      <c r="BB201" s="307">
        <f t="shared" si="143"/>
        <v>0</v>
      </c>
      <c r="BC201" s="307">
        <f t="shared" si="143"/>
        <v>0</v>
      </c>
      <c r="BD201" s="307">
        <f t="shared" si="143"/>
        <v>0</v>
      </c>
      <c r="BE201" s="307">
        <f t="shared" si="143"/>
        <v>0</v>
      </c>
      <c r="BF201" s="307">
        <f t="shared" si="143"/>
        <v>0</v>
      </c>
      <c r="BG201" s="307">
        <f t="shared" si="143"/>
        <v>0</v>
      </c>
      <c r="BH201" s="307">
        <f t="shared" si="143"/>
        <v>0</v>
      </c>
      <c r="BI201" s="307">
        <f t="shared" si="143"/>
        <v>0</v>
      </c>
      <c r="BJ201" s="307">
        <f t="shared" si="143"/>
        <v>0</v>
      </c>
      <c r="BK201" s="307">
        <f t="shared" si="143"/>
        <v>0</v>
      </c>
      <c r="BL201" s="307">
        <f>IF(BL191&lt;0,MAX(-$C$10,200000*BL191),MIN(200000*BL191,$C$10)-IF(AND($D181&lt;$C$8*BL173,$D181&gt;0),$C$9,0))</f>
        <v>0</v>
      </c>
      <c r="BM201" s="307">
        <f>IF(BM191&lt;0,MAX(-$C$10,200000*BM191),MIN(200000*BM191,$C$10)-IF(AND($D181&lt;$C$8*BM173,$D181&gt;0),$C$9,0))</f>
        <v>0</v>
      </c>
      <c r="BN201" s="307">
        <f>IF(BN191&lt;0,MAX(-$C$10,200000*BN191),MIN(200000*BN191,$C$10)-IF(AND($D181&lt;$C$8*BN173,$D181&gt;0),$C$9,0))</f>
        <v>0</v>
      </c>
      <c r="BO201" s="12">
        <f>IF(D201=0,0,BO194)</f>
        <v>0</v>
      </c>
      <c r="BP201" s="43"/>
      <c r="BQ201" s="43"/>
      <c r="BR201" s="42"/>
      <c r="BS201"/>
      <c r="BT201"/>
    </row>
    <row r="202" spans="2:72" ht="16.5">
      <c r="B202" s="11">
        <f t="shared" si="131"/>
        <v>9</v>
      </c>
      <c r="C202" s="302" t="s">
        <v>61</v>
      </c>
      <c r="D202" s="12">
        <f t="shared" ref="D202:AI202" si="144">IF(D192&lt;0,MAX(-$C$10,200000*D192),MIN(200000*D192,$C$10)-IF(AND($D182&lt;$C$8*D173,$D182&gt;0),$C$9,0))</f>
        <v>0</v>
      </c>
      <c r="E202" s="307">
        <f t="shared" si="144"/>
        <v>0</v>
      </c>
      <c r="F202" s="307">
        <f t="shared" si="144"/>
        <v>0</v>
      </c>
      <c r="G202" s="307">
        <f t="shared" si="144"/>
        <v>0</v>
      </c>
      <c r="H202" s="307">
        <f t="shared" si="144"/>
        <v>0</v>
      </c>
      <c r="I202" s="307">
        <f t="shared" si="144"/>
        <v>0</v>
      </c>
      <c r="J202" s="307">
        <f t="shared" si="144"/>
        <v>0</v>
      </c>
      <c r="K202" s="307">
        <f t="shared" si="144"/>
        <v>0</v>
      </c>
      <c r="L202" s="307">
        <f t="shared" si="144"/>
        <v>0</v>
      </c>
      <c r="M202" s="307">
        <f t="shared" si="144"/>
        <v>0</v>
      </c>
      <c r="N202" s="307">
        <f t="shared" si="144"/>
        <v>0</v>
      </c>
      <c r="O202" s="307">
        <f t="shared" si="144"/>
        <v>0</v>
      </c>
      <c r="P202" s="307">
        <f t="shared" si="144"/>
        <v>0</v>
      </c>
      <c r="Q202" s="307">
        <f t="shared" si="144"/>
        <v>0</v>
      </c>
      <c r="R202" s="307">
        <f t="shared" si="144"/>
        <v>0</v>
      </c>
      <c r="S202" s="307">
        <f t="shared" si="144"/>
        <v>0</v>
      </c>
      <c r="T202" s="307">
        <f t="shared" si="144"/>
        <v>0</v>
      </c>
      <c r="U202" s="307">
        <f t="shared" si="144"/>
        <v>0</v>
      </c>
      <c r="V202" s="307">
        <f t="shared" si="144"/>
        <v>0</v>
      </c>
      <c r="W202" s="307">
        <f t="shared" si="144"/>
        <v>0</v>
      </c>
      <c r="X202" s="307">
        <f t="shared" si="144"/>
        <v>0</v>
      </c>
      <c r="Y202" s="307">
        <f t="shared" si="144"/>
        <v>0</v>
      </c>
      <c r="Z202" s="307">
        <f t="shared" si="144"/>
        <v>0</v>
      </c>
      <c r="AA202" s="307">
        <f t="shared" si="144"/>
        <v>0</v>
      </c>
      <c r="AB202" s="307">
        <f t="shared" si="144"/>
        <v>0</v>
      </c>
      <c r="AC202" s="307">
        <f t="shared" si="144"/>
        <v>0</v>
      </c>
      <c r="AD202" s="307">
        <f t="shared" si="144"/>
        <v>0</v>
      </c>
      <c r="AE202" s="307">
        <f t="shared" si="144"/>
        <v>0</v>
      </c>
      <c r="AF202" s="307">
        <f t="shared" si="144"/>
        <v>0</v>
      </c>
      <c r="AG202" s="307">
        <f t="shared" si="144"/>
        <v>0</v>
      </c>
      <c r="AH202" s="307">
        <f t="shared" si="144"/>
        <v>0</v>
      </c>
      <c r="AI202" s="307">
        <f t="shared" si="144"/>
        <v>0</v>
      </c>
      <c r="AJ202" s="307">
        <f t="shared" ref="AJ202:BK202" si="145">IF(AJ192&lt;0,MAX(-$C$10,200000*AJ192),MIN(200000*AJ192,$C$10)-IF(AND($D182&lt;$C$8*AJ173,$D182&gt;0),$C$9,0))</f>
        <v>0</v>
      </c>
      <c r="AK202" s="307">
        <f t="shared" si="145"/>
        <v>0</v>
      </c>
      <c r="AL202" s="307">
        <f t="shared" si="145"/>
        <v>0</v>
      </c>
      <c r="AM202" s="307">
        <f t="shared" si="145"/>
        <v>0</v>
      </c>
      <c r="AN202" s="307">
        <f t="shared" si="145"/>
        <v>0</v>
      </c>
      <c r="AO202" s="307">
        <f t="shared" si="145"/>
        <v>0</v>
      </c>
      <c r="AP202" s="307">
        <f t="shared" si="145"/>
        <v>0</v>
      </c>
      <c r="AQ202" s="307">
        <f t="shared" si="145"/>
        <v>0</v>
      </c>
      <c r="AR202" s="61">
        <f t="shared" si="145"/>
        <v>0</v>
      </c>
      <c r="AS202" s="307">
        <f t="shared" si="145"/>
        <v>0</v>
      </c>
      <c r="AT202" s="307">
        <f t="shared" si="145"/>
        <v>0</v>
      </c>
      <c r="AU202" s="307">
        <f t="shared" si="145"/>
        <v>0</v>
      </c>
      <c r="AV202" s="307">
        <f t="shared" si="145"/>
        <v>0</v>
      </c>
      <c r="AW202" s="307">
        <f t="shared" si="145"/>
        <v>0</v>
      </c>
      <c r="AX202" s="307">
        <f t="shared" si="145"/>
        <v>0</v>
      </c>
      <c r="AY202" s="307">
        <f t="shared" si="145"/>
        <v>0</v>
      </c>
      <c r="AZ202" s="307">
        <f t="shared" si="145"/>
        <v>0</v>
      </c>
      <c r="BA202" s="307">
        <f t="shared" si="145"/>
        <v>0</v>
      </c>
      <c r="BB202" s="307">
        <f t="shared" si="145"/>
        <v>0</v>
      </c>
      <c r="BC202" s="307">
        <f t="shared" si="145"/>
        <v>0</v>
      </c>
      <c r="BD202" s="307">
        <f t="shared" si="145"/>
        <v>0</v>
      </c>
      <c r="BE202" s="307">
        <f t="shared" si="145"/>
        <v>0</v>
      </c>
      <c r="BF202" s="307">
        <f t="shared" si="145"/>
        <v>0</v>
      </c>
      <c r="BG202" s="307">
        <f t="shared" si="145"/>
        <v>0</v>
      </c>
      <c r="BH202" s="307">
        <f t="shared" si="145"/>
        <v>0</v>
      </c>
      <c r="BI202" s="307">
        <f t="shared" si="145"/>
        <v>0</v>
      </c>
      <c r="BJ202" s="307">
        <f t="shared" si="145"/>
        <v>0</v>
      </c>
      <c r="BK202" s="307">
        <f t="shared" si="145"/>
        <v>0</v>
      </c>
      <c r="BL202" s="307">
        <f>IF(BL192&lt;0,MAX(-$C$10,200000*BL192),MIN(200000*BL192,$C$10)-IF(AND($D182&lt;$C$8*BL173,$D182&gt;0),$C$9,0))</f>
        <v>0</v>
      </c>
      <c r="BM202" s="307">
        <f>IF(BM192&lt;0,MAX(-$C$10,200000*BM192),MIN(200000*BM192,$C$10)-IF(AND($D182&lt;$C$8*BM173,$D182&gt;0),$C$9,0))</f>
        <v>0</v>
      </c>
      <c r="BN202" s="307">
        <f>IF(BN192&lt;0,MAX(-$C$10,200000*BN192),MIN(200000*BN192,$C$10)-IF(AND($D182&lt;$C$8*BN173,$D182&gt;0),$C$9,0))</f>
        <v>0</v>
      </c>
      <c r="BO202" s="12">
        <f>IF(D202=0,0,BO194)</f>
        <v>0</v>
      </c>
      <c r="BP202" s="43"/>
      <c r="BQ202" s="43"/>
      <c r="BR202" s="42"/>
      <c r="BS202"/>
      <c r="BT202"/>
    </row>
    <row r="203" spans="2:72" ht="16.5">
      <c r="B203" s="294" t="s">
        <v>62</v>
      </c>
      <c r="C203" s="302" t="s">
        <v>63</v>
      </c>
      <c r="D203" s="12">
        <f t="shared" ref="D203:BJ203" si="146">IF(D193&lt;0,MAX(-$C$10,200000*D193),MIN(200000*D193,$C$10)-IF(AND($F170&lt;$C$8*D173,$D183&gt;0),$C$9,0))</f>
        <v>-434.78260869565219</v>
      </c>
      <c r="E203" s="307">
        <f t="shared" si="146"/>
        <v>-434.78260869565219</v>
      </c>
      <c r="F203" s="307">
        <f t="shared" si="146"/>
        <v>-434.78260869565219</v>
      </c>
      <c r="G203" s="307">
        <f t="shared" si="146"/>
        <v>-434.78260869565219</v>
      </c>
      <c r="H203" s="307">
        <f t="shared" si="146"/>
        <v>-434.78260869565219</v>
      </c>
      <c r="I203" s="307">
        <f t="shared" si="146"/>
        <v>-434.78260869565219</v>
      </c>
      <c r="J203" s="307">
        <f t="shared" si="146"/>
        <v>-434.78260869565219</v>
      </c>
      <c r="K203" s="307">
        <f t="shared" si="146"/>
        <v>-434.78260869565219</v>
      </c>
      <c r="L203" s="307">
        <f t="shared" si="146"/>
        <v>-434.78260869565219</v>
      </c>
      <c r="M203" s="307">
        <f t="shared" si="146"/>
        <v>-434.78260869565219</v>
      </c>
      <c r="N203" s="307">
        <f t="shared" si="146"/>
        <v>-434.78260869565219</v>
      </c>
      <c r="O203" s="307">
        <f t="shared" si="146"/>
        <v>-434.78260869565219</v>
      </c>
      <c r="P203" s="307">
        <f t="shared" si="146"/>
        <v>-434.78260869565219</v>
      </c>
      <c r="Q203" s="307">
        <f t="shared" si="146"/>
        <v>-434.78260869565219</v>
      </c>
      <c r="R203" s="307">
        <f t="shared" si="146"/>
        <v>-434.78260869565219</v>
      </c>
      <c r="S203" s="307">
        <f t="shared" si="146"/>
        <v>-434.78260869565219</v>
      </c>
      <c r="T203" s="307">
        <f t="shared" si="146"/>
        <v>-434.78260869565219</v>
      </c>
      <c r="U203" s="307">
        <f t="shared" si="146"/>
        <v>-434.78260869565219</v>
      </c>
      <c r="V203" s="307">
        <f t="shared" si="146"/>
        <v>-434.78260869565219</v>
      </c>
      <c r="W203" s="307">
        <f t="shared" si="146"/>
        <v>-434.78260869565219</v>
      </c>
      <c r="X203" s="307">
        <f t="shared" si="146"/>
        <v>-434.78260869565219</v>
      </c>
      <c r="Y203" s="307">
        <f t="shared" si="146"/>
        <v>-434.78260869565219</v>
      </c>
      <c r="Z203" s="307">
        <f t="shared" si="146"/>
        <v>-434.78260869565219</v>
      </c>
      <c r="AA203" s="307">
        <f t="shared" si="146"/>
        <v>-434.78260869565219</v>
      </c>
      <c r="AB203" s="307">
        <f t="shared" si="146"/>
        <v>-434.78260869565219</v>
      </c>
      <c r="AC203" s="307">
        <f t="shared" si="146"/>
        <v>-434.78260869565219</v>
      </c>
      <c r="AD203" s="307">
        <f t="shared" si="146"/>
        <v>-434.78260869565219</v>
      </c>
      <c r="AE203" s="307">
        <f t="shared" si="146"/>
        <v>-434.78260869565219</v>
      </c>
      <c r="AF203" s="307">
        <f t="shared" si="146"/>
        <v>-434.78260869565219</v>
      </c>
      <c r="AG203" s="307">
        <f t="shared" si="146"/>
        <v>-434.78260869565219</v>
      </c>
      <c r="AH203" s="307">
        <f t="shared" si="146"/>
        <v>-434.78260869565219</v>
      </c>
      <c r="AI203" s="307">
        <f t="shared" si="146"/>
        <v>-434.78260869565219</v>
      </c>
      <c r="AJ203" s="307">
        <f t="shared" si="146"/>
        <v>-434.78260869565219</v>
      </c>
      <c r="AK203" s="307">
        <f t="shared" si="146"/>
        <v>-434.78260869565219</v>
      </c>
      <c r="AL203" s="307">
        <f t="shared" si="146"/>
        <v>-434.78260869565219</v>
      </c>
      <c r="AM203" s="307">
        <f t="shared" si="146"/>
        <v>-434.78260869565219</v>
      </c>
      <c r="AN203" s="307">
        <f t="shared" si="146"/>
        <v>-434.78260869565219</v>
      </c>
      <c r="AO203" s="307">
        <f t="shared" si="146"/>
        <v>-434.78260869565219</v>
      </c>
      <c r="AP203" s="307">
        <f t="shared" si="146"/>
        <v>-434.78260869565219</v>
      </c>
      <c r="AQ203" s="307">
        <f t="shared" si="146"/>
        <v>-434.78260869565219</v>
      </c>
      <c r="AR203" s="61">
        <f t="shared" si="146"/>
        <v>-434.78260869565219</v>
      </c>
      <c r="AS203" s="307">
        <f t="shared" si="146"/>
        <v>-356.26446712092076</v>
      </c>
      <c r="AT203" s="307">
        <f t="shared" si="146"/>
        <v>-287.90884881995413</v>
      </c>
      <c r="AU203" s="307">
        <f t="shared" si="146"/>
        <v>-227.86268651017161</v>
      </c>
      <c r="AV203" s="307">
        <f t="shared" si="146"/>
        <v>-174.69762419006489</v>
      </c>
      <c r="AW203" s="307">
        <f t="shared" si="146"/>
        <v>-127.29493475873932</v>
      </c>
      <c r="AX203" s="307">
        <f t="shared" si="146"/>
        <v>-84.765934083679241</v>
      </c>
      <c r="AY203" s="307">
        <f t="shared" si="146"/>
        <v>-46.395742622157776</v>
      </c>
      <c r="AZ203" s="307">
        <f t="shared" si="146"/>
        <v>-11.602776232172719</v>
      </c>
      <c r="BA203" s="307">
        <f t="shared" si="146"/>
        <v>20.090937707670271</v>
      </c>
      <c r="BB203" s="307">
        <f t="shared" si="146"/>
        <v>49.081849961827544</v>
      </c>
      <c r="BC203" s="307">
        <f t="shared" si="146"/>
        <v>75.701558876992095</v>
      </c>
      <c r="BD203" s="307">
        <f t="shared" si="146"/>
        <v>100.22955027891612</v>
      </c>
      <c r="BE203" s="307">
        <f t="shared" si="146"/>
        <v>120.66559406806357</v>
      </c>
      <c r="BF203" s="307">
        <f t="shared" si="146"/>
        <v>113.84624846248481</v>
      </c>
      <c r="BG203" s="307">
        <f t="shared" si="146"/>
        <v>127.64498631230965</v>
      </c>
      <c r="BH203" s="307">
        <f t="shared" si="146"/>
        <v>139.76825523962106</v>
      </c>
      <c r="BI203" s="307">
        <f t="shared" si="146"/>
        <v>150.50374711961737</v>
      </c>
      <c r="BJ203" s="307">
        <f t="shared" si="146"/>
        <v>160.07685418225535</v>
      </c>
      <c r="BK203" s="307">
        <f>IF(BK193&lt;0,MAX(-$C$10,200000*BK193),MIN(200000*BK193,$C$10)-IF(AND($F170&lt;$C$8*BK173,$D183&gt;0),$C$9,0))</f>
        <v>168.66666666666669</v>
      </c>
      <c r="BL203" s="307">
        <f>IF(BL193&lt;0,MAX(-$C$10,200000*BL193),MIN(200000*BL193,$C$10)-IF(AND($F170&lt;$C$8*BL173,$D183&gt;0),$C$9,0))</f>
        <v>238.08333333333329</v>
      </c>
      <c r="BM203" s="307">
        <f>IF(BM193&lt;0,MAX(-$C$10,200000*BM193),MIN(200000*BM193,$C$10)-IF(AND($F170&lt;$C$8*BM173,$D183&gt;0),$C$9,0))</f>
        <v>265.24637681159419</v>
      </c>
      <c r="BN203" s="307">
        <f>IF(BN193&lt;0,MAX(-$C$10,200000*BN193),MIN(200000*BN193,$C$10)-IF(AND($F170&lt;$C$8*BN173,$D183&gt;0),$C$9,0))</f>
        <v>279.73333333333335</v>
      </c>
      <c r="BO203" s="12">
        <f>BO194</f>
        <v>327.33333333333331</v>
      </c>
      <c r="BS203"/>
      <c r="BT203"/>
    </row>
    <row r="204" spans="2:72" ht="16.5">
      <c r="B204" s="290" t="s">
        <v>64</v>
      </c>
      <c r="C204" s="298" t="s">
        <v>65</v>
      </c>
      <c r="D204" s="3">
        <f>D194*$I170*MAIN!$C$16/MAIN!$Q$1</f>
        <v>-524060.27319841983</v>
      </c>
      <c r="E204" s="13">
        <f>E194*$I170*MAIN!$C$16/MAIN!$Q$1</f>
        <v>-391600.03974948393</v>
      </c>
      <c r="F204" s="13">
        <f>F194*$I170*MAIN!$C$16/MAIN!$Q$1</f>
        <v>-281983.31189763441</v>
      </c>
      <c r="G204" s="13">
        <f>G194*$I170*MAIN!$C$16/MAIN!$Q$1</f>
        <v>-189769.94635349631</v>
      </c>
      <c r="H204" s="13">
        <f>H194*$I170*MAIN!$C$16/MAIN!$Q$1</f>
        <v>-111120.17267696587</v>
      </c>
      <c r="I204" s="13">
        <f>I194*$I170*MAIN!$C$16/MAIN!$Q$1</f>
        <v>-43246.414865270111</v>
      </c>
      <c r="J204" s="13">
        <f>J194*$I170*MAIN!$C$16/MAIN!$Q$1</f>
        <v>15924.011218938642</v>
      </c>
      <c r="K204" s="13">
        <f>K194*$I170*MAIN!$C$16/MAIN!$Q$1</f>
        <v>67964.263183549367</v>
      </c>
      <c r="L204" s="13">
        <f>L194*$I170*MAIN!$C$16/MAIN!$Q$1</f>
        <v>114089.90571659816</v>
      </c>
      <c r="M204" s="13">
        <f>M194*$I170*MAIN!$C$16/MAIN!$Q$1</f>
        <v>155255.05224164715</v>
      </c>
      <c r="N204" s="13">
        <f>N194*$I170*MAIN!$C$16/MAIN!$Q$1</f>
        <v>163735.2978410447</v>
      </c>
      <c r="O204" s="13">
        <f>O194*$I170*MAIN!$C$16/MAIN!$Q$1</f>
        <v>197110.08746694875</v>
      </c>
      <c r="P204" s="13">
        <f>P194*$I170*MAIN!$C$16/MAIN!$Q$1</f>
        <v>227394.21667341414</v>
      </c>
      <c r="Q204" s="13">
        <f>Q194*$I170*MAIN!$C$16/MAIN!$Q$1</f>
        <v>254998.00114119667</v>
      </c>
      <c r="R204" s="13">
        <f>R194*$I170*MAIN!$C$16/MAIN!$Q$1</f>
        <v>280262.20323785237</v>
      </c>
      <c r="S204" s="13">
        <f>S194*$I170*MAIN!$C$16/MAIN!$Q$1</f>
        <v>303472.17048521334</v>
      </c>
      <c r="T204" s="13">
        <f>T194*$I170*MAIN!$C$16/MAIN!$Q$1</f>
        <v>324868.65995973436</v>
      </c>
      <c r="U204" s="13">
        <f>U194*$I170*MAIN!$C$16/MAIN!$Q$1</f>
        <v>344656.22084078967</v>
      </c>
      <c r="V204" s="13">
        <f>V194*$I170*MAIN!$C$16/MAIN!$Q$1</f>
        <v>363009.75448029034</v>
      </c>
      <c r="W204" s="13">
        <f>W194*$I170*MAIN!$C$16/MAIN!$Q$1</f>
        <v>380079.69809867255</v>
      </c>
      <c r="X204" s="13">
        <f>X194*$I170*MAIN!$C$16/MAIN!$Q$1</f>
        <v>395996.15763192729</v>
      </c>
      <c r="Y204" s="13">
        <f>Y194*$I170*MAIN!$C$16/MAIN!$Q$1</f>
        <v>410872.23014203593</v>
      </c>
      <c r="Z204" s="13">
        <f>Z194*$I170*MAIN!$C$16/MAIN!$Q$1</f>
        <v>424806.69533387339</v>
      </c>
      <c r="AA204" s="13">
        <f>AA194*$I170*MAIN!$C$16/MAIN!$Q$1</f>
        <v>437886.21165819286</v>
      </c>
      <c r="AB204" s="13">
        <f>AB194*$I170*MAIN!$C$16/MAIN!$Q$1</f>
        <v>450187.12022056169</v>
      </c>
      <c r="AC204" s="13">
        <f>AC194*$I170*MAIN!$C$16/MAIN!$Q$1</f>
        <v>461776.93584830652</v>
      </c>
      <c r="AD204" s="13">
        <f>AD194*$I170*MAIN!$C$16/MAIN!$Q$1</f>
        <v>472715.58683420194</v>
      </c>
      <c r="AE204" s="13">
        <f>AE194*$I170*MAIN!$C$16/MAIN!$Q$1</f>
        <v>483056.45142788196</v>
      </c>
      <c r="AF204" s="13">
        <f>AF194*$I170*MAIN!$C$16/MAIN!$Q$1</f>
        <v>492847.22891732218</v>
      </c>
      <c r="AG204" s="13">
        <f>AG194*$I170*MAIN!$C$16/MAIN!$Q$1</f>
        <v>502130.67529919714</v>
      </c>
      <c r="AH204" s="13">
        <f>AH194*$I170*MAIN!$C$16/MAIN!$Q$1</f>
        <v>510945.22747611976</v>
      </c>
      <c r="AI204" s="13">
        <f>AI194*$I170*MAIN!$C$16/MAIN!$Q$1</f>
        <v>517880.16636219929</v>
      </c>
      <c r="AJ204" s="13">
        <f>AJ194*$I170*MAIN!$C$16/MAIN!$Q$1</f>
        <v>517880.16636219929</v>
      </c>
      <c r="AK204" s="13">
        <f>AK194*$I170*MAIN!$C$16/MAIN!$Q$1</f>
        <v>517880.16636219929</v>
      </c>
      <c r="AL204" s="13">
        <f>AL194*$I170*MAIN!$C$16/MAIN!$Q$1</f>
        <v>517880.16636219929</v>
      </c>
      <c r="AM204" s="13">
        <f>AM194*$I170*MAIN!$C$16/MAIN!$Q$1</f>
        <v>517880.16636219929</v>
      </c>
      <c r="AN204" s="13">
        <f>AN194*$I170*MAIN!$C$16/MAIN!$Q$1</f>
        <v>517880.16636219929</v>
      </c>
      <c r="AO204" s="13">
        <f>AO194*$I170*MAIN!$C$16/MAIN!$Q$1</f>
        <v>517880.16636219929</v>
      </c>
      <c r="AP204" s="13">
        <f>AP194*$I170*MAIN!$C$16/MAIN!$Q$1</f>
        <v>517880.16636219929</v>
      </c>
      <c r="AQ204" s="13">
        <f>AQ194*$I170*MAIN!$C$16/MAIN!$Q$1</f>
        <v>517880.16636219929</v>
      </c>
      <c r="AR204" s="56">
        <f>AR194*$I170*MAIN!$C$16/MAIN!$Q$1</f>
        <v>517880.16636219929</v>
      </c>
      <c r="AS204" s="13">
        <f>AS194*$I170*MAIN!$C$16/MAIN!$Q$1</f>
        <v>517880.16636219929</v>
      </c>
      <c r="AT204" s="13">
        <f>AT194*$I170*MAIN!$C$16/MAIN!$Q$1</f>
        <v>517880.16636219929</v>
      </c>
      <c r="AU204" s="13">
        <f>AU194*$I170*MAIN!$C$16/MAIN!$Q$1</f>
        <v>517880.16636219929</v>
      </c>
      <c r="AV204" s="13">
        <f>AV194*$I170*MAIN!$C$16/MAIN!$Q$1</f>
        <v>517880.16636219929</v>
      </c>
      <c r="AW204" s="13">
        <f>AW194*$I170*MAIN!$C$16/MAIN!$Q$1</f>
        <v>517880.16636219929</v>
      </c>
      <c r="AX204" s="13">
        <f>AX194*$I170*MAIN!$C$16/MAIN!$Q$1</f>
        <v>517880.16636219929</v>
      </c>
      <c r="AY204" s="13">
        <f>AY194*$I170*MAIN!$C$16/MAIN!$Q$1</f>
        <v>517880.16636219929</v>
      </c>
      <c r="AZ204" s="13">
        <f>AZ194*$I170*MAIN!$C$16/MAIN!$Q$1</f>
        <v>517880.16636219929</v>
      </c>
      <c r="BA204" s="13">
        <f>BA194*$I170*MAIN!$C$16/MAIN!$Q$1</f>
        <v>517880.16636219929</v>
      </c>
      <c r="BB204" s="13">
        <f>BB194*$I170*MAIN!$C$16/MAIN!$Q$1</f>
        <v>517880.16636219929</v>
      </c>
      <c r="BC204" s="13">
        <f>BC194*$I170*MAIN!$C$16/MAIN!$Q$1</f>
        <v>517880.16636219929</v>
      </c>
      <c r="BD204" s="13">
        <f>BD194*$I170*MAIN!$C$16/MAIN!$Q$1</f>
        <v>517880.16636219929</v>
      </c>
      <c r="BE204" s="13">
        <f>BE194*$I170*MAIN!$C$16/MAIN!$Q$1</f>
        <v>517880.16636219929</v>
      </c>
      <c r="BF204" s="13">
        <f>BF194*$I170*MAIN!$C$16/MAIN!$Q$1</f>
        <v>517880.16636219929</v>
      </c>
      <c r="BG204" s="13">
        <f>BG194*$I170*MAIN!$C$16/MAIN!$Q$1</f>
        <v>517880.16636219929</v>
      </c>
      <c r="BH204" s="13">
        <f>BH194*$I170*MAIN!$C$16/MAIN!$Q$1</f>
        <v>517880.16636219929</v>
      </c>
      <c r="BI204" s="13">
        <f>BI194*$I170*MAIN!$C$16/MAIN!$Q$1</f>
        <v>517880.16636219929</v>
      </c>
      <c r="BJ204" s="13">
        <f>BJ194*$I170*MAIN!$C$16/MAIN!$Q$1</f>
        <v>517880.16636219929</v>
      </c>
      <c r="BK204" s="13">
        <f>BK194*$I170*MAIN!$C$16/MAIN!$Q$1</f>
        <v>517880.16636219929</v>
      </c>
      <c r="BL204" s="13">
        <f>BL194*$I170*MAIN!$C$16/MAIN!$Q$1</f>
        <v>517880.16636219929</v>
      </c>
      <c r="BM204" s="13">
        <f>BM194*$I170*MAIN!$C$16/MAIN!$Q$1</f>
        <v>489359.96870700148</v>
      </c>
      <c r="BN204" s="13">
        <f>BN194*$I170*MAIN!$C$16/MAIN!$Q$1</f>
        <v>471155.1222343733</v>
      </c>
      <c r="BO204" s="3">
        <f>BO194*$I170*MAIN!$C$16/MAIN!$Q$1</f>
        <v>411339.19811002363</v>
      </c>
      <c r="BS204"/>
      <c r="BT204"/>
    </row>
    <row r="205" spans="2:72" ht="16.5">
      <c r="B205" s="14">
        <v>2</v>
      </c>
      <c r="C205" s="298" t="s">
        <v>66</v>
      </c>
      <c r="D205" s="3">
        <f>D195*$I170*2/MAIN!$Q$1</f>
        <v>0</v>
      </c>
      <c r="E205" s="13">
        <f>E195*$I170*2/MAIN!$Q$1</f>
        <v>0</v>
      </c>
      <c r="F205" s="13">
        <f>F195*$I170*2/MAIN!$Q$1</f>
        <v>0</v>
      </c>
      <c r="G205" s="13">
        <f>G195*$I170*2/MAIN!$Q$1</f>
        <v>0</v>
      </c>
      <c r="H205" s="13">
        <f>H195*$I170*2/MAIN!$Q$1</f>
        <v>0</v>
      </c>
      <c r="I205" s="13">
        <f>I195*$I170*2/MAIN!$Q$1</f>
        <v>0</v>
      </c>
      <c r="J205" s="13">
        <f>J195*$I170*2/MAIN!$Q$1</f>
        <v>0</v>
      </c>
      <c r="K205" s="13">
        <f>K195*$I170*2/MAIN!$Q$1</f>
        <v>0</v>
      </c>
      <c r="L205" s="13">
        <f>L195*$I170*2/MAIN!$Q$1</f>
        <v>0</v>
      </c>
      <c r="M205" s="13">
        <f>M195*$I170*2/MAIN!$Q$1</f>
        <v>0</v>
      </c>
      <c r="N205" s="13">
        <f>N195*$I170*2/MAIN!$Q$1</f>
        <v>0</v>
      </c>
      <c r="O205" s="13">
        <f>O195*$I170*2/MAIN!$Q$1</f>
        <v>0</v>
      </c>
      <c r="P205" s="13">
        <f>P195*$I170*2/MAIN!$Q$1</f>
        <v>0</v>
      </c>
      <c r="Q205" s="13">
        <f>Q195*$I170*2/MAIN!$Q$1</f>
        <v>0</v>
      </c>
      <c r="R205" s="13">
        <f>R195*$I170*2/MAIN!$Q$1</f>
        <v>0</v>
      </c>
      <c r="S205" s="13">
        <f>S195*$I170*2/MAIN!$Q$1</f>
        <v>0</v>
      </c>
      <c r="T205" s="13">
        <f>T195*$I170*2/MAIN!$Q$1</f>
        <v>0</v>
      </c>
      <c r="U205" s="13">
        <f>U195*$I170*2/MAIN!$Q$1</f>
        <v>0</v>
      </c>
      <c r="V205" s="13">
        <f>V195*$I170*2/MAIN!$Q$1</f>
        <v>0</v>
      </c>
      <c r="W205" s="13">
        <f>W195*$I170*2/MAIN!$Q$1</f>
        <v>0</v>
      </c>
      <c r="X205" s="13">
        <f>X195*$I170*2/MAIN!$Q$1</f>
        <v>0</v>
      </c>
      <c r="Y205" s="13">
        <f>Y195*$I170*2/MAIN!$Q$1</f>
        <v>0</v>
      </c>
      <c r="Z205" s="13">
        <f>Z195*$I170*2/MAIN!$Q$1</f>
        <v>0</v>
      </c>
      <c r="AA205" s="13">
        <f>AA195*$I170*2/MAIN!$Q$1</f>
        <v>0</v>
      </c>
      <c r="AB205" s="13">
        <f>AB195*$I170*2/MAIN!$Q$1</f>
        <v>0</v>
      </c>
      <c r="AC205" s="13">
        <f>AC195*$I170*2/MAIN!$Q$1</f>
        <v>0</v>
      </c>
      <c r="AD205" s="13">
        <f>AD195*$I170*2/MAIN!$Q$1</f>
        <v>0</v>
      </c>
      <c r="AE205" s="13">
        <f>AE195*$I170*2/MAIN!$Q$1</f>
        <v>0</v>
      </c>
      <c r="AF205" s="13">
        <f>AF195*$I170*2/MAIN!$Q$1</f>
        <v>0</v>
      </c>
      <c r="AG205" s="13">
        <f>AG195*$I170*2/MAIN!$Q$1</f>
        <v>0</v>
      </c>
      <c r="AH205" s="13">
        <f>AH195*$I170*2/MAIN!$Q$1</f>
        <v>0</v>
      </c>
      <c r="AI205" s="13">
        <f>AI195*$I170*2/MAIN!$Q$1</f>
        <v>0</v>
      </c>
      <c r="AJ205" s="13">
        <f>AJ195*$I170*2/MAIN!$Q$1</f>
        <v>0</v>
      </c>
      <c r="AK205" s="13">
        <f>AK195*$I170*2/MAIN!$Q$1</f>
        <v>0</v>
      </c>
      <c r="AL205" s="13">
        <f>AL195*$I170*2/MAIN!$Q$1</f>
        <v>0</v>
      </c>
      <c r="AM205" s="13">
        <f>AM195*$I170*2/MAIN!$Q$1</f>
        <v>0</v>
      </c>
      <c r="AN205" s="13">
        <f>AN195*$I170*2/MAIN!$Q$1</f>
        <v>0</v>
      </c>
      <c r="AO205" s="13">
        <f>AO195*$I170*2/MAIN!$Q$1</f>
        <v>0</v>
      </c>
      <c r="AP205" s="13">
        <f>AP195*$I170*2/MAIN!$Q$1</f>
        <v>0</v>
      </c>
      <c r="AQ205" s="13">
        <f>AQ195*$I170*2/MAIN!$Q$1</f>
        <v>0</v>
      </c>
      <c r="AR205" s="56">
        <f>AR195*$I170*2/MAIN!$Q$1</f>
        <v>0</v>
      </c>
      <c r="AS205" s="13">
        <f>AS195*$I170*2/MAIN!$Q$1</f>
        <v>0</v>
      </c>
      <c r="AT205" s="13">
        <f>AT195*$I170*2/MAIN!$Q$1</f>
        <v>0</v>
      </c>
      <c r="AU205" s="13">
        <f>AU195*$I170*2/MAIN!$Q$1</f>
        <v>0</v>
      </c>
      <c r="AV205" s="13">
        <f>AV195*$I170*2/MAIN!$Q$1</f>
        <v>0</v>
      </c>
      <c r="AW205" s="13">
        <f>AW195*$I170*2/MAIN!$Q$1</f>
        <v>0</v>
      </c>
      <c r="AX205" s="13">
        <f>AX195*$I170*2/MAIN!$Q$1</f>
        <v>0</v>
      </c>
      <c r="AY205" s="13">
        <f>AY195*$I170*2/MAIN!$Q$1</f>
        <v>0</v>
      </c>
      <c r="AZ205" s="13">
        <f>AZ195*$I170*2/MAIN!$Q$1</f>
        <v>0</v>
      </c>
      <c r="BA205" s="13">
        <f>BA195*$I170*2/MAIN!$Q$1</f>
        <v>0</v>
      </c>
      <c r="BB205" s="13">
        <f>BB195*$I170*2/MAIN!$Q$1</f>
        <v>0</v>
      </c>
      <c r="BC205" s="13">
        <f>BC195*$I170*2/MAIN!$Q$1</f>
        <v>0</v>
      </c>
      <c r="BD205" s="13">
        <f>BD195*$I170*2/MAIN!$Q$1</f>
        <v>0</v>
      </c>
      <c r="BE205" s="13">
        <f>BE195*$I170*2/MAIN!$Q$1</f>
        <v>0</v>
      </c>
      <c r="BF205" s="13">
        <f>BF195*$I170*2/MAIN!$Q$1</f>
        <v>0</v>
      </c>
      <c r="BG205" s="13">
        <f>BG195*$I170*2/MAIN!$Q$1</f>
        <v>0</v>
      </c>
      <c r="BH205" s="13">
        <f>BH195*$I170*2/MAIN!$Q$1</f>
        <v>0</v>
      </c>
      <c r="BI205" s="13">
        <f>BI195*$I170*2/MAIN!$Q$1</f>
        <v>0</v>
      </c>
      <c r="BJ205" s="13">
        <f>BJ195*$I170*2/MAIN!$Q$1</f>
        <v>0</v>
      </c>
      <c r="BK205" s="13">
        <f>BK195*$I170*2/MAIN!$Q$1</f>
        <v>0</v>
      </c>
      <c r="BL205" s="13">
        <f>BL195*$I170*2/MAIN!$Q$1</f>
        <v>0</v>
      </c>
      <c r="BM205" s="13">
        <f>BM195*$I170*2/MAIN!$Q$1</f>
        <v>0</v>
      </c>
      <c r="BN205" s="13">
        <f>BN195*$I170*2/MAIN!$Q$1</f>
        <v>0</v>
      </c>
      <c r="BO205" s="3">
        <f>BO195*$I170*2/MAIN!$Q$1</f>
        <v>0</v>
      </c>
      <c r="BP205" s="43"/>
      <c r="BQ205" s="43"/>
      <c r="BR205" s="42"/>
      <c r="BS205"/>
      <c r="BT205"/>
    </row>
    <row r="206" spans="2:72" ht="16.5">
      <c r="B206" s="14">
        <f t="shared" ref="B206:B212" si="147">1+B205</f>
        <v>3</v>
      </c>
      <c r="C206" s="298" t="s">
        <v>66</v>
      </c>
      <c r="D206" s="3">
        <f>D196*$I170*2/MAIN!$Q$1</f>
        <v>0</v>
      </c>
      <c r="E206" s="13">
        <f>E196*$I170*2/MAIN!$Q$1</f>
        <v>0</v>
      </c>
      <c r="F206" s="13">
        <f>F196*$I170*2/MAIN!$Q$1</f>
        <v>0</v>
      </c>
      <c r="G206" s="13">
        <f>G196*$I170*2/MAIN!$Q$1</f>
        <v>0</v>
      </c>
      <c r="H206" s="13">
        <f>H196*$I170*2/MAIN!$Q$1</f>
        <v>0</v>
      </c>
      <c r="I206" s="13">
        <f>I196*$I170*2/MAIN!$Q$1</f>
        <v>0</v>
      </c>
      <c r="J206" s="13">
        <f>J196*$I170*2/MAIN!$Q$1</f>
        <v>0</v>
      </c>
      <c r="K206" s="13">
        <f>K196*$I170*2/MAIN!$Q$1</f>
        <v>0</v>
      </c>
      <c r="L206" s="13">
        <f>L196*$I170*2/MAIN!$Q$1</f>
        <v>0</v>
      </c>
      <c r="M206" s="13">
        <f>M196*$I170*2/MAIN!$Q$1</f>
        <v>0</v>
      </c>
      <c r="N206" s="13">
        <f>N196*$I170*2/MAIN!$Q$1</f>
        <v>0</v>
      </c>
      <c r="O206" s="13">
        <f>O196*$I170*2/MAIN!$Q$1</f>
        <v>0</v>
      </c>
      <c r="P206" s="13">
        <f>P196*$I170*2/MAIN!$Q$1</f>
        <v>0</v>
      </c>
      <c r="Q206" s="13">
        <f>Q196*$I170*2/MAIN!$Q$1</f>
        <v>0</v>
      </c>
      <c r="R206" s="13">
        <f>R196*$I170*2/MAIN!$Q$1</f>
        <v>0</v>
      </c>
      <c r="S206" s="13">
        <f>S196*$I170*2/MAIN!$Q$1</f>
        <v>0</v>
      </c>
      <c r="T206" s="13">
        <f>T196*$I170*2/MAIN!$Q$1</f>
        <v>0</v>
      </c>
      <c r="U206" s="13">
        <f>U196*$I170*2/MAIN!$Q$1</f>
        <v>0</v>
      </c>
      <c r="V206" s="13">
        <f>V196*$I170*2/MAIN!$Q$1</f>
        <v>0</v>
      </c>
      <c r="W206" s="13">
        <f>W196*$I170*2/MAIN!$Q$1</f>
        <v>0</v>
      </c>
      <c r="X206" s="13">
        <f>X196*$I170*2/MAIN!$Q$1</f>
        <v>0</v>
      </c>
      <c r="Y206" s="13">
        <f>Y196*$I170*2/MAIN!$Q$1</f>
        <v>0</v>
      </c>
      <c r="Z206" s="13">
        <f>Z196*$I170*2/MAIN!$Q$1</f>
        <v>0</v>
      </c>
      <c r="AA206" s="13">
        <f>AA196*$I170*2/MAIN!$Q$1</f>
        <v>0</v>
      </c>
      <c r="AB206" s="13">
        <f>AB196*$I170*2/MAIN!$Q$1</f>
        <v>0</v>
      </c>
      <c r="AC206" s="13">
        <f>AC196*$I170*2/MAIN!$Q$1</f>
        <v>0</v>
      </c>
      <c r="AD206" s="13">
        <f>AD196*$I170*2/MAIN!$Q$1</f>
        <v>0</v>
      </c>
      <c r="AE206" s="13">
        <f>AE196*$I170*2/MAIN!$Q$1</f>
        <v>0</v>
      </c>
      <c r="AF206" s="13">
        <f>AF196*$I170*2/MAIN!$Q$1</f>
        <v>0</v>
      </c>
      <c r="AG206" s="13">
        <f>AG196*$I170*2/MAIN!$Q$1</f>
        <v>0</v>
      </c>
      <c r="AH206" s="13">
        <f>AH196*$I170*2/MAIN!$Q$1</f>
        <v>0</v>
      </c>
      <c r="AI206" s="13">
        <f>AI196*$I170*2/MAIN!$Q$1</f>
        <v>0</v>
      </c>
      <c r="AJ206" s="13">
        <f>AJ196*$I170*2/MAIN!$Q$1</f>
        <v>0</v>
      </c>
      <c r="AK206" s="13">
        <f>AK196*$I170*2/MAIN!$Q$1</f>
        <v>0</v>
      </c>
      <c r="AL206" s="13">
        <f>AL196*$I170*2/MAIN!$Q$1</f>
        <v>0</v>
      </c>
      <c r="AM206" s="13">
        <f>AM196*$I170*2/MAIN!$Q$1</f>
        <v>0</v>
      </c>
      <c r="AN206" s="13">
        <f>AN196*$I170*2/MAIN!$Q$1</f>
        <v>0</v>
      </c>
      <c r="AO206" s="13">
        <f>AO196*$I170*2/MAIN!$Q$1</f>
        <v>0</v>
      </c>
      <c r="AP206" s="13">
        <f>AP196*$I170*2/MAIN!$Q$1</f>
        <v>0</v>
      </c>
      <c r="AQ206" s="13">
        <f>AQ196*$I170*2/MAIN!$Q$1</f>
        <v>0</v>
      </c>
      <c r="AR206" s="59">
        <f>AR196*$I170*2/MAIN!$Q$1</f>
        <v>0</v>
      </c>
      <c r="AS206" s="13">
        <f>AS196*$I170*2/MAIN!$Q$1</f>
        <v>0</v>
      </c>
      <c r="AT206" s="13">
        <f>AT196*$I170*2/MAIN!$Q$1</f>
        <v>0</v>
      </c>
      <c r="AU206" s="13">
        <f>AU196*$I170*2/MAIN!$Q$1</f>
        <v>0</v>
      </c>
      <c r="AV206" s="13">
        <f>AV196*$I170*2/MAIN!$Q$1</f>
        <v>0</v>
      </c>
      <c r="AW206" s="13">
        <f>AW196*$I170*2/MAIN!$Q$1</f>
        <v>0</v>
      </c>
      <c r="AX206" s="13">
        <f>AX196*$I170*2/MAIN!$Q$1</f>
        <v>0</v>
      </c>
      <c r="AY206" s="13">
        <f>AY196*$I170*2/MAIN!$Q$1</f>
        <v>0</v>
      </c>
      <c r="AZ206" s="13">
        <f>AZ196*$I170*2/MAIN!$Q$1</f>
        <v>0</v>
      </c>
      <c r="BA206" s="13">
        <f>BA196*$I170*2/MAIN!$Q$1</f>
        <v>0</v>
      </c>
      <c r="BB206" s="13">
        <f>BB196*$I170*2/MAIN!$Q$1</f>
        <v>0</v>
      </c>
      <c r="BC206" s="13">
        <f>BC196*$I170*2/MAIN!$Q$1</f>
        <v>0</v>
      </c>
      <c r="BD206" s="13">
        <f>BD196*$I170*2/MAIN!$Q$1</f>
        <v>0</v>
      </c>
      <c r="BE206" s="13">
        <f>BE196*$I170*2/MAIN!$Q$1</f>
        <v>0</v>
      </c>
      <c r="BF206" s="13">
        <f>BF196*$I170*2/MAIN!$Q$1</f>
        <v>0</v>
      </c>
      <c r="BG206" s="13">
        <f>BG196*$I170*2/MAIN!$Q$1</f>
        <v>0</v>
      </c>
      <c r="BH206" s="13">
        <f>BH196*$I170*2/MAIN!$Q$1</f>
        <v>0</v>
      </c>
      <c r="BI206" s="13">
        <f>BI196*$I170*2/MAIN!$Q$1</f>
        <v>0</v>
      </c>
      <c r="BJ206" s="13">
        <f>BJ196*$I170*2/MAIN!$Q$1</f>
        <v>0</v>
      </c>
      <c r="BK206" s="13">
        <f>BK196*$I170*2/MAIN!$Q$1</f>
        <v>0</v>
      </c>
      <c r="BL206" s="13">
        <f>BL196*$I170*2/MAIN!$Q$1</f>
        <v>0</v>
      </c>
      <c r="BM206" s="13">
        <f>BM196*$I170*2/MAIN!$Q$1</f>
        <v>0</v>
      </c>
      <c r="BN206" s="13">
        <f>BN196*$I170*2/MAIN!$Q$1</f>
        <v>0</v>
      </c>
      <c r="BO206" s="3">
        <f>BO196*$I170*2/MAIN!$Q$1</f>
        <v>0</v>
      </c>
      <c r="BP206" s="43"/>
      <c r="BQ206" s="43"/>
      <c r="BR206" s="42"/>
      <c r="BS206"/>
      <c r="BT206"/>
    </row>
    <row r="207" spans="2:72" ht="16.5">
      <c r="B207" s="14">
        <f t="shared" si="147"/>
        <v>4</v>
      </c>
      <c r="C207" s="298" t="s">
        <v>66</v>
      </c>
      <c r="D207" s="3">
        <f>D197*$I170*2/MAIN!$Q$1</f>
        <v>0</v>
      </c>
      <c r="E207" s="13">
        <f>E197*$I170*2/MAIN!$Q$1</f>
        <v>0</v>
      </c>
      <c r="F207" s="13">
        <f>F197*$I170*2/MAIN!$Q$1</f>
        <v>0</v>
      </c>
      <c r="G207" s="13">
        <f>G197*$I170*2/MAIN!$Q$1</f>
        <v>0</v>
      </c>
      <c r="H207" s="13">
        <f>H197*$I170*2/MAIN!$Q$1</f>
        <v>0</v>
      </c>
      <c r="I207" s="13">
        <f>I197*$I170*2/MAIN!$Q$1</f>
        <v>0</v>
      </c>
      <c r="J207" s="13">
        <f>J197*$I170*2/MAIN!$Q$1</f>
        <v>0</v>
      </c>
      <c r="K207" s="13">
        <f>K197*$I170*2/MAIN!$Q$1</f>
        <v>0</v>
      </c>
      <c r="L207" s="13">
        <f>L197*$I170*2/MAIN!$Q$1</f>
        <v>0</v>
      </c>
      <c r="M207" s="13">
        <f>M197*$I170*2/MAIN!$Q$1</f>
        <v>0</v>
      </c>
      <c r="N207" s="13">
        <f>N197*$I170*2/MAIN!$Q$1</f>
        <v>0</v>
      </c>
      <c r="O207" s="13">
        <f>O197*$I170*2/MAIN!$Q$1</f>
        <v>0</v>
      </c>
      <c r="P207" s="13">
        <f>P197*$I170*2/MAIN!$Q$1</f>
        <v>0</v>
      </c>
      <c r="Q207" s="13">
        <f>Q197*$I170*2/MAIN!$Q$1</f>
        <v>0</v>
      </c>
      <c r="R207" s="13">
        <f>R197*$I170*2/MAIN!$Q$1</f>
        <v>0</v>
      </c>
      <c r="S207" s="13">
        <f>S197*$I170*2/MAIN!$Q$1</f>
        <v>0</v>
      </c>
      <c r="T207" s="13">
        <f>T197*$I170*2/MAIN!$Q$1</f>
        <v>0</v>
      </c>
      <c r="U207" s="13">
        <f>U197*$I170*2/MAIN!$Q$1</f>
        <v>0</v>
      </c>
      <c r="V207" s="13">
        <f>V197*$I170*2/MAIN!$Q$1</f>
        <v>0</v>
      </c>
      <c r="W207" s="13">
        <f>W197*$I170*2/MAIN!$Q$1</f>
        <v>0</v>
      </c>
      <c r="X207" s="13">
        <f>X197*$I170*2/MAIN!$Q$1</f>
        <v>0</v>
      </c>
      <c r="Y207" s="13">
        <f>Y197*$I170*2/MAIN!$Q$1</f>
        <v>0</v>
      </c>
      <c r="Z207" s="13">
        <f>Z197*$I170*2/MAIN!$Q$1</f>
        <v>0</v>
      </c>
      <c r="AA207" s="13">
        <f>AA197*$I170*2/MAIN!$Q$1</f>
        <v>0</v>
      </c>
      <c r="AB207" s="13">
        <f>AB197*$I170*2/MAIN!$Q$1</f>
        <v>0</v>
      </c>
      <c r="AC207" s="13">
        <f>AC197*$I170*2/MAIN!$Q$1</f>
        <v>0</v>
      </c>
      <c r="AD207" s="13">
        <f>AD197*$I170*2/MAIN!$Q$1</f>
        <v>0</v>
      </c>
      <c r="AE207" s="13">
        <f>AE197*$I170*2/MAIN!$Q$1</f>
        <v>0</v>
      </c>
      <c r="AF207" s="13">
        <f>AF197*$I170*2/MAIN!$Q$1</f>
        <v>0</v>
      </c>
      <c r="AG207" s="13">
        <f>AG197*$I170*2/MAIN!$Q$1</f>
        <v>0</v>
      </c>
      <c r="AH207" s="13">
        <f>AH197*$I170*2/MAIN!$Q$1</f>
        <v>0</v>
      </c>
      <c r="AI207" s="13">
        <f>AI197*$I170*2/MAIN!$Q$1</f>
        <v>0</v>
      </c>
      <c r="AJ207" s="13">
        <f>AJ197*$I170*2/MAIN!$Q$1</f>
        <v>0</v>
      </c>
      <c r="AK207" s="13">
        <f>AK197*$I170*2/MAIN!$Q$1</f>
        <v>0</v>
      </c>
      <c r="AL207" s="13">
        <f>AL197*$I170*2/MAIN!$Q$1</f>
        <v>0</v>
      </c>
      <c r="AM207" s="13">
        <f>AM197*$I170*2/MAIN!$Q$1</f>
        <v>0</v>
      </c>
      <c r="AN207" s="13">
        <f>AN197*$I170*2/MAIN!$Q$1</f>
        <v>0</v>
      </c>
      <c r="AO207" s="13">
        <f>AO197*$I170*2/MAIN!$Q$1</f>
        <v>0</v>
      </c>
      <c r="AP207" s="13">
        <f>AP197*$I170*2/MAIN!$Q$1</f>
        <v>0</v>
      </c>
      <c r="AQ207" s="13">
        <f>AQ197*$I170*2/MAIN!$Q$1</f>
        <v>0</v>
      </c>
      <c r="AR207" s="59">
        <f>AR197*$I170*2/MAIN!$Q$1</f>
        <v>0</v>
      </c>
      <c r="AS207" s="13">
        <f>AS197*$I170*2/MAIN!$Q$1</f>
        <v>0</v>
      </c>
      <c r="AT207" s="13">
        <f>AT197*$I170*2/MAIN!$Q$1</f>
        <v>0</v>
      </c>
      <c r="AU207" s="13">
        <f>AU197*$I170*2/MAIN!$Q$1</f>
        <v>0</v>
      </c>
      <c r="AV207" s="13">
        <f>AV197*$I170*2/MAIN!$Q$1</f>
        <v>0</v>
      </c>
      <c r="AW207" s="13">
        <f>AW197*$I170*2/MAIN!$Q$1</f>
        <v>0</v>
      </c>
      <c r="AX207" s="13">
        <f>AX197*$I170*2/MAIN!$Q$1</f>
        <v>0</v>
      </c>
      <c r="AY207" s="13">
        <f>AY197*$I170*2/MAIN!$Q$1</f>
        <v>0</v>
      </c>
      <c r="AZ207" s="13">
        <f>AZ197*$I170*2/MAIN!$Q$1</f>
        <v>0</v>
      </c>
      <c r="BA207" s="13">
        <f>BA197*$I170*2/MAIN!$Q$1</f>
        <v>0</v>
      </c>
      <c r="BB207" s="13">
        <f>BB197*$I170*2/MAIN!$Q$1</f>
        <v>0</v>
      </c>
      <c r="BC207" s="13">
        <f>BC197*$I170*2/MAIN!$Q$1</f>
        <v>0</v>
      </c>
      <c r="BD207" s="13">
        <f>BD197*$I170*2/MAIN!$Q$1</f>
        <v>0</v>
      </c>
      <c r="BE207" s="13">
        <f>BE197*$I170*2/MAIN!$Q$1</f>
        <v>0</v>
      </c>
      <c r="BF207" s="13">
        <f>BF197*$I170*2/MAIN!$Q$1</f>
        <v>0</v>
      </c>
      <c r="BG207" s="13">
        <f>BG197*$I170*2/MAIN!$Q$1</f>
        <v>0</v>
      </c>
      <c r="BH207" s="13">
        <f>BH197*$I170*2/MAIN!$Q$1</f>
        <v>0</v>
      </c>
      <c r="BI207" s="13">
        <f>BI197*$I170*2/MAIN!$Q$1</f>
        <v>0</v>
      </c>
      <c r="BJ207" s="13">
        <f>BJ197*$I170*2/MAIN!$Q$1</f>
        <v>0</v>
      </c>
      <c r="BK207" s="13">
        <f>BK197*$I170*2/MAIN!$Q$1</f>
        <v>0</v>
      </c>
      <c r="BL207" s="13">
        <f>BL197*$I170*2/MAIN!$Q$1</f>
        <v>0</v>
      </c>
      <c r="BM207" s="13">
        <f>BM197*$I170*2/MAIN!$Q$1</f>
        <v>0</v>
      </c>
      <c r="BN207" s="13">
        <f>BN197*$I170*2/MAIN!$Q$1</f>
        <v>0</v>
      </c>
      <c r="BO207" s="3">
        <f>BO197*$I170*2/MAIN!$Q$1</f>
        <v>0</v>
      </c>
      <c r="BP207" s="43"/>
      <c r="BQ207" s="43"/>
      <c r="BR207" s="42"/>
      <c r="BS207"/>
      <c r="BT207"/>
    </row>
    <row r="208" spans="2:72" ht="16.5">
      <c r="B208" s="14">
        <f t="shared" si="147"/>
        <v>5</v>
      </c>
      <c r="C208" s="298" t="s">
        <v>66</v>
      </c>
      <c r="D208" s="3">
        <f>D198*$I170*2/MAIN!$Q$1</f>
        <v>0</v>
      </c>
      <c r="E208" s="13">
        <f>E198*$I170*2/MAIN!$Q$1</f>
        <v>0</v>
      </c>
      <c r="F208" s="13">
        <f>F198*$I170*2/MAIN!$Q$1</f>
        <v>0</v>
      </c>
      <c r="G208" s="13">
        <f>G198*$I170*2/MAIN!$Q$1</f>
        <v>0</v>
      </c>
      <c r="H208" s="13">
        <f>H198*$I170*2/MAIN!$Q$1</f>
        <v>0</v>
      </c>
      <c r="I208" s="13">
        <f>I198*$I170*2/MAIN!$Q$1</f>
        <v>0</v>
      </c>
      <c r="J208" s="13">
        <f>J198*$I170*2/MAIN!$Q$1</f>
        <v>0</v>
      </c>
      <c r="K208" s="13">
        <f>K198*$I170*2/MAIN!$Q$1</f>
        <v>0</v>
      </c>
      <c r="L208" s="13">
        <f>L198*$I170*2/MAIN!$Q$1</f>
        <v>0</v>
      </c>
      <c r="M208" s="13">
        <f>M198*$I170*2/MAIN!$Q$1</f>
        <v>0</v>
      </c>
      <c r="N208" s="13">
        <f>N198*$I170*2/MAIN!$Q$1</f>
        <v>0</v>
      </c>
      <c r="O208" s="13">
        <f>O198*$I170*2/MAIN!$Q$1</f>
        <v>0</v>
      </c>
      <c r="P208" s="13">
        <f>P198*$I170*2/MAIN!$Q$1</f>
        <v>0</v>
      </c>
      <c r="Q208" s="13">
        <f>Q198*$I170*2/MAIN!$Q$1</f>
        <v>0</v>
      </c>
      <c r="R208" s="13">
        <f>R198*$I170*2/MAIN!$Q$1</f>
        <v>0</v>
      </c>
      <c r="S208" s="13">
        <f>S198*$I170*2/MAIN!$Q$1</f>
        <v>0</v>
      </c>
      <c r="T208" s="13">
        <f>T198*$I170*2/MAIN!$Q$1</f>
        <v>0</v>
      </c>
      <c r="U208" s="13">
        <f>U198*$I170*2/MAIN!$Q$1</f>
        <v>0</v>
      </c>
      <c r="V208" s="13">
        <f>V198*$I170*2/MAIN!$Q$1</f>
        <v>0</v>
      </c>
      <c r="W208" s="13">
        <f>W198*$I170*2/MAIN!$Q$1</f>
        <v>0</v>
      </c>
      <c r="X208" s="13">
        <f>X198*$I170*2/MAIN!$Q$1</f>
        <v>0</v>
      </c>
      <c r="Y208" s="13">
        <f>Y198*$I170*2/MAIN!$Q$1</f>
        <v>0</v>
      </c>
      <c r="Z208" s="13">
        <f>Z198*$I170*2/MAIN!$Q$1</f>
        <v>0</v>
      </c>
      <c r="AA208" s="13">
        <f>AA198*$I170*2/MAIN!$Q$1</f>
        <v>0</v>
      </c>
      <c r="AB208" s="13">
        <f>AB198*$I170*2/MAIN!$Q$1</f>
        <v>0</v>
      </c>
      <c r="AC208" s="13">
        <f>AC198*$I170*2/MAIN!$Q$1</f>
        <v>0</v>
      </c>
      <c r="AD208" s="13">
        <f>AD198*$I170*2/MAIN!$Q$1</f>
        <v>0</v>
      </c>
      <c r="AE208" s="13">
        <f>AE198*$I170*2/MAIN!$Q$1</f>
        <v>0</v>
      </c>
      <c r="AF208" s="13">
        <f>AF198*$I170*2/MAIN!$Q$1</f>
        <v>0</v>
      </c>
      <c r="AG208" s="13">
        <f>AG198*$I170*2/MAIN!$Q$1</f>
        <v>0</v>
      </c>
      <c r="AH208" s="13">
        <f>AH198*$I170*2/MAIN!$Q$1</f>
        <v>0</v>
      </c>
      <c r="AI208" s="13">
        <f>AI198*$I170*2/MAIN!$Q$1</f>
        <v>0</v>
      </c>
      <c r="AJ208" s="13">
        <f>AJ198*$I170*2/MAIN!$Q$1</f>
        <v>0</v>
      </c>
      <c r="AK208" s="13">
        <f>AK198*$I170*2/MAIN!$Q$1</f>
        <v>0</v>
      </c>
      <c r="AL208" s="13">
        <f>AL198*$I170*2/MAIN!$Q$1</f>
        <v>0</v>
      </c>
      <c r="AM208" s="13">
        <f>AM198*$I170*2/MAIN!$Q$1</f>
        <v>0</v>
      </c>
      <c r="AN208" s="13">
        <f>AN198*$I170*2/MAIN!$Q$1</f>
        <v>0</v>
      </c>
      <c r="AO208" s="13">
        <f>AO198*$I170*2/MAIN!$Q$1</f>
        <v>0</v>
      </c>
      <c r="AP208" s="13">
        <f>AP198*$I170*2/MAIN!$Q$1</f>
        <v>0</v>
      </c>
      <c r="AQ208" s="13">
        <f>AQ198*$I170*2/MAIN!$Q$1</f>
        <v>0</v>
      </c>
      <c r="AR208" s="59">
        <f>AR198*$I170*2/MAIN!$Q$1</f>
        <v>0</v>
      </c>
      <c r="AS208" s="13">
        <f>AS198*$I170*2/MAIN!$Q$1</f>
        <v>0</v>
      </c>
      <c r="AT208" s="13">
        <f>AT198*$I170*2/MAIN!$Q$1</f>
        <v>0</v>
      </c>
      <c r="AU208" s="13">
        <f>AU198*$I170*2/MAIN!$Q$1</f>
        <v>0</v>
      </c>
      <c r="AV208" s="13">
        <f>AV198*$I170*2/MAIN!$Q$1</f>
        <v>0</v>
      </c>
      <c r="AW208" s="13">
        <f>AW198*$I170*2/MAIN!$Q$1</f>
        <v>0</v>
      </c>
      <c r="AX208" s="13">
        <f>AX198*$I170*2/MAIN!$Q$1</f>
        <v>0</v>
      </c>
      <c r="AY208" s="13">
        <f>AY198*$I170*2/MAIN!$Q$1</f>
        <v>0</v>
      </c>
      <c r="AZ208" s="13">
        <f>AZ198*$I170*2/MAIN!$Q$1</f>
        <v>0</v>
      </c>
      <c r="BA208" s="13">
        <f>BA198*$I170*2/MAIN!$Q$1</f>
        <v>0</v>
      </c>
      <c r="BB208" s="13">
        <f>BB198*$I170*2/MAIN!$Q$1</f>
        <v>0</v>
      </c>
      <c r="BC208" s="13">
        <f>BC198*$I170*2/MAIN!$Q$1</f>
        <v>0</v>
      </c>
      <c r="BD208" s="13">
        <f>BD198*$I170*2/MAIN!$Q$1</f>
        <v>0</v>
      </c>
      <c r="BE208" s="13">
        <f>BE198*$I170*2/MAIN!$Q$1</f>
        <v>0</v>
      </c>
      <c r="BF208" s="13">
        <f>BF198*$I170*2/MAIN!$Q$1</f>
        <v>0</v>
      </c>
      <c r="BG208" s="13">
        <f>BG198*$I170*2/MAIN!$Q$1</f>
        <v>0</v>
      </c>
      <c r="BH208" s="13">
        <f>BH198*$I170*2/MAIN!$Q$1</f>
        <v>0</v>
      </c>
      <c r="BI208" s="13">
        <f>BI198*$I170*2/MAIN!$Q$1</f>
        <v>0</v>
      </c>
      <c r="BJ208" s="13">
        <f>BJ198*$I170*2/MAIN!$Q$1</f>
        <v>0</v>
      </c>
      <c r="BK208" s="13">
        <f>BK198*$I170*2/MAIN!$Q$1</f>
        <v>0</v>
      </c>
      <c r="BL208" s="13">
        <f>BL198*$I170*2/MAIN!$Q$1</f>
        <v>0</v>
      </c>
      <c r="BM208" s="13">
        <f>BM198*$I170*2/MAIN!$Q$1</f>
        <v>0</v>
      </c>
      <c r="BN208" s="13">
        <f>BN198*$I170*2/MAIN!$Q$1</f>
        <v>0</v>
      </c>
      <c r="BO208" s="3">
        <f>BO198*$I170*2/MAIN!$Q$1</f>
        <v>0</v>
      </c>
      <c r="BP208" s="43"/>
      <c r="BQ208" s="43"/>
      <c r="BR208" s="42"/>
      <c r="BS208"/>
      <c r="BT208"/>
    </row>
    <row r="209" spans="1:72" ht="16.5">
      <c r="B209" s="14">
        <f t="shared" si="147"/>
        <v>6</v>
      </c>
      <c r="C209" s="298" t="s">
        <v>66</v>
      </c>
      <c r="D209" s="3">
        <f>D199*$I170*2/MAIN!$Q$1</f>
        <v>0</v>
      </c>
      <c r="E209" s="13">
        <f>E199*$I170*2/MAIN!$Q$1</f>
        <v>0</v>
      </c>
      <c r="F209" s="13">
        <f>F199*$I170*2/MAIN!$Q$1</f>
        <v>0</v>
      </c>
      <c r="G209" s="13">
        <f>G199*$I170*2/MAIN!$Q$1</f>
        <v>0</v>
      </c>
      <c r="H209" s="13">
        <f>H199*$I170*2/MAIN!$Q$1</f>
        <v>0</v>
      </c>
      <c r="I209" s="13">
        <f>I199*$I170*2/MAIN!$Q$1</f>
        <v>0</v>
      </c>
      <c r="J209" s="13">
        <f>J199*$I170*2/MAIN!$Q$1</f>
        <v>0</v>
      </c>
      <c r="K209" s="13">
        <f>K199*$I170*2/MAIN!$Q$1</f>
        <v>0</v>
      </c>
      <c r="L209" s="13">
        <f>L199*$I170*2/MAIN!$Q$1</f>
        <v>0</v>
      </c>
      <c r="M209" s="13">
        <f>M199*$I170*2/MAIN!$Q$1</f>
        <v>0</v>
      </c>
      <c r="N209" s="13">
        <f>N199*$I170*2/MAIN!$Q$1</f>
        <v>0</v>
      </c>
      <c r="O209" s="13">
        <f>O199*$I170*2/MAIN!$Q$1</f>
        <v>0</v>
      </c>
      <c r="P209" s="13">
        <f>P199*$I170*2/MAIN!$Q$1</f>
        <v>0</v>
      </c>
      <c r="Q209" s="13">
        <f>Q199*$I170*2/MAIN!$Q$1</f>
        <v>0</v>
      </c>
      <c r="R209" s="13">
        <f>R199*$I170*2/MAIN!$Q$1</f>
        <v>0</v>
      </c>
      <c r="S209" s="13">
        <f>S199*$I170*2/MAIN!$Q$1</f>
        <v>0</v>
      </c>
      <c r="T209" s="13">
        <f>T199*$I170*2/MAIN!$Q$1</f>
        <v>0</v>
      </c>
      <c r="U209" s="13">
        <f>U199*$I170*2/MAIN!$Q$1</f>
        <v>0</v>
      </c>
      <c r="V209" s="13">
        <f>V199*$I170*2/MAIN!$Q$1</f>
        <v>0</v>
      </c>
      <c r="W209" s="13">
        <f>W199*$I170*2/MAIN!$Q$1</f>
        <v>0</v>
      </c>
      <c r="X209" s="13">
        <f>X199*$I170*2/MAIN!$Q$1</f>
        <v>0</v>
      </c>
      <c r="Y209" s="13">
        <f>Y199*$I170*2/MAIN!$Q$1</f>
        <v>0</v>
      </c>
      <c r="Z209" s="13">
        <f>Z199*$I170*2/MAIN!$Q$1</f>
        <v>0</v>
      </c>
      <c r="AA209" s="13">
        <f>AA199*$I170*2/MAIN!$Q$1</f>
        <v>0</v>
      </c>
      <c r="AB209" s="13">
        <f>AB199*$I170*2/MAIN!$Q$1</f>
        <v>0</v>
      </c>
      <c r="AC209" s="13">
        <f>AC199*$I170*2/MAIN!$Q$1</f>
        <v>0</v>
      </c>
      <c r="AD209" s="13">
        <f>AD199*$I170*2/MAIN!$Q$1</f>
        <v>0</v>
      </c>
      <c r="AE209" s="13">
        <f>AE199*$I170*2/MAIN!$Q$1</f>
        <v>0</v>
      </c>
      <c r="AF209" s="13">
        <f>AF199*$I170*2/MAIN!$Q$1</f>
        <v>0</v>
      </c>
      <c r="AG209" s="13">
        <f>AG199*$I170*2/MAIN!$Q$1</f>
        <v>0</v>
      </c>
      <c r="AH209" s="13">
        <f>AH199*$I170*2/MAIN!$Q$1</f>
        <v>0</v>
      </c>
      <c r="AI209" s="13">
        <f>AI199*$I170*2/MAIN!$Q$1</f>
        <v>0</v>
      </c>
      <c r="AJ209" s="13">
        <f>AJ199*$I170*2/MAIN!$Q$1</f>
        <v>0</v>
      </c>
      <c r="AK209" s="13">
        <f>AK199*$I170*2/MAIN!$Q$1</f>
        <v>0</v>
      </c>
      <c r="AL209" s="13">
        <f>AL199*$I170*2/MAIN!$Q$1</f>
        <v>0</v>
      </c>
      <c r="AM209" s="13">
        <f>AM199*$I170*2/MAIN!$Q$1</f>
        <v>0</v>
      </c>
      <c r="AN209" s="13">
        <f>AN199*$I170*2/MAIN!$Q$1</f>
        <v>0</v>
      </c>
      <c r="AO209" s="13">
        <f>AO199*$I170*2/MAIN!$Q$1</f>
        <v>0</v>
      </c>
      <c r="AP209" s="13">
        <f>AP199*$I170*2/MAIN!$Q$1</f>
        <v>0</v>
      </c>
      <c r="AQ209" s="13">
        <f>AQ199*$I170*2/MAIN!$Q$1</f>
        <v>0</v>
      </c>
      <c r="AR209" s="59">
        <f>AR199*$I170*2/MAIN!$Q$1</f>
        <v>0</v>
      </c>
      <c r="AS209" s="13">
        <f>AS199*$I170*2/MAIN!$Q$1</f>
        <v>0</v>
      </c>
      <c r="AT209" s="13">
        <f>AT199*$I170*2/MAIN!$Q$1</f>
        <v>0</v>
      </c>
      <c r="AU209" s="13">
        <f>AU199*$I170*2/MAIN!$Q$1</f>
        <v>0</v>
      </c>
      <c r="AV209" s="13">
        <f>AV199*$I170*2/MAIN!$Q$1</f>
        <v>0</v>
      </c>
      <c r="AW209" s="13">
        <f>AW199*$I170*2/MAIN!$Q$1</f>
        <v>0</v>
      </c>
      <c r="AX209" s="13">
        <f>AX199*$I170*2/MAIN!$Q$1</f>
        <v>0</v>
      </c>
      <c r="AY209" s="13">
        <f>AY199*$I170*2/MAIN!$Q$1</f>
        <v>0</v>
      </c>
      <c r="AZ209" s="13">
        <f>AZ199*$I170*2/MAIN!$Q$1</f>
        <v>0</v>
      </c>
      <c r="BA209" s="13">
        <f>BA199*$I170*2/MAIN!$Q$1</f>
        <v>0</v>
      </c>
      <c r="BB209" s="13">
        <f>BB199*$I170*2/MAIN!$Q$1</f>
        <v>0</v>
      </c>
      <c r="BC209" s="13">
        <f>BC199*$I170*2/MAIN!$Q$1</f>
        <v>0</v>
      </c>
      <c r="BD209" s="13">
        <f>BD199*$I170*2/MAIN!$Q$1</f>
        <v>0</v>
      </c>
      <c r="BE209" s="13">
        <f>BE199*$I170*2/MAIN!$Q$1</f>
        <v>0</v>
      </c>
      <c r="BF209" s="13">
        <f>BF199*$I170*2/MAIN!$Q$1</f>
        <v>0</v>
      </c>
      <c r="BG209" s="13">
        <f>BG199*$I170*2/MAIN!$Q$1</f>
        <v>0</v>
      </c>
      <c r="BH209" s="13">
        <f>BH199*$I170*2/MAIN!$Q$1</f>
        <v>0</v>
      </c>
      <c r="BI209" s="13">
        <f>BI199*$I170*2/MAIN!$Q$1</f>
        <v>0</v>
      </c>
      <c r="BJ209" s="13">
        <f>BJ199*$I170*2/MAIN!$Q$1</f>
        <v>0</v>
      </c>
      <c r="BK209" s="13">
        <f>BK199*$I170*2/MAIN!$Q$1</f>
        <v>0</v>
      </c>
      <c r="BL209" s="13">
        <f>BL199*$I170*2/MAIN!$Q$1</f>
        <v>0</v>
      </c>
      <c r="BM209" s="13">
        <f>BM199*$I170*2/MAIN!$Q$1</f>
        <v>0</v>
      </c>
      <c r="BN209" s="13">
        <f>BN199*$I170*2/MAIN!$Q$1</f>
        <v>0</v>
      </c>
      <c r="BO209" s="3">
        <f>BO199*$I170*2/MAIN!$Q$1</f>
        <v>0</v>
      </c>
      <c r="BP209" s="43"/>
      <c r="BQ209" s="43"/>
      <c r="BR209" s="42"/>
      <c r="BS209"/>
      <c r="BT209"/>
    </row>
    <row r="210" spans="1:72" ht="16.5">
      <c r="B210" s="14">
        <f t="shared" si="147"/>
        <v>7</v>
      </c>
      <c r="C210" s="298" t="s">
        <v>66</v>
      </c>
      <c r="D210" s="3">
        <f>D200*$I170*2/MAIN!$Q$1</f>
        <v>0</v>
      </c>
      <c r="E210" s="13">
        <f>E200*$I170*2/MAIN!$Q$1</f>
        <v>0</v>
      </c>
      <c r="F210" s="13">
        <f>F200*$I170*2/MAIN!$Q$1</f>
        <v>0</v>
      </c>
      <c r="G210" s="13">
        <f>G200*$I170*2/MAIN!$Q$1</f>
        <v>0</v>
      </c>
      <c r="H210" s="13">
        <f>H200*$I170*2/MAIN!$Q$1</f>
        <v>0</v>
      </c>
      <c r="I210" s="13">
        <f>I200*$I170*2/MAIN!$Q$1</f>
        <v>0</v>
      </c>
      <c r="J210" s="13">
        <f>J200*$I170*2/MAIN!$Q$1</f>
        <v>0</v>
      </c>
      <c r="K210" s="13">
        <f>K200*$I170*2/MAIN!$Q$1</f>
        <v>0</v>
      </c>
      <c r="L210" s="13">
        <f>L200*$I170*2/MAIN!$Q$1</f>
        <v>0</v>
      </c>
      <c r="M210" s="13">
        <f>M200*$I170*2/MAIN!$Q$1</f>
        <v>0</v>
      </c>
      <c r="N210" s="13">
        <f>N200*$I170*2/MAIN!$Q$1</f>
        <v>0</v>
      </c>
      <c r="O210" s="13">
        <f>O200*$I170*2/MAIN!$Q$1</f>
        <v>0</v>
      </c>
      <c r="P210" s="13">
        <f>P200*$I170*2/MAIN!$Q$1</f>
        <v>0</v>
      </c>
      <c r="Q210" s="13">
        <f>Q200*$I170*2/MAIN!$Q$1</f>
        <v>0</v>
      </c>
      <c r="R210" s="13">
        <f>R200*$I170*2/MAIN!$Q$1</f>
        <v>0</v>
      </c>
      <c r="S210" s="13">
        <f>S200*$I170*2/MAIN!$Q$1</f>
        <v>0</v>
      </c>
      <c r="T210" s="13">
        <f>T200*$I170*2/MAIN!$Q$1</f>
        <v>0</v>
      </c>
      <c r="U210" s="13">
        <f>U200*$I170*2/MAIN!$Q$1</f>
        <v>0</v>
      </c>
      <c r="V210" s="13">
        <f>V200*$I170*2/MAIN!$Q$1</f>
        <v>0</v>
      </c>
      <c r="W210" s="13">
        <f>W200*$I170*2/MAIN!$Q$1</f>
        <v>0</v>
      </c>
      <c r="X210" s="13">
        <f>X200*$I170*2/MAIN!$Q$1</f>
        <v>0</v>
      </c>
      <c r="Y210" s="13">
        <f>Y200*$I170*2/MAIN!$Q$1</f>
        <v>0</v>
      </c>
      <c r="Z210" s="13">
        <f>Z200*$I170*2/MAIN!$Q$1</f>
        <v>0</v>
      </c>
      <c r="AA210" s="13">
        <f>AA200*$I170*2/MAIN!$Q$1</f>
        <v>0</v>
      </c>
      <c r="AB210" s="13">
        <f>AB200*$I170*2/MAIN!$Q$1</f>
        <v>0</v>
      </c>
      <c r="AC210" s="13">
        <f>AC200*$I170*2/MAIN!$Q$1</f>
        <v>0</v>
      </c>
      <c r="AD210" s="13">
        <f>AD200*$I170*2/MAIN!$Q$1</f>
        <v>0</v>
      </c>
      <c r="AE210" s="13">
        <f>AE200*$I170*2/MAIN!$Q$1</f>
        <v>0</v>
      </c>
      <c r="AF210" s="13">
        <f>AF200*$I170*2/MAIN!$Q$1</f>
        <v>0</v>
      </c>
      <c r="AG210" s="13">
        <f>AG200*$I170*2/MAIN!$Q$1</f>
        <v>0</v>
      </c>
      <c r="AH210" s="13">
        <f>AH200*$I170*2/MAIN!$Q$1</f>
        <v>0</v>
      </c>
      <c r="AI210" s="13">
        <f>AI200*$I170*2/MAIN!$Q$1</f>
        <v>0</v>
      </c>
      <c r="AJ210" s="13">
        <f>AJ200*$I170*2/MAIN!$Q$1</f>
        <v>0</v>
      </c>
      <c r="AK210" s="13">
        <f>AK200*$I170*2/MAIN!$Q$1</f>
        <v>0</v>
      </c>
      <c r="AL210" s="13">
        <f>AL200*$I170*2/MAIN!$Q$1</f>
        <v>0</v>
      </c>
      <c r="AM210" s="13">
        <f>AM200*$I170*2/MAIN!$Q$1</f>
        <v>0</v>
      </c>
      <c r="AN210" s="13">
        <f>AN200*$I170*2/MAIN!$Q$1</f>
        <v>0</v>
      </c>
      <c r="AO210" s="13">
        <f>AO200*$I170*2/MAIN!$Q$1</f>
        <v>0</v>
      </c>
      <c r="AP210" s="13">
        <f>AP200*$I170*2/MAIN!$Q$1</f>
        <v>0</v>
      </c>
      <c r="AQ210" s="13">
        <f>AQ200*$I170*2/MAIN!$Q$1</f>
        <v>0</v>
      </c>
      <c r="AR210" s="59">
        <f>AR200*$I170*2/MAIN!$Q$1</f>
        <v>0</v>
      </c>
      <c r="AS210" s="13">
        <f>AS200*$I170*2/MAIN!$Q$1</f>
        <v>0</v>
      </c>
      <c r="AT210" s="13">
        <f>AT200*$I170*2/MAIN!$Q$1</f>
        <v>0</v>
      </c>
      <c r="AU210" s="13">
        <f>AU200*$I170*2/MAIN!$Q$1</f>
        <v>0</v>
      </c>
      <c r="AV210" s="13">
        <f>AV200*$I170*2/MAIN!$Q$1</f>
        <v>0</v>
      </c>
      <c r="AW210" s="13">
        <f>AW200*$I170*2/MAIN!$Q$1</f>
        <v>0</v>
      </c>
      <c r="AX210" s="13">
        <f>AX200*$I170*2/MAIN!$Q$1</f>
        <v>0</v>
      </c>
      <c r="AY210" s="13">
        <f>AY200*$I170*2/MAIN!$Q$1</f>
        <v>0</v>
      </c>
      <c r="AZ210" s="13">
        <f>AZ200*$I170*2/MAIN!$Q$1</f>
        <v>0</v>
      </c>
      <c r="BA210" s="13">
        <f>BA200*$I170*2/MAIN!$Q$1</f>
        <v>0</v>
      </c>
      <c r="BB210" s="13">
        <f>BB200*$I170*2/MAIN!$Q$1</f>
        <v>0</v>
      </c>
      <c r="BC210" s="13">
        <f>BC200*$I170*2/MAIN!$Q$1</f>
        <v>0</v>
      </c>
      <c r="BD210" s="13">
        <f>BD200*$I170*2/MAIN!$Q$1</f>
        <v>0</v>
      </c>
      <c r="BE210" s="13">
        <f>BE200*$I170*2/MAIN!$Q$1</f>
        <v>0</v>
      </c>
      <c r="BF210" s="13">
        <f>BF200*$I170*2/MAIN!$Q$1</f>
        <v>0</v>
      </c>
      <c r="BG210" s="13">
        <f>BG200*$I170*2/MAIN!$Q$1</f>
        <v>0</v>
      </c>
      <c r="BH210" s="13">
        <f>BH200*$I170*2/MAIN!$Q$1</f>
        <v>0</v>
      </c>
      <c r="BI210" s="13">
        <f>BI200*$I170*2/MAIN!$Q$1</f>
        <v>0</v>
      </c>
      <c r="BJ210" s="13">
        <f>BJ200*$I170*2/MAIN!$Q$1</f>
        <v>0</v>
      </c>
      <c r="BK210" s="13">
        <f>BK200*$I170*2/MAIN!$Q$1</f>
        <v>0</v>
      </c>
      <c r="BL210" s="13">
        <f>BL200*$I170*2/MAIN!$Q$1</f>
        <v>0</v>
      </c>
      <c r="BM210" s="13">
        <f>BM200*$I170*2/MAIN!$Q$1</f>
        <v>0</v>
      </c>
      <c r="BN210" s="13">
        <f>BN200*$I170*2/MAIN!$Q$1</f>
        <v>0</v>
      </c>
      <c r="BO210" s="3">
        <f>BO200*$I170*2/MAIN!$Q$1</f>
        <v>0</v>
      </c>
      <c r="BP210" s="43"/>
      <c r="BQ210" s="43"/>
      <c r="BR210" s="42"/>
      <c r="BS210"/>
      <c r="BT210"/>
    </row>
    <row r="211" spans="1:72" ht="16.5">
      <c r="B211" s="14">
        <f t="shared" si="147"/>
        <v>8</v>
      </c>
      <c r="C211" s="298" t="s">
        <v>66</v>
      </c>
      <c r="D211" s="3">
        <f>D201*$I170*2/MAIN!$Q$1</f>
        <v>0</v>
      </c>
      <c r="E211" s="13">
        <f>E201*$I170*2/MAIN!$Q$1</f>
        <v>0</v>
      </c>
      <c r="F211" s="13">
        <f>F201*$I170*2/MAIN!$Q$1</f>
        <v>0</v>
      </c>
      <c r="G211" s="13">
        <f>G201*$I170*2/MAIN!$Q$1</f>
        <v>0</v>
      </c>
      <c r="H211" s="13">
        <f>H201*$I170*2/MAIN!$Q$1</f>
        <v>0</v>
      </c>
      <c r="I211" s="13">
        <f>I201*$I170*2/MAIN!$Q$1</f>
        <v>0</v>
      </c>
      <c r="J211" s="13">
        <f>J201*$I170*2/MAIN!$Q$1</f>
        <v>0</v>
      </c>
      <c r="K211" s="13">
        <f>K201*$I170*2/MAIN!$Q$1</f>
        <v>0</v>
      </c>
      <c r="L211" s="13">
        <f>L201*$I170*2/MAIN!$Q$1</f>
        <v>0</v>
      </c>
      <c r="M211" s="13">
        <f>M201*$I170*2/MAIN!$Q$1</f>
        <v>0</v>
      </c>
      <c r="N211" s="13">
        <f>N201*$I170*2/MAIN!$Q$1</f>
        <v>0</v>
      </c>
      <c r="O211" s="13">
        <f>O201*$I170*2/MAIN!$Q$1</f>
        <v>0</v>
      </c>
      <c r="P211" s="13">
        <f>P201*$I170*2/MAIN!$Q$1</f>
        <v>0</v>
      </c>
      <c r="Q211" s="13">
        <f>Q201*$I170*2/MAIN!$Q$1</f>
        <v>0</v>
      </c>
      <c r="R211" s="13">
        <f>R201*$I170*2/MAIN!$Q$1</f>
        <v>0</v>
      </c>
      <c r="S211" s="13">
        <f>S201*$I170*2/MAIN!$Q$1</f>
        <v>0</v>
      </c>
      <c r="T211" s="13">
        <f>T201*$I170*2/MAIN!$Q$1</f>
        <v>0</v>
      </c>
      <c r="U211" s="13">
        <f>U201*$I170*2/MAIN!$Q$1</f>
        <v>0</v>
      </c>
      <c r="V211" s="13">
        <f>V201*$I170*2/MAIN!$Q$1</f>
        <v>0</v>
      </c>
      <c r="W211" s="13">
        <f>W201*$I170*2/MAIN!$Q$1</f>
        <v>0</v>
      </c>
      <c r="X211" s="13">
        <f>X201*$I170*2/MAIN!$Q$1</f>
        <v>0</v>
      </c>
      <c r="Y211" s="13">
        <f>Y201*$I170*2/MAIN!$Q$1</f>
        <v>0</v>
      </c>
      <c r="Z211" s="13">
        <f>Z201*$I170*2/MAIN!$Q$1</f>
        <v>0</v>
      </c>
      <c r="AA211" s="13">
        <f>AA201*$I170*2/MAIN!$Q$1</f>
        <v>0</v>
      </c>
      <c r="AB211" s="13">
        <f>AB201*$I170*2/MAIN!$Q$1</f>
        <v>0</v>
      </c>
      <c r="AC211" s="13">
        <f>AC201*$I170*2/MAIN!$Q$1</f>
        <v>0</v>
      </c>
      <c r="AD211" s="13">
        <f>AD201*$I170*2/MAIN!$Q$1</f>
        <v>0</v>
      </c>
      <c r="AE211" s="13">
        <f>AE201*$I170*2/MAIN!$Q$1</f>
        <v>0</v>
      </c>
      <c r="AF211" s="13">
        <f>AF201*$I170*2/MAIN!$Q$1</f>
        <v>0</v>
      </c>
      <c r="AG211" s="13">
        <f>AG201*$I170*2/MAIN!$Q$1</f>
        <v>0</v>
      </c>
      <c r="AH211" s="13">
        <f>AH201*$I170*2/MAIN!$Q$1</f>
        <v>0</v>
      </c>
      <c r="AI211" s="13">
        <f>AI201*$I170*2/MAIN!$Q$1</f>
        <v>0</v>
      </c>
      <c r="AJ211" s="13">
        <f>AJ201*$I170*2/MAIN!$Q$1</f>
        <v>0</v>
      </c>
      <c r="AK211" s="13">
        <f>AK201*$I170*2/MAIN!$Q$1</f>
        <v>0</v>
      </c>
      <c r="AL211" s="13">
        <f>AL201*$I170*2/MAIN!$Q$1</f>
        <v>0</v>
      </c>
      <c r="AM211" s="13">
        <f>AM201*$I170*2/MAIN!$Q$1</f>
        <v>0</v>
      </c>
      <c r="AN211" s="13">
        <f>AN201*$I170*2/MAIN!$Q$1</f>
        <v>0</v>
      </c>
      <c r="AO211" s="13">
        <f>AO201*$I170*2/MAIN!$Q$1</f>
        <v>0</v>
      </c>
      <c r="AP211" s="13">
        <f>AP201*$I170*2/MAIN!$Q$1</f>
        <v>0</v>
      </c>
      <c r="AQ211" s="13">
        <f>AQ201*$I170*2/MAIN!$Q$1</f>
        <v>0</v>
      </c>
      <c r="AR211" s="59">
        <f>AR201*$I170*2/MAIN!$Q$1</f>
        <v>0</v>
      </c>
      <c r="AS211" s="13">
        <f>AS201*$I170*2/MAIN!$Q$1</f>
        <v>0</v>
      </c>
      <c r="AT211" s="13">
        <f>AT201*$I170*2/MAIN!$Q$1</f>
        <v>0</v>
      </c>
      <c r="AU211" s="13">
        <f>AU201*$I170*2/MAIN!$Q$1</f>
        <v>0</v>
      </c>
      <c r="AV211" s="13">
        <f>AV201*$I170*2/MAIN!$Q$1</f>
        <v>0</v>
      </c>
      <c r="AW211" s="13">
        <f>AW201*$I170*2/MAIN!$Q$1</f>
        <v>0</v>
      </c>
      <c r="AX211" s="13">
        <f>AX201*$I170*2/MAIN!$Q$1</f>
        <v>0</v>
      </c>
      <c r="AY211" s="13">
        <f>AY201*$I170*2/MAIN!$Q$1</f>
        <v>0</v>
      </c>
      <c r="AZ211" s="13">
        <f>AZ201*$I170*2/MAIN!$Q$1</f>
        <v>0</v>
      </c>
      <c r="BA211" s="13">
        <f>BA201*$I170*2/MAIN!$Q$1</f>
        <v>0</v>
      </c>
      <c r="BB211" s="13">
        <f>BB201*$I170*2/MAIN!$Q$1</f>
        <v>0</v>
      </c>
      <c r="BC211" s="13">
        <f>BC201*$I170*2/MAIN!$Q$1</f>
        <v>0</v>
      </c>
      <c r="BD211" s="13">
        <f>BD201*$I170*2/MAIN!$Q$1</f>
        <v>0</v>
      </c>
      <c r="BE211" s="13">
        <f>BE201*$I170*2/MAIN!$Q$1</f>
        <v>0</v>
      </c>
      <c r="BF211" s="13">
        <f>BF201*$I170*2/MAIN!$Q$1</f>
        <v>0</v>
      </c>
      <c r="BG211" s="13">
        <f>BG201*$I170*2/MAIN!$Q$1</f>
        <v>0</v>
      </c>
      <c r="BH211" s="13">
        <f>BH201*$I170*2/MAIN!$Q$1</f>
        <v>0</v>
      </c>
      <c r="BI211" s="13">
        <f>BI201*$I170*2/MAIN!$Q$1</f>
        <v>0</v>
      </c>
      <c r="BJ211" s="13">
        <f>BJ201*$I170*2/MAIN!$Q$1</f>
        <v>0</v>
      </c>
      <c r="BK211" s="13">
        <f>BK201*$I170*2/MAIN!$Q$1</f>
        <v>0</v>
      </c>
      <c r="BL211" s="13">
        <f>BL201*$I170*2/MAIN!$Q$1</f>
        <v>0</v>
      </c>
      <c r="BM211" s="13">
        <f>BM201*$I170*2/MAIN!$Q$1</f>
        <v>0</v>
      </c>
      <c r="BN211" s="13">
        <f>BN201*$I170*2/MAIN!$Q$1</f>
        <v>0</v>
      </c>
      <c r="BO211" s="3">
        <f>BO201*$I170*2/MAIN!$Q$1</f>
        <v>0</v>
      </c>
      <c r="BP211" s="43"/>
      <c r="BQ211" s="43"/>
      <c r="BR211" s="42"/>
      <c r="BS211"/>
      <c r="BT211"/>
    </row>
    <row r="212" spans="1:72" ht="16.5">
      <c r="B212" s="14">
        <f t="shared" si="147"/>
        <v>9</v>
      </c>
      <c r="C212" s="298" t="s">
        <v>66</v>
      </c>
      <c r="D212" s="3">
        <f>D202*$I170*2/MAIN!$Q$1</f>
        <v>0</v>
      </c>
      <c r="E212" s="13">
        <f>E202*$I170*2/MAIN!$Q$1</f>
        <v>0</v>
      </c>
      <c r="F212" s="13">
        <f>F202*$I170*2/MAIN!$Q$1</f>
        <v>0</v>
      </c>
      <c r="G212" s="13">
        <f>G202*$I170*2/MAIN!$Q$1</f>
        <v>0</v>
      </c>
      <c r="H212" s="13">
        <f>H202*$I170*2/MAIN!$Q$1</f>
        <v>0</v>
      </c>
      <c r="I212" s="13">
        <f>I202*$I170*2/MAIN!$Q$1</f>
        <v>0</v>
      </c>
      <c r="J212" s="13">
        <f>J202*$I170*2/MAIN!$Q$1</f>
        <v>0</v>
      </c>
      <c r="K212" s="13">
        <f>K202*$I170*2/MAIN!$Q$1</f>
        <v>0</v>
      </c>
      <c r="L212" s="13">
        <f>L202*$I170*2/MAIN!$Q$1</f>
        <v>0</v>
      </c>
      <c r="M212" s="13">
        <f>M202*$I170*2/MAIN!$Q$1</f>
        <v>0</v>
      </c>
      <c r="N212" s="13">
        <f>N202*$I170*2/MAIN!$Q$1</f>
        <v>0</v>
      </c>
      <c r="O212" s="13">
        <f>O202*$I170*2/MAIN!$Q$1</f>
        <v>0</v>
      </c>
      <c r="P212" s="13">
        <f>P202*$I170*2/MAIN!$Q$1</f>
        <v>0</v>
      </c>
      <c r="Q212" s="13">
        <f>Q202*$I170*2/MAIN!$Q$1</f>
        <v>0</v>
      </c>
      <c r="R212" s="13">
        <f>R202*$I170*2/MAIN!$Q$1</f>
        <v>0</v>
      </c>
      <c r="S212" s="13">
        <f>S202*$I170*2/MAIN!$Q$1</f>
        <v>0</v>
      </c>
      <c r="T212" s="13">
        <f>T202*$I170*2/MAIN!$Q$1</f>
        <v>0</v>
      </c>
      <c r="U212" s="13">
        <f>U202*$I170*2/MAIN!$Q$1</f>
        <v>0</v>
      </c>
      <c r="V212" s="13">
        <f>V202*$I170*2/MAIN!$Q$1</f>
        <v>0</v>
      </c>
      <c r="W212" s="13">
        <f>W202*$I170*2/MAIN!$Q$1</f>
        <v>0</v>
      </c>
      <c r="X212" s="13">
        <f>X202*$I170*2/MAIN!$Q$1</f>
        <v>0</v>
      </c>
      <c r="Y212" s="13">
        <f>Y202*$I170*2/MAIN!$Q$1</f>
        <v>0</v>
      </c>
      <c r="Z212" s="13">
        <f>Z202*$I170*2/MAIN!$Q$1</f>
        <v>0</v>
      </c>
      <c r="AA212" s="13">
        <f>AA202*$I170*2/MAIN!$Q$1</f>
        <v>0</v>
      </c>
      <c r="AB212" s="13">
        <f>AB202*$I170*2/MAIN!$Q$1</f>
        <v>0</v>
      </c>
      <c r="AC212" s="13">
        <f>AC202*$I170*2/MAIN!$Q$1</f>
        <v>0</v>
      </c>
      <c r="AD212" s="13">
        <f>AD202*$I170*2/MAIN!$Q$1</f>
        <v>0</v>
      </c>
      <c r="AE212" s="13">
        <f>AE202*$I170*2/MAIN!$Q$1</f>
        <v>0</v>
      </c>
      <c r="AF212" s="13">
        <f>AF202*$I170*2/MAIN!$Q$1</f>
        <v>0</v>
      </c>
      <c r="AG212" s="13">
        <f>AG202*$I170*2/MAIN!$Q$1</f>
        <v>0</v>
      </c>
      <c r="AH212" s="13">
        <f>AH202*$I170*2/MAIN!$Q$1</f>
        <v>0</v>
      </c>
      <c r="AI212" s="13">
        <f>AI202*$I170*2/MAIN!$Q$1</f>
        <v>0</v>
      </c>
      <c r="AJ212" s="13">
        <f>AJ202*$I170*2/MAIN!$Q$1</f>
        <v>0</v>
      </c>
      <c r="AK212" s="13">
        <f>AK202*$I170*2/MAIN!$Q$1</f>
        <v>0</v>
      </c>
      <c r="AL212" s="13">
        <f>AL202*$I170*2/MAIN!$Q$1</f>
        <v>0</v>
      </c>
      <c r="AM212" s="13">
        <f>AM202*$I170*2/MAIN!$Q$1</f>
        <v>0</v>
      </c>
      <c r="AN212" s="13">
        <f>AN202*$I170*2/MAIN!$Q$1</f>
        <v>0</v>
      </c>
      <c r="AO212" s="13">
        <f>AO202*$I170*2/MAIN!$Q$1</f>
        <v>0</v>
      </c>
      <c r="AP212" s="13">
        <f>AP202*$I170*2/MAIN!$Q$1</f>
        <v>0</v>
      </c>
      <c r="AQ212" s="13">
        <f>AQ202*$I170*2/MAIN!$Q$1</f>
        <v>0</v>
      </c>
      <c r="AR212" s="59">
        <f>AR202*$I170*2/MAIN!$Q$1</f>
        <v>0</v>
      </c>
      <c r="AS212" s="13">
        <f>AS202*$I170*2/MAIN!$Q$1</f>
        <v>0</v>
      </c>
      <c r="AT212" s="13">
        <f>AT202*$I170*2/MAIN!$Q$1</f>
        <v>0</v>
      </c>
      <c r="AU212" s="13">
        <f>AU202*$I170*2/MAIN!$Q$1</f>
        <v>0</v>
      </c>
      <c r="AV212" s="13">
        <f>AV202*$I170*2/MAIN!$Q$1</f>
        <v>0</v>
      </c>
      <c r="AW212" s="13">
        <f>AW202*$I170*2/MAIN!$Q$1</f>
        <v>0</v>
      </c>
      <c r="AX212" s="13">
        <f>AX202*$I170*2/MAIN!$Q$1</f>
        <v>0</v>
      </c>
      <c r="AY212" s="13">
        <f>AY202*$I170*2/MAIN!$Q$1</f>
        <v>0</v>
      </c>
      <c r="AZ212" s="13">
        <f>AZ202*$I170*2/MAIN!$Q$1</f>
        <v>0</v>
      </c>
      <c r="BA212" s="13">
        <f>BA202*$I170*2/MAIN!$Q$1</f>
        <v>0</v>
      </c>
      <c r="BB212" s="13">
        <f>BB202*$I170*2/MAIN!$Q$1</f>
        <v>0</v>
      </c>
      <c r="BC212" s="13">
        <f>BC202*$I170*2/MAIN!$Q$1</f>
        <v>0</v>
      </c>
      <c r="BD212" s="13">
        <f>BD202*$I170*2/MAIN!$Q$1</f>
        <v>0</v>
      </c>
      <c r="BE212" s="13">
        <f>BE202*$I170*2/MAIN!$Q$1</f>
        <v>0</v>
      </c>
      <c r="BF212" s="13">
        <f>BF202*$I170*2/MAIN!$Q$1</f>
        <v>0</v>
      </c>
      <c r="BG212" s="13">
        <f>BG202*$I170*2/MAIN!$Q$1</f>
        <v>0</v>
      </c>
      <c r="BH212" s="13">
        <f>BH202*$I170*2/MAIN!$Q$1</f>
        <v>0</v>
      </c>
      <c r="BI212" s="13">
        <f>BI202*$I170*2/MAIN!$Q$1</f>
        <v>0</v>
      </c>
      <c r="BJ212" s="13">
        <f>BJ202*$I170*2/MAIN!$Q$1</f>
        <v>0</v>
      </c>
      <c r="BK212" s="13">
        <f>BK202*$I170*2/MAIN!$Q$1</f>
        <v>0</v>
      </c>
      <c r="BL212" s="13">
        <f>BL202*$I170*2/MAIN!$Q$1</f>
        <v>0</v>
      </c>
      <c r="BM212" s="13">
        <f>BM202*$I170*2/MAIN!$Q$1</f>
        <v>0</v>
      </c>
      <c r="BN212" s="13">
        <f>BN202*$I170*2/MAIN!$Q$1</f>
        <v>0</v>
      </c>
      <c r="BO212" s="3">
        <f>BO202*$I170*2/MAIN!$Q$1</f>
        <v>0</v>
      </c>
      <c r="BP212" s="43"/>
      <c r="BQ212" s="43"/>
      <c r="BR212" s="42"/>
      <c r="BS212"/>
      <c r="BT212"/>
    </row>
    <row r="213" spans="1:72" ht="16.5">
      <c r="B213" s="290" t="s">
        <v>67</v>
      </c>
      <c r="C213" s="298" t="s">
        <v>68</v>
      </c>
      <c r="D213" s="3">
        <f>D203*$I170*MAIN!$C$16/MAIN!$Q$1</f>
        <v>-546363.93975474674</v>
      </c>
      <c r="E213" s="13">
        <f>E203*$I170*MAIN!$C$16/MAIN!$Q$1</f>
        <v>-546363.93975474674</v>
      </c>
      <c r="F213" s="13">
        <f>F203*$I170*MAIN!$C$16/MAIN!$Q$1</f>
        <v>-546363.93975474674</v>
      </c>
      <c r="G213" s="13">
        <f>G203*$I170*MAIN!$C$16/MAIN!$Q$1</f>
        <v>-546363.93975474674</v>
      </c>
      <c r="H213" s="13">
        <f>H203*$I170*MAIN!$C$16/MAIN!$Q$1</f>
        <v>-546363.93975474674</v>
      </c>
      <c r="I213" s="13">
        <f>I203*$I170*MAIN!$C$16/MAIN!$Q$1</f>
        <v>-546363.93975474674</v>
      </c>
      <c r="J213" s="13">
        <f>J203*$I170*MAIN!$C$16/MAIN!$Q$1</f>
        <v>-546363.93975474674</v>
      </c>
      <c r="K213" s="13">
        <f>K203*$I170*MAIN!$C$16/MAIN!$Q$1</f>
        <v>-546363.93975474674</v>
      </c>
      <c r="L213" s="13">
        <f>L203*$I170*MAIN!$C$16/MAIN!$Q$1</f>
        <v>-546363.93975474674</v>
      </c>
      <c r="M213" s="13">
        <f>M203*$I170*MAIN!$C$16/MAIN!$Q$1</f>
        <v>-546363.93975474674</v>
      </c>
      <c r="N213" s="13">
        <f>N203*$I170*MAIN!$C$16/MAIN!$Q$1</f>
        <v>-546363.93975474674</v>
      </c>
      <c r="O213" s="13">
        <f>O203*$I170*MAIN!$C$16/MAIN!$Q$1</f>
        <v>-546363.93975474674</v>
      </c>
      <c r="P213" s="13">
        <f>P203*$I170*MAIN!$C$16/MAIN!$Q$1</f>
        <v>-546363.93975474674</v>
      </c>
      <c r="Q213" s="13">
        <f>Q203*$I170*MAIN!$C$16/MAIN!$Q$1</f>
        <v>-546363.93975474674</v>
      </c>
      <c r="R213" s="13">
        <f>R203*$I170*MAIN!$C$16/MAIN!$Q$1</f>
        <v>-546363.93975474674</v>
      </c>
      <c r="S213" s="13">
        <f>S203*$I170*MAIN!$C$16/MAIN!$Q$1</f>
        <v>-546363.93975474674</v>
      </c>
      <c r="T213" s="13">
        <f>T203*$I170*MAIN!$C$16/MAIN!$Q$1</f>
        <v>-546363.93975474674</v>
      </c>
      <c r="U213" s="13">
        <f>U203*$I170*MAIN!$C$16/MAIN!$Q$1</f>
        <v>-546363.93975474674</v>
      </c>
      <c r="V213" s="13">
        <f>V203*$I170*MAIN!$C$16/MAIN!$Q$1</f>
        <v>-546363.93975474674</v>
      </c>
      <c r="W213" s="13">
        <f>W203*$I170*MAIN!$C$16/MAIN!$Q$1</f>
        <v>-546363.93975474674</v>
      </c>
      <c r="X213" s="13">
        <f>X203*$I170*MAIN!$C$16/MAIN!$Q$1</f>
        <v>-546363.93975474674</v>
      </c>
      <c r="Y213" s="13">
        <f>Y203*$I170*MAIN!$C$16/MAIN!$Q$1</f>
        <v>-546363.93975474674</v>
      </c>
      <c r="Z213" s="13">
        <f>Z203*$I170*MAIN!$C$16/MAIN!$Q$1</f>
        <v>-546363.93975474674</v>
      </c>
      <c r="AA213" s="13">
        <f>AA203*$I170*MAIN!$C$16/MAIN!$Q$1</f>
        <v>-546363.93975474674</v>
      </c>
      <c r="AB213" s="13">
        <f>AB203*$I170*MAIN!$C$16/MAIN!$Q$1</f>
        <v>-546363.93975474674</v>
      </c>
      <c r="AC213" s="13">
        <f>AC203*$I170*MAIN!$C$16/MAIN!$Q$1</f>
        <v>-546363.93975474674</v>
      </c>
      <c r="AD213" s="13">
        <f>AD203*$I170*MAIN!$C$16/MAIN!$Q$1</f>
        <v>-546363.93975474674</v>
      </c>
      <c r="AE213" s="13">
        <f>AE203*$I170*MAIN!$C$16/MAIN!$Q$1</f>
        <v>-546363.93975474674</v>
      </c>
      <c r="AF213" s="13">
        <f>AF203*$I170*MAIN!$C$16/MAIN!$Q$1</f>
        <v>-546363.93975474674</v>
      </c>
      <c r="AG213" s="13">
        <f>AG203*$I170*MAIN!$C$16/MAIN!$Q$1</f>
        <v>-546363.93975474674</v>
      </c>
      <c r="AH213" s="13">
        <f>AH203*$I170*MAIN!$C$16/MAIN!$Q$1</f>
        <v>-546363.93975474674</v>
      </c>
      <c r="AI213" s="13">
        <f>AI203*$I170*MAIN!$C$16/MAIN!$Q$1</f>
        <v>-546363.93975474674</v>
      </c>
      <c r="AJ213" s="13">
        <f>AJ203*$I170*MAIN!$C$16/MAIN!$Q$1</f>
        <v>-546363.93975474674</v>
      </c>
      <c r="AK213" s="13">
        <f>AK203*$I170*MAIN!$C$16/MAIN!$Q$1</f>
        <v>-546363.93975474674</v>
      </c>
      <c r="AL213" s="13">
        <f>AL203*$I170*MAIN!$C$16/MAIN!$Q$1</f>
        <v>-546363.93975474674</v>
      </c>
      <c r="AM213" s="13">
        <f>AM203*$I170*MAIN!$C$16/MAIN!$Q$1</f>
        <v>-546363.93975474674</v>
      </c>
      <c r="AN213" s="13">
        <f>AN203*$I170*MAIN!$C$16/MAIN!$Q$1</f>
        <v>-546363.93975474674</v>
      </c>
      <c r="AO213" s="13">
        <f>AO203*$I170*MAIN!$C$16/MAIN!$Q$1</f>
        <v>-546363.93975474674</v>
      </c>
      <c r="AP213" s="13">
        <f>AP203*$I170*MAIN!$C$16/MAIN!$Q$1</f>
        <v>-546363.93975474674</v>
      </c>
      <c r="AQ213" s="13">
        <f>AQ203*$I170*MAIN!$C$16/MAIN!$Q$1</f>
        <v>-546363.93975474674</v>
      </c>
      <c r="AR213" s="59">
        <f>AR203*$I170*MAIN!$C$16/MAIN!$Q$1</f>
        <v>-546363.93975474674</v>
      </c>
      <c r="AS213" s="13">
        <f>AS203*$I170*MAIN!$C$16/MAIN!$Q$1</f>
        <v>-447695.13305686694</v>
      </c>
      <c r="AT213" s="13">
        <f>AT203*$I170*MAIN!$C$16/MAIN!$Q$1</f>
        <v>-361796.92974250502</v>
      </c>
      <c r="AU213" s="13">
        <f>AU203*$I170*MAIN!$C$16/MAIN!$Q$1</f>
        <v>-286340.69678703573</v>
      </c>
      <c r="AV213" s="13">
        <f>AV203*$I170*MAIN!$C$16/MAIN!$Q$1</f>
        <v>-219531.50910203939</v>
      </c>
      <c r="AW213" s="13">
        <f>AW203*$I170*MAIN!$C$16/MAIN!$Q$1</f>
        <v>-159963.532750899</v>
      </c>
      <c r="AX213" s="13">
        <f>AX203*$I170*MAIN!$C$16/MAIN!$Q$1</f>
        <v>-106520.01431678537</v>
      </c>
      <c r="AY213" s="13">
        <f>AY203*$I170*MAIN!$C$16/MAIN!$Q$1</f>
        <v>-58302.609671845501</v>
      </c>
      <c r="AZ213" s="13">
        <f>AZ203*$I170*MAIN!$C$16/MAIN!$Q$1</f>
        <v>-14580.478628896033</v>
      </c>
      <c r="BA213" s="13">
        <f>BA203*$I170*MAIN!$C$16/MAIN!$Q$1</f>
        <v>25247.016922458839</v>
      </c>
      <c r="BB213" s="13">
        <f>BB203*$I170*MAIN!$C$16/MAIN!$Q$1</f>
        <v>61678.071705869566</v>
      </c>
      <c r="BC213" s="13">
        <f>BC203*$I170*MAIN!$C$16/MAIN!$Q$1</f>
        <v>95129.384493301448</v>
      </c>
      <c r="BD213" s="13">
        <f>BD203*$I170*MAIN!$C$16/MAIN!$Q$1</f>
        <v>125952.1675315407</v>
      </c>
      <c r="BE213" s="13">
        <f>BE203*$I170*MAIN!$C$16/MAIN!$Q$1</f>
        <v>151632.8575461107</v>
      </c>
      <c r="BF213" s="13">
        <f>BF203*$I170*MAIN!$C$16/MAIN!$Q$1</f>
        <v>143063.41512340025</v>
      </c>
      <c r="BG213" s="13">
        <f>BG203*$I170*MAIN!$C$16/MAIN!$Q$1</f>
        <v>160403.42050652872</v>
      </c>
      <c r="BH213" s="13">
        <f>BH203*$I170*MAIN!$C$16/MAIN!$Q$1</f>
        <v>175637.96954634268</v>
      </c>
      <c r="BI213" s="13">
        <f>BI203*$I170*MAIN!$C$16/MAIN!$Q$1</f>
        <v>189128.5865154904</v>
      </c>
      <c r="BJ213" s="13">
        <f>BJ203*$I170*MAIN!$C$16/MAIN!$Q$1</f>
        <v>201158.50764349522</v>
      </c>
      <c r="BK213" s="13">
        <f>BK203*$I170*MAIN!$C$16/MAIN!$Q$1</f>
        <v>211952.78436219145</v>
      </c>
      <c r="BL213" s="13">
        <f>BL203*$I170*MAIN!$C$16/MAIN!$Q$1</f>
        <v>299184.34037686797</v>
      </c>
      <c r="BM213" s="13">
        <f>BM203*$I170*MAIN!$C$16/MAIN!$Q$1</f>
        <v>333318.42751304584</v>
      </c>
      <c r="BN213" s="13">
        <f>BN203*$I170*MAIN!$C$16/MAIN!$Q$1</f>
        <v>351523.27398567402</v>
      </c>
      <c r="BO213" s="3">
        <f>BO203*$I170*MAIN!$C$16/MAIN!$Q$1</f>
        <v>411339.19811002363</v>
      </c>
      <c r="BS213"/>
      <c r="BT213"/>
    </row>
    <row r="214" spans="1:72" ht="16.5">
      <c r="B214" s="290" t="s">
        <v>69</v>
      </c>
      <c r="C214" s="298" t="s">
        <v>70</v>
      </c>
      <c r="D214" s="3">
        <f>MAX($F170-$C$8/2*D173,$F170-MAIN!$C$14/2)</f>
        <v>239.9681361308088</v>
      </c>
      <c r="E214" s="304">
        <f>MAX($F170-$C$8/2*E173,$F170-MAIN!$C$14/2)</f>
        <v>238.7144499689179</v>
      </c>
      <c r="F214" s="304">
        <f>MAX($F170-$C$8/2*F173,$F170-MAIN!$C$14/2)</f>
        <v>237.46076380702698</v>
      </c>
      <c r="G214" s="304">
        <f>MAX($F170-$C$8/2*G173,$F170-MAIN!$C$14/2)</f>
        <v>236.20707764513608</v>
      </c>
      <c r="H214" s="304">
        <f>MAX($F170-$C$8/2*H173,$F170-MAIN!$C$14/2)</f>
        <v>234.95339148324516</v>
      </c>
      <c r="I214" s="304">
        <f>MAX($F170-$C$8/2*I173,$F170-MAIN!$C$14/2)</f>
        <v>233.69970532135426</v>
      </c>
      <c r="J214" s="304">
        <f>MAX($F170-$C$8/2*J173,$F170-MAIN!$C$14/2)</f>
        <v>232.44601915946333</v>
      </c>
      <c r="K214" s="304">
        <f>MAX($F170-$C$8/2*K173,$F170-MAIN!$C$14/2)</f>
        <v>231.19233299757244</v>
      </c>
      <c r="L214" s="304">
        <f>MAX($F170-$C$8/2*L173,$F170-MAIN!$C$14/2)</f>
        <v>229.93864683568154</v>
      </c>
      <c r="M214" s="304">
        <f>MAX($F170-$C$8/2*M173,$F170-MAIN!$C$14/2)</f>
        <v>228.68496067379061</v>
      </c>
      <c r="N214" s="304">
        <f>MAX($F170-$C$8/2*N173,$F170-MAIN!$C$14/2)</f>
        <v>227.43127451189972</v>
      </c>
      <c r="O214" s="304">
        <f>MAX($F170-$C$8/2*O173,$F170-MAIN!$C$14/2)</f>
        <v>226.17758835000879</v>
      </c>
      <c r="P214" s="304">
        <f>MAX($F170-$C$8/2*P173,$F170-MAIN!$C$14/2)</f>
        <v>224.92390218811789</v>
      </c>
      <c r="Q214" s="304">
        <f>MAX($F170-$C$8/2*Q173,$F170-MAIN!$C$14/2)</f>
        <v>223.67021602622697</v>
      </c>
      <c r="R214" s="304">
        <f>MAX($F170-$C$8/2*R173,$F170-MAIN!$C$14/2)</f>
        <v>222.41652986433607</v>
      </c>
      <c r="S214" s="304">
        <f>MAX($F170-$C$8/2*S173,$F170-MAIN!$C$14/2)</f>
        <v>221.16284370244517</v>
      </c>
      <c r="T214" s="304">
        <f>MAX($F170-$C$8/2*T173,$F170-MAIN!$C$14/2)</f>
        <v>219.90915754055425</v>
      </c>
      <c r="U214" s="304">
        <f>MAX($F170-$C$8/2*U173,$F170-MAIN!$C$14/2)</f>
        <v>218.65547137866335</v>
      </c>
      <c r="V214" s="304">
        <f>MAX($F170-$C$8/2*V173,$F170-MAIN!$C$14/2)</f>
        <v>217.40178521677245</v>
      </c>
      <c r="W214" s="304">
        <f>MAX($F170-$C$8/2*W173,$F170-MAIN!$C$14/2)</f>
        <v>216.14809905488153</v>
      </c>
      <c r="X214" s="304">
        <f>MAX($F170-$C$8/2*X173,$F170-MAIN!$C$14/2)</f>
        <v>214.89441289299063</v>
      </c>
      <c r="Y214" s="304">
        <f>MAX($F170-$C$8/2*Y173,$F170-MAIN!$C$14/2)</f>
        <v>213.6407267310997</v>
      </c>
      <c r="Z214" s="304">
        <f>MAX($F170-$C$8/2*Z173,$F170-MAIN!$C$14/2)</f>
        <v>212.38704056920881</v>
      </c>
      <c r="AA214" s="304">
        <f>MAX($F170-$C$8/2*AA173,$F170-MAIN!$C$14/2)</f>
        <v>211.13335440731788</v>
      </c>
      <c r="AB214" s="304">
        <f>MAX($F170-$C$8/2*AB173,$F170-MAIN!$C$14/2)</f>
        <v>209.87966824542698</v>
      </c>
      <c r="AC214" s="304">
        <f>MAX($F170-$C$8/2*AC173,$F170-MAIN!$C$14/2)</f>
        <v>208.62598208353609</v>
      </c>
      <c r="AD214" s="304">
        <f>MAX($F170-$C$8/2*AD173,$F170-MAIN!$C$14/2)</f>
        <v>207.37229592164516</v>
      </c>
      <c r="AE214" s="304">
        <f>MAX($F170-$C$8/2*AE173,$F170-MAIN!$C$14/2)</f>
        <v>206.11860975975426</v>
      </c>
      <c r="AF214" s="304">
        <f>MAX($F170-$C$8/2*AF173,$F170-MAIN!$C$14/2)</f>
        <v>204.86492359786337</v>
      </c>
      <c r="AG214" s="304">
        <f>MAX($F170-$C$8/2*AG173,$F170-MAIN!$C$14/2)</f>
        <v>203.61123743597244</v>
      </c>
      <c r="AH214" s="304">
        <f>MAX($F170-$C$8/2*AH173,$F170-MAIN!$C$14/2)</f>
        <v>202.35755127408154</v>
      </c>
      <c r="AI214" s="304">
        <f>MAX($F170-$C$8/2*AI173,$F170-MAIN!$C$14/2)</f>
        <v>201.10386511219062</v>
      </c>
      <c r="AJ214" s="304">
        <f>MAX($F170-$C$8/2*AJ173,$F170-MAIN!$C$14/2)</f>
        <v>199.85017895029972</v>
      </c>
      <c r="AK214" s="304">
        <f>MAX($F170-$C$8/2*AK173,$F170-MAIN!$C$14/2)</f>
        <v>198.5964927884088</v>
      </c>
      <c r="AL214" s="304">
        <f>MAX($F170-$C$8/2*AL173,$F170-MAIN!$C$14/2)</f>
        <v>197.3428066265179</v>
      </c>
      <c r="AM214" s="304">
        <f>MAX($F170-$C$8/2*AM173,$F170-MAIN!$C$14/2)</f>
        <v>196.08912046462697</v>
      </c>
      <c r="AN214" s="304">
        <f>MAX($F170-$C$8/2*AN173,$F170-MAIN!$C$14/2)</f>
        <v>194.83543430273608</v>
      </c>
      <c r="AO214" s="304">
        <f>MAX($F170-$C$8/2*AO173,$F170-MAIN!$C$14/2)</f>
        <v>193.58174814084515</v>
      </c>
      <c r="AP214" s="304">
        <f>MAX($F170-$C$8/2*AP173,$F170-MAIN!$C$14/2)</f>
        <v>192.32806197895422</v>
      </c>
      <c r="AQ214" s="304">
        <f>MAX($F170-$C$8/2*AQ173,$F170-MAIN!$C$14/2)</f>
        <v>191.07437581706333</v>
      </c>
      <c r="AR214" s="56">
        <f>MAX($F170-$C$8/2*AR173,$F170-MAIN!$C$14/2)</f>
        <v>189.82068965517243</v>
      </c>
      <c r="AS214" s="304">
        <f>MAX($F170-$C$8/2*AS173,$F170-MAIN!$C$14/2)</f>
        <v>185.19854809437385</v>
      </c>
      <c r="AT214" s="304">
        <f>MAX($F170-$C$8/2*AT173,$F170-MAIN!$C$14/2)</f>
        <v>180.57640653357532</v>
      </c>
      <c r="AU214" s="304">
        <f>MAX($F170-$C$8/2*AU173,$F170-MAIN!$C$14/2)</f>
        <v>175.95426497277677</v>
      </c>
      <c r="AV214" s="304">
        <f>MAX($F170-$C$8/2*AV173,$F170-MAIN!$C$14/2)</f>
        <v>171.33212341197822</v>
      </c>
      <c r="AW214" s="304">
        <f>MAX($F170-$C$8/2*AW173,$F170-MAIN!$C$14/2)</f>
        <v>166.70998185117969</v>
      </c>
      <c r="AX214" s="304">
        <f>MAX($F170-$C$8/2*AX173,$F170-MAIN!$C$14/2)</f>
        <v>162.08784029038111</v>
      </c>
      <c r="AY214" s="304">
        <f>MAX($F170-$C$8/2*AY173,$F170-MAIN!$C$14/2)</f>
        <v>157.46569872958258</v>
      </c>
      <c r="AZ214" s="304">
        <f>MAX($F170-$C$8/2*AZ173,$F170-MAIN!$C$14/2)</f>
        <v>152.84355716878403</v>
      </c>
      <c r="BA214" s="304">
        <f>MAX($F170-$C$8/2*BA173,$F170-MAIN!$C$14/2)</f>
        <v>148.22141560798548</v>
      </c>
      <c r="BB214" s="304">
        <f>MAX($F170-$C$8/2*BB173,$F170-MAIN!$C$14/2)</f>
        <v>143.5992740471869</v>
      </c>
      <c r="BC214" s="304">
        <f>MAX($F170-$C$8/2*BC173,$F170-MAIN!$C$14/2)</f>
        <v>138.97713248638837</v>
      </c>
      <c r="BD214" s="304">
        <f>MAX($F170-$C$8/2*BD173,$F170-MAIN!$C$14/2)</f>
        <v>134.35499092558979</v>
      </c>
      <c r="BE214" s="304">
        <f>MAX($F170-$C$8/2*BE173,$F170-MAIN!$C$14/2)</f>
        <v>129.73284936479124</v>
      </c>
      <c r="BF214" s="304">
        <f>MAX($F170-$C$8/2*BF173,$F170-MAIN!$C$14/2)</f>
        <v>125.11070780399268</v>
      </c>
      <c r="BG214" s="304">
        <f>MAX($F170-$C$8/2*BG173,$F170-MAIN!$C$14/2)</f>
        <v>120.48856624319413</v>
      </c>
      <c r="BH214" s="304">
        <f>MAX($F170-$C$8/2*BH173,$F170-MAIN!$C$14/2)</f>
        <v>115.86642468239555</v>
      </c>
      <c r="BI214" s="304">
        <f>MAX($F170-$C$8/2*BI173,$F170-MAIN!$C$14/2)</f>
        <v>111.24428312159699</v>
      </c>
      <c r="BJ214" s="304">
        <f>MAX($F170-$C$8/2*BJ173,$F170-MAIN!$C$14/2)</f>
        <v>106.62214156079844</v>
      </c>
      <c r="BK214" s="304">
        <f>MAX($F170-$C$8/2*BK173,$F170-MAIN!$C$14/2)</f>
        <v>102</v>
      </c>
      <c r="BL214" s="304">
        <f>MAX($F170-$C$8/2*BL173,$F170-MAIN!$C$14/2)</f>
        <v>102</v>
      </c>
      <c r="BM214" s="304">
        <f>MAX($F170-$C$8/2*BM173,$F170-MAIN!$C$14/2)</f>
        <v>102</v>
      </c>
      <c r="BN214" s="304">
        <f>MAX($F170-$C$8/2*BN173,$F170-MAIN!$C$14/2)</f>
        <v>102</v>
      </c>
      <c r="BO214" s="3">
        <f>$F170-MAIN!$C$14/2</f>
        <v>102</v>
      </c>
      <c r="BS214"/>
      <c r="BT214"/>
    </row>
    <row r="215" spans="1:72" ht="16.5">
      <c r="A215" s="227">
        <f>IF(I170=0,0,1)</f>
        <v>1</v>
      </c>
      <c r="B215" s="295" t="s">
        <v>31</v>
      </c>
      <c r="C215" s="298" t="s">
        <v>71</v>
      </c>
      <c r="D215" s="3">
        <f>$A215*(D174+SUM(D204:D213))/1000</f>
        <v>-415.89081846916514</v>
      </c>
      <c r="E215" s="304">
        <f t="shared" ref="E215:BO215" si="148">$A215*(E174+SUM(E204:E213))/1000</f>
        <v>-215.23005781336386</v>
      </c>
      <c r="F215" s="304">
        <f t="shared" si="148"/>
        <v>-37.412802754648958</v>
      </c>
      <c r="G215" s="304">
        <f t="shared" si="148"/>
        <v>123.00108999635465</v>
      </c>
      <c r="H215" s="304">
        <f t="shared" si="148"/>
        <v>269.85139087975062</v>
      </c>
      <c r="I215" s="304">
        <f t="shared" si="148"/>
        <v>405.92567589831168</v>
      </c>
      <c r="J215" s="304">
        <f t="shared" si="148"/>
        <v>533.29662918938607</v>
      </c>
      <c r="K215" s="304">
        <f t="shared" si="148"/>
        <v>653.53740836086217</v>
      </c>
      <c r="L215" s="304">
        <f t="shared" si="148"/>
        <v>767.86357810077652</v>
      </c>
      <c r="M215" s="304">
        <f t="shared" si="148"/>
        <v>877.22925183269069</v>
      </c>
      <c r="N215" s="304">
        <f t="shared" si="148"/>
        <v>953.91002463895359</v>
      </c>
      <c r="O215" s="304">
        <f t="shared" si="148"/>
        <v>1055.4853414717234</v>
      </c>
      <c r="P215" s="304">
        <f t="shared" si="148"/>
        <v>1153.969997885054</v>
      </c>
      <c r="Q215" s="304">
        <f t="shared" si="148"/>
        <v>1249.7743095597023</v>
      </c>
      <c r="R215" s="304">
        <f t="shared" si="148"/>
        <v>1343.2390388632232</v>
      </c>
      <c r="S215" s="304">
        <f t="shared" si="148"/>
        <v>1434.6495333174498</v>
      </c>
      <c r="T215" s="304">
        <f t="shared" si="148"/>
        <v>1524.2465499988361</v>
      </c>
      <c r="U215" s="304">
        <f t="shared" si="148"/>
        <v>1612.2346380867566</v>
      </c>
      <c r="V215" s="304">
        <f t="shared" si="148"/>
        <v>1698.788698933123</v>
      </c>
      <c r="W215" s="304">
        <f t="shared" si="148"/>
        <v>1784.0591697583707</v>
      </c>
      <c r="X215" s="304">
        <f t="shared" si="148"/>
        <v>1868.1761564984909</v>
      </c>
      <c r="Y215" s="304">
        <f t="shared" si="148"/>
        <v>1951.2527562154648</v>
      </c>
      <c r="Z215" s="304">
        <f t="shared" si="148"/>
        <v>2033.3877486141673</v>
      </c>
      <c r="AA215" s="304">
        <f t="shared" si="148"/>
        <v>2114.6677921453529</v>
      </c>
      <c r="AB215" s="304">
        <f t="shared" si="148"/>
        <v>2195.1692279145877</v>
      </c>
      <c r="AC215" s="304">
        <f t="shared" si="148"/>
        <v>2274.9595707491972</v>
      </c>
      <c r="AD215" s="304">
        <f t="shared" si="148"/>
        <v>2354.0987489419581</v>
      </c>
      <c r="AE215" s="304">
        <f t="shared" si="148"/>
        <v>2432.6401407425033</v>
      </c>
      <c r="AF215" s="304">
        <f t="shared" si="148"/>
        <v>2510.6314454388094</v>
      </c>
      <c r="AG215" s="304">
        <f t="shared" si="148"/>
        <v>2588.1154190275502</v>
      </c>
      <c r="AH215" s="304">
        <f t="shared" si="148"/>
        <v>2665.1304984113381</v>
      </c>
      <c r="AI215" s="304">
        <f t="shared" si="148"/>
        <v>2740.2659645042822</v>
      </c>
      <c r="AJ215" s="304">
        <f t="shared" si="148"/>
        <v>2808.4664917111477</v>
      </c>
      <c r="AK215" s="304">
        <f t="shared" si="148"/>
        <v>2876.667018918014</v>
      </c>
      <c r="AL215" s="304">
        <f t="shared" si="148"/>
        <v>2944.8675461248799</v>
      </c>
      <c r="AM215" s="304">
        <f t="shared" si="148"/>
        <v>3013.0680733317454</v>
      </c>
      <c r="AN215" s="304">
        <f t="shared" si="148"/>
        <v>3081.2686005386108</v>
      </c>
      <c r="AO215" s="304">
        <f t="shared" si="148"/>
        <v>3149.4691277454772</v>
      </c>
      <c r="AP215" s="304">
        <f t="shared" si="148"/>
        <v>3217.6696549523426</v>
      </c>
      <c r="AQ215" s="304">
        <f t="shared" si="148"/>
        <v>3285.8701821592076</v>
      </c>
      <c r="AR215" s="61">
        <f t="shared" si="148"/>
        <v>3354.0707093660735</v>
      </c>
      <c r="AS215" s="304">
        <f t="shared" si="148"/>
        <v>3704.1840169713951</v>
      </c>
      <c r="AT215" s="304">
        <f t="shared" si="148"/>
        <v>4041.5267211931973</v>
      </c>
      <c r="AU215" s="304">
        <f t="shared" si="148"/>
        <v>4368.4274550561076</v>
      </c>
      <c r="AV215" s="304">
        <f t="shared" si="148"/>
        <v>4686.681143648545</v>
      </c>
      <c r="AW215" s="304">
        <f t="shared" si="148"/>
        <v>4997.6936209071264</v>
      </c>
      <c r="AX215" s="304">
        <f t="shared" si="148"/>
        <v>5302.5816402486807</v>
      </c>
      <c r="AY215" s="304">
        <f t="shared" si="148"/>
        <v>5602.2435458010623</v>
      </c>
      <c r="AZ215" s="304">
        <f t="shared" si="148"/>
        <v>5897.4101777514516</v>
      </c>
      <c r="BA215" s="304">
        <f t="shared" si="148"/>
        <v>6188.6821742102484</v>
      </c>
      <c r="BB215" s="304">
        <f t="shared" si="148"/>
        <v>6476.5577299011011</v>
      </c>
      <c r="BC215" s="304">
        <f t="shared" si="148"/>
        <v>6761.4535435959742</v>
      </c>
      <c r="BD215" s="304">
        <f t="shared" si="148"/>
        <v>7043.720827541656</v>
      </c>
      <c r="BE215" s="304">
        <f t="shared" si="148"/>
        <v>7320.8460184636679</v>
      </c>
      <c r="BF215" s="304">
        <f t="shared" si="148"/>
        <v>7563.7210769483981</v>
      </c>
      <c r="BG215" s="304">
        <f t="shared" si="148"/>
        <v>7832.5055832389689</v>
      </c>
      <c r="BH215" s="304">
        <f t="shared" si="148"/>
        <v>8099.1846331862253</v>
      </c>
      <c r="BI215" s="304">
        <f t="shared" si="148"/>
        <v>8364.1197510628135</v>
      </c>
      <c r="BJ215" s="304">
        <f t="shared" si="148"/>
        <v>8627.5941730982613</v>
      </c>
      <c r="BK215" s="304">
        <f t="shared" si="148"/>
        <v>8889.8329507243907</v>
      </c>
      <c r="BL215" s="304">
        <f>$A215*(BL174+SUM(BL204:BL213))/1000</f>
        <v>8977.0645067390669</v>
      </c>
      <c r="BM215" s="304">
        <f>$A215*(BM174+SUM(BM204:BM213))/1000</f>
        <v>8982.6783962200461</v>
      </c>
      <c r="BN215" s="304">
        <f>$A215*(BN174+SUM(BN204:BN213))/1000</f>
        <v>8982.6783962200461</v>
      </c>
      <c r="BO215" s="3">
        <f t="shared" si="148"/>
        <v>8982.6783962200461</v>
      </c>
      <c r="BS215"/>
      <c r="BT215"/>
    </row>
    <row r="216" spans="1:72" ht="16.5">
      <c r="B216" s="295" t="s">
        <v>72</v>
      </c>
      <c r="C216" s="298" t="s">
        <v>73</v>
      </c>
      <c r="D216" s="3">
        <f>$A215*IF(D215+E215=0,0,IF(D215=0,2*E216-F216,(D174*D214+D204*($F170-$C170)+D205*($F170-$D175)+D206*($F170-$D176)+D207*($F170-$D177)+D208*($F170-$D178)+D209*($F170-$D179)+D210*($F170-$D180)+D211*($F170-$D181)+D212*($F170-$D182))/1000000-D215*($F170-MAIN!$C$14/2)/1000))</f>
        <v>92.579726461074443</v>
      </c>
      <c r="E216" s="304">
        <f>$A215*IF(E215+F215=0,0,IF(E215=0,2*F216-G216,(E174*E214+E204*($F170-$C170)+E205*($F170-$D175)+E206*($F170-$D176)+E207*($F170-$D177)+E208*($F170-$D178)+E209*($F170-$D179)+E210*($F170-$D180)+E211*($F170-$D181)+E212*($F170-$D182))/1000000-E215*($F170-MAIN!$C$14/2)/1000))</f>
        <v>114.59408837838266</v>
      </c>
      <c r="F216" s="304">
        <f>$A215*IF(F215+G215=0,0,IF(F215=0,2*G216-H216,(F174*F214+F204*($F170-$C170)+F205*($F170-$D175)+F206*($F170-$D176)+F207*($F170-$D177)+F208*($F170-$D178)+F209*($F170-$D179)+F210*($F170-$D180)+F211*($F170-$D181)+F212*($F170-$D182))/1000000-F215*($F170-MAIN!$C$14/2)/1000))</f>
        <v>134.10740861040219</v>
      </c>
      <c r="G216" s="304">
        <f>$A215*IF(G215+H215=0,0,IF(G215=0,2*H216-I216,(G174*G214+G204*($F170-$C170)+G205*($F170-$D175)+G206*($F170-$D176)+G207*($F170-$D177)+G208*($F170-$D178)+G209*($F170-$D179)+G210*($F170-$D180)+G211*($F170-$D181)+G212*($F170-$D182))/1000000-G215*($F170-MAIN!$C$14/2)/1000))</f>
        <v>151.67458177264942</v>
      </c>
      <c r="H216" s="304">
        <f>$A215*IF(H215+I215=0,0,IF(H215=0,2*I216-J216,(H174*H214+H204*($F170-$C170)+H205*($F170-$D175)+H206*($F170-$D176)+H207*($F170-$D177)+H208*($F170-$D178)+H209*($F170-$D179)+H210*($F170-$D180)+H211*($F170-$D181)+H212*($F170-$D182))/1000000-H215*($F170-MAIN!$C$14/2)/1000))</f>
        <v>167.68726445001479</v>
      </c>
      <c r="I216" s="304">
        <f>$A215*IF(I215+J215=0,0,IF(I215=0,2*J216-K216,(I174*I214+I204*($F170-$C170)+I205*($F170-$D175)+I206*($F170-$D176)+I207*($F170-$D177)+I208*($F170-$D178)+I209*($F170-$D179)+I210*($F170-$D180)+I211*($F170-$D181)+I212*($F170-$D182))/1000000-I215*($F170-MAIN!$C$14/2)/1000))</f>
        <v>182.42978939478121</v>
      </c>
      <c r="J216" s="304">
        <f>$A215*IF(J215+K215=0,0,IF(J215=0,2*K216-L216,(J174*J214+J204*($F170-$C170)+J205*($F170-$D175)+J206*($F170-$D176)+J207*($F170-$D177)+J208*($F170-$D178)+J209*($F170-$D179)+J210*($F170-$D180)+J211*($F170-$D181)+J212*($F170-$D182))/1000000-J215*($F170-MAIN!$C$14/2)/1000))</f>
        <v>196.11357038895815</v>
      </c>
      <c r="K216" s="304">
        <f>$A215*IF(K215+L215=0,0,IF(K215=0,2*L216-M216,(K174*K214+K204*($F170-$C170)+K205*($F170-$D175)+K206*($F170-$D176)+K207*($F170-$D177)+K208*($F170-$D178)+K209*($F170-$D179)+K210*($F170-$D180)+K211*($F170-$D181)+K212*($F170-$D182))/1000000-K215*($F170-MAIN!$C$14/2)/1000))</f>
        <v>208.8990695085503</v>
      </c>
      <c r="L216" s="304">
        <f>$A215*IF(L215+M215=0,0,IF(L215=0,2*M216-N216,(L174*L214+L204*($F170-$C170)+L205*($F170-$D175)+L206*($F170-$D176)+L207*($F170-$D177)+L208*($F170-$D178)+L209*($F170-$D179)+L210*($F170-$D180)+L211*($F170-$D181)+L212*($F170-$D182))/1000000-L215*($F170-MAIN!$C$14/2)/1000))</f>
        <v>220.91027435173726</v>
      </c>
      <c r="M216" s="304">
        <f>$A215*IF(M215+N215=0,0,IF(M215=0,2*N216-O216,(M174*M214+M204*($F170-$C170)+M205*($F170-$D175)+M206*($F170-$D176)+M207*($F170-$D177)+M208*($F170-$D178)+M209*($F170-$D179)+M210*($F170-$D180)+M211*($F170-$D181)+M212*($F170-$D182))/1000000-M215*($F170-MAIN!$C$14/2)/1000))</f>
        <v>232.24450448772234</v>
      </c>
      <c r="N216" s="304">
        <f>$A215*IF(N215+O215=0,0,IF(N215=0,2*O216-P216,(N174*N214+N204*($F170-$C170)+N205*($F170-$D175)+N206*($F170-$D176)+N207*($F170-$D177)+N208*($F170-$D178)+N209*($F170-$D179)+N210*($F170-$D180)+N211*($F170-$D181)+N212*($F170-$D182))/1000000-N215*($F170-MAIN!$C$14/2)/1000))</f>
        <v>240.07387061490527</v>
      </c>
      <c r="O216" s="304">
        <f>$A215*IF(O215+P215=0,0,IF(O215=0,2*P216-Q216,(O174*O214+O204*($F170-$C170)+O205*($F170-$D175)+O206*($F170-$D176)+O207*($F170-$D177)+O208*($F170-$D178)+O209*($F170-$D179)+O210*($F170-$D180)+O211*($F170-$D181)+O212*($F170-$D182))/1000000-O215*($F170-MAIN!$C$14/2)/1000))</f>
        <v>250.27147611840599</v>
      </c>
      <c r="P216" s="304">
        <f>$A215*IF(P215+Q215=0,0,IF(P215=0,2*Q216-R216,(P174*P214+P204*($F170-$C170)+P205*($F170-$D175)+P206*($F170-$D176)+P207*($F170-$D177)+P208*($F170-$D178)+P209*($F170-$D179)+P210*($F170-$D180)+P211*($F170-$D181)+P212*($F170-$D182))/1000000-P215*($F170-MAIN!$C$14/2)/1000))</f>
        <v>259.98283014473822</v>
      </c>
      <c r="Q216" s="304">
        <f>$A215*IF(Q215+R215=0,0,IF(Q215=0,2*R216-S216,(Q174*Q214+Q204*($F170-$C170)+Q205*($F170-$D175)+Q206*($F170-$D176)+Q207*($F170-$D177)+Q208*($F170-$D178)+Q209*($F170-$D179)+Q210*($F170-$D180)+Q211*($F170-$D181)+Q212*($F170-$D182))/1000000-Q215*($F170-MAIN!$C$14/2)/1000))</f>
        <v>269.24978489333887</v>
      </c>
      <c r="R216" s="304">
        <f>$A215*IF(R215+S215=0,0,IF(R215=0,2*S216-T216,(R174*R214+R204*($F170-$C170)+R205*($F170-$D175)+R206*($F170-$D176)+R207*($F170-$D177)+R208*($F170-$D178)+R209*($F170-$D179)+R210*($F170-$D180)+R211*($F170-$D181)+R212*($F170-$D182))/1000000-R215*($F170-MAIN!$C$14/2)/1000))</f>
        <v>278.10709812569883</v>
      </c>
      <c r="S216" s="304">
        <f>$A215*IF(S215+T215=0,0,IF(S215=0,2*T216-U216,(S174*S214+S204*($F170-$C170)+S205*($F170-$D175)+S206*($F170-$D176)+S207*($F170-$D177)+S208*($F170-$D178)+S209*($F170-$D179)+S210*($F170-$D180)+S211*($F170-$D181)+S212*($F170-$D182))/1000000-S215*($F170-MAIN!$C$14/2)/1000))</f>
        <v>286.5838752890449</v>
      </c>
      <c r="T216" s="304">
        <f>$A215*IF(T215+U215=0,0,IF(T215=0,2*U216-V216,(T174*T214+T204*($F170-$C170)+T205*($F170-$D175)+T206*($F170-$D176)+T207*($F170-$D177)+T208*($F170-$D178)+T209*($F170-$D179)+T210*($F170-$D180)+T211*($F170-$D181)+T212*($F170-$D182))/1000000-T215*($F170-MAIN!$C$14/2)/1000))</f>
        <v>294.70467360517534</v>
      </c>
      <c r="U216" s="304">
        <f>$A215*IF(U215+V215=0,0,IF(U215=0,2*V216-W216,(U174*U214+U204*($F170-$C170)+U205*($F170-$D175)+U206*($F170-$D176)+U207*($F170-$D177)+U208*($F170-$D178)+U209*($F170-$D179)+U210*($F170-$D180)+U211*($F170-$D181)+U212*($F170-$D182))/1000000-U215*($F170-MAIN!$C$14/2)/1000))</f>
        <v>302.49035709038657</v>
      </c>
      <c r="V216" s="304">
        <f>$A215*IF(V215+W215=0,0,IF(V215=0,2*W216-X216,(V174*V214+V204*($F170-$C170)+V205*($F170-$D175)+V206*($F170-$D176)+V207*($F170-$D177)+V208*($F170-$D178)+V209*($F170-$D179)+V210*($F170-$D180)+V211*($F170-$D181)+V212*($F170-$D182))/1000000-V215*($F170-MAIN!$C$14/2)/1000))</f>
        <v>309.95876568257347</v>
      </c>
      <c r="W216" s="304">
        <f>$A215*IF(W215+X215=0,0,IF(W215=0,2*X216-Y216,(W174*W214+W204*($F170-$C170)+W205*($F170-$D175)+W206*($F170-$D176)+W207*($F170-$D177)+W208*($F170-$D178)+W209*($F170-$D179)+W210*($F170-$D180)+W211*($F170-$D181)+W212*($F170-$D182))/1000000-W215*($F170-MAIN!$C$14/2)/1000))</f>
        <v>317.12524397822028</v>
      </c>
      <c r="X216" s="304">
        <f>$A215*IF(X215+Y215=0,0,IF(X215=0,2*Y216-Z216,(X174*X214+X204*($F170-$C170)+X205*($F170-$D175)+X206*($F170-$D176)+X207*($F170-$D177)+X208*($F170-$D178)+X209*($F170-$D179)+X210*($F170-$D180)+X211*($F170-$D181)+X212*($F170-$D182))/1000000-X215*($F170-MAIN!$C$14/2)/1000))</f>
        <v>324.00306278279857</v>
      </c>
      <c r="Y216" s="304">
        <f>$A215*IF(Y215+Z215=0,0,IF(Y215=0,2*Z216-AA216,(Y174*Y214+Y204*($F170-$C170)+Y205*($F170-$D175)+Y206*($F170-$D176)+Y207*($F170-$D177)+Y208*($F170-$D178)+Y209*($F170-$D179)+Y210*($F170-$D180)+Y211*($F170-$D181)+Y212*($F170-$D182))/1000000-Y215*($F170-MAIN!$C$14/2)/1000))</f>
        <v>330.60375799662984</v>
      </c>
      <c r="Z216" s="304">
        <f>$A215*IF(Z215+AA215=0,0,IF(Z215=0,2*AA216-AB216,(Z174*Z214+Z204*($F170-$C170)+Z205*($F170-$D175)+Z206*($F170-$D176)+Z207*($F170-$D177)+Z208*($F170-$D178)+Z209*($F170-$D179)+Z210*($F170-$D180)+Z211*($F170-$D181)+Z212*($F170-$D182))/1000000-Z215*($F170-MAIN!$C$14/2)/1000))</f>
        <v>336.93740514961166</v>
      </c>
      <c r="AA216" s="304">
        <f>$A215*IF(AA215+AB215=0,0,IF(AA215=0,2*AB216-AC216,(AA174*AA214+AA204*($F170-$C170)+AA205*($F170-$D175)+AA206*($F170-$D176)+AA207*($F170-$D177)+AA208*($F170-$D178)+AA209*($F170-$D179)+AA210*($F170-$D180)+AA211*($F170-$D181)+AA212*($F170-$D182))/1000000-AA215*($F170-MAIN!$C$14/2)/1000))</f>
        <v>343.01284340372092</v>
      </c>
      <c r="AB216" s="304">
        <f>$A215*IF(AB215+AC215=0,0,IF(AB215=0,2*AC216-AD216,(AB174*AB214+AB204*($F170-$C170)+AB205*($F170-$D175)+AB206*($F170-$D176)+AB207*($F170-$D177)+AB208*($F170-$D178)+AB209*($F170-$D179)+AB210*($F170-$D180)+AB211*($F170-$D181)+AB212*($F170-$D182))/1000000-AB215*($F170-MAIN!$C$14/2)/1000))</f>
        <v>348.8378595517255</v>
      </c>
      <c r="AC216" s="304">
        <f>$A215*IF(AC215+AD215=0,0,IF(AC215=0,2*AD216-AE216,(AC174*AC214+AC204*($F170-$C170)+AC205*($F170-$D175)+AC206*($F170-$D176)+AC207*($F170-$D177)+AC208*($F170-$D178)+AC209*($F170-$D179)+AC210*($F170-$D180)+AC211*($F170-$D181)+AC212*($F170-$D182))/1000000-AC215*($F170-MAIN!$C$14/2)/1000))</f>
        <v>354.41934010601244</v>
      </c>
      <c r="AD216" s="304">
        <f>$A215*IF(AD215+AE215=0,0,IF(AD215=0,2*AE216-AF216,(AD174*AD214+AD204*($F170-$C170)+AD205*($F170-$D175)+AD206*($F170-$D176)+AD207*($F170-$D177)+AD208*($F170-$D178)+AD209*($F170-$D179)+AD210*($F170-$D180)+AD211*($F170-$D181)+AD212*($F170-$D182))/1000000-AD215*($F170-MAIN!$C$14/2)/1000))</f>
        <v>359.7633977524448</v>
      </c>
      <c r="AE216" s="304">
        <f>$A215*IF(AE215+AF215=0,0,IF(AE215=0,2*AF216-AG216,(AE174*AE214+AE204*($F170-$C170)+AE205*($F170-$D175)+AE206*($F170-$D176)+AE207*($F170-$D177)+AE208*($F170-$D178)+AE209*($F170-$D179)+AE210*($F170-$D180)+AE211*($F170-$D181)+AE212*($F170-$D182))/1000000-AE215*($F170-MAIN!$C$14/2)/1000))</f>
        <v>364.87547707248558</v>
      </c>
      <c r="AF216" s="304">
        <f>$A215*IF(AF215+AG215=0,0,IF(AF215=0,2*AG216-AH216,(AF174*AF214+AF204*($F170-$C170)+AF205*($F170-$D175)+AF206*($F170-$D176)+AF207*($F170-$D177)+AF208*($F170-$D178)+AF209*($F170-$D179)+AF210*($F170-$D180)+AF211*($F170-$D181)+AF212*($F170-$D182))/1000000-AF215*($F170-MAIN!$C$14/2)/1000))</f>
        <v>369.76044339350813</v>
      </c>
      <c r="AG216" s="304">
        <f>$A215*IF(AG215+AH215=0,0,IF(AG215=0,2*AH216-AI216,(AG174*AG214+AG204*($F170-$C170)+AG205*($F170-$D175)+AG206*($F170-$D176)+AG207*($F170-$D177)+AG208*($F170-$D178)+AG209*($F170-$D179)+AG210*($F170-$D180)+AG211*($F170-$D181)+AG212*($F170-$D182))/1000000-AG215*($F170-MAIN!$C$14/2)/1000))</f>
        <v>374.422657827173</v>
      </c>
      <c r="AH216" s="304">
        <f>$A215*IF(AH215+AI215=0,0,IF(AH215=0,2*AI216-AJ216,(AH174*AH214+AH204*($F170-$C170)+AH205*($F170-$D175)+AH206*($F170-$D176)+AH207*($F170-$D177)+AH208*($F170-$D178)+AH209*($F170-$D179)+AH210*($F170-$D180)+AH211*($F170-$D181)+AH212*($F170-$D182))/1000000-AH215*($F170-MAIN!$C$14/2)/1000))</f>
        <v>378.86604093754687</v>
      </c>
      <c r="AI216" s="304">
        <f>$A215*IF(AI215+AJ215=0,0,IF(AI215=0,2*AJ216-AK216,(AI174*AI214+AI204*($F170-$C170)+AI205*($F170-$D175)+AI206*($F170-$D176)+AI207*($F170-$D177)+AI208*($F170-$D178)+AI209*($F170-$D179)+AI210*($F170-$D180)+AI211*($F170-$D181)+AI212*($F170-$D182))/1000000-AI215*($F170-MAIN!$C$14/2)/1000))</f>
        <v>382.94669937786904</v>
      </c>
      <c r="AJ216" s="304">
        <f>$A215*IF(AJ215+AK215=0,0,IF(AJ215=0,2*AK216-AL216,(AJ174*AJ214+AJ204*($F170-$C170)+AJ205*($F170-$D175)+AJ206*($F170-$D176)+AJ207*($F170-$D177)+AJ208*($F170-$D178)+AJ209*($F170-$D179)+AJ210*($F170-$D180)+AJ211*($F170-$D181)+AJ212*($F170-$D182))/1000000-AJ215*($F170-MAIN!$C$14/2)/1000))</f>
        <v>386.1489899374252</v>
      </c>
      <c r="AK216" s="304">
        <f>$A215*IF(AK215+AL215=0,0,IF(AK215=0,2*AL216-AM216,(AK174*AK214+AK204*($F170-$C170)+AK205*($F170-$D175)+AK206*($F170-$D176)+AK207*($F170-$D177)+AK208*($F170-$D178)+AK209*($F170-$D179)+AK210*($F170-$D180)+AK211*($F170-$D181)+AK212*($F170-$D182))/1000000-AK215*($F170-MAIN!$C$14/2)/1000))</f>
        <v>389.18027638259576</v>
      </c>
      <c r="AL216" s="304">
        <f>$A215*IF(AL215+AM215=0,0,IF(AL215=0,2*AM216-AN216,(AL174*AL214+AL204*($F170-$C170)+AL205*($F170-$D175)+AL206*($F170-$D176)+AL207*($F170-$D177)+AL208*($F170-$D178)+AL209*($F170-$D179)+AL210*($F170-$D180)+AL211*($F170-$D181)+AL212*($F170-$D182))/1000000-AL215*($F170-MAIN!$C$14/2)/1000))</f>
        <v>392.04055871338045</v>
      </c>
      <c r="AM216" s="304">
        <f>$A215*IF(AM215+AN215=0,0,IF(AM215=0,2*AN216-AO216,(AM174*AM214+AM204*($F170-$C170)+AM205*($F170-$D175)+AM206*($F170-$D176)+AM207*($F170-$D177)+AM208*($F170-$D178)+AM209*($F170-$D179)+AM210*($F170-$D180)+AM211*($F170-$D181)+AM212*($F170-$D182))/1000000-AM215*($F170-MAIN!$C$14/2)/1000))</f>
        <v>394.72983692977903</v>
      </c>
      <c r="AN216" s="304">
        <f>$A215*IF(AN215+AO215=0,0,IF(AN215=0,2*AO216-AP216,(AN174*AN214+AN204*($F170-$C170)+AN205*($F170-$D175)+AN206*($F170-$D176)+AN207*($F170-$D177)+AN208*($F170-$D178)+AN209*($F170-$D179)+AN210*($F170-$D180)+AN211*($F170-$D181)+AN212*($F170-$D182))/1000000-AN215*($F170-MAIN!$C$14/2)/1000))</f>
        <v>397.24811103179206</v>
      </c>
      <c r="AO216" s="304">
        <f>$A215*IF(AO215+AP215=0,0,IF(AO215=0,2*AP216-AQ216,(AO174*AO214+AO204*($F170-$C170)+AO205*($F170-$D175)+AO206*($F170-$D176)+AO207*($F170-$D177)+AO208*($F170-$D178)+AO209*($F170-$D179)+AO210*($F170-$D180)+AO211*($F170-$D181)+AO212*($F170-$D182))/1000000-AO215*($F170-MAIN!$C$14/2)/1000))</f>
        <v>399.59538101941905</v>
      </c>
      <c r="AP216" s="304">
        <f>$A215*IF(AP215+AQ215=0,0,IF(AP215=0,2*AQ216-AR216,(AP174*AP214+AP204*($F170-$C170)+AP205*($F170-$D175)+AP206*($F170-$D176)+AP207*($F170-$D177)+AP208*($F170-$D178)+AP209*($F170-$D179)+AP210*($F170-$D180)+AP211*($F170-$D181)+AP212*($F170-$D182))/1000000-AP215*($F170-MAIN!$C$14/2)/1000))</f>
        <v>401.77164689266033</v>
      </c>
      <c r="AQ216" s="304">
        <f>$A215*IF(AQ215+AR215=0,0,IF(AQ215=0,2*AR216-AS216,(AQ174*AQ214+AQ204*($F170-$C170)+AQ205*($F170-$D175)+AQ206*($F170-$D176)+AQ207*($F170-$D177)+AQ208*($F170-$D178)+AQ209*($F170-$D179)+AQ210*($F170-$D180)+AQ211*($F170-$D181)+AQ212*($F170-$D182))/1000000-AQ215*($F170-MAIN!$C$14/2)/1000))</f>
        <v>403.77690865151595</v>
      </c>
      <c r="AR216" s="56">
        <f>$A215*IF(AR215+AS215=0,0,IF(AR215=0,2*AS216-AT216,(AR174*AR214+AR204*($F170-$C170)+AR205*($F170-$D175)+AR206*($F170-$D176)+AR207*($F170-$D177)+AR208*($F170-$D178)+AR209*($F170-$D179)+AR210*($F170-$D180)+AR211*($F170-$D181)+AR212*($F170-$D182))/1000000-AR215*($F170-MAIN!$C$14/2)/1000))</f>
        <v>405.61116629598564</v>
      </c>
      <c r="AS216" s="304">
        <f>$A215*IF(AS215+AT215=0,0,IF(AS215=0,2*AT216-AU216,(AS174*AS214+AS204*($F170-$C170)+AS205*($F170-$D175)+AS206*($F170-$D176)+AS207*($F170-$D177)+AS208*($F170-$D178)+AS209*($F170-$D179)+AS210*($F170-$D180)+AS211*($F170-$D181)+AS212*($F170-$D182))/1000000-AS215*($F170-MAIN!$C$14/2)/1000))</f>
        <v>400.8321197581912</v>
      </c>
      <c r="AT216" s="304">
        <f>$A215*IF(AT215+AU215=0,0,IF(AT215=0,2*AU216-AV216,(AT174*AT214+AT204*($F170-$C170)+AT205*($F170-$D175)+AT206*($F170-$D176)+AT207*($F170-$D177)+AT208*($F170-$D178)+AT209*($F170-$D179)+AT210*($F170-$D180)+AT211*($F170-$D181)+AT212*($F170-$D182))/1000000-AT215*($F170-MAIN!$C$14/2)/1000))</f>
        <v>395.0312506097589</v>
      </c>
      <c r="AU216" s="304">
        <f>$A215*IF(AU215+AV215=0,0,IF(AU215=0,2*AV216-AW216,(AU174*AU214+AU204*($F170-$C170)+AU205*($F170-$D175)+AU206*($F170-$D176)+AU207*($F170-$D177)+AU208*($F170-$D178)+AU209*($F170-$D179)+AU210*($F170-$D180)+AU211*($F170-$D181)+AU212*($F170-$D182))/1000000-AU215*($F170-MAIN!$C$14/2)/1000))</f>
        <v>387.97103828217632</v>
      </c>
      <c r="AV216" s="304">
        <f>$A215*IF(AV215+AW215=0,0,IF(AV215=0,2*AW216-AX216,(AV174*AV214+AV204*($F170-$C170)+AV205*($F170-$D175)+AV206*($F170-$D176)+AV207*($F170-$D177)+AV208*($F170-$D178)+AV209*($F170-$D179)+AV210*($F170-$D180)+AV211*($F170-$D181)+AV212*($F170-$D182))/1000000-AV215*($F170-MAIN!$C$14/2)/1000))</f>
        <v>379.46840041642503</v>
      </c>
      <c r="AW216" s="304">
        <f>$A215*IF(AW215+AX215=0,0,IF(AW215=0,2*AX216-AY216,(AW174*AW214+AW204*($F170-$C170)+AW205*($F170-$D175)+AW206*($F170-$D176)+AW207*($F170-$D177)+AW208*($F170-$D178)+AW209*($F170-$D179)+AW210*($F170-$D180)+AW211*($F170-$D181)+AW212*($F170-$D182))/1000000-AW215*($F170-MAIN!$C$14/2)/1000))</f>
        <v>369.37994195097008</v>
      </c>
      <c r="AX216" s="304">
        <f>$A215*IF(AX215+AY215=0,0,IF(AX215=0,2*AY216-AZ216,(AX174*AX214+AX204*($F170-$C170)+AX205*($F170-$D175)+AX206*($F170-$D176)+AX207*($F170-$D177)+AX208*($F170-$D178)+AX209*($F170-$D179)+AX210*($F170-$D180)+AX211*($F170-$D181)+AX212*($F170-$D182))/1000000-AX215*($F170-MAIN!$C$14/2)/1000))</f>
        <v>357.59175403729444</v>
      </c>
      <c r="AY216" s="304">
        <f>$A215*IF(AY215+AZ215=0,0,IF(AY215=0,2*AZ216-BA216,(AY174*AY214+AY204*($F170-$C170)+AY205*($F170-$D175)+AY206*($F170-$D176)+AY207*($F170-$D177)+AY208*($F170-$D178)+AY209*($F170-$D179)+AY210*($F170-$D180)+AY211*($F170-$D181)+AY212*($F170-$D182))/1000000-AY215*($F170-MAIN!$C$14/2)/1000))</f>
        <v>344.01220557435784</v>
      </c>
      <c r="AZ216" s="304">
        <f>$A215*IF(AZ215+BA215=0,0,IF(AZ215=0,2*BA216-BB216,(AZ174*AZ214+AZ204*($F170-$C170)+AZ205*($F170-$D175)+AZ206*($F170-$D176)+AZ207*($F170-$D177)+AZ208*($F170-$D178)+AZ209*($F170-$D179)+AZ210*($F170-$D180)+AZ211*($F170-$D181)+AZ212*($F170-$D182))/1000000-AZ215*($F170-MAIN!$C$14/2)/1000))</f>
        <v>328.56675086306711</v>
      </c>
      <c r="BA216" s="304">
        <f>$A215*IF(BA215+BB215=0,0,IF(BA215=0,2*BB216-BC216,(BA174*BA214+BA204*($F170-$C170)+BA205*($F170-$D175)+BA206*($F170-$D176)+BA207*($F170-$D177)+BA208*($F170-$D178)+BA209*($F170-$D179)+BA210*($F170-$D180)+BA211*($F170-$D181)+BA212*($F170-$D182))/1000000-BA215*($F170-MAIN!$C$14/2)/1000))</f>
        <v>311.19412481616189</v>
      </c>
      <c r="BB216" s="304">
        <f>$A215*IF(BB215+BC215=0,0,IF(BB215=0,2*BC216-BD216,(BB174*BB214+BB204*($F170-$C170)+BB205*($F170-$D175)+BB206*($F170-$D176)+BB207*($F170-$D177)+BB208*($F170-$D178)+BB209*($F170-$D179)+BB210*($F170-$D180)+BB211*($F170-$D181)+BB212*($F170-$D182))/1000000-BB215*($F170-MAIN!$C$14/2)/1000))</f>
        <v>291.84351157182994</v>
      </c>
      <c r="BC216" s="304">
        <f>$A215*IF(BC215+BD215=0,0,IF(BC215=0,2*BD216-BE216,(BC174*BC214+BC204*($F170-$C170)+BC205*($F170-$D175)+BC206*($F170-$D176)+BC207*($F170-$D177)+BC208*($F170-$D178)+BC209*($F170-$D179)+BC210*($F170-$D180)+BC211*($F170-$D181)+BC212*($F170-$D182))/1000000-BC215*($F170-MAIN!$C$14/2)/1000))</f>
        <v>270.47240785533063</v>
      </c>
      <c r="BD216" s="304">
        <f>$A215*IF(BD215+BE215=0,0,IF(BD215=0,2*BE216-BF216,(BD174*BD214+BD204*($F170-$C170)+BD205*($F170-$D175)+BD206*($F170-$D176)+BD207*($F170-$D177)+BD208*($F170-$D178)+BD209*($F170-$D179)+BD210*($F170-$D180)+BD211*($F170-$D181)+BD212*($F170-$D182))/1000000-BD215*($F170-MAIN!$C$14/2)/1000))</f>
        <v>247.04499001749195</v>
      </c>
      <c r="BE216" s="304">
        <f>$A215*IF(BE215+BF215=0,0,IF(BE215=0,2*BF216-BG216,(BE174*BE214+BE204*($F170-$C170)+BE205*($F170-$D175)+BE206*($F170-$D176)+BE207*($F170-$D177)+BE208*($F170-$D178)+BE209*($F170-$D179)+BE210*($F170-$D180)+BE211*($F170-$D181)+BE212*($F170-$D182))/1000000-BE215*($F170-MAIN!$C$14/2)/1000))</f>
        <v>221.8176415123105</v>
      </c>
      <c r="BF216" s="304">
        <f>$A215*IF(BF215+BG215=0,0,IF(BF215=0,2*BG216-BH216,(BF174*BF214+BF204*($F170-$C170)+BF205*($F170-$D175)+BF206*($F170-$D176)+BF207*($F170-$D177)+BF208*($F170-$D178)+BF209*($F170-$D179)+BF210*($F170-$D180)+BF211*($F170-$D181)+BF212*($F170-$D182))/1000000-BF215*($F170-MAIN!$C$14/2)/1000))</f>
        <v>197.75938235997467</v>
      </c>
      <c r="BG216" s="304">
        <f>$A215*IF(BG215+BH215=0,0,IF(BG215=0,2*BH216-BI216,(BG174*BG214+BG204*($F170-$C170)+BG205*($F170-$D175)+BG206*($F170-$D176)+BG207*($F170-$D177)+BG208*($F170-$D178)+BG209*($F170-$D179)+BG210*($F170-$D180)+BG211*($F170-$D181)+BG212*($F170-$D182))/1000000-BG215*($F170-MAIN!$C$14/2)/1000))</f>
        <v>168.73393537568597</v>
      </c>
      <c r="BH216" s="304">
        <f>$A215*IF(BH215+BI215=0,0,IF(BH215=0,2*BI216-BJ216,(BH174*BH214+BH204*($F170-$C170)+BH205*($F170-$D175)+BH206*($F170-$D176)+BH207*($F170-$D177)+BH208*($F170-$D178)+BH209*($F170-$D179)+BH210*($F170-$D180)+BH211*($F170-$D181)+BH212*($F170-$D182))/1000000-BH215*($F170-MAIN!$C$14/2)/1000))</f>
        <v>137.59882078265821</v>
      </c>
      <c r="BI216" s="304">
        <f>$A215*IF(BI215+BJ215=0,0,IF(BI215=0,2*BJ216-BK216,(BI174*BI214+BI204*($F170-$C170)+BI205*($F170-$D175)+BI206*($F170-$D176)+BI207*($F170-$D177)+BI208*($F170-$D178)+BI209*($F170-$D179)+BI210*($F170-$D180)+BI211*($F170-$D181)+BI212*($F170-$D182))/1000000-BI215*($F170-MAIN!$C$14/2)/1000))</f>
        <v>104.3171631050817</v>
      </c>
      <c r="BJ216" s="304">
        <f>$A215*IF(BJ215+BK215=0,0,IF(BJ215=0,2*BK216-BO216,(BJ174*BJ214+BJ204*($F170-$C170)+BJ205*($F170-$D175)+BJ206*($F170-$D176)+BJ207*($F170-$D177)+BJ208*($F170-$D178)+BJ209*($F170-$D179)+BJ210*($F170-$D180)+BJ211*($F170-$D181)+BJ212*($F170-$D182))/1000000-BJ215*($F170-MAIN!$C$14/2)/1000))</f>
        <v>68.860072247544394</v>
      </c>
      <c r="BK216" s="304">
        <f>$A215*IF(BK215+BO215=0,0,IF(BK215=0,2*BO216-BP216,(BK174*BK214+BK204*($F170-$C170)+BK205*($F170-$D175)+BK206*($F170-$D176)+BK207*($F170-$D177)+BK208*($F170-$D178)+BK209*($F170-$D179)+BK210*($F170-$D180)+BK211*($F170-$D181)+BK212*($F170-$D182))/1000000-BK215*($F170-MAIN!$C$14/2)/1000))</f>
        <v>31.204592964000767</v>
      </c>
      <c r="BL216" s="304">
        <f>$A215*IF(BL215+BP215=0,0,IF(BL215=0,2*BP216-BQ216,(BL174*BL214+BL204*($F170-$C170)+BL205*($F170-$D175)+BL206*($F170-$D176)+BL207*($F170-$D177)+BL208*($F170-$D178)+BL209*($F170-$D179)+BL210*($F170-$D180)+BL211*($F170-$D181)+BL212*($F170-$D182))/1000000-BL215*($F170-MAIN!$C$14/2)/1000))</f>
        <v>22.306974250503799</v>
      </c>
      <c r="BM216" s="304">
        <f>$A215*IF(BM215+BQ215=0,0,IF(BM215=0,2*BQ216-BR216,(BM174*BM214+BM204*($F170-$C170)+BM205*($F170-$D175)+BM206*($F170-$D176)+BM207*($F170-$D177)+BM208*($F170-$D178)+BM209*($F170-$D179)+BM210*($F170-$D180)+BM211*($F170-$D181)+BM212*($F170-$D182))/1000000-BM215*($F170-MAIN!$C$14/2)/1000))</f>
        <v>15.916237201783588</v>
      </c>
      <c r="BN216" s="304">
        <f>$A215*IF(BN215+BR215=0,0,IF(BN215=0,2*BR216-BS216,(BN174*BN214+BN204*($F170-$C170)+BN205*($F170-$D175)+BN206*($F170-$D176)+BN207*($F170-$D177)+BN208*($F170-$D178)+BN209*($F170-$D179)+BN210*($F170-$D180)+BN211*($F170-$D181)+BN212*($F170-$D182))/1000000-BN215*($F170-MAIN!$C$14/2)/1000))</f>
        <v>12.202448521367387</v>
      </c>
      <c r="BO216" s="3">
        <v>0</v>
      </c>
      <c r="BS216"/>
      <c r="BT216"/>
    </row>
    <row r="217" spans="1:72" ht="16.5">
      <c r="B217" s="296" t="s">
        <v>74</v>
      </c>
      <c r="C217" s="303" t="s">
        <v>75</v>
      </c>
      <c r="D217" s="15"/>
      <c r="E217" s="308"/>
      <c r="F217" s="308"/>
      <c r="G217" s="308"/>
      <c r="H217" s="308"/>
      <c r="I217" s="308"/>
      <c r="J217" s="308"/>
      <c r="K217" s="308"/>
      <c r="L217" s="308"/>
      <c r="M217" s="308"/>
      <c r="N217" s="308"/>
      <c r="O217" s="308"/>
      <c r="P217" s="308"/>
      <c r="Q217" s="308"/>
      <c r="R217" s="308"/>
      <c r="S217" s="308"/>
      <c r="T217" s="308"/>
      <c r="U217" s="308"/>
      <c r="V217" s="308"/>
      <c r="W217" s="308"/>
      <c r="X217" s="308"/>
      <c r="Y217" s="308"/>
      <c r="Z217" s="308"/>
      <c r="AA217" s="308"/>
      <c r="AB217" s="308"/>
      <c r="AC217" s="308"/>
      <c r="AD217" s="308"/>
      <c r="AE217" s="309"/>
      <c r="AF217" s="308"/>
      <c r="AG217" s="308"/>
      <c r="AH217" s="308"/>
      <c r="AI217" s="308"/>
      <c r="AJ217" s="308" t="str">
        <f>FIXED(MAIN!$Q$1,0)&amp;MAIN!R$1&amp;FIXED(B169,0)</f>
        <v>8H20</v>
      </c>
      <c r="AK217" s="308"/>
      <c r="AL217" s="308"/>
      <c r="AM217" s="308"/>
      <c r="AN217" s="308"/>
      <c r="AO217" s="308"/>
      <c r="AP217" s="308"/>
      <c r="AQ217" s="308"/>
      <c r="AR217" s="60"/>
      <c r="AS217" s="308"/>
      <c r="AT217" s="308"/>
      <c r="AU217" s="308"/>
      <c r="AV217" s="308"/>
      <c r="AW217" s="308"/>
      <c r="AX217" s="308"/>
      <c r="AY217" s="308"/>
      <c r="AZ217" s="308"/>
      <c r="BA217" s="308"/>
      <c r="BB217" s="308"/>
      <c r="BC217" s="308"/>
      <c r="BD217" s="308"/>
      <c r="BE217" s="308"/>
      <c r="BF217" s="308"/>
      <c r="BG217" s="308"/>
      <c r="BH217" s="308"/>
      <c r="BI217" s="308"/>
      <c r="BJ217" s="308"/>
      <c r="BK217" s="308"/>
      <c r="BL217" s="621"/>
      <c r="BM217" s="621"/>
      <c r="BN217" s="621"/>
      <c r="BO217" s="15"/>
      <c r="BS217"/>
      <c r="BT217"/>
    </row>
    <row r="218" spans="1:72">
      <c r="B218"/>
      <c r="C218" s="65" t="s">
        <v>135</v>
      </c>
      <c r="D218" s="66">
        <f t="shared" ref="D218:BJ219" si="149">E215-D215</f>
        <v>200.66076065580128</v>
      </c>
      <c r="E218" s="66">
        <f t="shared" si="149"/>
        <v>177.81725505871489</v>
      </c>
      <c r="F218" s="66">
        <f t="shared" si="149"/>
        <v>160.4138927510036</v>
      </c>
      <c r="G218" s="66">
        <f t="shared" si="149"/>
        <v>146.85030088339596</v>
      </c>
      <c r="H218" s="66">
        <f t="shared" si="149"/>
        <v>136.07428501856106</v>
      </c>
      <c r="I218" s="66">
        <f t="shared" si="149"/>
        <v>127.37095329107439</v>
      </c>
      <c r="J218" s="66">
        <f t="shared" si="149"/>
        <v>120.24077917147611</v>
      </c>
      <c r="K218" s="66">
        <f t="shared" si="149"/>
        <v>114.32616973991435</v>
      </c>
      <c r="L218" s="66">
        <f t="shared" si="149"/>
        <v>109.36567373191417</v>
      </c>
      <c r="M218" s="66">
        <f t="shared" si="149"/>
        <v>76.680772806262894</v>
      </c>
      <c r="N218" s="66">
        <f t="shared" si="149"/>
        <v>101.57531683276977</v>
      </c>
      <c r="O218" s="66">
        <f t="shared" si="149"/>
        <v>98.48465641333064</v>
      </c>
      <c r="P218" s="66">
        <f t="shared" si="149"/>
        <v>95.804311674648261</v>
      </c>
      <c r="Q218" s="66">
        <f t="shared" si="149"/>
        <v>93.464729303520926</v>
      </c>
      <c r="R218" s="66">
        <f t="shared" si="149"/>
        <v>91.410494454226637</v>
      </c>
      <c r="S218" s="66">
        <f t="shared" si="149"/>
        <v>89.597016681386322</v>
      </c>
      <c r="T218" s="66">
        <f t="shared" si="149"/>
        <v>87.98808808792046</v>
      </c>
      <c r="U218" s="66">
        <f t="shared" si="149"/>
        <v>86.554060846366383</v>
      </c>
      <c r="V218" s="66">
        <f t="shared" si="149"/>
        <v>85.270470825247685</v>
      </c>
      <c r="W218" s="66">
        <f t="shared" si="149"/>
        <v>84.116986740120183</v>
      </c>
      <c r="X218" s="66">
        <f t="shared" si="149"/>
        <v>83.076599716973988</v>
      </c>
      <c r="Y218" s="66">
        <f t="shared" si="149"/>
        <v>82.134992398702479</v>
      </c>
      <c r="Z218" s="66">
        <f t="shared" si="149"/>
        <v>81.280043531185584</v>
      </c>
      <c r="AA218" s="66">
        <f t="shared" si="149"/>
        <v>80.501435769234831</v>
      </c>
      <c r="AB218" s="66">
        <f t="shared" si="149"/>
        <v>79.790342834609419</v>
      </c>
      <c r="AC218" s="66">
        <f t="shared" si="149"/>
        <v>79.139178192760937</v>
      </c>
      <c r="AD218" s="66">
        <f t="shared" si="149"/>
        <v>78.541391800545171</v>
      </c>
      <c r="AE218" s="66">
        <f t="shared" si="149"/>
        <v>77.991304696306088</v>
      </c>
      <c r="AF218" s="66">
        <f t="shared" si="149"/>
        <v>77.48397358874081</v>
      </c>
      <c r="AG218" s="66">
        <f t="shared" si="149"/>
        <v>77.015079383787906</v>
      </c>
      <c r="AH218" s="66">
        <f t="shared" si="149"/>
        <v>75.135466092944171</v>
      </c>
      <c r="AI218" s="66">
        <f t="shared" si="149"/>
        <v>68.200527206865445</v>
      </c>
      <c r="AJ218" s="66">
        <f t="shared" si="149"/>
        <v>68.200527206866354</v>
      </c>
      <c r="AK218" s="66">
        <f t="shared" si="149"/>
        <v>68.2005272068659</v>
      </c>
      <c r="AL218" s="66">
        <f t="shared" si="149"/>
        <v>68.200527206865445</v>
      </c>
      <c r="AM218" s="66">
        <f t="shared" si="149"/>
        <v>68.200527206865445</v>
      </c>
      <c r="AN218" s="66">
        <f t="shared" si="149"/>
        <v>68.200527206866354</v>
      </c>
      <c r="AO218" s="66">
        <f t="shared" si="149"/>
        <v>68.200527206865445</v>
      </c>
      <c r="AP218" s="66">
        <f t="shared" si="149"/>
        <v>68.20052720686499</v>
      </c>
      <c r="AQ218" s="66">
        <f t="shared" si="149"/>
        <v>68.2005272068659</v>
      </c>
      <c r="AR218" s="66">
        <f t="shared" si="149"/>
        <v>350.11330760532155</v>
      </c>
      <c r="AS218" s="66">
        <f t="shared" si="149"/>
        <v>337.34270422180225</v>
      </c>
      <c r="AT218" s="66">
        <f t="shared" si="149"/>
        <v>326.90073386291033</v>
      </c>
      <c r="AU218" s="66">
        <f t="shared" si="149"/>
        <v>318.25368859243736</v>
      </c>
      <c r="AV218" s="66">
        <f t="shared" si="149"/>
        <v>311.01247725858138</v>
      </c>
      <c r="AW218" s="66">
        <f t="shared" si="149"/>
        <v>304.88801934155435</v>
      </c>
      <c r="AX218" s="66">
        <f t="shared" si="149"/>
        <v>299.66190555238154</v>
      </c>
      <c r="AY218" s="66">
        <f t="shared" si="149"/>
        <v>295.16663195038927</v>
      </c>
      <c r="AZ218" s="66">
        <f t="shared" si="149"/>
        <v>291.27199645879682</v>
      </c>
      <c r="BA218" s="66">
        <f t="shared" si="149"/>
        <v>287.87555569085271</v>
      </c>
      <c r="BB218" s="66">
        <f t="shared" si="149"/>
        <v>284.89581369487314</v>
      </c>
      <c r="BC218" s="66">
        <f t="shared" si="149"/>
        <v>282.26728394568181</v>
      </c>
      <c r="BD218" s="66">
        <f t="shared" si="149"/>
        <v>277.12519092201183</v>
      </c>
      <c r="BE218" s="66">
        <f t="shared" si="149"/>
        <v>242.87505848473029</v>
      </c>
      <c r="BF218" s="66">
        <f t="shared" si="149"/>
        <v>268.78450629057079</v>
      </c>
      <c r="BG218" s="66">
        <f t="shared" si="149"/>
        <v>266.67904994725632</v>
      </c>
      <c r="BH218" s="66">
        <f t="shared" si="149"/>
        <v>264.93511787658827</v>
      </c>
      <c r="BI218" s="66">
        <f t="shared" si="149"/>
        <v>263.47442203544779</v>
      </c>
      <c r="BJ218" s="66">
        <f t="shared" si="149"/>
        <v>262.23877762612938</v>
      </c>
      <c r="BK218" s="66">
        <f t="shared" ref="BK218:BN219" si="150">BL215-BK215</f>
        <v>87.231556014676244</v>
      </c>
      <c r="BL218" s="66">
        <f t="shared" si="150"/>
        <v>5.6138894809791964</v>
      </c>
      <c r="BM218" s="66">
        <f t="shared" si="150"/>
        <v>0</v>
      </c>
      <c r="BN218" s="66">
        <f t="shared" si="150"/>
        <v>0</v>
      </c>
      <c r="BO218" s="65">
        <v>0</v>
      </c>
      <c r="BS218"/>
      <c r="BT218"/>
    </row>
    <row r="219" spans="1:72">
      <c r="B219"/>
      <c r="C219" s="65" t="s">
        <v>136</v>
      </c>
      <c r="D219" s="66">
        <f t="shared" si="149"/>
        <v>22.014361917308221</v>
      </c>
      <c r="E219" s="66">
        <f t="shared" si="149"/>
        <v>19.513320232019524</v>
      </c>
      <c r="F219" s="66">
        <f t="shared" si="149"/>
        <v>17.567173162247229</v>
      </c>
      <c r="G219" s="66">
        <f t="shared" si="149"/>
        <v>16.012682677365376</v>
      </c>
      <c r="H219" s="66">
        <f t="shared" si="149"/>
        <v>14.742524944766416</v>
      </c>
      <c r="I219" s="66">
        <f t="shared" si="149"/>
        <v>13.683780994176942</v>
      </c>
      <c r="J219" s="66">
        <f t="shared" si="149"/>
        <v>12.785499119592146</v>
      </c>
      <c r="K219" s="66">
        <f t="shared" si="149"/>
        <v>12.01120484318696</v>
      </c>
      <c r="L219" s="66">
        <f t="shared" si="149"/>
        <v>11.334230135985081</v>
      </c>
      <c r="M219" s="66">
        <f t="shared" si="149"/>
        <v>7.8293661271829365</v>
      </c>
      <c r="N219" s="66">
        <f t="shared" si="149"/>
        <v>10.197605503500711</v>
      </c>
      <c r="O219" s="66">
        <f t="shared" si="149"/>
        <v>9.7113540263322307</v>
      </c>
      <c r="P219" s="66">
        <f t="shared" si="149"/>
        <v>9.2669547486006536</v>
      </c>
      <c r="Q219" s="66">
        <f t="shared" si="149"/>
        <v>8.8573132323599566</v>
      </c>
      <c r="R219" s="66">
        <f t="shared" si="149"/>
        <v>8.4767771633460711</v>
      </c>
      <c r="S219" s="66">
        <f t="shared" si="149"/>
        <v>8.1207983161304469</v>
      </c>
      <c r="T219" s="66">
        <f t="shared" si="149"/>
        <v>7.7856834852112229</v>
      </c>
      <c r="U219" s="66">
        <f t="shared" si="149"/>
        <v>7.4684085921869041</v>
      </c>
      <c r="V219" s="66">
        <f t="shared" si="149"/>
        <v>7.1664782956468116</v>
      </c>
      <c r="W219" s="66">
        <f t="shared" si="149"/>
        <v>6.8778188045782827</v>
      </c>
      <c r="X219" s="66">
        <f t="shared" si="149"/>
        <v>6.6006952138312727</v>
      </c>
      <c r="Y219" s="66">
        <f t="shared" si="149"/>
        <v>6.3336471529818255</v>
      </c>
      <c r="Z219" s="66">
        <f t="shared" si="149"/>
        <v>6.0754382541092582</v>
      </c>
      <c r="AA219" s="66">
        <f t="shared" si="149"/>
        <v>5.825016148004579</v>
      </c>
      <c r="AB219" s="66">
        <f t="shared" si="149"/>
        <v>5.5814805542869408</v>
      </c>
      <c r="AC219" s="66">
        <f t="shared" si="149"/>
        <v>5.3440576464323613</v>
      </c>
      <c r="AD219" s="66">
        <f t="shared" si="149"/>
        <v>5.1120793200407775</v>
      </c>
      <c r="AE219" s="66">
        <f t="shared" si="149"/>
        <v>4.8849663210225458</v>
      </c>
      <c r="AF219" s="66">
        <f t="shared" si="149"/>
        <v>4.6622144336648716</v>
      </c>
      <c r="AG219" s="66">
        <f t="shared" si="149"/>
        <v>4.4433831103738726</v>
      </c>
      <c r="AH219" s="66">
        <f t="shared" si="149"/>
        <v>4.0806584403221677</v>
      </c>
      <c r="AI219" s="66">
        <f t="shared" si="149"/>
        <v>3.202290559556161</v>
      </c>
      <c r="AJ219" s="66">
        <f t="shared" si="149"/>
        <v>3.031286445170565</v>
      </c>
      <c r="AK219" s="66">
        <f t="shared" si="149"/>
        <v>2.8602823307846847</v>
      </c>
      <c r="AL219" s="66">
        <f t="shared" si="149"/>
        <v>2.6892782163985771</v>
      </c>
      <c r="AM219" s="66">
        <f t="shared" si="149"/>
        <v>2.5182741020130379</v>
      </c>
      <c r="AN219" s="66">
        <f t="shared" si="149"/>
        <v>2.3472699876269871</v>
      </c>
      <c r="AO219" s="66">
        <f t="shared" si="149"/>
        <v>2.1762658732412774</v>
      </c>
      <c r="AP219" s="66">
        <f t="shared" si="149"/>
        <v>2.0052617588556245</v>
      </c>
      <c r="AQ219" s="66">
        <f t="shared" si="149"/>
        <v>1.8342576444696874</v>
      </c>
      <c r="AR219" s="66">
        <f t="shared" si="149"/>
        <v>-4.7790465377944429</v>
      </c>
      <c r="AS219" s="66">
        <f t="shared" si="149"/>
        <v>-5.8008691484322981</v>
      </c>
      <c r="AT219" s="66">
        <f t="shared" si="149"/>
        <v>-7.0602123275825761</v>
      </c>
      <c r="AU219" s="66">
        <f t="shared" si="149"/>
        <v>-8.5026378657512964</v>
      </c>
      <c r="AV219" s="66">
        <f t="shared" si="149"/>
        <v>-10.088458465454949</v>
      </c>
      <c r="AW219" s="66">
        <f t="shared" si="149"/>
        <v>-11.788187913675642</v>
      </c>
      <c r="AX219" s="66">
        <f t="shared" si="149"/>
        <v>-13.5795484629366</v>
      </c>
      <c r="AY219" s="66">
        <f t="shared" si="149"/>
        <v>-15.445454711290722</v>
      </c>
      <c r="AZ219" s="66">
        <f t="shared" si="149"/>
        <v>-17.372626046905225</v>
      </c>
      <c r="BA219" s="66">
        <f t="shared" si="149"/>
        <v>-19.350613244331953</v>
      </c>
      <c r="BB219" s="66">
        <f t="shared" si="149"/>
        <v>-21.371103716499306</v>
      </c>
      <c r="BC219" s="66">
        <f t="shared" si="149"/>
        <v>-23.427417837838675</v>
      </c>
      <c r="BD219" s="66">
        <f t="shared" si="149"/>
        <v>-25.227348505181453</v>
      </c>
      <c r="BE219" s="66">
        <f t="shared" si="149"/>
        <v>-24.058259152335836</v>
      </c>
      <c r="BF219" s="66">
        <f t="shared" si="149"/>
        <v>-29.025446984288692</v>
      </c>
      <c r="BG219" s="66">
        <f t="shared" si="149"/>
        <v>-31.135114593027765</v>
      </c>
      <c r="BH219" s="66">
        <f t="shared" si="149"/>
        <v>-33.281657677576504</v>
      </c>
      <c r="BI219" s="66">
        <f t="shared" si="149"/>
        <v>-35.45709085753731</v>
      </c>
      <c r="BJ219" s="66">
        <f t="shared" si="149"/>
        <v>-37.655479283543627</v>
      </c>
      <c r="BK219" s="66">
        <f t="shared" si="150"/>
        <v>-8.8976187134969678</v>
      </c>
      <c r="BL219" s="66">
        <f t="shared" si="150"/>
        <v>-6.3907370487202115</v>
      </c>
      <c r="BM219" s="66">
        <f t="shared" si="150"/>
        <v>-3.7137886804162008</v>
      </c>
      <c r="BN219" s="66">
        <f t="shared" si="150"/>
        <v>-12.202448521367387</v>
      </c>
      <c r="BO219" s="65">
        <v>0</v>
      </c>
      <c r="BS219"/>
      <c r="BT219"/>
    </row>
    <row r="220" spans="1:72">
      <c r="B220"/>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c r="AX220" s="2"/>
      <c r="AY220" s="2"/>
      <c r="AZ220" s="2"/>
      <c r="BA220" s="2"/>
      <c r="BB220" s="2"/>
      <c r="BC220" s="2"/>
      <c r="BD220" s="2"/>
      <c r="BE220" s="2"/>
      <c r="BF220" s="2"/>
      <c r="BG220" s="2"/>
      <c r="BH220" s="2"/>
      <c r="BI220" s="2"/>
      <c r="BJ220" s="2"/>
      <c r="BK220" s="2"/>
      <c r="BL220" s="2"/>
      <c r="BM220" s="2"/>
      <c r="BN220" s="2"/>
      <c r="BO220" s="16"/>
      <c r="BS220"/>
      <c r="BT220"/>
    </row>
    <row r="221" spans="1:72" ht="18.75">
      <c r="B221" s="275">
        <f>MAIN!C$37</f>
        <v>16</v>
      </c>
      <c r="C221" s="276" t="s">
        <v>43</v>
      </c>
      <c r="D221" s="258"/>
      <c r="E221" s="259"/>
      <c r="F221" s="259"/>
      <c r="G221" s="259"/>
      <c r="H221" s="259"/>
      <c r="I221" s="259"/>
      <c r="J221" s="259"/>
      <c r="K221" s="277"/>
      <c r="L221" s="259"/>
      <c r="M221" s="259"/>
      <c r="N221" s="278" t="s">
        <v>93</v>
      </c>
      <c r="O221" s="279">
        <f>$C$8*$C$9*MAIN!C$13</f>
        <v>21760.000000000004</v>
      </c>
      <c r="P221" s="73"/>
      <c r="Q221" s="73"/>
      <c r="R221" s="73"/>
      <c r="S221" s="73"/>
      <c r="T221" s="73"/>
      <c r="U221" s="73"/>
      <c r="V221" s="73"/>
      <c r="W221" s="73"/>
      <c r="X221" s="73"/>
      <c r="Y221" s="73"/>
      <c r="Z221" s="73"/>
      <c r="AA221" s="73"/>
      <c r="AB221" s="73"/>
      <c r="AC221" s="73"/>
      <c r="AD221" s="73"/>
      <c r="AE221" s="73"/>
      <c r="AF221" s="73"/>
      <c r="AG221" s="73"/>
      <c r="AH221" s="73"/>
      <c r="AI221" s="73"/>
      <c r="AJ221" s="73"/>
      <c r="AK221" s="73"/>
      <c r="AL221" s="73"/>
      <c r="AM221" s="73"/>
      <c r="AN221" s="73"/>
      <c r="AO221" s="73"/>
      <c r="AP221" s="73"/>
      <c r="AQ221" s="73"/>
      <c r="AS221" s="73"/>
      <c r="BS221"/>
      <c r="BT221"/>
    </row>
    <row r="222" spans="1:72" ht="18.75">
      <c r="B222" s="260" t="str">
        <f>B170</f>
        <v>d' =</v>
      </c>
      <c r="C222" s="261">
        <f>MAIN!I$8+MAIN!E37+MAIN!C37/2</f>
        <v>46</v>
      </c>
      <c r="D222" s="262"/>
      <c r="E222" s="263" t="str">
        <f>E170</f>
        <v>d =</v>
      </c>
      <c r="F222" s="261">
        <f>IF(I222=0,0,MAIN!C$14-C222)</f>
        <v>254</v>
      </c>
      <c r="G222" s="262" t="str">
        <f>G170</f>
        <v>mm</v>
      </c>
      <c r="H222" s="263" t="s">
        <v>76</v>
      </c>
      <c r="I222" s="264">
        <f>IF(MAIN!I37="ok",MAIN!C$13*MAIN!C$14*MAIN!D37/100,0)</f>
        <v>1608.4954386379745</v>
      </c>
      <c r="J222" s="262" t="str">
        <f>J170</f>
        <v>mm²</v>
      </c>
      <c r="K222" s="263" t="s">
        <v>48</v>
      </c>
      <c r="L222" s="261">
        <f>(F222-C222)/(MAIN!C$15-1)</f>
        <v>208</v>
      </c>
      <c r="M222" s="262" t="s">
        <v>14</v>
      </c>
      <c r="N222" s="263" t="s">
        <v>17</v>
      </c>
      <c r="O222" s="280">
        <f>I222*MAIN!C$16/MAIN!Q$1*(200000*F$8-C$9-C$10)</f>
        <v>195070.86710902277</v>
      </c>
      <c r="P222" s="45"/>
      <c r="Q222" s="45"/>
      <c r="R222" s="45"/>
      <c r="S222" s="45"/>
      <c r="T222" s="45"/>
      <c r="U222" s="45"/>
      <c r="V222" s="45"/>
      <c r="W222" s="45"/>
      <c r="X222" s="45"/>
      <c r="Y222" s="45"/>
      <c r="Z222" s="45"/>
      <c r="AA222" s="45"/>
      <c r="AB222" s="45"/>
      <c r="AC222" s="45"/>
      <c r="AD222" s="45"/>
      <c r="AE222" s="45"/>
      <c r="AF222" s="45"/>
      <c r="AG222" s="45"/>
      <c r="AH222" s="45"/>
      <c r="AI222" s="289"/>
      <c r="AJ222" s="45"/>
      <c r="AK222" s="45"/>
      <c r="AL222" s="45"/>
      <c r="AM222" s="45"/>
      <c r="AN222" s="45"/>
      <c r="AO222" s="45"/>
      <c r="AP222" s="45"/>
      <c r="AQ222" s="45"/>
      <c r="AS222" s="45"/>
      <c r="BS222"/>
      <c r="BT222"/>
    </row>
    <row r="223" spans="1:72" ht="18.75">
      <c r="B223" s="265"/>
      <c r="C223" s="266"/>
      <c r="D223" s="267"/>
      <c r="E223" s="268" t="str">
        <f>E171</f>
        <v>Interval =</v>
      </c>
      <c r="F223" s="269">
        <f>(AR225-D225)/40</f>
        <v>3.3109376322590252</v>
      </c>
      <c r="G223" s="270" t="s">
        <v>50</v>
      </c>
      <c r="H223" s="281"/>
      <c r="I223" s="281"/>
      <c r="J223" s="281"/>
      <c r="K223" s="281"/>
      <c r="L223" s="281"/>
      <c r="M223" s="281"/>
      <c r="N223" s="282" t="s">
        <v>120</v>
      </c>
      <c r="O223" s="283">
        <f>-100000*F$8*C222*I222*MAIN!C$16/MAIN!Q$1*2</f>
        <v>-25896776.56207139</v>
      </c>
      <c r="P223" s="49"/>
      <c r="Q223" s="49"/>
      <c r="R223" s="49"/>
      <c r="S223" s="49"/>
      <c r="T223" s="49"/>
      <c r="U223" s="49"/>
      <c r="V223" s="49"/>
      <c r="W223" s="49"/>
      <c r="X223" s="49"/>
      <c r="Y223" s="49"/>
      <c r="Z223" s="49"/>
      <c r="AA223" s="49"/>
      <c r="AB223" s="49"/>
      <c r="AC223" s="49"/>
      <c r="AD223" s="49"/>
      <c r="AE223" s="49"/>
      <c r="AF223" s="49"/>
      <c r="AG223" s="289"/>
      <c r="AH223" s="49"/>
      <c r="AI223" s="310"/>
      <c r="AJ223" s="49"/>
      <c r="AK223" s="49"/>
      <c r="AL223" s="49"/>
      <c r="AM223" s="49"/>
      <c r="AN223" s="49"/>
      <c r="AO223" s="49"/>
      <c r="AP223" s="49"/>
      <c r="AQ223" s="49"/>
      <c r="AR223" s="49" t="s">
        <v>49</v>
      </c>
      <c r="AS223" s="50">
        <f>IF(I222=0,0,(BK225-AR225)/19)</f>
        <v>11.490421455938698</v>
      </c>
      <c r="AT223" s="46" t="s">
        <v>121</v>
      </c>
      <c r="BS223"/>
      <c r="BT223"/>
    </row>
    <row r="224" spans="1:72" ht="15.75">
      <c r="C224" s="51"/>
      <c r="D224" s="52"/>
      <c r="E224" s="52"/>
      <c r="F224" s="52"/>
      <c r="G224" s="52"/>
      <c r="H224" s="52"/>
      <c r="I224" s="52"/>
      <c r="J224" s="52"/>
      <c r="K224" s="52"/>
      <c r="L224" s="52"/>
      <c r="M224" s="52"/>
      <c r="N224" s="45"/>
      <c r="O224" s="52"/>
      <c r="P224" s="52"/>
      <c r="Q224" s="52"/>
      <c r="R224" s="52"/>
      <c r="S224" s="52"/>
      <c r="T224" s="52"/>
      <c r="U224" s="52"/>
      <c r="V224" s="52"/>
      <c r="W224" s="52"/>
      <c r="X224" s="52"/>
      <c r="Y224" s="52"/>
      <c r="Z224" s="52"/>
      <c r="AA224" s="52"/>
      <c r="AB224" s="52"/>
      <c r="AC224" s="52"/>
      <c r="AD224" s="52"/>
      <c r="AE224" s="52"/>
      <c r="AF224" s="52"/>
      <c r="AG224" s="52"/>
      <c r="AH224" s="52"/>
      <c r="AI224" s="52"/>
      <c r="AJ224" s="52"/>
      <c r="AK224" s="52"/>
      <c r="AL224" s="52"/>
      <c r="AM224" s="52"/>
      <c r="AN224" s="52"/>
      <c r="AO224" s="52"/>
      <c r="AP224" s="52"/>
      <c r="AQ224" s="52"/>
      <c r="AR224" s="52"/>
      <c r="AS224" s="52"/>
      <c r="BK224" s="53"/>
      <c r="BL224" s="53"/>
      <c r="BM224" s="53"/>
      <c r="BN224" s="53"/>
      <c r="BO224" s="288" t="s">
        <v>51</v>
      </c>
      <c r="BS224"/>
      <c r="BT224"/>
    </row>
    <row r="225" spans="2:72" ht="16.5">
      <c r="B225" s="284" t="s">
        <v>115</v>
      </c>
      <c r="C225" s="297" t="s">
        <v>52</v>
      </c>
      <c r="D225" s="285">
        <f>0.8*(-O222+SQRT(O222^2-4*O221*O223))/2/O221</f>
        <v>24.244487046803727</v>
      </c>
      <c r="E225" s="286">
        <f t="shared" ref="E225:AQ225" si="151">D225+$F223</f>
        <v>27.555424679062753</v>
      </c>
      <c r="F225" s="286">
        <f t="shared" si="151"/>
        <v>30.86636231132178</v>
      </c>
      <c r="G225" s="286">
        <f t="shared" si="151"/>
        <v>34.177299943580806</v>
      </c>
      <c r="H225" s="286">
        <f t="shared" si="151"/>
        <v>37.488237575839833</v>
      </c>
      <c r="I225" s="286">
        <f t="shared" si="151"/>
        <v>40.799175208098859</v>
      </c>
      <c r="J225" s="286">
        <f t="shared" si="151"/>
        <v>44.110112840357885</v>
      </c>
      <c r="K225" s="286">
        <f t="shared" si="151"/>
        <v>47.421050472616912</v>
      </c>
      <c r="L225" s="286">
        <f t="shared" si="151"/>
        <v>50.731988104875938</v>
      </c>
      <c r="M225" s="286">
        <f t="shared" si="151"/>
        <v>54.042925737134965</v>
      </c>
      <c r="N225" s="286">
        <f t="shared" si="151"/>
        <v>57.353863369393991</v>
      </c>
      <c r="O225" s="286">
        <f t="shared" si="151"/>
        <v>60.664801001653018</v>
      </c>
      <c r="P225" s="286">
        <f t="shared" si="151"/>
        <v>63.975738633912044</v>
      </c>
      <c r="Q225" s="286">
        <f t="shared" si="151"/>
        <v>67.286676266171071</v>
      </c>
      <c r="R225" s="286">
        <f t="shared" si="151"/>
        <v>70.597613898430097</v>
      </c>
      <c r="S225" s="286">
        <f t="shared" si="151"/>
        <v>73.908551530689124</v>
      </c>
      <c r="T225" s="286">
        <f t="shared" si="151"/>
        <v>77.21948916294815</v>
      </c>
      <c r="U225" s="286">
        <f t="shared" si="151"/>
        <v>80.530426795207177</v>
      </c>
      <c r="V225" s="286">
        <f t="shared" si="151"/>
        <v>83.841364427466203</v>
      </c>
      <c r="W225" s="286">
        <f t="shared" si="151"/>
        <v>87.15230205972523</v>
      </c>
      <c r="X225" s="286">
        <f t="shared" si="151"/>
        <v>90.463239691984256</v>
      </c>
      <c r="Y225" s="286">
        <f t="shared" si="151"/>
        <v>93.774177324243283</v>
      </c>
      <c r="Z225" s="286">
        <f t="shared" si="151"/>
        <v>97.085114956502309</v>
      </c>
      <c r="AA225" s="286">
        <f t="shared" si="151"/>
        <v>100.39605258876134</v>
      </c>
      <c r="AB225" s="286">
        <f t="shared" si="151"/>
        <v>103.70699022102036</v>
      </c>
      <c r="AC225" s="286">
        <f t="shared" si="151"/>
        <v>107.01792785327939</v>
      </c>
      <c r="AD225" s="286">
        <f t="shared" si="151"/>
        <v>110.32886548553842</v>
      </c>
      <c r="AE225" s="286">
        <f t="shared" si="151"/>
        <v>113.63980311779744</v>
      </c>
      <c r="AF225" s="286">
        <f t="shared" si="151"/>
        <v>116.95074075005647</v>
      </c>
      <c r="AG225" s="286">
        <f t="shared" si="151"/>
        <v>120.26167838231549</v>
      </c>
      <c r="AH225" s="286">
        <f t="shared" si="151"/>
        <v>123.57261601457452</v>
      </c>
      <c r="AI225" s="286">
        <f t="shared" si="151"/>
        <v>126.88355364683355</v>
      </c>
      <c r="AJ225" s="286">
        <f t="shared" si="151"/>
        <v>130.19449127909257</v>
      </c>
      <c r="AK225" s="286">
        <f t="shared" si="151"/>
        <v>133.5054289113516</v>
      </c>
      <c r="AL225" s="286">
        <f t="shared" si="151"/>
        <v>136.81636654361063</v>
      </c>
      <c r="AM225" s="286">
        <f t="shared" si="151"/>
        <v>140.12730417586965</v>
      </c>
      <c r="AN225" s="286">
        <f t="shared" si="151"/>
        <v>143.43824180812868</v>
      </c>
      <c r="AO225" s="286">
        <f t="shared" si="151"/>
        <v>146.74917944038771</v>
      </c>
      <c r="AP225" s="286">
        <f t="shared" si="151"/>
        <v>150.06011707264673</v>
      </c>
      <c r="AQ225" s="286">
        <f t="shared" si="151"/>
        <v>153.37105470490576</v>
      </c>
      <c r="AR225" s="62">
        <f>200000*F$8/C$10*F222/(1+200000*F$8/C$10)</f>
        <v>156.68199233716473</v>
      </c>
      <c r="AS225" s="286">
        <f t="shared" ref="AS225:BJ225" si="152">AR225+$AS223</f>
        <v>168.17241379310343</v>
      </c>
      <c r="AT225" s="286">
        <f t="shared" si="152"/>
        <v>179.66283524904213</v>
      </c>
      <c r="AU225" s="286">
        <f t="shared" si="152"/>
        <v>191.15325670498083</v>
      </c>
      <c r="AV225" s="286">
        <f t="shared" si="152"/>
        <v>202.64367816091954</v>
      </c>
      <c r="AW225" s="286">
        <f t="shared" si="152"/>
        <v>214.13409961685824</v>
      </c>
      <c r="AX225" s="286">
        <f t="shared" si="152"/>
        <v>225.62452107279694</v>
      </c>
      <c r="AY225" s="286">
        <f t="shared" si="152"/>
        <v>237.11494252873564</v>
      </c>
      <c r="AZ225" s="286">
        <f t="shared" si="152"/>
        <v>248.60536398467434</v>
      </c>
      <c r="BA225" s="286">
        <f t="shared" si="152"/>
        <v>260.09578544061304</v>
      </c>
      <c r="BB225" s="286">
        <f t="shared" si="152"/>
        <v>271.58620689655174</v>
      </c>
      <c r="BC225" s="286">
        <f t="shared" si="152"/>
        <v>283.07662835249045</v>
      </c>
      <c r="BD225" s="286">
        <f t="shared" si="152"/>
        <v>294.56704980842915</v>
      </c>
      <c r="BE225" s="286">
        <f t="shared" si="152"/>
        <v>306.05747126436785</v>
      </c>
      <c r="BF225" s="286">
        <f t="shared" si="152"/>
        <v>317.54789272030655</v>
      </c>
      <c r="BG225" s="286">
        <f t="shared" si="152"/>
        <v>329.03831417624525</v>
      </c>
      <c r="BH225" s="286">
        <f t="shared" si="152"/>
        <v>340.52873563218395</v>
      </c>
      <c r="BI225" s="286">
        <f t="shared" si="152"/>
        <v>352.01915708812265</v>
      </c>
      <c r="BJ225" s="286">
        <f t="shared" si="152"/>
        <v>363.50957854406136</v>
      </c>
      <c r="BK225" s="286">
        <f>BK17</f>
        <v>375</v>
      </c>
      <c r="BL225" s="286">
        <f>BL17</f>
        <v>550</v>
      </c>
      <c r="BM225" s="286">
        <f>BM17</f>
        <v>725</v>
      </c>
      <c r="BN225" s="286">
        <f>BN17</f>
        <v>900</v>
      </c>
      <c r="BO225" s="287"/>
      <c r="BS225"/>
      <c r="BT225"/>
    </row>
    <row r="226" spans="2:72" ht="16.5">
      <c r="B226" s="290" t="s">
        <v>53</v>
      </c>
      <c r="C226" s="298" t="s">
        <v>54</v>
      </c>
      <c r="D226" s="3">
        <f>MIN($C$8*D225,MAIN!$C$14)*MAIN!$C$13*$C$9</f>
        <v>527560.03813844908</v>
      </c>
      <c r="E226" s="304">
        <f>MIN($C$8*E225,MAIN!$C$14)*MAIN!$C$13*$C$9</f>
        <v>599606.04101640556</v>
      </c>
      <c r="F226" s="304">
        <f>MIN($C$8*F225,MAIN!$C$14)*MAIN!$C$13*$C$9</f>
        <v>671652.04389436205</v>
      </c>
      <c r="G226" s="304">
        <f>MIN($C$8*G225,MAIN!$C$14)*MAIN!$C$13*$C$9</f>
        <v>743698.04677231843</v>
      </c>
      <c r="H226" s="304">
        <f>MIN($C$8*H225,MAIN!$C$14)*MAIN!$C$13*$C$9</f>
        <v>815744.04965027492</v>
      </c>
      <c r="I226" s="304">
        <f>MIN($C$8*I225,MAIN!$C$14)*MAIN!$C$13*$C$9</f>
        <v>887790.05252823117</v>
      </c>
      <c r="J226" s="304">
        <f>MIN($C$8*J225,MAIN!$C$14)*MAIN!$C$13*$C$9</f>
        <v>959836.05540618778</v>
      </c>
      <c r="K226" s="304">
        <f>MIN($C$8*K225,MAIN!$C$14)*MAIN!$C$13*$C$9</f>
        <v>1031882.058284144</v>
      </c>
      <c r="L226" s="304">
        <f>MIN($C$8*L225,MAIN!$C$14)*MAIN!$C$13*$C$9</f>
        <v>1103928.0611621006</v>
      </c>
      <c r="M226" s="304">
        <f>MIN($C$8*M225,MAIN!$C$14)*MAIN!$C$13*$C$9</f>
        <v>1175974.0640400571</v>
      </c>
      <c r="N226" s="304">
        <f>MIN($C$8*N225,MAIN!$C$14)*MAIN!$C$13*$C$9</f>
        <v>1248020.0669180132</v>
      </c>
      <c r="O226" s="304">
        <f>MIN($C$8*O225,MAIN!$C$14)*MAIN!$C$13*$C$9</f>
        <v>1320066.0697959696</v>
      </c>
      <c r="P226" s="304">
        <f>MIN($C$8*P225,MAIN!$C$14)*MAIN!$C$13*$C$9</f>
        <v>1392112.0726739261</v>
      </c>
      <c r="Q226" s="304">
        <f>MIN($C$8*Q225,MAIN!$C$14)*MAIN!$C$13*$C$9</f>
        <v>1464158.0755518826</v>
      </c>
      <c r="R226" s="304">
        <f>MIN($C$8*R225,MAIN!$C$14)*MAIN!$C$13*$C$9</f>
        <v>1536204.0784298393</v>
      </c>
      <c r="S226" s="304">
        <f>MIN($C$8*S225,MAIN!$C$14)*MAIN!$C$13*$C$9</f>
        <v>1608250.0813077954</v>
      </c>
      <c r="T226" s="304">
        <f>MIN($C$8*T225,MAIN!$C$14)*MAIN!$C$13*$C$9</f>
        <v>1680296.0841857519</v>
      </c>
      <c r="U226" s="304">
        <f>MIN($C$8*U225,MAIN!$C$14)*MAIN!$C$13*$C$9</f>
        <v>1752342.0870637083</v>
      </c>
      <c r="V226" s="304">
        <f>MIN($C$8*V225,MAIN!$C$14)*MAIN!$C$13*$C$9</f>
        <v>1824388.0899416648</v>
      </c>
      <c r="W226" s="304">
        <f>MIN($C$8*W225,MAIN!$C$14)*MAIN!$C$13*$C$9</f>
        <v>1896434.0928196209</v>
      </c>
      <c r="X226" s="304">
        <f>MIN($C$8*X225,MAIN!$C$14)*MAIN!$C$13*$C$9</f>
        <v>1968480.0956975776</v>
      </c>
      <c r="Y226" s="304">
        <f>MIN($C$8*Y225,MAIN!$C$14)*MAIN!$C$13*$C$9</f>
        <v>2040526.0985755338</v>
      </c>
      <c r="Z226" s="304">
        <f>MIN($C$8*Z225,MAIN!$C$14)*MAIN!$C$13*$C$9</f>
        <v>2112572.1014534906</v>
      </c>
      <c r="AA226" s="304">
        <f>MIN($C$8*AA225,MAIN!$C$14)*MAIN!$C$13*$C$9</f>
        <v>2184618.1043314468</v>
      </c>
      <c r="AB226" s="304">
        <f>MIN($C$8*AB225,MAIN!$C$14)*MAIN!$C$13*$C$9</f>
        <v>2256664.1072094035</v>
      </c>
      <c r="AC226" s="304">
        <f>MIN($C$8*AC225,MAIN!$C$14)*MAIN!$C$13*$C$9</f>
        <v>2328710.1100873598</v>
      </c>
      <c r="AD226" s="304">
        <f>MIN($C$8*AD225,MAIN!$C$14)*MAIN!$C$13*$C$9</f>
        <v>2400756.112965316</v>
      </c>
      <c r="AE226" s="304">
        <f>MIN($C$8*AE225,MAIN!$C$14)*MAIN!$C$13*$C$9</f>
        <v>2472802.1158432728</v>
      </c>
      <c r="AF226" s="304">
        <f>MIN($C$8*AF225,MAIN!$C$14)*MAIN!$C$13*$C$9</f>
        <v>2544848.118721229</v>
      </c>
      <c r="AG226" s="304">
        <f>MIN($C$8*AG225,MAIN!$C$14)*MAIN!$C$13*$C$9</f>
        <v>2616894.1215991857</v>
      </c>
      <c r="AH226" s="304">
        <f>MIN($C$8*AH225,MAIN!$C$14)*MAIN!$C$13*$C$9</f>
        <v>2688940.1244771415</v>
      </c>
      <c r="AI226" s="304">
        <f>MIN($C$8*AI225,MAIN!$C$14)*MAIN!$C$13*$C$9</f>
        <v>2760986.1273550983</v>
      </c>
      <c r="AJ226" s="304">
        <f>MIN($C$8*AJ225,MAIN!$C$14)*MAIN!$C$13*$C$9</f>
        <v>2833032.1302330545</v>
      </c>
      <c r="AK226" s="304">
        <f>MIN($C$8*AK225,MAIN!$C$14)*MAIN!$C$13*$C$9</f>
        <v>2905078.1331110112</v>
      </c>
      <c r="AL226" s="304">
        <f>MIN($C$8*AL225,MAIN!$C$14)*MAIN!$C$13*$C$9</f>
        <v>2977124.1359889675</v>
      </c>
      <c r="AM226" s="304">
        <f>MIN($C$8*AM225,MAIN!$C$14)*MAIN!$C$13*$C$9</f>
        <v>3049170.1388669242</v>
      </c>
      <c r="AN226" s="304">
        <f>MIN($C$8*AN225,MAIN!$C$14)*MAIN!$C$13*$C$9</f>
        <v>3121216.1417448805</v>
      </c>
      <c r="AO226" s="304">
        <f>MIN($C$8*AO225,MAIN!$C$14)*MAIN!$C$13*$C$9</f>
        <v>3193262.1446228367</v>
      </c>
      <c r="AP226" s="304">
        <f>MIN($C$8*AP225,MAIN!$C$14)*MAIN!$C$13*$C$9</f>
        <v>3265308.147500793</v>
      </c>
      <c r="AQ226" s="304">
        <f>MIN($C$8*AQ225,MAIN!$C$14)*MAIN!$C$13*$C$9</f>
        <v>3337354.1503787502</v>
      </c>
      <c r="AR226" s="56">
        <f>MIN($C$8*AR225,MAIN!$C$14)*MAIN!$C$13*$C$9</f>
        <v>3409400.153256705</v>
      </c>
      <c r="AS226" s="304">
        <f>MIN($C$8*AS225,MAIN!$C$14)*MAIN!$C$13*$C$9</f>
        <v>3659431.7241379302</v>
      </c>
      <c r="AT226" s="304">
        <f>MIN($C$8*AT225,MAIN!$C$14)*MAIN!$C$13*$C$9</f>
        <v>3909463.2950191572</v>
      </c>
      <c r="AU226" s="304">
        <f>MIN($C$8*AU225,MAIN!$C$14)*MAIN!$C$13*$C$9</f>
        <v>4159494.8659003833</v>
      </c>
      <c r="AV226" s="304">
        <f>MIN($C$8*AV225,MAIN!$C$14)*MAIN!$C$13*$C$9</f>
        <v>4409526.4367816094</v>
      </c>
      <c r="AW226" s="304">
        <f>MIN($C$8*AW225,MAIN!$C$14)*MAIN!$C$13*$C$9</f>
        <v>4659558.0076628365</v>
      </c>
      <c r="AX226" s="304">
        <f>MIN($C$8*AX225,MAIN!$C$14)*MAIN!$C$13*$C$9</f>
        <v>4909589.5785440626</v>
      </c>
      <c r="AY226" s="304">
        <f>MIN($C$8*AY225,MAIN!$C$14)*MAIN!$C$13*$C$9</f>
        <v>5159621.1494252877</v>
      </c>
      <c r="AZ226" s="304">
        <f>MIN($C$8*AZ225,MAIN!$C$14)*MAIN!$C$13*$C$9</f>
        <v>5409652.7203065138</v>
      </c>
      <c r="BA226" s="304">
        <f>MIN($C$8*BA225,MAIN!$C$14)*MAIN!$C$13*$C$9</f>
        <v>5659684.2911877399</v>
      </c>
      <c r="BB226" s="304">
        <f>MIN($C$8*BB225,MAIN!$C$14)*MAIN!$C$13*$C$9</f>
        <v>5909715.862068966</v>
      </c>
      <c r="BC226" s="304">
        <f>MIN($C$8*BC225,MAIN!$C$14)*MAIN!$C$13*$C$9</f>
        <v>6159747.4329501931</v>
      </c>
      <c r="BD226" s="304">
        <f>MIN($C$8*BD225,MAIN!$C$14)*MAIN!$C$13*$C$9</f>
        <v>6409779.0038314182</v>
      </c>
      <c r="BE226" s="304">
        <f>MIN($C$8*BE225,MAIN!$C$14)*MAIN!$C$13*$C$9</f>
        <v>6659810.5747126453</v>
      </c>
      <c r="BF226" s="304">
        <f>MIN($C$8*BF225,MAIN!$C$14)*MAIN!$C$13*$C$9</f>
        <v>6909842.1455938704</v>
      </c>
      <c r="BG226" s="304">
        <f>MIN($C$8*BG225,MAIN!$C$14)*MAIN!$C$13*$C$9</f>
        <v>7159873.7164750965</v>
      </c>
      <c r="BH226" s="304">
        <f>MIN($C$8*BH225,MAIN!$C$14)*MAIN!$C$13*$C$9</f>
        <v>7409905.2873563245</v>
      </c>
      <c r="BI226" s="304">
        <f>MIN($C$8*BI225,MAIN!$C$14)*MAIN!$C$13*$C$9</f>
        <v>7659936.8582375497</v>
      </c>
      <c r="BJ226" s="304">
        <f>MIN($C$8*BJ225,MAIN!$C$14)*MAIN!$C$13*$C$9</f>
        <v>7909968.4291187767</v>
      </c>
      <c r="BK226" s="304">
        <f>MIN($C$8*BK225,MAIN!$C$14)*MAIN!$C$13*$C$9</f>
        <v>8160000</v>
      </c>
      <c r="BL226" s="304">
        <f>MIN($C$8*BL225,MAIN!$C$14)*MAIN!$C$13*$C$9</f>
        <v>8160000</v>
      </c>
      <c r="BM226" s="304">
        <f>MIN($C$8*BM225,MAIN!$C$14)*MAIN!$C$13*$C$9</f>
        <v>8160000</v>
      </c>
      <c r="BN226" s="304">
        <f>MIN($C$8*BN225,MAIN!$C$14)*MAIN!$C$13*$C$9</f>
        <v>8160000</v>
      </c>
      <c r="BO226" s="3">
        <f>MAIN!$C$13*MAIN!$C$14*$C$9</f>
        <v>8160000</v>
      </c>
      <c r="BS226"/>
      <c r="BT226"/>
    </row>
    <row r="227" spans="2:72" ht="16.5">
      <c r="B227" s="4">
        <v>2</v>
      </c>
      <c r="C227" s="299" t="s">
        <v>55</v>
      </c>
      <c r="D227" s="5">
        <f>IF(C222+L222&gt;=F222,0,C222+L222)</f>
        <v>0</v>
      </c>
      <c r="E227" s="6"/>
      <c r="F227" s="6"/>
      <c r="G227" s="6"/>
      <c r="H227" s="6"/>
      <c r="I227" s="6"/>
      <c r="J227" s="6"/>
      <c r="K227" s="6"/>
      <c r="L227" s="6"/>
      <c r="M227" s="6"/>
      <c r="N227" s="6"/>
      <c r="O227" s="6"/>
      <c r="P227" s="6"/>
      <c r="Q227" s="6"/>
      <c r="R227" s="6"/>
      <c r="S227" s="6"/>
      <c r="T227" s="6"/>
      <c r="U227" s="6"/>
      <c r="V227" s="6"/>
      <c r="W227" s="6"/>
      <c r="X227" s="6"/>
      <c r="Y227" s="6"/>
      <c r="Z227" s="6"/>
      <c r="AA227" s="6"/>
      <c r="AB227" s="6"/>
      <c r="AC227" s="6"/>
      <c r="AD227" s="6"/>
      <c r="AE227" s="6"/>
      <c r="AF227" s="6"/>
      <c r="AG227" s="6"/>
      <c r="AH227" s="6"/>
      <c r="AI227" s="6"/>
      <c r="AJ227" s="6"/>
      <c r="AK227" s="6"/>
      <c r="AL227" s="6"/>
      <c r="AM227" s="6"/>
      <c r="AN227" s="6"/>
      <c r="AO227" s="6"/>
      <c r="AP227" s="6"/>
      <c r="AQ227" s="6"/>
      <c r="AR227" s="57"/>
      <c r="AS227" s="6"/>
      <c r="AT227" s="6"/>
      <c r="AU227" s="6"/>
      <c r="AV227" s="6"/>
      <c r="AW227" s="6"/>
      <c r="AX227" s="6"/>
      <c r="AY227" s="6"/>
      <c r="AZ227" s="6"/>
      <c r="BA227" s="6"/>
      <c r="BB227" s="6"/>
      <c r="BC227" s="6"/>
      <c r="BD227" s="6"/>
      <c r="BE227" s="6"/>
      <c r="BF227" s="6"/>
      <c r="BG227" s="6"/>
      <c r="BH227" s="6"/>
      <c r="BI227" s="6"/>
      <c r="BJ227" s="6"/>
      <c r="BK227" s="6"/>
      <c r="BL227" s="6"/>
      <c r="BM227" s="6"/>
      <c r="BN227" s="6"/>
      <c r="BO227" s="7"/>
      <c r="BP227" s="43"/>
      <c r="BQ227" s="43"/>
      <c r="BR227" s="42"/>
      <c r="BS227"/>
      <c r="BT227"/>
    </row>
    <row r="228" spans="2:72" ht="16.5">
      <c r="B228" s="4">
        <f t="shared" ref="B228:B234" si="153">1+B227</f>
        <v>3</v>
      </c>
      <c r="C228" s="299" t="s">
        <v>55</v>
      </c>
      <c r="D228" s="5">
        <f>IF(C222+B227*L222&gt;=F222,0,C222+B227*L222)</f>
        <v>0</v>
      </c>
      <c r="E228" s="6"/>
      <c r="F228" s="6"/>
      <c r="G228" s="6"/>
      <c r="H228" s="6"/>
      <c r="I228" s="6"/>
      <c r="J228" s="6"/>
      <c r="K228" s="6"/>
      <c r="L228" s="6"/>
      <c r="M228" s="6"/>
      <c r="N228" s="6"/>
      <c r="O228" s="6"/>
      <c r="P228" s="6"/>
      <c r="Q228" s="6"/>
      <c r="R228" s="6"/>
      <c r="S228" s="6"/>
      <c r="T228" s="6"/>
      <c r="U228" s="6"/>
      <c r="V228" s="6"/>
      <c r="W228" s="6"/>
      <c r="X228" s="6"/>
      <c r="Y228" s="6"/>
      <c r="Z228" s="6"/>
      <c r="AA228" s="6"/>
      <c r="AB228" s="6"/>
      <c r="AC228" s="6"/>
      <c r="AD228" s="6"/>
      <c r="AE228" s="6"/>
      <c r="AF228" s="6"/>
      <c r="AG228" s="6"/>
      <c r="AH228" s="6"/>
      <c r="AI228" s="6"/>
      <c r="AJ228" s="6"/>
      <c r="AK228" s="6"/>
      <c r="AL228" s="6"/>
      <c r="AM228" s="6"/>
      <c r="AN228" s="6"/>
      <c r="AO228" s="6"/>
      <c r="AP228" s="6"/>
      <c r="AQ228" s="6"/>
      <c r="AR228" s="57"/>
      <c r="AS228" s="6"/>
      <c r="AT228" s="6"/>
      <c r="AU228" s="6"/>
      <c r="AV228" s="6"/>
      <c r="AW228" s="6"/>
      <c r="AX228" s="6"/>
      <c r="AY228" s="6"/>
      <c r="AZ228" s="6"/>
      <c r="BA228" s="6"/>
      <c r="BB228" s="6"/>
      <c r="BC228" s="6"/>
      <c r="BD228" s="6"/>
      <c r="BE228" s="6"/>
      <c r="BF228" s="6"/>
      <c r="BG228" s="6"/>
      <c r="BH228" s="6"/>
      <c r="BI228" s="6"/>
      <c r="BJ228" s="6"/>
      <c r="BK228" s="6"/>
      <c r="BL228" s="6"/>
      <c r="BM228" s="6"/>
      <c r="BN228" s="6"/>
      <c r="BO228" s="7"/>
      <c r="BP228" s="43"/>
      <c r="BQ228" s="43"/>
      <c r="BR228" s="42"/>
      <c r="BS228"/>
      <c r="BT228"/>
    </row>
    <row r="229" spans="2:72" ht="16.5">
      <c r="B229" s="4">
        <f t="shared" si="153"/>
        <v>4</v>
      </c>
      <c r="C229" s="299" t="s">
        <v>55</v>
      </c>
      <c r="D229" s="5">
        <f>IF(C222+B228*L222&gt;=F222,0,C222+B228*L222)</f>
        <v>0</v>
      </c>
      <c r="E229" s="6"/>
      <c r="F229" s="6"/>
      <c r="G229" s="6"/>
      <c r="H229" s="6"/>
      <c r="I229" s="6"/>
      <c r="J229" s="6"/>
      <c r="K229" s="6"/>
      <c r="L229" s="6"/>
      <c r="M229" s="6"/>
      <c r="N229" s="6"/>
      <c r="O229" s="6"/>
      <c r="P229" s="6"/>
      <c r="Q229" s="6"/>
      <c r="R229" s="6"/>
      <c r="S229" s="6"/>
      <c r="T229" s="6"/>
      <c r="U229" s="6"/>
      <c r="V229" s="6"/>
      <c r="W229" s="6"/>
      <c r="X229" s="6"/>
      <c r="Y229" s="6"/>
      <c r="Z229" s="6"/>
      <c r="AA229" s="6"/>
      <c r="AB229" s="6"/>
      <c r="AC229" s="6"/>
      <c r="AD229" s="6"/>
      <c r="AE229" s="6"/>
      <c r="AF229" s="6"/>
      <c r="AG229" s="6"/>
      <c r="AH229" s="6"/>
      <c r="AI229" s="6"/>
      <c r="AJ229" s="6"/>
      <c r="AK229" s="6"/>
      <c r="AL229" s="6"/>
      <c r="AM229" s="6"/>
      <c r="AN229" s="6"/>
      <c r="AO229" s="6"/>
      <c r="AP229" s="6"/>
      <c r="AQ229" s="6"/>
      <c r="AR229" s="57"/>
      <c r="AS229" s="6"/>
      <c r="AT229" s="6"/>
      <c r="AU229" s="6"/>
      <c r="AV229" s="6"/>
      <c r="AW229" s="6"/>
      <c r="AX229" s="6"/>
      <c r="AY229" s="6"/>
      <c r="AZ229" s="6"/>
      <c r="BA229" s="6"/>
      <c r="BB229" s="6"/>
      <c r="BC229" s="6"/>
      <c r="BD229" s="6"/>
      <c r="BE229" s="6"/>
      <c r="BF229" s="6"/>
      <c r="BG229" s="6"/>
      <c r="BH229" s="6"/>
      <c r="BI229" s="6"/>
      <c r="BJ229" s="6"/>
      <c r="BK229" s="6"/>
      <c r="BL229" s="6"/>
      <c r="BM229" s="6"/>
      <c r="BN229" s="6"/>
      <c r="BO229" s="7"/>
      <c r="BP229" s="43"/>
      <c r="BQ229" s="43"/>
      <c r="BR229" s="42"/>
      <c r="BS229"/>
      <c r="BT229"/>
    </row>
    <row r="230" spans="2:72" ht="16.5">
      <c r="B230" s="4">
        <f t="shared" si="153"/>
        <v>5</v>
      </c>
      <c r="C230" s="299" t="s">
        <v>55</v>
      </c>
      <c r="D230" s="5">
        <f>IF(C222+B229*L222&gt;=F222,0,C222+B229*L222)</f>
        <v>0</v>
      </c>
      <c r="E230" s="6"/>
      <c r="F230" s="6"/>
      <c r="G230" s="6"/>
      <c r="H230" s="6"/>
      <c r="I230" s="6"/>
      <c r="J230" s="6"/>
      <c r="K230" s="6"/>
      <c r="L230" s="6"/>
      <c r="M230" s="6"/>
      <c r="N230" s="6"/>
      <c r="O230" s="6"/>
      <c r="P230" s="6"/>
      <c r="Q230" s="6"/>
      <c r="R230" s="6"/>
      <c r="S230" s="6"/>
      <c r="T230" s="6"/>
      <c r="U230" s="6"/>
      <c r="V230" s="6"/>
      <c r="W230" s="6"/>
      <c r="X230" s="6"/>
      <c r="Y230" s="6"/>
      <c r="Z230" s="6"/>
      <c r="AA230" s="6"/>
      <c r="AB230" s="6"/>
      <c r="AC230" s="6"/>
      <c r="AD230" s="6"/>
      <c r="AE230" s="6"/>
      <c r="AF230" s="6"/>
      <c r="AG230" s="6"/>
      <c r="AH230" s="6"/>
      <c r="AI230" s="6"/>
      <c r="AJ230" s="6"/>
      <c r="AK230" s="6"/>
      <c r="AL230" s="6"/>
      <c r="AM230" s="6"/>
      <c r="AN230" s="6"/>
      <c r="AO230" s="6"/>
      <c r="AP230" s="6"/>
      <c r="AQ230" s="6"/>
      <c r="AR230" s="57"/>
      <c r="AS230" s="6"/>
      <c r="AT230" s="6"/>
      <c r="AU230" s="6"/>
      <c r="AV230" s="6"/>
      <c r="AW230" s="6"/>
      <c r="AX230" s="6"/>
      <c r="AY230" s="6"/>
      <c r="AZ230" s="6"/>
      <c r="BA230" s="6"/>
      <c r="BB230" s="6"/>
      <c r="BC230" s="6"/>
      <c r="BD230" s="6"/>
      <c r="BE230" s="6"/>
      <c r="BF230" s="6"/>
      <c r="BG230" s="6"/>
      <c r="BH230" s="6"/>
      <c r="BI230" s="6"/>
      <c r="BJ230" s="6"/>
      <c r="BK230" s="6"/>
      <c r="BL230" s="6"/>
      <c r="BM230" s="6"/>
      <c r="BN230" s="6"/>
      <c r="BO230" s="7"/>
      <c r="BP230" s="43"/>
      <c r="BQ230" s="43"/>
      <c r="BR230" s="42"/>
      <c r="BS230"/>
      <c r="BT230"/>
    </row>
    <row r="231" spans="2:72" ht="16.5">
      <c r="B231" s="4">
        <f t="shared" si="153"/>
        <v>6</v>
      </c>
      <c r="C231" s="299" t="s">
        <v>55</v>
      </c>
      <c r="D231" s="5">
        <f>IF(C222+B230*L222&gt;=F222,0,C222+B230*L222)</f>
        <v>0</v>
      </c>
      <c r="E231" s="6"/>
      <c r="F231" s="6"/>
      <c r="G231" s="6"/>
      <c r="H231" s="6"/>
      <c r="I231" s="6"/>
      <c r="J231" s="6"/>
      <c r="K231" s="6"/>
      <c r="L231" s="6"/>
      <c r="M231" s="6"/>
      <c r="N231" s="6"/>
      <c r="O231" s="6"/>
      <c r="P231" s="6"/>
      <c r="Q231" s="6"/>
      <c r="R231" s="6"/>
      <c r="S231" s="6"/>
      <c r="T231" s="6"/>
      <c r="U231" s="6"/>
      <c r="V231" s="6"/>
      <c r="W231" s="6"/>
      <c r="X231" s="6"/>
      <c r="Y231" s="6"/>
      <c r="Z231" s="6"/>
      <c r="AA231" s="6"/>
      <c r="AB231" s="6"/>
      <c r="AC231" s="6"/>
      <c r="AD231" s="6"/>
      <c r="AE231" s="6"/>
      <c r="AF231" s="6"/>
      <c r="AG231" s="6"/>
      <c r="AH231" s="6"/>
      <c r="AI231" s="6"/>
      <c r="AJ231" s="6"/>
      <c r="AK231" s="6"/>
      <c r="AL231" s="6"/>
      <c r="AM231" s="6"/>
      <c r="AN231" s="6"/>
      <c r="AO231" s="6"/>
      <c r="AP231" s="6"/>
      <c r="AQ231" s="6"/>
      <c r="AR231" s="57"/>
      <c r="AS231" s="6"/>
      <c r="AT231" s="6"/>
      <c r="AU231" s="6"/>
      <c r="AV231" s="6"/>
      <c r="AW231" s="6"/>
      <c r="AX231" s="6"/>
      <c r="AY231" s="6"/>
      <c r="AZ231" s="6"/>
      <c r="BA231" s="6"/>
      <c r="BB231" s="6"/>
      <c r="BC231" s="6"/>
      <c r="BD231" s="6"/>
      <c r="BE231" s="6"/>
      <c r="BF231" s="6"/>
      <c r="BG231" s="6"/>
      <c r="BH231" s="6"/>
      <c r="BI231" s="6"/>
      <c r="BJ231" s="6"/>
      <c r="BK231" s="6"/>
      <c r="BL231" s="6"/>
      <c r="BM231" s="6"/>
      <c r="BN231" s="6"/>
      <c r="BO231" s="7"/>
      <c r="BP231" s="43"/>
      <c r="BQ231" s="43"/>
      <c r="BR231" s="42"/>
      <c r="BS231"/>
      <c r="BT231"/>
    </row>
    <row r="232" spans="2:72" ht="16.5">
      <c r="B232" s="4">
        <f t="shared" si="153"/>
        <v>7</v>
      </c>
      <c r="C232" s="299" t="s">
        <v>55</v>
      </c>
      <c r="D232" s="5">
        <f>IF(C222+B231*L222&gt;=F222,0,C222+B231*L222)</f>
        <v>0</v>
      </c>
      <c r="E232" s="6"/>
      <c r="F232" s="6"/>
      <c r="G232" s="6"/>
      <c r="H232" s="6"/>
      <c r="I232" s="6"/>
      <c r="J232" s="6"/>
      <c r="K232" s="6"/>
      <c r="L232" s="6"/>
      <c r="M232" s="6"/>
      <c r="N232" s="6"/>
      <c r="O232" s="6"/>
      <c r="P232" s="6"/>
      <c r="Q232" s="6"/>
      <c r="R232" s="6"/>
      <c r="S232" s="6"/>
      <c r="T232" s="6"/>
      <c r="U232" s="6"/>
      <c r="V232" s="6"/>
      <c r="W232" s="6"/>
      <c r="X232" s="6"/>
      <c r="Y232" s="6"/>
      <c r="Z232" s="6"/>
      <c r="AA232" s="6"/>
      <c r="AB232" s="6"/>
      <c r="AC232" s="6"/>
      <c r="AD232" s="6"/>
      <c r="AE232" s="6"/>
      <c r="AF232" s="6"/>
      <c r="AG232" s="6"/>
      <c r="AH232" s="6"/>
      <c r="AI232" s="6"/>
      <c r="AJ232" s="6"/>
      <c r="AK232" s="6"/>
      <c r="AL232" s="6"/>
      <c r="AM232" s="6"/>
      <c r="AN232" s="6"/>
      <c r="AO232" s="6"/>
      <c r="AP232" s="6"/>
      <c r="AQ232" s="6"/>
      <c r="AR232" s="57"/>
      <c r="AS232" s="6"/>
      <c r="AT232" s="6"/>
      <c r="AU232" s="6"/>
      <c r="AV232" s="6"/>
      <c r="AW232" s="6"/>
      <c r="AX232" s="6"/>
      <c r="AY232" s="6"/>
      <c r="AZ232" s="6"/>
      <c r="BA232" s="6"/>
      <c r="BB232" s="6"/>
      <c r="BC232" s="6"/>
      <c r="BD232" s="6"/>
      <c r="BE232" s="6"/>
      <c r="BF232" s="6"/>
      <c r="BG232" s="6"/>
      <c r="BH232" s="6"/>
      <c r="BI232" s="6"/>
      <c r="BJ232" s="6"/>
      <c r="BK232" s="6"/>
      <c r="BL232" s="6"/>
      <c r="BM232" s="6"/>
      <c r="BN232" s="6"/>
      <c r="BO232" s="7"/>
      <c r="BP232" s="43"/>
      <c r="BQ232" s="43"/>
      <c r="BR232" s="42"/>
      <c r="BS232"/>
      <c r="BT232"/>
    </row>
    <row r="233" spans="2:72" ht="16.5">
      <c r="B233" s="4">
        <f t="shared" si="153"/>
        <v>8</v>
      </c>
      <c r="C233" s="299" t="s">
        <v>55</v>
      </c>
      <c r="D233" s="5">
        <f>IF(C222+B232*L222&gt;=F222,0,C222+B232*L222)</f>
        <v>0</v>
      </c>
      <c r="E233" s="6"/>
      <c r="F233" s="6"/>
      <c r="G233" s="6"/>
      <c r="H233" s="6"/>
      <c r="I233" s="6"/>
      <c r="J233" s="6"/>
      <c r="K233" s="6"/>
      <c r="L233" s="6"/>
      <c r="M233" s="6"/>
      <c r="N233" s="6"/>
      <c r="O233" s="6"/>
      <c r="P233" s="6"/>
      <c r="Q233" s="6"/>
      <c r="R233" s="6"/>
      <c r="S233" s="6"/>
      <c r="T233" s="6"/>
      <c r="U233" s="6"/>
      <c r="V233" s="6"/>
      <c r="W233" s="6"/>
      <c r="X233" s="6"/>
      <c r="Y233" s="6"/>
      <c r="Z233" s="6"/>
      <c r="AA233" s="6"/>
      <c r="AB233" s="6"/>
      <c r="AC233" s="6"/>
      <c r="AD233" s="6"/>
      <c r="AE233" s="6"/>
      <c r="AF233" s="6"/>
      <c r="AG233" s="6"/>
      <c r="AH233" s="6"/>
      <c r="AI233" s="6"/>
      <c r="AJ233" s="6"/>
      <c r="AK233" s="6"/>
      <c r="AL233" s="6"/>
      <c r="AM233" s="6"/>
      <c r="AN233" s="6"/>
      <c r="AO233" s="6"/>
      <c r="AP233" s="6"/>
      <c r="AQ233" s="6"/>
      <c r="AR233" s="57"/>
      <c r="AS233" s="6"/>
      <c r="AT233" s="6"/>
      <c r="AU233" s="6"/>
      <c r="AV233" s="6"/>
      <c r="AW233" s="6"/>
      <c r="AX233" s="6"/>
      <c r="AY233" s="6"/>
      <c r="AZ233" s="6"/>
      <c r="BA233" s="6"/>
      <c r="BB233" s="6"/>
      <c r="BC233" s="6"/>
      <c r="BD233" s="6"/>
      <c r="BE233" s="6"/>
      <c r="BF233" s="6"/>
      <c r="BG233" s="6"/>
      <c r="BH233" s="6"/>
      <c r="BI233" s="6"/>
      <c r="BJ233" s="6"/>
      <c r="BK233" s="6"/>
      <c r="BL233" s="6"/>
      <c r="BM233" s="6"/>
      <c r="BN233" s="6"/>
      <c r="BO233" s="7"/>
      <c r="BP233" s="43"/>
      <c r="BQ233" s="43"/>
      <c r="BR233" s="42"/>
      <c r="BS233"/>
      <c r="BT233"/>
    </row>
    <row r="234" spans="2:72" ht="16.5">
      <c r="B234" s="4">
        <f t="shared" si="153"/>
        <v>9</v>
      </c>
      <c r="C234" s="299" t="s">
        <v>55</v>
      </c>
      <c r="D234" s="5">
        <f>IF(C222+B233*L222&gt;=F222,0,C222+B233*L222)</f>
        <v>0</v>
      </c>
      <c r="E234" s="6"/>
      <c r="F234" s="6"/>
      <c r="G234" s="6"/>
      <c r="H234" s="6"/>
      <c r="I234" s="6"/>
      <c r="J234" s="6"/>
      <c r="K234" s="6"/>
      <c r="L234" s="6"/>
      <c r="M234" s="6"/>
      <c r="N234" s="6"/>
      <c r="O234" s="6"/>
      <c r="P234" s="6"/>
      <c r="Q234" s="6"/>
      <c r="R234" s="6"/>
      <c r="S234" s="6"/>
      <c r="T234" s="6"/>
      <c r="U234" s="6"/>
      <c r="V234" s="6"/>
      <c r="W234" s="6"/>
      <c r="X234" s="6"/>
      <c r="Y234" s="6"/>
      <c r="Z234" s="6"/>
      <c r="AA234" s="6"/>
      <c r="AB234" s="6"/>
      <c r="AC234" s="6"/>
      <c r="AD234" s="6"/>
      <c r="AE234" s="6"/>
      <c r="AF234" s="6"/>
      <c r="AG234" s="6"/>
      <c r="AH234" s="6"/>
      <c r="AI234" s="6"/>
      <c r="AJ234" s="6"/>
      <c r="AK234" s="6"/>
      <c r="AL234" s="6"/>
      <c r="AM234" s="6"/>
      <c r="AN234" s="6"/>
      <c r="AO234" s="6"/>
      <c r="AP234" s="6"/>
      <c r="AQ234" s="6"/>
      <c r="AR234" s="57"/>
      <c r="AS234" s="6"/>
      <c r="AT234" s="6"/>
      <c r="AU234" s="6"/>
      <c r="AV234" s="6"/>
      <c r="AW234" s="6"/>
      <c r="AX234" s="6"/>
      <c r="AY234" s="6"/>
      <c r="AZ234" s="6"/>
      <c r="BA234" s="6"/>
      <c r="BB234" s="6"/>
      <c r="BC234" s="6"/>
      <c r="BD234" s="6"/>
      <c r="BE234" s="6"/>
      <c r="BF234" s="6"/>
      <c r="BG234" s="6"/>
      <c r="BH234" s="6"/>
      <c r="BI234" s="6"/>
      <c r="BJ234" s="6"/>
      <c r="BK234" s="6"/>
      <c r="BL234" s="6"/>
      <c r="BM234" s="6"/>
      <c r="BN234" s="6"/>
      <c r="BO234" s="7"/>
      <c r="BP234" s="43"/>
      <c r="BQ234" s="43"/>
      <c r="BR234" s="42"/>
      <c r="BS234"/>
      <c r="BT234"/>
    </row>
    <row r="235" spans="2:72" ht="16.5">
      <c r="B235" s="291" t="s">
        <v>116</v>
      </c>
      <c r="C235" s="298" t="s">
        <v>117</v>
      </c>
      <c r="D235" s="3">
        <f>IF(D225&gt;MAIN!$C$14,MAX($F$9,$F$9*D225/(D225-$F$10)),$F$8)</f>
        <v>3.5000000000000001E-3</v>
      </c>
      <c r="E235" s="304">
        <f>IF(E225&gt;MAIN!$C$14,MAX($F$9,$F$9*E225/(E225-$F$10)),$F$8)</f>
        <v>3.5000000000000001E-3</v>
      </c>
      <c r="F235" s="304">
        <f>IF(F225&gt;MAIN!$C$14,MAX($F$9,$F$9*F225/(F225-$F$10)),$F$8)</f>
        <v>3.5000000000000001E-3</v>
      </c>
      <c r="G235" s="304">
        <f>IF(G225&gt;MAIN!$C$14,MAX($F$9,$F$9*G225/(G225-$F$10)),$F$8)</f>
        <v>3.5000000000000001E-3</v>
      </c>
      <c r="H235" s="304">
        <f>IF(H225&gt;MAIN!$C$14,MAX($F$9,$F$9*H225/(H225-$F$10)),$F$8)</f>
        <v>3.5000000000000001E-3</v>
      </c>
      <c r="I235" s="304">
        <f>IF(I225&gt;MAIN!$C$14,MAX($F$9,$F$9*I225/(I225-$F$10)),$F$8)</f>
        <v>3.5000000000000001E-3</v>
      </c>
      <c r="J235" s="304">
        <f>IF(J225&gt;MAIN!$C$14,MAX($F$9,$F$9*J225/(J225-$F$10)),$F$8)</f>
        <v>3.5000000000000001E-3</v>
      </c>
      <c r="K235" s="304">
        <f>IF(K225&gt;MAIN!$C$14,MAX($F$9,$F$9*K225/(K225-$F$10)),$F$8)</f>
        <v>3.5000000000000001E-3</v>
      </c>
      <c r="L235" s="304">
        <f>IF(L225&gt;MAIN!$C$14,MAX($F$9,$F$9*L225/(L225-$F$10)),$F$8)</f>
        <v>3.5000000000000001E-3</v>
      </c>
      <c r="M235" s="304">
        <f>IF(M225&gt;MAIN!$C$14,MAX($F$9,$F$9*M225/(M225-$F$10)),$F$8)</f>
        <v>3.5000000000000001E-3</v>
      </c>
      <c r="N235" s="304">
        <f>IF(N225&gt;MAIN!$C$14,MAX($F$9,$F$9*N225/(N225-$F$10)),$F$8)</f>
        <v>3.5000000000000001E-3</v>
      </c>
      <c r="O235" s="304">
        <f>IF(O225&gt;MAIN!$C$14,MAX($F$9,$F$9*O225/(O225-$F$10)),$F$8)</f>
        <v>3.5000000000000001E-3</v>
      </c>
      <c r="P235" s="304">
        <f>IF(P225&gt;MAIN!$C$14,MAX($F$9,$F$9*P225/(P225-$F$10)),$F$8)</f>
        <v>3.5000000000000001E-3</v>
      </c>
      <c r="Q235" s="304">
        <f>IF(Q225&gt;MAIN!$C$14,MAX($F$9,$F$9*Q225/(Q225-$F$10)),$F$8)</f>
        <v>3.5000000000000001E-3</v>
      </c>
      <c r="R235" s="304">
        <f>IF(R225&gt;MAIN!$C$14,MAX($F$9,$F$9*R225/(R225-$F$10)),$F$8)</f>
        <v>3.5000000000000001E-3</v>
      </c>
      <c r="S235" s="304">
        <f>IF(S225&gt;MAIN!$C$14,MAX($F$9,$F$9*S225/(S225-$F$10)),$F$8)</f>
        <v>3.5000000000000001E-3</v>
      </c>
      <c r="T235" s="304">
        <f>IF(T225&gt;MAIN!$C$14,MAX($F$9,$F$9*T225/(T225-$F$10)),$F$8)</f>
        <v>3.5000000000000001E-3</v>
      </c>
      <c r="U235" s="304">
        <f>IF(U225&gt;MAIN!$C$14,MAX($F$9,$F$9*U225/(U225-$F$10)),$F$8)</f>
        <v>3.5000000000000001E-3</v>
      </c>
      <c r="V235" s="304">
        <f>IF(V225&gt;MAIN!$C$14,MAX($F$9,$F$9*V225/(V225-$F$10)),$F$8)</f>
        <v>3.5000000000000001E-3</v>
      </c>
      <c r="W235" s="304">
        <f>IF(W225&gt;MAIN!$C$14,MAX($F$9,$F$9*W225/(W225-$F$10)),$F$8)</f>
        <v>3.5000000000000001E-3</v>
      </c>
      <c r="X235" s="304">
        <f>IF(X225&gt;MAIN!$C$14,MAX($F$9,$F$9*X225/(X225-$F$10)),$F$8)</f>
        <v>3.5000000000000001E-3</v>
      </c>
      <c r="Y235" s="304">
        <f>IF(Y225&gt;MAIN!$C$14,MAX($F$9,$F$9*Y225/(Y225-$F$10)),$F$8)</f>
        <v>3.5000000000000001E-3</v>
      </c>
      <c r="Z235" s="304">
        <f>IF(Z225&gt;MAIN!$C$14,MAX($F$9,$F$9*Z225/(Z225-$F$10)),$F$8)</f>
        <v>3.5000000000000001E-3</v>
      </c>
      <c r="AA235" s="304">
        <f>IF(AA225&gt;MAIN!$C$14,MAX($F$9,$F$9*AA225/(AA225-$F$10)),$F$8)</f>
        <v>3.5000000000000001E-3</v>
      </c>
      <c r="AB235" s="304">
        <f>IF(AB225&gt;MAIN!$C$14,MAX($F$9,$F$9*AB225/(AB225-$F$10)),$F$8)</f>
        <v>3.5000000000000001E-3</v>
      </c>
      <c r="AC235" s="304">
        <f>IF(AC225&gt;MAIN!$C$14,MAX($F$9,$F$9*AC225/(AC225-$F$10)),$F$8)</f>
        <v>3.5000000000000001E-3</v>
      </c>
      <c r="AD235" s="304">
        <f>IF(AD225&gt;MAIN!$C$14,MAX($F$9,$F$9*AD225/(AD225-$F$10)),$F$8)</f>
        <v>3.5000000000000001E-3</v>
      </c>
      <c r="AE235" s="304">
        <f>IF(AE225&gt;MAIN!$C$14,MAX($F$9,$F$9*AE225/(AE225-$F$10)),$F$8)</f>
        <v>3.5000000000000001E-3</v>
      </c>
      <c r="AF235" s="304">
        <f>IF(AF225&gt;MAIN!$C$14,MAX($F$9,$F$9*AF225/(AF225-$F$10)),$F$8)</f>
        <v>3.5000000000000001E-3</v>
      </c>
      <c r="AG235" s="304">
        <f>IF(AG225&gt;MAIN!$C$14,MAX($F$9,$F$9*AG225/(AG225-$F$10)),$F$8)</f>
        <v>3.5000000000000001E-3</v>
      </c>
      <c r="AH235" s="304">
        <f>IF(AH225&gt;MAIN!$C$14,MAX($F$9,$F$9*AH225/(AH225-$F$10)),$F$8)</f>
        <v>3.5000000000000001E-3</v>
      </c>
      <c r="AI235" s="304">
        <f>IF(AI225&gt;MAIN!$C$14,MAX($F$9,$F$9*AI225/(AI225-$F$10)),$F$8)</f>
        <v>3.5000000000000001E-3</v>
      </c>
      <c r="AJ235" s="304">
        <f>IF(AJ225&gt;MAIN!$C$14,MAX($F$9,$F$9*AJ225/(AJ225-$F$10)),$F$8)</f>
        <v>3.5000000000000001E-3</v>
      </c>
      <c r="AK235" s="304">
        <f>IF(AK225&gt;MAIN!$C$14,MAX($F$9,$F$9*AK225/(AK225-$F$10)),$F$8)</f>
        <v>3.5000000000000001E-3</v>
      </c>
      <c r="AL235" s="304">
        <f>IF(AL225&gt;MAIN!$C$14,MAX($F$9,$F$9*AL225/(AL225-$F$10)),$F$8)</f>
        <v>3.5000000000000001E-3</v>
      </c>
      <c r="AM235" s="304">
        <f>IF(AM225&gt;MAIN!$C$14,MAX($F$9,$F$9*AM225/(AM225-$F$10)),$F$8)</f>
        <v>3.5000000000000001E-3</v>
      </c>
      <c r="AN235" s="304">
        <f>IF(AN225&gt;MAIN!$C$14,MAX($F$9,$F$9*AN225/(AN225-$F$10)),$F$8)</f>
        <v>3.5000000000000001E-3</v>
      </c>
      <c r="AO235" s="304">
        <f>IF(AO225&gt;MAIN!$C$14,MAX($F$9,$F$9*AO225/(AO225-$F$10)),$F$8)</f>
        <v>3.5000000000000001E-3</v>
      </c>
      <c r="AP235" s="304">
        <f>IF(AP225&gt;MAIN!$C$14,MAX($F$9,$F$9*AP225/(AP225-$F$10)),$F$8)</f>
        <v>3.5000000000000001E-3</v>
      </c>
      <c r="AQ235" s="304">
        <f>IF(AQ225&gt;MAIN!$C$14,MAX($F$9,$F$9*AQ225/(AQ225-$F$10)),$F$8)</f>
        <v>3.5000000000000001E-3</v>
      </c>
      <c r="AR235" s="56">
        <f>IF(AR225&gt;MAIN!$C$14,MAX($F$9,$F$9*AR225/(AR225-$F$10)),$F$8)</f>
        <v>3.5000000000000001E-3</v>
      </c>
      <c r="AS235" s="304">
        <f>IF(AS225&gt;MAIN!$C$14,MAX($F$9,$F$9*AS225/(AS225-$F$10)),$F$8)</f>
        <v>3.5000000000000001E-3</v>
      </c>
      <c r="AT235" s="304">
        <f>IF(AT225&gt;MAIN!$C$14,MAX($F$9,$F$9*AT225/(AT225-$F$10)),$F$8)</f>
        <v>3.5000000000000001E-3</v>
      </c>
      <c r="AU235" s="304">
        <f>IF(AU225&gt;MAIN!$C$14,MAX($F$9,$F$9*AU225/(AU225-$F$10)),$F$8)</f>
        <v>3.5000000000000001E-3</v>
      </c>
      <c r="AV235" s="304">
        <f>IF(AV225&gt;MAIN!$C$14,MAX($F$9,$F$9*AV225/(AV225-$F$10)),$F$8)</f>
        <v>3.5000000000000001E-3</v>
      </c>
      <c r="AW235" s="304">
        <f>IF(AW225&gt;MAIN!$C$14,MAX($F$9,$F$9*AW225/(AW225-$F$10)),$F$8)</f>
        <v>3.5000000000000001E-3</v>
      </c>
      <c r="AX235" s="304">
        <f>IF(AX225&gt;MAIN!$C$14,MAX($F$9,$F$9*AX225/(AX225-$F$10)),$F$8)</f>
        <v>3.5000000000000001E-3</v>
      </c>
      <c r="AY235" s="304">
        <f>IF(AY225&gt;MAIN!$C$14,MAX($F$9,$F$9*AY225/(AY225-$F$10)),$F$8)</f>
        <v>3.5000000000000001E-3</v>
      </c>
      <c r="AZ235" s="304">
        <f>IF(AZ225&gt;MAIN!$C$14,MAX($F$9,$F$9*AZ225/(AZ225-$F$10)),$F$8)</f>
        <v>3.5000000000000001E-3</v>
      </c>
      <c r="BA235" s="304">
        <f>IF(BA225&gt;MAIN!$C$14,MAX($F$9,$F$9*BA225/(BA225-$F$10)),$F$8)</f>
        <v>3.5000000000000001E-3</v>
      </c>
      <c r="BB235" s="304">
        <f>IF(BB225&gt;MAIN!$C$14,MAX($F$9,$F$9*BB225/(BB225-$F$10)),$F$8)</f>
        <v>3.5000000000000001E-3</v>
      </c>
      <c r="BC235" s="304">
        <f>IF(BC225&gt;MAIN!$C$14,MAX($F$9,$F$9*BC225/(BC225-$F$10)),$F$8)</f>
        <v>3.5000000000000001E-3</v>
      </c>
      <c r="BD235" s="304">
        <f>IF(BD225&gt;MAIN!$C$14,MAX($F$9,$F$9*BD225/(BD225-$F$10)),$F$8)</f>
        <v>3.5000000000000001E-3</v>
      </c>
      <c r="BE235" s="304">
        <f>IF(BE225&gt;MAIN!$C$14,MAX($F$9,$F$9*BE225/(BE225-$F$10)),$F$8)</f>
        <v>3.4320726228180012E-3</v>
      </c>
      <c r="BF235" s="304">
        <f>IF(BF225&gt;MAIN!$C$14,MAX($F$9,$F$9*BF225/(BF225-$F$10)),$F$8)</f>
        <v>3.3167162131260003E-3</v>
      </c>
      <c r="BG235" s="304">
        <f>IF(BG225&gt;MAIN!$C$14,MAX($F$9,$F$9*BG225/(BG225-$F$10)),$F$8)</f>
        <v>3.2161666203000274E-3</v>
      </c>
      <c r="BH235" s="304">
        <f>IF(BH225&gt;MAIN!$C$14,MAX($F$9,$F$9*BH225/(BH225-$F$10)),$F$8)</f>
        <v>3.1277449324324321E-3</v>
      </c>
      <c r="BI235" s="304">
        <f>IF(BI225&gt;MAIN!$C$14,MAX($F$9,$F$9*BI225/(BI225-$F$10)),$F$8)</f>
        <v>3.0493817209399357E-3</v>
      </c>
      <c r="BJ235" s="304">
        <f>IF(BJ225&gt;MAIN!$C$14,MAX($F$9,$F$9*BJ225/(BJ225-$F$10)),$F$8)</f>
        <v>2.979453038079173E-3</v>
      </c>
      <c r="BK235" s="304">
        <f>IF(BK225&gt;MAIN!$C$14,MAX($F$9,$F$9*BK225/(BK225-$F$10)),$F$8)</f>
        <v>2.9166666666666668E-3</v>
      </c>
      <c r="BL235" s="304">
        <f>IF(BL225&gt;MAIN!$C$14,MAX($F$9,$F$9*BL225/(BL225-$F$10)),$F$8)</f>
        <v>2.40625E-3</v>
      </c>
      <c r="BM235" s="304">
        <f>IF(BM225&gt;MAIN!$C$14,MAX($F$9,$F$9*BM225/(BM225-$F$10)),$F$8)</f>
        <v>2.2065217391304347E-3</v>
      </c>
      <c r="BN235" s="304">
        <f>IF(BN225&gt;MAIN!$C$14,MAX($F$9,$F$9*BN225/(BN225-$F$10)),$F$8)</f>
        <v>2.0999999999999999E-3</v>
      </c>
      <c r="BO235" s="3">
        <f>$F$9</f>
        <v>1.75E-3</v>
      </c>
      <c r="BP235" s="43"/>
      <c r="BQ235" s="43"/>
      <c r="BR235" s="42"/>
      <c r="BS235"/>
      <c r="BT235"/>
    </row>
    <row r="236" spans="2:72" ht="16.5">
      <c r="B236" s="292" t="s">
        <v>118</v>
      </c>
      <c r="C236" s="300" t="s">
        <v>56</v>
      </c>
      <c r="D236" s="8">
        <f t="shared" ref="D236:AI236" si="154">D235*(D225-$C222)/D225</f>
        <v>-3.1406849395984827E-3</v>
      </c>
      <c r="E236" s="305">
        <f t="shared" si="154"/>
        <v>-2.3427696860114631E-3</v>
      </c>
      <c r="F236" s="305">
        <f t="shared" si="154"/>
        <v>-1.716034153170852E-3</v>
      </c>
      <c r="G236" s="305">
        <f t="shared" si="154"/>
        <v>-1.2107290589302121E-3</v>
      </c>
      <c r="H236" s="305">
        <f t="shared" si="154"/>
        <v>-7.9468042274039041E-4</v>
      </c>
      <c r="I236" s="305">
        <f t="shared" si="154"/>
        <v>-4.461582048854904E-4</v>
      </c>
      <c r="J236" s="305">
        <f t="shared" si="154"/>
        <v>-1.4995665693911958E-4</v>
      </c>
      <c r="K236" s="305">
        <f t="shared" si="154"/>
        <v>1.048833082479103E-4</v>
      </c>
      <c r="L236" s="305">
        <f t="shared" si="154"/>
        <v>3.2645987247391134E-4</v>
      </c>
      <c r="M236" s="305">
        <f t="shared" si="154"/>
        <v>5.2088667843216475E-4</v>
      </c>
      <c r="N236" s="305">
        <f t="shared" si="154"/>
        <v>6.9286564946703872E-4</v>
      </c>
      <c r="O236" s="305">
        <f t="shared" si="154"/>
        <v>8.4607223065624152E-4</v>
      </c>
      <c r="P236" s="305">
        <f t="shared" si="154"/>
        <v>9.8342100555822809E-4</v>
      </c>
      <c r="Q236" s="305">
        <f t="shared" si="154"/>
        <v>1.1072528926362785E-3</v>
      </c>
      <c r="R236" s="305">
        <f t="shared" si="154"/>
        <v>1.2194696660480164E-3</v>
      </c>
      <c r="S236" s="305">
        <f t="shared" si="154"/>
        <v>1.3216323190537998E-3</v>
      </c>
      <c r="T236" s="305">
        <f t="shared" si="154"/>
        <v>1.415034122276325E-3</v>
      </c>
      <c r="U236" s="305">
        <f t="shared" si="154"/>
        <v>1.5007556596039048E-3</v>
      </c>
      <c r="V236" s="305">
        <f t="shared" si="154"/>
        <v>1.579706823720812E-3</v>
      </c>
      <c r="W236" s="305">
        <f t="shared" si="154"/>
        <v>1.6526592391137625E-3</v>
      </c>
      <c r="X236" s="305">
        <f t="shared" si="154"/>
        <v>1.7202715650226062E-3</v>
      </c>
      <c r="Y236" s="305">
        <f t="shared" si="154"/>
        <v>1.7831094380779287E-3</v>
      </c>
      <c r="Z236" s="305">
        <f t="shared" si="154"/>
        <v>1.8416613342618598E-3</v>
      </c>
      <c r="AA236" s="305">
        <f t="shared" si="154"/>
        <v>1.8963512922217933E-3</v>
      </c>
      <c r="AB236" s="305">
        <f t="shared" si="154"/>
        <v>1.9475491993656672E-3</v>
      </c>
      <c r="AC236" s="305">
        <f t="shared" si="154"/>
        <v>1.995579168560154E-3</v>
      </c>
      <c r="AD236" s="305">
        <f t="shared" si="154"/>
        <v>2.0407264065349841E-3</v>
      </c>
      <c r="AE236" s="305">
        <f t="shared" si="154"/>
        <v>2.0832428816062835E-3</v>
      </c>
      <c r="AF236" s="305">
        <f t="shared" si="154"/>
        <v>2.1233520286623557E-3</v>
      </c>
      <c r="AG236" s="305">
        <f t="shared" si="154"/>
        <v>2.1612526769485443E-3</v>
      </c>
      <c r="AH236" s="305">
        <f t="shared" si="154"/>
        <v>2.1971223464184717E-3</v>
      </c>
      <c r="AI236" s="305">
        <f t="shared" si="154"/>
        <v>2.2311200279893969E-3</v>
      </c>
      <c r="AJ236" s="305">
        <f t="shared" ref="AJ236:BK236" si="155">AJ235*(AJ225-$C222)/AJ225</f>
        <v>2.2633885395744514E-3</v>
      </c>
      <c r="AK236" s="305">
        <f t="shared" si="155"/>
        <v>2.2940565315369686E-3</v>
      </c>
      <c r="AL236" s="305">
        <f t="shared" si="155"/>
        <v>2.3232402009544613E-3</v>
      </c>
      <c r="AM236" s="305">
        <f t="shared" si="155"/>
        <v>2.3510447628541141E-3</v>
      </c>
      <c r="AN236" s="305">
        <f t="shared" si="155"/>
        <v>2.3775657176880144E-3</v>
      </c>
      <c r="AO236" s="305">
        <f t="shared" si="155"/>
        <v>2.4028899472286229E-3</v>
      </c>
      <c r="AP236" s="305">
        <f t="shared" si="155"/>
        <v>2.4270966653847331E-3</v>
      </c>
      <c r="AQ236" s="305">
        <f t="shared" si="155"/>
        <v>2.4502582458614973E-3</v>
      </c>
      <c r="AR236" s="58">
        <f t="shared" si="155"/>
        <v>2.4724409448818895E-3</v>
      </c>
      <c r="AS236" s="305">
        <f t="shared" si="155"/>
        <v>2.5426491695714577E-3</v>
      </c>
      <c r="AT236" s="305">
        <f t="shared" si="155"/>
        <v>2.6038769939435297E-3</v>
      </c>
      <c r="AU236" s="305">
        <f t="shared" si="155"/>
        <v>2.6577438816620235E-3</v>
      </c>
      <c r="AV236" s="305">
        <f t="shared" si="155"/>
        <v>2.7055019852524108E-3</v>
      </c>
      <c r="AW236" s="305">
        <f t="shared" si="155"/>
        <v>2.7481346955572652E-3</v>
      </c>
      <c r="AX236" s="305">
        <f t="shared" si="155"/>
        <v>2.7864250781143868E-3</v>
      </c>
      <c r="AY236" s="305">
        <f t="shared" si="155"/>
        <v>2.821004411265694E-3</v>
      </c>
      <c r="AZ236" s="305">
        <f t="shared" si="155"/>
        <v>2.8523872638165399E-3</v>
      </c>
      <c r="BA236" s="305">
        <f t="shared" si="155"/>
        <v>2.8809972748029757E-3</v>
      </c>
      <c r="BB236" s="305">
        <f t="shared" si="155"/>
        <v>2.9071863890299645E-3</v>
      </c>
      <c r="BC236" s="305">
        <f t="shared" si="155"/>
        <v>2.931249407847543E-3</v>
      </c>
      <c r="BD236" s="305">
        <f t="shared" si="155"/>
        <v>2.9534351343617491E-3</v>
      </c>
      <c r="BE236" s="305">
        <f t="shared" si="155"/>
        <v>2.9162370184871479E-3</v>
      </c>
      <c r="BF236" s="305">
        <f t="shared" si="155"/>
        <v>2.8362565744340269E-3</v>
      </c>
      <c r="BG236" s="305">
        <f t="shared" si="155"/>
        <v>2.7665421900746855E-3</v>
      </c>
      <c r="BH236" s="305">
        <f t="shared" si="155"/>
        <v>2.7052364864864863E-3</v>
      </c>
      <c r="BI236" s="305">
        <f t="shared" si="155"/>
        <v>2.6509046598516888E-3</v>
      </c>
      <c r="BJ236" s="305">
        <f t="shared" si="155"/>
        <v>2.6024207730682264E-3</v>
      </c>
      <c r="BK236" s="305">
        <f t="shared" si="155"/>
        <v>2.5588888888888888E-3</v>
      </c>
      <c r="BL236" s="305">
        <f>BL235*(BL225-$C222)/BL225</f>
        <v>2.2049999999999999E-3</v>
      </c>
      <c r="BM236" s="305">
        <f>BM235*(BM225-$C222)/BM225</f>
        <v>2.0665217391304348E-3</v>
      </c>
      <c r="BN236" s="305">
        <f>BN235*(BN225-$C222)/BN225</f>
        <v>1.9926666666666665E-3</v>
      </c>
      <c r="BO236" s="8">
        <f>BO235</f>
        <v>1.75E-3</v>
      </c>
      <c r="BS236"/>
      <c r="BT236"/>
    </row>
    <row r="237" spans="2:72" ht="16.5">
      <c r="B237" s="9">
        <v>2</v>
      </c>
      <c r="C237" s="300" t="s">
        <v>57</v>
      </c>
      <c r="D237" s="8">
        <f>IF($D227=0,0,D235*(D225-$D227)/D225)</f>
        <v>0</v>
      </c>
      <c r="E237" s="305">
        <f t="shared" ref="E237:BK237" si="156">IF($D227=0,0,E235*(E225-$D227)/E225)</f>
        <v>0</v>
      </c>
      <c r="F237" s="305">
        <f t="shared" si="156"/>
        <v>0</v>
      </c>
      <c r="G237" s="305">
        <f t="shared" si="156"/>
        <v>0</v>
      </c>
      <c r="H237" s="305">
        <f t="shared" si="156"/>
        <v>0</v>
      </c>
      <c r="I237" s="305">
        <f t="shared" si="156"/>
        <v>0</v>
      </c>
      <c r="J237" s="305">
        <f t="shared" si="156"/>
        <v>0</v>
      </c>
      <c r="K237" s="305">
        <f t="shared" si="156"/>
        <v>0</v>
      </c>
      <c r="L237" s="305">
        <f t="shared" si="156"/>
        <v>0</v>
      </c>
      <c r="M237" s="305">
        <f t="shared" si="156"/>
        <v>0</v>
      </c>
      <c r="N237" s="305">
        <f t="shared" si="156"/>
        <v>0</v>
      </c>
      <c r="O237" s="305">
        <f t="shared" si="156"/>
        <v>0</v>
      </c>
      <c r="P237" s="305">
        <f t="shared" si="156"/>
        <v>0</v>
      </c>
      <c r="Q237" s="305">
        <f t="shared" si="156"/>
        <v>0</v>
      </c>
      <c r="R237" s="305">
        <f t="shared" si="156"/>
        <v>0</v>
      </c>
      <c r="S237" s="305">
        <f t="shared" si="156"/>
        <v>0</v>
      </c>
      <c r="T237" s="305">
        <f t="shared" si="156"/>
        <v>0</v>
      </c>
      <c r="U237" s="305">
        <f t="shared" si="156"/>
        <v>0</v>
      </c>
      <c r="V237" s="305">
        <f t="shared" si="156"/>
        <v>0</v>
      </c>
      <c r="W237" s="305">
        <f t="shared" si="156"/>
        <v>0</v>
      </c>
      <c r="X237" s="305">
        <f t="shared" si="156"/>
        <v>0</v>
      </c>
      <c r="Y237" s="305">
        <f t="shared" si="156"/>
        <v>0</v>
      </c>
      <c r="Z237" s="305">
        <f t="shared" si="156"/>
        <v>0</v>
      </c>
      <c r="AA237" s="305">
        <f t="shared" si="156"/>
        <v>0</v>
      </c>
      <c r="AB237" s="305">
        <f t="shared" si="156"/>
        <v>0</v>
      </c>
      <c r="AC237" s="305">
        <f t="shared" si="156"/>
        <v>0</v>
      </c>
      <c r="AD237" s="305">
        <f t="shared" si="156"/>
        <v>0</v>
      </c>
      <c r="AE237" s="305">
        <f t="shared" si="156"/>
        <v>0</v>
      </c>
      <c r="AF237" s="305">
        <f t="shared" si="156"/>
        <v>0</v>
      </c>
      <c r="AG237" s="305">
        <f t="shared" si="156"/>
        <v>0</v>
      </c>
      <c r="AH237" s="305">
        <f t="shared" si="156"/>
        <v>0</v>
      </c>
      <c r="AI237" s="305">
        <f t="shared" si="156"/>
        <v>0</v>
      </c>
      <c r="AJ237" s="305">
        <f t="shared" si="156"/>
        <v>0</v>
      </c>
      <c r="AK237" s="305">
        <f t="shared" si="156"/>
        <v>0</v>
      </c>
      <c r="AL237" s="305">
        <f t="shared" si="156"/>
        <v>0</v>
      </c>
      <c r="AM237" s="305">
        <f t="shared" si="156"/>
        <v>0</v>
      </c>
      <c r="AN237" s="305">
        <f t="shared" si="156"/>
        <v>0</v>
      </c>
      <c r="AO237" s="305">
        <f t="shared" si="156"/>
        <v>0</v>
      </c>
      <c r="AP237" s="305">
        <f t="shared" si="156"/>
        <v>0</v>
      </c>
      <c r="AQ237" s="305">
        <f t="shared" si="156"/>
        <v>0</v>
      </c>
      <c r="AR237" s="58">
        <f t="shared" si="156"/>
        <v>0</v>
      </c>
      <c r="AS237" s="305">
        <f t="shared" si="156"/>
        <v>0</v>
      </c>
      <c r="AT237" s="305">
        <f t="shared" si="156"/>
        <v>0</v>
      </c>
      <c r="AU237" s="305">
        <f t="shared" si="156"/>
        <v>0</v>
      </c>
      <c r="AV237" s="305">
        <f t="shared" si="156"/>
        <v>0</v>
      </c>
      <c r="AW237" s="305">
        <f t="shared" si="156"/>
        <v>0</v>
      </c>
      <c r="AX237" s="305">
        <f t="shared" si="156"/>
        <v>0</v>
      </c>
      <c r="AY237" s="305">
        <f t="shared" si="156"/>
        <v>0</v>
      </c>
      <c r="AZ237" s="305">
        <f t="shared" si="156"/>
        <v>0</v>
      </c>
      <c r="BA237" s="305">
        <f t="shared" si="156"/>
        <v>0</v>
      </c>
      <c r="BB237" s="305">
        <f t="shared" si="156"/>
        <v>0</v>
      </c>
      <c r="BC237" s="305">
        <f t="shared" si="156"/>
        <v>0</v>
      </c>
      <c r="BD237" s="305">
        <f t="shared" si="156"/>
        <v>0</v>
      </c>
      <c r="BE237" s="305">
        <f t="shared" si="156"/>
        <v>0</v>
      </c>
      <c r="BF237" s="305">
        <f t="shared" si="156"/>
        <v>0</v>
      </c>
      <c r="BG237" s="305">
        <f t="shared" si="156"/>
        <v>0</v>
      </c>
      <c r="BH237" s="305">
        <f t="shared" si="156"/>
        <v>0</v>
      </c>
      <c r="BI237" s="305">
        <f t="shared" si="156"/>
        <v>0</v>
      </c>
      <c r="BJ237" s="305">
        <f t="shared" si="156"/>
        <v>0</v>
      </c>
      <c r="BK237" s="305">
        <f t="shared" si="156"/>
        <v>0</v>
      </c>
      <c r="BL237" s="305">
        <f>IF($D227=0,0,BL235*(BL225-$D227)/BL225)</f>
        <v>0</v>
      </c>
      <c r="BM237" s="305">
        <f>IF($D227=0,0,BM235*(BM225-$D227)/BM225)</f>
        <v>0</v>
      </c>
      <c r="BN237" s="305">
        <f>IF($D227=0,0,BN235*(BN225-$D227)/BN225)</f>
        <v>0</v>
      </c>
      <c r="BO237" s="8">
        <f>IF(D237=0,0,BO236)</f>
        <v>0</v>
      </c>
      <c r="BP237" s="43"/>
      <c r="BQ237" s="43"/>
      <c r="BR237" s="42"/>
      <c r="BS237"/>
      <c r="BT237"/>
    </row>
    <row r="238" spans="2:72" ht="16.5">
      <c r="B238" s="9">
        <f t="shared" ref="B238:B244" si="157">1+B237</f>
        <v>3</v>
      </c>
      <c r="C238" s="300" t="s">
        <v>57</v>
      </c>
      <c r="D238" s="8">
        <f>IF($D228=0,0,D235*(D225-$D228)/D225)</f>
        <v>0</v>
      </c>
      <c r="E238" s="305">
        <f t="shared" ref="E238:BK238" si="158">IF($D228=0,0,E235*(E225-$D228)/E225)</f>
        <v>0</v>
      </c>
      <c r="F238" s="305">
        <f t="shared" si="158"/>
        <v>0</v>
      </c>
      <c r="G238" s="305">
        <f t="shared" si="158"/>
        <v>0</v>
      </c>
      <c r="H238" s="305">
        <f t="shared" si="158"/>
        <v>0</v>
      </c>
      <c r="I238" s="305">
        <f t="shared" si="158"/>
        <v>0</v>
      </c>
      <c r="J238" s="305">
        <f t="shared" si="158"/>
        <v>0</v>
      </c>
      <c r="K238" s="305">
        <f t="shared" si="158"/>
        <v>0</v>
      </c>
      <c r="L238" s="305">
        <f t="shared" si="158"/>
        <v>0</v>
      </c>
      <c r="M238" s="305">
        <f t="shared" si="158"/>
        <v>0</v>
      </c>
      <c r="N238" s="305">
        <f t="shared" si="158"/>
        <v>0</v>
      </c>
      <c r="O238" s="305">
        <f t="shared" si="158"/>
        <v>0</v>
      </c>
      <c r="P238" s="305">
        <f t="shared" si="158"/>
        <v>0</v>
      </c>
      <c r="Q238" s="305">
        <f t="shared" si="158"/>
        <v>0</v>
      </c>
      <c r="R238" s="305">
        <f t="shared" si="158"/>
        <v>0</v>
      </c>
      <c r="S238" s="305">
        <f t="shared" si="158"/>
        <v>0</v>
      </c>
      <c r="T238" s="305">
        <f t="shared" si="158"/>
        <v>0</v>
      </c>
      <c r="U238" s="305">
        <f t="shared" si="158"/>
        <v>0</v>
      </c>
      <c r="V238" s="305">
        <f t="shared" si="158"/>
        <v>0</v>
      </c>
      <c r="W238" s="305">
        <f t="shared" si="158"/>
        <v>0</v>
      </c>
      <c r="X238" s="305">
        <f t="shared" si="158"/>
        <v>0</v>
      </c>
      <c r="Y238" s="305">
        <f t="shared" si="158"/>
        <v>0</v>
      </c>
      <c r="Z238" s="305">
        <f t="shared" si="158"/>
        <v>0</v>
      </c>
      <c r="AA238" s="305">
        <f t="shared" si="158"/>
        <v>0</v>
      </c>
      <c r="AB238" s="305">
        <f t="shared" si="158"/>
        <v>0</v>
      </c>
      <c r="AC238" s="305">
        <f t="shared" si="158"/>
        <v>0</v>
      </c>
      <c r="AD238" s="305">
        <f t="shared" si="158"/>
        <v>0</v>
      </c>
      <c r="AE238" s="305">
        <f t="shared" si="158"/>
        <v>0</v>
      </c>
      <c r="AF238" s="305">
        <f t="shared" si="158"/>
        <v>0</v>
      </c>
      <c r="AG238" s="305">
        <f t="shared" si="158"/>
        <v>0</v>
      </c>
      <c r="AH238" s="305">
        <f t="shared" si="158"/>
        <v>0</v>
      </c>
      <c r="AI238" s="305">
        <f t="shared" si="158"/>
        <v>0</v>
      </c>
      <c r="AJ238" s="305">
        <f t="shared" si="158"/>
        <v>0</v>
      </c>
      <c r="AK238" s="305">
        <f t="shared" si="158"/>
        <v>0</v>
      </c>
      <c r="AL238" s="305">
        <f t="shared" si="158"/>
        <v>0</v>
      </c>
      <c r="AM238" s="305">
        <f t="shared" si="158"/>
        <v>0</v>
      </c>
      <c r="AN238" s="305">
        <f t="shared" si="158"/>
        <v>0</v>
      </c>
      <c r="AO238" s="305">
        <f t="shared" si="158"/>
        <v>0</v>
      </c>
      <c r="AP238" s="305">
        <f t="shared" si="158"/>
        <v>0</v>
      </c>
      <c r="AQ238" s="305">
        <f t="shared" si="158"/>
        <v>0</v>
      </c>
      <c r="AR238" s="58">
        <f t="shared" si="158"/>
        <v>0</v>
      </c>
      <c r="AS238" s="305">
        <f t="shared" si="158"/>
        <v>0</v>
      </c>
      <c r="AT238" s="305">
        <f t="shared" si="158"/>
        <v>0</v>
      </c>
      <c r="AU238" s="305">
        <f t="shared" si="158"/>
        <v>0</v>
      </c>
      <c r="AV238" s="305">
        <f t="shared" si="158"/>
        <v>0</v>
      </c>
      <c r="AW238" s="305">
        <f t="shared" si="158"/>
        <v>0</v>
      </c>
      <c r="AX238" s="305">
        <f t="shared" si="158"/>
        <v>0</v>
      </c>
      <c r="AY238" s="305">
        <f t="shared" si="158"/>
        <v>0</v>
      </c>
      <c r="AZ238" s="305">
        <f t="shared" si="158"/>
        <v>0</v>
      </c>
      <c r="BA238" s="305">
        <f t="shared" si="158"/>
        <v>0</v>
      </c>
      <c r="BB238" s="305">
        <f t="shared" si="158"/>
        <v>0</v>
      </c>
      <c r="BC238" s="305">
        <f t="shared" si="158"/>
        <v>0</v>
      </c>
      <c r="BD238" s="305">
        <f t="shared" si="158"/>
        <v>0</v>
      </c>
      <c r="BE238" s="305">
        <f t="shared" si="158"/>
        <v>0</v>
      </c>
      <c r="BF238" s="305">
        <f t="shared" si="158"/>
        <v>0</v>
      </c>
      <c r="BG238" s="305">
        <f t="shared" si="158"/>
        <v>0</v>
      </c>
      <c r="BH238" s="305">
        <f t="shared" si="158"/>
        <v>0</v>
      </c>
      <c r="BI238" s="305">
        <f t="shared" si="158"/>
        <v>0</v>
      </c>
      <c r="BJ238" s="305">
        <f t="shared" si="158"/>
        <v>0</v>
      </c>
      <c r="BK238" s="305">
        <f t="shared" si="158"/>
        <v>0</v>
      </c>
      <c r="BL238" s="305">
        <f>IF($D228=0,0,BL235*(BL225-$D228)/BL225)</f>
        <v>0</v>
      </c>
      <c r="BM238" s="305">
        <f>IF($D228=0,0,BM235*(BM225-$D228)/BM225)</f>
        <v>0</v>
      </c>
      <c r="BN238" s="305">
        <f>IF($D228=0,0,BN235*(BN225-$D228)/BN225)</f>
        <v>0</v>
      </c>
      <c r="BO238" s="8">
        <f>IF(D238=0,0,BO236)</f>
        <v>0</v>
      </c>
      <c r="BP238" s="43"/>
      <c r="BQ238" s="43"/>
      <c r="BR238" s="42"/>
      <c r="BS238"/>
      <c r="BT238"/>
    </row>
    <row r="239" spans="2:72" ht="16.5">
      <c r="B239" s="9">
        <f t="shared" si="157"/>
        <v>4</v>
      </c>
      <c r="C239" s="300" t="s">
        <v>57</v>
      </c>
      <c r="D239" s="8">
        <f>IF($D229=0,0,D235*(D225-$D229)/D225)</f>
        <v>0</v>
      </c>
      <c r="E239" s="305">
        <f t="shared" ref="E239:BK239" si="159">IF($D229=0,0,E235*(E225-$D229)/E225)</f>
        <v>0</v>
      </c>
      <c r="F239" s="305">
        <f t="shared" si="159"/>
        <v>0</v>
      </c>
      <c r="G239" s="305">
        <f t="shared" si="159"/>
        <v>0</v>
      </c>
      <c r="H239" s="305">
        <f t="shared" si="159"/>
        <v>0</v>
      </c>
      <c r="I239" s="305">
        <f t="shared" si="159"/>
        <v>0</v>
      </c>
      <c r="J239" s="305">
        <f t="shared" si="159"/>
        <v>0</v>
      </c>
      <c r="K239" s="305">
        <f t="shared" si="159"/>
        <v>0</v>
      </c>
      <c r="L239" s="305">
        <f t="shared" si="159"/>
        <v>0</v>
      </c>
      <c r="M239" s="305">
        <f t="shared" si="159"/>
        <v>0</v>
      </c>
      <c r="N239" s="305">
        <f t="shared" si="159"/>
        <v>0</v>
      </c>
      <c r="O239" s="305">
        <f t="shared" si="159"/>
        <v>0</v>
      </c>
      <c r="P239" s="305">
        <f t="shared" si="159"/>
        <v>0</v>
      </c>
      <c r="Q239" s="305">
        <f t="shared" si="159"/>
        <v>0</v>
      </c>
      <c r="R239" s="305">
        <f t="shared" si="159"/>
        <v>0</v>
      </c>
      <c r="S239" s="305">
        <f t="shared" si="159"/>
        <v>0</v>
      </c>
      <c r="T239" s="305">
        <f t="shared" si="159"/>
        <v>0</v>
      </c>
      <c r="U239" s="305">
        <f t="shared" si="159"/>
        <v>0</v>
      </c>
      <c r="V239" s="305">
        <f t="shared" si="159"/>
        <v>0</v>
      </c>
      <c r="W239" s="305">
        <f t="shared" si="159"/>
        <v>0</v>
      </c>
      <c r="X239" s="305">
        <f t="shared" si="159"/>
        <v>0</v>
      </c>
      <c r="Y239" s="305">
        <f t="shared" si="159"/>
        <v>0</v>
      </c>
      <c r="Z239" s="305">
        <f t="shared" si="159"/>
        <v>0</v>
      </c>
      <c r="AA239" s="305">
        <f t="shared" si="159"/>
        <v>0</v>
      </c>
      <c r="AB239" s="305">
        <f t="shared" si="159"/>
        <v>0</v>
      </c>
      <c r="AC239" s="305">
        <f t="shared" si="159"/>
        <v>0</v>
      </c>
      <c r="AD239" s="305">
        <f t="shared" si="159"/>
        <v>0</v>
      </c>
      <c r="AE239" s="305">
        <f t="shared" si="159"/>
        <v>0</v>
      </c>
      <c r="AF239" s="305">
        <f t="shared" si="159"/>
        <v>0</v>
      </c>
      <c r="AG239" s="305">
        <f t="shared" si="159"/>
        <v>0</v>
      </c>
      <c r="AH239" s="305">
        <f t="shared" si="159"/>
        <v>0</v>
      </c>
      <c r="AI239" s="305">
        <f t="shared" si="159"/>
        <v>0</v>
      </c>
      <c r="AJ239" s="305">
        <f t="shared" si="159"/>
        <v>0</v>
      </c>
      <c r="AK239" s="305">
        <f t="shared" si="159"/>
        <v>0</v>
      </c>
      <c r="AL239" s="305">
        <f t="shared" si="159"/>
        <v>0</v>
      </c>
      <c r="AM239" s="305">
        <f t="shared" si="159"/>
        <v>0</v>
      </c>
      <c r="AN239" s="305">
        <f t="shared" si="159"/>
        <v>0</v>
      </c>
      <c r="AO239" s="305">
        <f t="shared" si="159"/>
        <v>0</v>
      </c>
      <c r="AP239" s="305">
        <f t="shared" si="159"/>
        <v>0</v>
      </c>
      <c r="AQ239" s="305">
        <f t="shared" si="159"/>
        <v>0</v>
      </c>
      <c r="AR239" s="58">
        <f t="shared" si="159"/>
        <v>0</v>
      </c>
      <c r="AS239" s="305">
        <f t="shared" si="159"/>
        <v>0</v>
      </c>
      <c r="AT239" s="305">
        <f t="shared" si="159"/>
        <v>0</v>
      </c>
      <c r="AU239" s="305">
        <f t="shared" si="159"/>
        <v>0</v>
      </c>
      <c r="AV239" s="305">
        <f t="shared" si="159"/>
        <v>0</v>
      </c>
      <c r="AW239" s="305">
        <f t="shared" si="159"/>
        <v>0</v>
      </c>
      <c r="AX239" s="305">
        <f t="shared" si="159"/>
        <v>0</v>
      </c>
      <c r="AY239" s="305">
        <f t="shared" si="159"/>
        <v>0</v>
      </c>
      <c r="AZ239" s="305">
        <f t="shared" si="159"/>
        <v>0</v>
      </c>
      <c r="BA239" s="305">
        <f t="shared" si="159"/>
        <v>0</v>
      </c>
      <c r="BB239" s="305">
        <f t="shared" si="159"/>
        <v>0</v>
      </c>
      <c r="BC239" s="305">
        <f t="shared" si="159"/>
        <v>0</v>
      </c>
      <c r="BD239" s="305">
        <f t="shared" si="159"/>
        <v>0</v>
      </c>
      <c r="BE239" s="305">
        <f t="shared" si="159"/>
        <v>0</v>
      </c>
      <c r="BF239" s="305">
        <f t="shared" si="159"/>
        <v>0</v>
      </c>
      <c r="BG239" s="305">
        <f t="shared" si="159"/>
        <v>0</v>
      </c>
      <c r="BH239" s="305">
        <f t="shared" si="159"/>
        <v>0</v>
      </c>
      <c r="BI239" s="305">
        <f t="shared" si="159"/>
        <v>0</v>
      </c>
      <c r="BJ239" s="305">
        <f t="shared" si="159"/>
        <v>0</v>
      </c>
      <c r="BK239" s="305">
        <f t="shared" si="159"/>
        <v>0</v>
      </c>
      <c r="BL239" s="305">
        <f>IF($D229=0,0,BL235*(BL225-$D229)/BL225)</f>
        <v>0</v>
      </c>
      <c r="BM239" s="305">
        <f>IF($D229=0,0,BM235*(BM225-$D229)/BM225)</f>
        <v>0</v>
      </c>
      <c r="BN239" s="305">
        <f>IF($D229=0,0,BN235*(BN225-$D229)/BN225)</f>
        <v>0</v>
      </c>
      <c r="BO239" s="8">
        <f>IF(D239=0,0,BO236)</f>
        <v>0</v>
      </c>
      <c r="BP239" s="43"/>
      <c r="BQ239" s="43"/>
      <c r="BR239" s="42"/>
      <c r="BS239"/>
      <c r="BT239"/>
    </row>
    <row r="240" spans="2:72" ht="16.5">
      <c r="B240" s="9">
        <f t="shared" si="157"/>
        <v>5</v>
      </c>
      <c r="C240" s="300" t="s">
        <v>57</v>
      </c>
      <c r="D240" s="8">
        <f>IF($D230=0,0,D235*(D225-$D230)/D225)</f>
        <v>0</v>
      </c>
      <c r="E240" s="305">
        <f t="shared" ref="E240:BK240" si="160">IF($D230=0,0,E235*(E225-$D230)/E225)</f>
        <v>0</v>
      </c>
      <c r="F240" s="305">
        <f t="shared" si="160"/>
        <v>0</v>
      </c>
      <c r="G240" s="305">
        <f t="shared" si="160"/>
        <v>0</v>
      </c>
      <c r="H240" s="305">
        <f t="shared" si="160"/>
        <v>0</v>
      </c>
      <c r="I240" s="305">
        <f t="shared" si="160"/>
        <v>0</v>
      </c>
      <c r="J240" s="305">
        <f t="shared" si="160"/>
        <v>0</v>
      </c>
      <c r="K240" s="305">
        <f t="shared" si="160"/>
        <v>0</v>
      </c>
      <c r="L240" s="305">
        <f t="shared" si="160"/>
        <v>0</v>
      </c>
      <c r="M240" s="305">
        <f t="shared" si="160"/>
        <v>0</v>
      </c>
      <c r="N240" s="305">
        <f t="shared" si="160"/>
        <v>0</v>
      </c>
      <c r="O240" s="305">
        <f t="shared" si="160"/>
        <v>0</v>
      </c>
      <c r="P240" s="305">
        <f t="shared" si="160"/>
        <v>0</v>
      </c>
      <c r="Q240" s="305">
        <f t="shared" si="160"/>
        <v>0</v>
      </c>
      <c r="R240" s="305">
        <f t="shared" si="160"/>
        <v>0</v>
      </c>
      <c r="S240" s="305">
        <f t="shared" si="160"/>
        <v>0</v>
      </c>
      <c r="T240" s="305">
        <f t="shared" si="160"/>
        <v>0</v>
      </c>
      <c r="U240" s="305">
        <f t="shared" si="160"/>
        <v>0</v>
      </c>
      <c r="V240" s="305">
        <f t="shared" si="160"/>
        <v>0</v>
      </c>
      <c r="W240" s="305">
        <f t="shared" si="160"/>
        <v>0</v>
      </c>
      <c r="X240" s="305">
        <f t="shared" si="160"/>
        <v>0</v>
      </c>
      <c r="Y240" s="305">
        <f t="shared" si="160"/>
        <v>0</v>
      </c>
      <c r="Z240" s="305">
        <f t="shared" si="160"/>
        <v>0</v>
      </c>
      <c r="AA240" s="305">
        <f t="shared" si="160"/>
        <v>0</v>
      </c>
      <c r="AB240" s="305">
        <f t="shared" si="160"/>
        <v>0</v>
      </c>
      <c r="AC240" s="305">
        <f t="shared" si="160"/>
        <v>0</v>
      </c>
      <c r="AD240" s="305">
        <f t="shared" si="160"/>
        <v>0</v>
      </c>
      <c r="AE240" s="305">
        <f t="shared" si="160"/>
        <v>0</v>
      </c>
      <c r="AF240" s="305">
        <f t="shared" si="160"/>
        <v>0</v>
      </c>
      <c r="AG240" s="305">
        <f t="shared" si="160"/>
        <v>0</v>
      </c>
      <c r="AH240" s="305">
        <f t="shared" si="160"/>
        <v>0</v>
      </c>
      <c r="AI240" s="305">
        <f t="shared" si="160"/>
        <v>0</v>
      </c>
      <c r="AJ240" s="305">
        <f t="shared" si="160"/>
        <v>0</v>
      </c>
      <c r="AK240" s="305">
        <f t="shared" si="160"/>
        <v>0</v>
      </c>
      <c r="AL240" s="305">
        <f t="shared" si="160"/>
        <v>0</v>
      </c>
      <c r="AM240" s="305">
        <f t="shared" si="160"/>
        <v>0</v>
      </c>
      <c r="AN240" s="305">
        <f t="shared" si="160"/>
        <v>0</v>
      </c>
      <c r="AO240" s="305">
        <f t="shared" si="160"/>
        <v>0</v>
      </c>
      <c r="AP240" s="305">
        <f t="shared" si="160"/>
        <v>0</v>
      </c>
      <c r="AQ240" s="305">
        <f t="shared" si="160"/>
        <v>0</v>
      </c>
      <c r="AR240" s="58">
        <f t="shared" si="160"/>
        <v>0</v>
      </c>
      <c r="AS240" s="305">
        <f t="shared" si="160"/>
        <v>0</v>
      </c>
      <c r="AT240" s="305">
        <f t="shared" si="160"/>
        <v>0</v>
      </c>
      <c r="AU240" s="305">
        <f t="shared" si="160"/>
        <v>0</v>
      </c>
      <c r="AV240" s="305">
        <f t="shared" si="160"/>
        <v>0</v>
      </c>
      <c r="AW240" s="305">
        <f t="shared" si="160"/>
        <v>0</v>
      </c>
      <c r="AX240" s="305">
        <f t="shared" si="160"/>
        <v>0</v>
      </c>
      <c r="AY240" s="305">
        <f t="shared" si="160"/>
        <v>0</v>
      </c>
      <c r="AZ240" s="305">
        <f t="shared" si="160"/>
        <v>0</v>
      </c>
      <c r="BA240" s="305">
        <f t="shared" si="160"/>
        <v>0</v>
      </c>
      <c r="BB240" s="305">
        <f t="shared" si="160"/>
        <v>0</v>
      </c>
      <c r="BC240" s="305">
        <f t="shared" si="160"/>
        <v>0</v>
      </c>
      <c r="BD240" s="305">
        <f t="shared" si="160"/>
        <v>0</v>
      </c>
      <c r="BE240" s="305">
        <f t="shared" si="160"/>
        <v>0</v>
      </c>
      <c r="BF240" s="305">
        <f t="shared" si="160"/>
        <v>0</v>
      </c>
      <c r="BG240" s="305">
        <f t="shared" si="160"/>
        <v>0</v>
      </c>
      <c r="BH240" s="305">
        <f t="shared" si="160"/>
        <v>0</v>
      </c>
      <c r="BI240" s="305">
        <f t="shared" si="160"/>
        <v>0</v>
      </c>
      <c r="BJ240" s="305">
        <f t="shared" si="160"/>
        <v>0</v>
      </c>
      <c r="BK240" s="305">
        <f t="shared" si="160"/>
        <v>0</v>
      </c>
      <c r="BL240" s="305">
        <f>IF($D230=0,0,BL235*(BL225-$D230)/BL225)</f>
        <v>0</v>
      </c>
      <c r="BM240" s="305">
        <f>IF($D230=0,0,BM235*(BM225-$D230)/BM225)</f>
        <v>0</v>
      </c>
      <c r="BN240" s="305">
        <f>IF($D230=0,0,BN235*(BN225-$D230)/BN225)</f>
        <v>0</v>
      </c>
      <c r="BO240" s="8">
        <f>IF(D240=0,0,BO236)</f>
        <v>0</v>
      </c>
      <c r="BP240" s="43"/>
      <c r="BQ240" s="43"/>
      <c r="BR240" s="42"/>
      <c r="BS240"/>
      <c r="BT240"/>
    </row>
    <row r="241" spans="2:72" ht="16.5">
      <c r="B241" s="9">
        <f t="shared" si="157"/>
        <v>6</v>
      </c>
      <c r="C241" s="300" t="s">
        <v>57</v>
      </c>
      <c r="D241" s="8">
        <f>IF($D231=0,0,D235*(D225-$D231)/D225)</f>
        <v>0</v>
      </c>
      <c r="E241" s="305">
        <f t="shared" ref="E241:BK241" si="161">IF($D231=0,0,E235*(E225-$D231)/E225)</f>
        <v>0</v>
      </c>
      <c r="F241" s="306">
        <f t="shared" si="161"/>
        <v>0</v>
      </c>
      <c r="G241" s="306">
        <f t="shared" si="161"/>
        <v>0</v>
      </c>
      <c r="H241" s="306">
        <f t="shared" si="161"/>
        <v>0</v>
      </c>
      <c r="I241" s="305">
        <f t="shared" si="161"/>
        <v>0</v>
      </c>
      <c r="J241" s="305">
        <f t="shared" si="161"/>
        <v>0</v>
      </c>
      <c r="K241" s="305">
        <f t="shared" si="161"/>
        <v>0</v>
      </c>
      <c r="L241" s="305">
        <f t="shared" si="161"/>
        <v>0</v>
      </c>
      <c r="M241" s="305">
        <f t="shared" si="161"/>
        <v>0</v>
      </c>
      <c r="N241" s="305">
        <f t="shared" si="161"/>
        <v>0</v>
      </c>
      <c r="O241" s="305">
        <f t="shared" si="161"/>
        <v>0</v>
      </c>
      <c r="P241" s="305">
        <f t="shared" si="161"/>
        <v>0</v>
      </c>
      <c r="Q241" s="305">
        <f t="shared" si="161"/>
        <v>0</v>
      </c>
      <c r="R241" s="305">
        <f t="shared" si="161"/>
        <v>0</v>
      </c>
      <c r="S241" s="305">
        <f t="shared" si="161"/>
        <v>0</v>
      </c>
      <c r="T241" s="305">
        <f t="shared" si="161"/>
        <v>0</v>
      </c>
      <c r="U241" s="305">
        <f t="shared" si="161"/>
        <v>0</v>
      </c>
      <c r="V241" s="305">
        <f t="shared" si="161"/>
        <v>0</v>
      </c>
      <c r="W241" s="305">
        <f t="shared" si="161"/>
        <v>0</v>
      </c>
      <c r="X241" s="305">
        <f t="shared" si="161"/>
        <v>0</v>
      </c>
      <c r="Y241" s="305">
        <f t="shared" si="161"/>
        <v>0</v>
      </c>
      <c r="Z241" s="305">
        <f t="shared" si="161"/>
        <v>0</v>
      </c>
      <c r="AA241" s="305">
        <f t="shared" si="161"/>
        <v>0</v>
      </c>
      <c r="AB241" s="305">
        <f t="shared" si="161"/>
        <v>0</v>
      </c>
      <c r="AC241" s="305">
        <f t="shared" si="161"/>
        <v>0</v>
      </c>
      <c r="AD241" s="305">
        <f t="shared" si="161"/>
        <v>0</v>
      </c>
      <c r="AE241" s="305">
        <f t="shared" si="161"/>
        <v>0</v>
      </c>
      <c r="AF241" s="305">
        <f t="shared" si="161"/>
        <v>0</v>
      </c>
      <c r="AG241" s="305">
        <f t="shared" si="161"/>
        <v>0</v>
      </c>
      <c r="AH241" s="305">
        <f t="shared" si="161"/>
        <v>0</v>
      </c>
      <c r="AI241" s="305">
        <f t="shared" si="161"/>
        <v>0</v>
      </c>
      <c r="AJ241" s="305">
        <f t="shared" si="161"/>
        <v>0</v>
      </c>
      <c r="AK241" s="305">
        <f t="shared" si="161"/>
        <v>0</v>
      </c>
      <c r="AL241" s="305">
        <f t="shared" si="161"/>
        <v>0</v>
      </c>
      <c r="AM241" s="305">
        <f t="shared" si="161"/>
        <v>0</v>
      </c>
      <c r="AN241" s="305">
        <f t="shared" si="161"/>
        <v>0</v>
      </c>
      <c r="AO241" s="305">
        <f t="shared" si="161"/>
        <v>0</v>
      </c>
      <c r="AP241" s="305">
        <f t="shared" si="161"/>
        <v>0</v>
      </c>
      <c r="AQ241" s="305">
        <f t="shared" si="161"/>
        <v>0</v>
      </c>
      <c r="AR241" s="58">
        <f t="shared" si="161"/>
        <v>0</v>
      </c>
      <c r="AS241" s="305">
        <f t="shared" si="161"/>
        <v>0</v>
      </c>
      <c r="AT241" s="305">
        <f t="shared" si="161"/>
        <v>0</v>
      </c>
      <c r="AU241" s="305">
        <f t="shared" si="161"/>
        <v>0</v>
      </c>
      <c r="AV241" s="305">
        <f t="shared" si="161"/>
        <v>0</v>
      </c>
      <c r="AW241" s="305">
        <f t="shared" si="161"/>
        <v>0</v>
      </c>
      <c r="AX241" s="305">
        <f t="shared" si="161"/>
        <v>0</v>
      </c>
      <c r="AY241" s="305">
        <f t="shared" si="161"/>
        <v>0</v>
      </c>
      <c r="AZ241" s="305">
        <f t="shared" si="161"/>
        <v>0</v>
      </c>
      <c r="BA241" s="305">
        <f t="shared" si="161"/>
        <v>0</v>
      </c>
      <c r="BB241" s="305">
        <f t="shared" si="161"/>
        <v>0</v>
      </c>
      <c r="BC241" s="305">
        <f t="shared" si="161"/>
        <v>0</v>
      </c>
      <c r="BD241" s="305">
        <f t="shared" si="161"/>
        <v>0</v>
      </c>
      <c r="BE241" s="305">
        <f t="shared" si="161"/>
        <v>0</v>
      </c>
      <c r="BF241" s="305">
        <f t="shared" si="161"/>
        <v>0</v>
      </c>
      <c r="BG241" s="305">
        <f t="shared" si="161"/>
        <v>0</v>
      </c>
      <c r="BH241" s="305">
        <f t="shared" si="161"/>
        <v>0</v>
      </c>
      <c r="BI241" s="305">
        <f t="shared" si="161"/>
        <v>0</v>
      </c>
      <c r="BJ241" s="305">
        <f t="shared" si="161"/>
        <v>0</v>
      </c>
      <c r="BK241" s="305">
        <f t="shared" si="161"/>
        <v>0</v>
      </c>
      <c r="BL241" s="305">
        <f>IF($D231=0,0,BL235*(BL225-$D231)/BL225)</f>
        <v>0</v>
      </c>
      <c r="BM241" s="305">
        <f>IF($D231=0,0,BM235*(BM225-$D231)/BM225)</f>
        <v>0</v>
      </c>
      <c r="BN241" s="305">
        <f>IF($D231=0,0,BN235*(BN225-$D231)/BN225)</f>
        <v>0</v>
      </c>
      <c r="BO241" s="8">
        <f>IF(D241=0,0,BO236)</f>
        <v>0</v>
      </c>
      <c r="BP241" s="43"/>
      <c r="BQ241" s="43"/>
      <c r="BR241" s="42"/>
      <c r="BS241"/>
      <c r="BT241"/>
    </row>
    <row r="242" spans="2:72" ht="16.5">
      <c r="B242" s="9">
        <f t="shared" si="157"/>
        <v>7</v>
      </c>
      <c r="C242" s="300" t="s">
        <v>57</v>
      </c>
      <c r="D242" s="8">
        <f>IF($D232=0,0,D235*(D225-$D232)/D225)</f>
        <v>0</v>
      </c>
      <c r="E242" s="305">
        <f t="shared" ref="E242:BK242" si="162">IF($D232=0,0,E235*(E225-$D232)/E225)</f>
        <v>0</v>
      </c>
      <c r="F242" s="306">
        <f t="shared" si="162"/>
        <v>0</v>
      </c>
      <c r="G242" s="306">
        <f t="shared" si="162"/>
        <v>0</v>
      </c>
      <c r="H242" s="306">
        <f t="shared" si="162"/>
        <v>0</v>
      </c>
      <c r="I242" s="305">
        <f t="shared" si="162"/>
        <v>0</v>
      </c>
      <c r="J242" s="305">
        <f t="shared" si="162"/>
        <v>0</v>
      </c>
      <c r="K242" s="305">
        <f t="shared" si="162"/>
        <v>0</v>
      </c>
      <c r="L242" s="305">
        <f t="shared" si="162"/>
        <v>0</v>
      </c>
      <c r="M242" s="305">
        <f t="shared" si="162"/>
        <v>0</v>
      </c>
      <c r="N242" s="305">
        <f t="shared" si="162"/>
        <v>0</v>
      </c>
      <c r="O242" s="305">
        <f t="shared" si="162"/>
        <v>0</v>
      </c>
      <c r="P242" s="305">
        <f t="shared" si="162"/>
        <v>0</v>
      </c>
      <c r="Q242" s="305">
        <f t="shared" si="162"/>
        <v>0</v>
      </c>
      <c r="R242" s="305">
        <f t="shared" si="162"/>
        <v>0</v>
      </c>
      <c r="S242" s="305">
        <f t="shared" si="162"/>
        <v>0</v>
      </c>
      <c r="T242" s="305">
        <f t="shared" si="162"/>
        <v>0</v>
      </c>
      <c r="U242" s="305">
        <f t="shared" si="162"/>
        <v>0</v>
      </c>
      <c r="V242" s="305">
        <f t="shared" si="162"/>
        <v>0</v>
      </c>
      <c r="W242" s="305">
        <f t="shared" si="162"/>
        <v>0</v>
      </c>
      <c r="X242" s="305">
        <f t="shared" si="162"/>
        <v>0</v>
      </c>
      <c r="Y242" s="305">
        <f t="shared" si="162"/>
        <v>0</v>
      </c>
      <c r="Z242" s="305">
        <f t="shared" si="162"/>
        <v>0</v>
      </c>
      <c r="AA242" s="305">
        <f t="shared" si="162"/>
        <v>0</v>
      </c>
      <c r="AB242" s="305">
        <f t="shared" si="162"/>
        <v>0</v>
      </c>
      <c r="AC242" s="305">
        <f t="shared" si="162"/>
        <v>0</v>
      </c>
      <c r="AD242" s="305">
        <f t="shared" si="162"/>
        <v>0</v>
      </c>
      <c r="AE242" s="305">
        <f t="shared" si="162"/>
        <v>0</v>
      </c>
      <c r="AF242" s="305">
        <f t="shared" si="162"/>
        <v>0</v>
      </c>
      <c r="AG242" s="305">
        <f t="shared" si="162"/>
        <v>0</v>
      </c>
      <c r="AH242" s="305">
        <f t="shared" si="162"/>
        <v>0</v>
      </c>
      <c r="AI242" s="305">
        <f t="shared" si="162"/>
        <v>0</v>
      </c>
      <c r="AJ242" s="305">
        <f t="shared" si="162"/>
        <v>0</v>
      </c>
      <c r="AK242" s="305">
        <f t="shared" si="162"/>
        <v>0</v>
      </c>
      <c r="AL242" s="305">
        <f t="shared" si="162"/>
        <v>0</v>
      </c>
      <c r="AM242" s="305">
        <f t="shared" si="162"/>
        <v>0</v>
      </c>
      <c r="AN242" s="305">
        <f t="shared" si="162"/>
        <v>0</v>
      </c>
      <c r="AO242" s="305">
        <f t="shared" si="162"/>
        <v>0</v>
      </c>
      <c r="AP242" s="305">
        <f t="shared" si="162"/>
        <v>0</v>
      </c>
      <c r="AQ242" s="305">
        <f t="shared" si="162"/>
        <v>0</v>
      </c>
      <c r="AR242" s="58">
        <f t="shared" si="162"/>
        <v>0</v>
      </c>
      <c r="AS242" s="305">
        <f t="shared" si="162"/>
        <v>0</v>
      </c>
      <c r="AT242" s="305">
        <f t="shared" si="162"/>
        <v>0</v>
      </c>
      <c r="AU242" s="305">
        <f t="shared" si="162"/>
        <v>0</v>
      </c>
      <c r="AV242" s="305">
        <f t="shared" si="162"/>
        <v>0</v>
      </c>
      <c r="AW242" s="305">
        <f t="shared" si="162"/>
        <v>0</v>
      </c>
      <c r="AX242" s="305">
        <f t="shared" si="162"/>
        <v>0</v>
      </c>
      <c r="AY242" s="305">
        <f t="shared" si="162"/>
        <v>0</v>
      </c>
      <c r="AZ242" s="305">
        <f t="shared" si="162"/>
        <v>0</v>
      </c>
      <c r="BA242" s="305">
        <f t="shared" si="162"/>
        <v>0</v>
      </c>
      <c r="BB242" s="305">
        <f t="shared" si="162"/>
        <v>0</v>
      </c>
      <c r="BC242" s="305">
        <f t="shared" si="162"/>
        <v>0</v>
      </c>
      <c r="BD242" s="305">
        <f t="shared" si="162"/>
        <v>0</v>
      </c>
      <c r="BE242" s="305">
        <f t="shared" si="162"/>
        <v>0</v>
      </c>
      <c r="BF242" s="305">
        <f t="shared" si="162"/>
        <v>0</v>
      </c>
      <c r="BG242" s="305">
        <f t="shared" si="162"/>
        <v>0</v>
      </c>
      <c r="BH242" s="305">
        <f t="shared" si="162"/>
        <v>0</v>
      </c>
      <c r="BI242" s="305">
        <f t="shared" si="162"/>
        <v>0</v>
      </c>
      <c r="BJ242" s="305">
        <f t="shared" si="162"/>
        <v>0</v>
      </c>
      <c r="BK242" s="305">
        <f t="shared" si="162"/>
        <v>0</v>
      </c>
      <c r="BL242" s="305">
        <f>IF($D232=0,0,BL235*(BL225-$D232)/BL225)</f>
        <v>0</v>
      </c>
      <c r="BM242" s="305">
        <f>IF($D232=0,0,BM235*(BM225-$D232)/BM225)</f>
        <v>0</v>
      </c>
      <c r="BN242" s="305">
        <f>IF($D232=0,0,BN235*(BN225-$D232)/BN225)</f>
        <v>0</v>
      </c>
      <c r="BO242" s="8">
        <f>IF(D242=0,0,BO236)</f>
        <v>0</v>
      </c>
      <c r="BP242" s="43"/>
      <c r="BQ242" s="43"/>
      <c r="BR242" s="42"/>
      <c r="BS242"/>
      <c r="BT242"/>
    </row>
    <row r="243" spans="2:72" ht="16.5">
      <c r="B243" s="9">
        <f t="shared" si="157"/>
        <v>8</v>
      </c>
      <c r="C243" s="300" t="s">
        <v>57</v>
      </c>
      <c r="D243" s="8">
        <f>IF($D233=0,0,D235*(D225-$D233)/D225)</f>
        <v>0</v>
      </c>
      <c r="E243" s="305">
        <f t="shared" ref="E243:BK243" si="163">IF($D233=0,0,E235*(E225-$D233)/E225)</f>
        <v>0</v>
      </c>
      <c r="F243" s="306">
        <f t="shared" si="163"/>
        <v>0</v>
      </c>
      <c r="G243" s="306">
        <f t="shared" si="163"/>
        <v>0</v>
      </c>
      <c r="H243" s="306">
        <f t="shared" si="163"/>
        <v>0</v>
      </c>
      <c r="I243" s="305">
        <f t="shared" si="163"/>
        <v>0</v>
      </c>
      <c r="J243" s="305">
        <f t="shared" si="163"/>
        <v>0</v>
      </c>
      <c r="K243" s="305">
        <f t="shared" si="163"/>
        <v>0</v>
      </c>
      <c r="L243" s="305">
        <f t="shared" si="163"/>
        <v>0</v>
      </c>
      <c r="M243" s="305">
        <f t="shared" si="163"/>
        <v>0</v>
      </c>
      <c r="N243" s="305">
        <f t="shared" si="163"/>
        <v>0</v>
      </c>
      <c r="O243" s="305">
        <f t="shared" si="163"/>
        <v>0</v>
      </c>
      <c r="P243" s="305">
        <f t="shared" si="163"/>
        <v>0</v>
      </c>
      <c r="Q243" s="305">
        <f t="shared" si="163"/>
        <v>0</v>
      </c>
      <c r="R243" s="305">
        <f t="shared" si="163"/>
        <v>0</v>
      </c>
      <c r="S243" s="305">
        <f t="shared" si="163"/>
        <v>0</v>
      </c>
      <c r="T243" s="305">
        <f t="shared" si="163"/>
        <v>0</v>
      </c>
      <c r="U243" s="305">
        <f t="shared" si="163"/>
        <v>0</v>
      </c>
      <c r="V243" s="305">
        <f t="shared" si="163"/>
        <v>0</v>
      </c>
      <c r="W243" s="305">
        <f t="shared" si="163"/>
        <v>0</v>
      </c>
      <c r="X243" s="305">
        <f t="shared" si="163"/>
        <v>0</v>
      </c>
      <c r="Y243" s="305">
        <f t="shared" si="163"/>
        <v>0</v>
      </c>
      <c r="Z243" s="305">
        <f t="shared" si="163"/>
        <v>0</v>
      </c>
      <c r="AA243" s="305">
        <f t="shared" si="163"/>
        <v>0</v>
      </c>
      <c r="AB243" s="305">
        <f t="shared" si="163"/>
        <v>0</v>
      </c>
      <c r="AC243" s="305">
        <f t="shared" si="163"/>
        <v>0</v>
      </c>
      <c r="AD243" s="305">
        <f t="shared" si="163"/>
        <v>0</v>
      </c>
      <c r="AE243" s="305">
        <f t="shared" si="163"/>
        <v>0</v>
      </c>
      <c r="AF243" s="305">
        <f t="shared" si="163"/>
        <v>0</v>
      </c>
      <c r="AG243" s="305">
        <f t="shared" si="163"/>
        <v>0</v>
      </c>
      <c r="AH243" s="305">
        <f t="shared" si="163"/>
        <v>0</v>
      </c>
      <c r="AI243" s="305">
        <f t="shared" si="163"/>
        <v>0</v>
      </c>
      <c r="AJ243" s="305">
        <f t="shared" si="163"/>
        <v>0</v>
      </c>
      <c r="AK243" s="305">
        <f t="shared" si="163"/>
        <v>0</v>
      </c>
      <c r="AL243" s="305">
        <f t="shared" si="163"/>
        <v>0</v>
      </c>
      <c r="AM243" s="305">
        <f t="shared" si="163"/>
        <v>0</v>
      </c>
      <c r="AN243" s="305">
        <f t="shared" si="163"/>
        <v>0</v>
      </c>
      <c r="AO243" s="305">
        <f t="shared" si="163"/>
        <v>0</v>
      </c>
      <c r="AP243" s="305">
        <f t="shared" si="163"/>
        <v>0</v>
      </c>
      <c r="AQ243" s="305">
        <f t="shared" si="163"/>
        <v>0</v>
      </c>
      <c r="AR243" s="58">
        <f t="shared" si="163"/>
        <v>0</v>
      </c>
      <c r="AS243" s="305">
        <f t="shared" si="163"/>
        <v>0</v>
      </c>
      <c r="AT243" s="305">
        <f t="shared" si="163"/>
        <v>0</v>
      </c>
      <c r="AU243" s="305">
        <f t="shared" si="163"/>
        <v>0</v>
      </c>
      <c r="AV243" s="305">
        <f t="shared" si="163"/>
        <v>0</v>
      </c>
      <c r="AW243" s="305">
        <f t="shared" si="163"/>
        <v>0</v>
      </c>
      <c r="AX243" s="305">
        <f t="shared" si="163"/>
        <v>0</v>
      </c>
      <c r="AY243" s="305">
        <f t="shared" si="163"/>
        <v>0</v>
      </c>
      <c r="AZ243" s="305">
        <f t="shared" si="163"/>
        <v>0</v>
      </c>
      <c r="BA243" s="305">
        <f t="shared" si="163"/>
        <v>0</v>
      </c>
      <c r="BB243" s="305">
        <f t="shared" si="163"/>
        <v>0</v>
      </c>
      <c r="BC243" s="305">
        <f t="shared" si="163"/>
        <v>0</v>
      </c>
      <c r="BD243" s="305">
        <f t="shared" si="163"/>
        <v>0</v>
      </c>
      <c r="BE243" s="305">
        <f t="shared" si="163"/>
        <v>0</v>
      </c>
      <c r="BF243" s="305">
        <f t="shared" si="163"/>
        <v>0</v>
      </c>
      <c r="BG243" s="305">
        <f t="shared" si="163"/>
        <v>0</v>
      </c>
      <c r="BH243" s="305">
        <f t="shared" si="163"/>
        <v>0</v>
      </c>
      <c r="BI243" s="305">
        <f t="shared" si="163"/>
        <v>0</v>
      </c>
      <c r="BJ243" s="305">
        <f t="shared" si="163"/>
        <v>0</v>
      </c>
      <c r="BK243" s="305">
        <f t="shared" si="163"/>
        <v>0</v>
      </c>
      <c r="BL243" s="305">
        <f>IF($D233=0,0,BL235*(BL225-$D233)/BL225)</f>
        <v>0</v>
      </c>
      <c r="BM243" s="305">
        <f>IF($D233=0,0,BM235*(BM225-$D233)/BM225)</f>
        <v>0</v>
      </c>
      <c r="BN243" s="305">
        <f>IF($D233=0,0,BN235*(BN225-$D233)/BN225)</f>
        <v>0</v>
      </c>
      <c r="BO243" s="8">
        <f>IF(D243=0,0,BO236)</f>
        <v>0</v>
      </c>
      <c r="BP243" s="43"/>
      <c r="BQ243" s="43"/>
      <c r="BR243" s="42"/>
      <c r="BS243"/>
      <c r="BT243"/>
    </row>
    <row r="244" spans="2:72" ht="16.5">
      <c r="B244" s="9">
        <f t="shared" si="157"/>
        <v>9</v>
      </c>
      <c r="C244" s="300" t="s">
        <v>57</v>
      </c>
      <c r="D244" s="8">
        <f>IF($D234=0,0,D235*(D225-$D234)/D225)</f>
        <v>0</v>
      </c>
      <c r="E244" s="305">
        <f t="shared" ref="E244:BK244" si="164">IF($D234=0,0,E235*(E225-$D234)/E225)</f>
        <v>0</v>
      </c>
      <c r="F244" s="306">
        <f t="shared" si="164"/>
        <v>0</v>
      </c>
      <c r="G244" s="306">
        <f t="shared" si="164"/>
        <v>0</v>
      </c>
      <c r="H244" s="306">
        <f t="shared" si="164"/>
        <v>0</v>
      </c>
      <c r="I244" s="305">
        <f t="shared" si="164"/>
        <v>0</v>
      </c>
      <c r="J244" s="305">
        <f t="shared" si="164"/>
        <v>0</v>
      </c>
      <c r="K244" s="305">
        <f t="shared" si="164"/>
        <v>0</v>
      </c>
      <c r="L244" s="305">
        <f t="shared" si="164"/>
        <v>0</v>
      </c>
      <c r="M244" s="305">
        <f t="shared" si="164"/>
        <v>0</v>
      </c>
      <c r="N244" s="305">
        <f t="shared" si="164"/>
        <v>0</v>
      </c>
      <c r="O244" s="305">
        <f t="shared" si="164"/>
        <v>0</v>
      </c>
      <c r="P244" s="305">
        <f t="shared" si="164"/>
        <v>0</v>
      </c>
      <c r="Q244" s="305">
        <f t="shared" si="164"/>
        <v>0</v>
      </c>
      <c r="R244" s="305">
        <f t="shared" si="164"/>
        <v>0</v>
      </c>
      <c r="S244" s="305">
        <f t="shared" si="164"/>
        <v>0</v>
      </c>
      <c r="T244" s="305">
        <f t="shared" si="164"/>
        <v>0</v>
      </c>
      <c r="U244" s="305">
        <f t="shared" si="164"/>
        <v>0</v>
      </c>
      <c r="V244" s="305">
        <f t="shared" si="164"/>
        <v>0</v>
      </c>
      <c r="W244" s="305">
        <f t="shared" si="164"/>
        <v>0</v>
      </c>
      <c r="X244" s="305">
        <f t="shared" si="164"/>
        <v>0</v>
      </c>
      <c r="Y244" s="305">
        <f t="shared" si="164"/>
        <v>0</v>
      </c>
      <c r="Z244" s="305">
        <f t="shared" si="164"/>
        <v>0</v>
      </c>
      <c r="AA244" s="305">
        <f t="shared" si="164"/>
        <v>0</v>
      </c>
      <c r="AB244" s="305">
        <f t="shared" si="164"/>
        <v>0</v>
      </c>
      <c r="AC244" s="305">
        <f t="shared" si="164"/>
        <v>0</v>
      </c>
      <c r="AD244" s="305">
        <f t="shared" si="164"/>
        <v>0</v>
      </c>
      <c r="AE244" s="305">
        <f t="shared" si="164"/>
        <v>0</v>
      </c>
      <c r="AF244" s="305">
        <f t="shared" si="164"/>
        <v>0</v>
      </c>
      <c r="AG244" s="305">
        <f t="shared" si="164"/>
        <v>0</v>
      </c>
      <c r="AH244" s="305">
        <f t="shared" si="164"/>
        <v>0</v>
      </c>
      <c r="AI244" s="305">
        <f t="shared" si="164"/>
        <v>0</v>
      </c>
      <c r="AJ244" s="305">
        <f t="shared" si="164"/>
        <v>0</v>
      </c>
      <c r="AK244" s="305">
        <f t="shared" si="164"/>
        <v>0</v>
      </c>
      <c r="AL244" s="305">
        <f t="shared" si="164"/>
        <v>0</v>
      </c>
      <c r="AM244" s="305">
        <f t="shared" si="164"/>
        <v>0</v>
      </c>
      <c r="AN244" s="305">
        <f t="shared" si="164"/>
        <v>0</v>
      </c>
      <c r="AO244" s="305">
        <f t="shared" si="164"/>
        <v>0</v>
      </c>
      <c r="AP244" s="305">
        <f t="shared" si="164"/>
        <v>0</v>
      </c>
      <c r="AQ244" s="305">
        <f t="shared" si="164"/>
        <v>0</v>
      </c>
      <c r="AR244" s="58">
        <f t="shared" si="164"/>
        <v>0</v>
      </c>
      <c r="AS244" s="305">
        <f t="shared" si="164"/>
        <v>0</v>
      </c>
      <c r="AT244" s="305">
        <f t="shared" si="164"/>
        <v>0</v>
      </c>
      <c r="AU244" s="305">
        <f t="shared" si="164"/>
        <v>0</v>
      </c>
      <c r="AV244" s="305">
        <f t="shared" si="164"/>
        <v>0</v>
      </c>
      <c r="AW244" s="305">
        <f t="shared" si="164"/>
        <v>0</v>
      </c>
      <c r="AX244" s="305">
        <f t="shared" si="164"/>
        <v>0</v>
      </c>
      <c r="AY244" s="305">
        <f t="shared" si="164"/>
        <v>0</v>
      </c>
      <c r="AZ244" s="305">
        <f t="shared" si="164"/>
        <v>0</v>
      </c>
      <c r="BA244" s="305">
        <f t="shared" si="164"/>
        <v>0</v>
      </c>
      <c r="BB244" s="305">
        <f t="shared" si="164"/>
        <v>0</v>
      </c>
      <c r="BC244" s="305">
        <f t="shared" si="164"/>
        <v>0</v>
      </c>
      <c r="BD244" s="305">
        <f t="shared" si="164"/>
        <v>0</v>
      </c>
      <c r="BE244" s="305">
        <f t="shared" si="164"/>
        <v>0</v>
      </c>
      <c r="BF244" s="305">
        <f t="shared" si="164"/>
        <v>0</v>
      </c>
      <c r="BG244" s="305">
        <f t="shared" si="164"/>
        <v>0</v>
      </c>
      <c r="BH244" s="305">
        <f t="shared" si="164"/>
        <v>0</v>
      </c>
      <c r="BI244" s="305">
        <f t="shared" si="164"/>
        <v>0</v>
      </c>
      <c r="BJ244" s="305">
        <f t="shared" si="164"/>
        <v>0</v>
      </c>
      <c r="BK244" s="305">
        <f t="shared" si="164"/>
        <v>0</v>
      </c>
      <c r="BL244" s="305">
        <f>IF($D234=0,0,BL235*(BL225-$D234)/BL225)</f>
        <v>0</v>
      </c>
      <c r="BM244" s="305">
        <f>IF($D234=0,0,BM235*(BM225-$D234)/BM225)</f>
        <v>0</v>
      </c>
      <c r="BN244" s="305">
        <f>IF($D234=0,0,BN235*(BN225-$D234)/BN225)</f>
        <v>0</v>
      </c>
      <c r="BO244" s="8">
        <f>IF(D244=0,0,BO236)</f>
        <v>0</v>
      </c>
      <c r="BP244" s="43"/>
      <c r="BQ244" s="43"/>
      <c r="BR244" s="42"/>
      <c r="BS244"/>
      <c r="BT244"/>
    </row>
    <row r="245" spans="2:72" ht="16.5">
      <c r="B245" s="292" t="s">
        <v>119</v>
      </c>
      <c r="C245" s="300" t="s">
        <v>58</v>
      </c>
      <c r="D245" s="8">
        <f>D235*(D225-$F222)/D225</f>
        <v>-3.3168129883869878E-2</v>
      </c>
      <c r="E245" s="10">
        <f t="shared" ref="E245:BK245" si="165">E235*(E225-$F222)/E225</f>
        <v>-2.8762250005367647E-2</v>
      </c>
      <c r="F245" s="32">
        <f t="shared" si="165"/>
        <v>-2.5301579889247749E-2</v>
      </c>
      <c r="G245" s="32">
        <f t="shared" si="165"/>
        <v>-2.2511416977571173E-2</v>
      </c>
      <c r="H245" s="32">
        <f t="shared" si="165"/>
        <v>-2.0214104942957809E-2</v>
      </c>
      <c r="I245" s="10">
        <f t="shared" si="165"/>
        <v>-1.8289656174802493E-2</v>
      </c>
      <c r="J245" s="10">
        <f t="shared" si="165"/>
        <v>-1.6654108497011662E-2</v>
      </c>
      <c r="K245" s="10">
        <f t="shared" si="165"/>
        <v>-1.52469486892398E-2</v>
      </c>
      <c r="L245" s="10">
        <f t="shared" si="165"/>
        <v>-1.4023460704165795E-2</v>
      </c>
      <c r="M245" s="10">
        <f t="shared" si="165"/>
        <v>-1.2949886601700655E-2</v>
      </c>
      <c r="N245" s="10">
        <f t="shared" si="165"/>
        <v>-1.2000263587725482E-2</v>
      </c>
      <c r="O245" s="10">
        <f t="shared" si="165"/>
        <v>-1.1154296813332926E-2</v>
      </c>
      <c r="P245" s="10">
        <f t="shared" si="165"/>
        <v>-1.0395892708439349E-2</v>
      </c>
      <c r="Q245" s="10">
        <f t="shared" si="165"/>
        <v>-9.7121253319648968E-3</v>
      </c>
      <c r="R245" s="10">
        <f t="shared" si="165"/>
        <v>-9.0924935831261707E-3</v>
      </c>
      <c r="S245" s="10">
        <f t="shared" si="165"/>
        <v>-8.528378064355106E-3</v>
      </c>
      <c r="T245" s="10">
        <f t="shared" si="165"/>
        <v>-8.012637672648119E-3</v>
      </c>
      <c r="U245" s="10">
        <f t="shared" si="165"/>
        <v>-7.5393057056653955E-3</v>
      </c>
      <c r="V245" s="10">
        <f t="shared" si="165"/>
        <v>-7.1033579733676905E-3</v>
      </c>
      <c r="W245" s="10">
        <f t="shared" si="165"/>
        <v>-6.7005337666327025E-3</v>
      </c>
      <c r="X245" s="10">
        <f t="shared" si="165"/>
        <v>-6.3271961409621319E-3</v>
      </c>
      <c r="Y245" s="10">
        <f t="shared" si="165"/>
        <v>-5.9802217984392635E-3</v>
      </c>
      <c r="Z245" s="10">
        <f t="shared" si="165"/>
        <v>-5.6569135021192962E-3</v>
      </c>
      <c r="AA245" s="10">
        <f t="shared" si="165"/>
        <v>-5.3549298212100978E-3</v>
      </c>
      <c r="AB245" s="10">
        <f t="shared" si="165"/>
        <v>-5.0722283339374036E-3</v>
      </c>
      <c r="AC245" s="10">
        <f t="shared" si="165"/>
        <v>-4.8070193736026263E-3</v>
      </c>
      <c r="AD245" s="10">
        <f t="shared" si="165"/>
        <v>-4.5577281030459568E-3</v>
      </c>
      <c r="AE245" s="10">
        <f t="shared" si="165"/>
        <v>-4.3229632189566098E-3</v>
      </c>
      <c r="AF245" s="10">
        <f t="shared" si="165"/>
        <v>-4.1014909721687311E-3</v>
      </c>
      <c r="AG245" s="10">
        <f t="shared" si="165"/>
        <v>-3.8922134794580386E-3</v>
      </c>
      <c r="AH245" s="10">
        <f t="shared" si="165"/>
        <v>-3.6941505219501764E-3</v>
      </c>
      <c r="AI245" s="10">
        <f t="shared" si="165"/>
        <v>-3.5064241932759384E-3</v>
      </c>
      <c r="AJ245" s="10">
        <f t="shared" si="165"/>
        <v>-3.3282458901758545E-3</v>
      </c>
      <c r="AK245" s="10">
        <f t="shared" si="165"/>
        <v>-3.1589052389045641E-3</v>
      </c>
      <c r="AL245" s="10">
        <f t="shared" si="165"/>
        <v>-2.9977606295123224E-3</v>
      </c>
      <c r="AM245" s="10">
        <f t="shared" si="165"/>
        <v>-2.8442310920664135E-3</v>
      </c>
      <c r="AN245" s="10">
        <f t="shared" si="165"/>
        <v>-2.6977892979835744E-3</v>
      </c>
      <c r="AO245" s="10">
        <f t="shared" si="165"/>
        <v>-2.5579555087810804E-3</v>
      </c>
      <c r="AP245" s="10">
        <f t="shared" si="165"/>
        <v>-2.4242923259190814E-3</v>
      </c>
      <c r="AQ245" s="10">
        <f t="shared" si="165"/>
        <v>-2.2964001206778181E-3</v>
      </c>
      <c r="AR245" s="58">
        <f t="shared" si="165"/>
        <v>-2.1739130434782618E-3</v>
      </c>
      <c r="AS245" s="10">
        <f t="shared" si="165"/>
        <v>-1.7862415419315158E-3</v>
      </c>
      <c r="AT245" s="10">
        <f t="shared" si="165"/>
        <v>-1.4481574682248574E-3</v>
      </c>
      <c r="AU245" s="10">
        <f t="shared" si="165"/>
        <v>-1.1507185664749156E-3</v>
      </c>
      <c r="AV245" s="10">
        <f t="shared" si="165"/>
        <v>-8.8701077708451515E-4</v>
      </c>
      <c r="AW245" s="10">
        <f t="shared" si="165"/>
        <v>-6.5160407235770909E-4</v>
      </c>
      <c r="AX245" s="10">
        <f t="shared" si="165"/>
        <v>-4.4017456867273465E-4</v>
      </c>
      <c r="AY245" s="10">
        <f t="shared" si="165"/>
        <v>-2.4923651170682037E-4</v>
      </c>
      <c r="AZ245" s="10">
        <f t="shared" si="165"/>
        <v>-7.5948586752149768E-5</v>
      </c>
      <c r="BA245" s="10">
        <f t="shared" si="165"/>
        <v>8.2028430433822111E-5</v>
      </c>
      <c r="BB245" s="10">
        <f t="shared" si="165"/>
        <v>2.2663788725241265E-4</v>
      </c>
      <c r="BC245" s="10">
        <f t="shared" si="165"/>
        <v>3.595075998538232E-4</v>
      </c>
      <c r="BD245" s="10">
        <f t="shared" si="165"/>
        <v>4.8201139408444137E-4</v>
      </c>
      <c r="BE245" s="10">
        <f t="shared" si="165"/>
        <v>5.8376298151285291E-4</v>
      </c>
      <c r="BF245" s="10">
        <f t="shared" si="165"/>
        <v>6.6374342556597325E-4</v>
      </c>
      <c r="BG245" s="10">
        <f t="shared" si="165"/>
        <v>7.3345780992531428E-4</v>
      </c>
      <c r="BH245" s="10">
        <f t="shared" si="165"/>
        <v>7.9476351351351381E-4</v>
      </c>
      <c r="BI245" s="10">
        <f t="shared" si="165"/>
        <v>8.4909534014831133E-4</v>
      </c>
      <c r="BJ245" s="10">
        <f t="shared" si="165"/>
        <v>8.9757922693177363E-4</v>
      </c>
      <c r="BK245" s="10">
        <f t="shared" si="165"/>
        <v>9.411111111111111E-4</v>
      </c>
      <c r="BL245" s="10">
        <f>BL235*(BL225-$F222)/BL225</f>
        <v>1.2949999999999999E-3</v>
      </c>
      <c r="BM245" s="10">
        <f>BM235*(BM225-$F222)/BM225</f>
        <v>1.4334782608695651E-3</v>
      </c>
      <c r="BN245" s="10">
        <f>BN235*(BN225-$F222)/BN225</f>
        <v>1.5073333333333332E-3</v>
      </c>
      <c r="BO245" s="8">
        <f>BO236</f>
        <v>1.75E-3</v>
      </c>
      <c r="BS245"/>
      <c r="BT245"/>
    </row>
    <row r="246" spans="2:72" ht="16.5">
      <c r="B246" s="293" t="s">
        <v>59</v>
      </c>
      <c r="C246" s="301" t="s">
        <v>60</v>
      </c>
      <c r="D246" s="12">
        <f t="shared" ref="D246:BJ246" si="166">IF(D236&lt;0,MAX(-$C$10,200000*D236),MIN(200000*D236,$C$10)-IF(AND($C222&lt;$C$8*D225,$C222&gt;0),$C$9,0))</f>
        <v>-434.78260869565219</v>
      </c>
      <c r="E246" s="307">
        <f t="shared" si="166"/>
        <v>-434.78260869565219</v>
      </c>
      <c r="F246" s="307">
        <f t="shared" si="166"/>
        <v>-343.20683063417039</v>
      </c>
      <c r="G246" s="307">
        <f t="shared" si="166"/>
        <v>-242.1458117860424</v>
      </c>
      <c r="H246" s="307">
        <f t="shared" si="166"/>
        <v>-158.93608454807807</v>
      </c>
      <c r="I246" s="307">
        <f t="shared" si="166"/>
        <v>-89.231640977098081</v>
      </c>
      <c r="J246" s="307">
        <f t="shared" si="166"/>
        <v>-29.991331387823916</v>
      </c>
      <c r="K246" s="307">
        <f t="shared" si="166"/>
        <v>20.976661649582059</v>
      </c>
      <c r="L246" s="307">
        <f t="shared" si="166"/>
        <v>65.291974494782266</v>
      </c>
      <c r="M246" s="307">
        <f t="shared" si="166"/>
        <v>104.17733568643295</v>
      </c>
      <c r="N246" s="307">
        <f t="shared" si="166"/>
        <v>138.57312989340775</v>
      </c>
      <c r="O246" s="307">
        <f t="shared" si="166"/>
        <v>146.54777946458165</v>
      </c>
      <c r="P246" s="307">
        <f t="shared" si="166"/>
        <v>174.01753444497896</v>
      </c>
      <c r="Q246" s="307">
        <f t="shared" si="166"/>
        <v>198.78391186058903</v>
      </c>
      <c r="R246" s="307">
        <f t="shared" si="166"/>
        <v>221.2272665429366</v>
      </c>
      <c r="S246" s="307">
        <f t="shared" si="166"/>
        <v>241.65979714409329</v>
      </c>
      <c r="T246" s="307">
        <f t="shared" si="166"/>
        <v>260.34015778859833</v>
      </c>
      <c r="U246" s="307">
        <f t="shared" si="166"/>
        <v>277.4844652541143</v>
      </c>
      <c r="V246" s="307">
        <f t="shared" si="166"/>
        <v>293.27469807749571</v>
      </c>
      <c r="W246" s="307">
        <f t="shared" si="166"/>
        <v>307.86518115608584</v>
      </c>
      <c r="X246" s="307">
        <f t="shared" si="166"/>
        <v>321.38764633785456</v>
      </c>
      <c r="Y246" s="307">
        <f t="shared" si="166"/>
        <v>333.95522094891908</v>
      </c>
      <c r="Z246" s="307">
        <f t="shared" si="166"/>
        <v>345.66560018570527</v>
      </c>
      <c r="AA246" s="307">
        <f t="shared" si="166"/>
        <v>356.60359177769197</v>
      </c>
      <c r="AB246" s="307">
        <f t="shared" si="166"/>
        <v>366.84317320646676</v>
      </c>
      <c r="AC246" s="307">
        <f t="shared" si="166"/>
        <v>376.44916704536411</v>
      </c>
      <c r="AD246" s="307">
        <f t="shared" si="166"/>
        <v>385.47861464033014</v>
      </c>
      <c r="AE246" s="307">
        <f t="shared" si="166"/>
        <v>393.98190965459003</v>
      </c>
      <c r="AF246" s="307">
        <f t="shared" si="166"/>
        <v>402.00373906580444</v>
      </c>
      <c r="AG246" s="307">
        <f t="shared" si="166"/>
        <v>409.5838687230422</v>
      </c>
      <c r="AH246" s="307">
        <f t="shared" si="166"/>
        <v>412.1159420289855</v>
      </c>
      <c r="AI246" s="307">
        <f t="shared" si="166"/>
        <v>412.1159420289855</v>
      </c>
      <c r="AJ246" s="307">
        <f t="shared" si="166"/>
        <v>412.1159420289855</v>
      </c>
      <c r="AK246" s="307">
        <f t="shared" si="166"/>
        <v>412.1159420289855</v>
      </c>
      <c r="AL246" s="307">
        <f t="shared" si="166"/>
        <v>412.1159420289855</v>
      </c>
      <c r="AM246" s="307">
        <f t="shared" si="166"/>
        <v>412.1159420289855</v>
      </c>
      <c r="AN246" s="307">
        <f t="shared" si="166"/>
        <v>412.1159420289855</v>
      </c>
      <c r="AO246" s="307">
        <f t="shared" si="166"/>
        <v>412.1159420289855</v>
      </c>
      <c r="AP246" s="307">
        <f t="shared" si="166"/>
        <v>412.1159420289855</v>
      </c>
      <c r="AQ246" s="307">
        <f t="shared" si="166"/>
        <v>412.1159420289855</v>
      </c>
      <c r="AR246" s="61">
        <f t="shared" si="166"/>
        <v>412.1159420289855</v>
      </c>
      <c r="AS246" s="307">
        <f t="shared" si="166"/>
        <v>412.1159420289855</v>
      </c>
      <c r="AT246" s="307">
        <f t="shared" si="166"/>
        <v>412.1159420289855</v>
      </c>
      <c r="AU246" s="307">
        <f t="shared" si="166"/>
        <v>412.1159420289855</v>
      </c>
      <c r="AV246" s="307">
        <f t="shared" si="166"/>
        <v>412.1159420289855</v>
      </c>
      <c r="AW246" s="307">
        <f t="shared" si="166"/>
        <v>412.1159420289855</v>
      </c>
      <c r="AX246" s="307">
        <f t="shared" si="166"/>
        <v>412.1159420289855</v>
      </c>
      <c r="AY246" s="307">
        <f t="shared" si="166"/>
        <v>412.1159420289855</v>
      </c>
      <c r="AZ246" s="307">
        <f t="shared" si="166"/>
        <v>412.1159420289855</v>
      </c>
      <c r="BA246" s="307">
        <f t="shared" si="166"/>
        <v>412.1159420289855</v>
      </c>
      <c r="BB246" s="307">
        <f t="shared" si="166"/>
        <v>412.1159420289855</v>
      </c>
      <c r="BC246" s="307">
        <f t="shared" si="166"/>
        <v>412.1159420289855</v>
      </c>
      <c r="BD246" s="307">
        <f t="shared" si="166"/>
        <v>412.1159420289855</v>
      </c>
      <c r="BE246" s="307">
        <f t="shared" si="166"/>
        <v>412.1159420289855</v>
      </c>
      <c r="BF246" s="307">
        <f t="shared" si="166"/>
        <v>412.1159420289855</v>
      </c>
      <c r="BG246" s="307">
        <f t="shared" si="166"/>
        <v>412.1159420289855</v>
      </c>
      <c r="BH246" s="307">
        <f t="shared" si="166"/>
        <v>412.1159420289855</v>
      </c>
      <c r="BI246" s="307">
        <f t="shared" si="166"/>
        <v>412.1159420289855</v>
      </c>
      <c r="BJ246" s="307">
        <f t="shared" si="166"/>
        <v>412.1159420289855</v>
      </c>
      <c r="BK246" s="307">
        <f>IF(BK236&lt;0,MAX(-$C$10,200000*BK236),MIN(200000*BK236,$C$10)-IF(AND($C222&lt;$C$8*BK225,$C222&gt;0),$C$9,0))</f>
        <v>412.1159420289855</v>
      </c>
      <c r="BL246" s="307">
        <f>IF(BL236&lt;0,MAX(-$C$10,200000*BL236),MIN(200000*BL236,$C$10)-IF(AND($C222&lt;$C$8*BL225,$C222&gt;0),$C$9,0))</f>
        <v>412.1159420289855</v>
      </c>
      <c r="BM246" s="307">
        <f>IF(BM236&lt;0,MAX(-$C$10,200000*BM236),MIN(200000*BM236,$C$10)-IF(AND($C222&lt;$C$8*BM225,$C222&gt;0),$C$9,0))</f>
        <v>390.63768115942025</v>
      </c>
      <c r="BN246" s="307">
        <f>IF(BN236&lt;0,MAX(-$C$10,200000*BN236),MIN(200000*BN236,$C$10)-IF(AND($C222&lt;$C$8*BN225,$C222&gt;0),$C$9,0))</f>
        <v>375.86666666666662</v>
      </c>
      <c r="BO246" s="12">
        <f>200000*BO236-C$9</f>
        <v>327.33333333333331</v>
      </c>
      <c r="BS246"/>
      <c r="BT246"/>
    </row>
    <row r="247" spans="2:72" ht="16.5">
      <c r="B247" s="11">
        <v>2</v>
      </c>
      <c r="C247" s="302" t="s">
        <v>61</v>
      </c>
      <c r="D247" s="12">
        <f t="shared" ref="D247:AI247" si="167">IF(D237&lt;0,MAX(-$C$10,200000*D237),MIN(200000*D237,$C$10)-IF(AND($D227&lt;$C$8*D225,$D227&gt;0),$C$9,0))</f>
        <v>0</v>
      </c>
      <c r="E247" s="307">
        <f t="shared" si="167"/>
        <v>0</v>
      </c>
      <c r="F247" s="307">
        <f t="shared" si="167"/>
        <v>0</v>
      </c>
      <c r="G247" s="307">
        <f t="shared" si="167"/>
        <v>0</v>
      </c>
      <c r="H247" s="307">
        <f t="shared" si="167"/>
        <v>0</v>
      </c>
      <c r="I247" s="307">
        <f t="shared" si="167"/>
        <v>0</v>
      </c>
      <c r="J247" s="307">
        <f t="shared" si="167"/>
        <v>0</v>
      </c>
      <c r="K247" s="307">
        <f t="shared" si="167"/>
        <v>0</v>
      </c>
      <c r="L247" s="307">
        <f t="shared" si="167"/>
        <v>0</v>
      </c>
      <c r="M247" s="307">
        <f t="shared" si="167"/>
        <v>0</v>
      </c>
      <c r="N247" s="307">
        <f t="shared" si="167"/>
        <v>0</v>
      </c>
      <c r="O247" s="307">
        <f t="shared" si="167"/>
        <v>0</v>
      </c>
      <c r="P247" s="307">
        <f t="shared" si="167"/>
        <v>0</v>
      </c>
      <c r="Q247" s="307">
        <f t="shared" si="167"/>
        <v>0</v>
      </c>
      <c r="R247" s="307">
        <f t="shared" si="167"/>
        <v>0</v>
      </c>
      <c r="S247" s="307">
        <f t="shared" si="167"/>
        <v>0</v>
      </c>
      <c r="T247" s="307">
        <f t="shared" si="167"/>
        <v>0</v>
      </c>
      <c r="U247" s="307">
        <f t="shared" si="167"/>
        <v>0</v>
      </c>
      <c r="V247" s="307">
        <f t="shared" si="167"/>
        <v>0</v>
      </c>
      <c r="W247" s="307">
        <f t="shared" si="167"/>
        <v>0</v>
      </c>
      <c r="X247" s="307">
        <f t="shared" si="167"/>
        <v>0</v>
      </c>
      <c r="Y247" s="307">
        <f t="shared" si="167"/>
        <v>0</v>
      </c>
      <c r="Z247" s="307">
        <f t="shared" si="167"/>
        <v>0</v>
      </c>
      <c r="AA247" s="307">
        <f t="shared" si="167"/>
        <v>0</v>
      </c>
      <c r="AB247" s="307">
        <f t="shared" si="167"/>
        <v>0</v>
      </c>
      <c r="AC247" s="307">
        <f t="shared" si="167"/>
        <v>0</v>
      </c>
      <c r="AD247" s="307">
        <f t="shared" si="167"/>
        <v>0</v>
      </c>
      <c r="AE247" s="307">
        <f t="shared" si="167"/>
        <v>0</v>
      </c>
      <c r="AF247" s="307">
        <f t="shared" si="167"/>
        <v>0</v>
      </c>
      <c r="AG247" s="307">
        <f t="shared" si="167"/>
        <v>0</v>
      </c>
      <c r="AH247" s="307">
        <f t="shared" si="167"/>
        <v>0</v>
      </c>
      <c r="AI247" s="307">
        <f t="shared" si="167"/>
        <v>0</v>
      </c>
      <c r="AJ247" s="307">
        <f t="shared" ref="AJ247:BK247" si="168">IF(AJ237&lt;0,MAX(-$C$10,200000*AJ237),MIN(200000*AJ237,$C$10)-IF(AND($D227&lt;$C$8*AJ225,$D227&gt;0),$C$9,0))</f>
        <v>0</v>
      </c>
      <c r="AK247" s="307">
        <f t="shared" si="168"/>
        <v>0</v>
      </c>
      <c r="AL247" s="307">
        <f t="shared" si="168"/>
        <v>0</v>
      </c>
      <c r="AM247" s="307">
        <f t="shared" si="168"/>
        <v>0</v>
      </c>
      <c r="AN247" s="307">
        <f t="shared" si="168"/>
        <v>0</v>
      </c>
      <c r="AO247" s="307">
        <f t="shared" si="168"/>
        <v>0</v>
      </c>
      <c r="AP247" s="307">
        <f t="shared" si="168"/>
        <v>0</v>
      </c>
      <c r="AQ247" s="307">
        <f t="shared" si="168"/>
        <v>0</v>
      </c>
      <c r="AR247" s="61">
        <f t="shared" si="168"/>
        <v>0</v>
      </c>
      <c r="AS247" s="307">
        <f t="shared" si="168"/>
        <v>0</v>
      </c>
      <c r="AT247" s="307">
        <f t="shared" si="168"/>
        <v>0</v>
      </c>
      <c r="AU247" s="307">
        <f t="shared" si="168"/>
        <v>0</v>
      </c>
      <c r="AV247" s="307">
        <f t="shared" si="168"/>
        <v>0</v>
      </c>
      <c r="AW247" s="307">
        <f t="shared" si="168"/>
        <v>0</v>
      </c>
      <c r="AX247" s="307">
        <f t="shared" si="168"/>
        <v>0</v>
      </c>
      <c r="AY247" s="307">
        <f t="shared" si="168"/>
        <v>0</v>
      </c>
      <c r="AZ247" s="307">
        <f t="shared" si="168"/>
        <v>0</v>
      </c>
      <c r="BA247" s="307">
        <f t="shared" si="168"/>
        <v>0</v>
      </c>
      <c r="BB247" s="307">
        <f t="shared" si="168"/>
        <v>0</v>
      </c>
      <c r="BC247" s="307">
        <f t="shared" si="168"/>
        <v>0</v>
      </c>
      <c r="BD247" s="307">
        <f t="shared" si="168"/>
        <v>0</v>
      </c>
      <c r="BE247" s="307">
        <f t="shared" si="168"/>
        <v>0</v>
      </c>
      <c r="BF247" s="307">
        <f t="shared" si="168"/>
        <v>0</v>
      </c>
      <c r="BG247" s="307">
        <f t="shared" si="168"/>
        <v>0</v>
      </c>
      <c r="BH247" s="307">
        <f t="shared" si="168"/>
        <v>0</v>
      </c>
      <c r="BI247" s="307">
        <f t="shared" si="168"/>
        <v>0</v>
      </c>
      <c r="BJ247" s="307">
        <f t="shared" si="168"/>
        <v>0</v>
      </c>
      <c r="BK247" s="307">
        <f t="shared" si="168"/>
        <v>0</v>
      </c>
      <c r="BL247" s="307">
        <f>IF(BL237&lt;0,MAX(-$C$10,200000*BL237),MIN(200000*BL237,$C$10)-IF(AND($D227&lt;$C$8*BL225,$D227&gt;0),$C$9,0))</f>
        <v>0</v>
      </c>
      <c r="BM247" s="307">
        <f>IF(BM237&lt;0,MAX(-$C$10,200000*BM237),MIN(200000*BM237,$C$10)-IF(AND($D227&lt;$C$8*BM225,$D227&gt;0),$C$9,0))</f>
        <v>0</v>
      </c>
      <c r="BN247" s="307">
        <f>IF(BN237&lt;0,MAX(-$C$10,200000*BN237),MIN(200000*BN237,$C$10)-IF(AND($D227&lt;$C$8*BN225,$D227&gt;0),$C$9,0))</f>
        <v>0</v>
      </c>
      <c r="BO247" s="12">
        <f>IF(D247=0,0,BO246)</f>
        <v>0</v>
      </c>
      <c r="BP247" s="43"/>
      <c r="BQ247" s="43"/>
      <c r="BR247" s="42"/>
      <c r="BS247"/>
      <c r="BT247"/>
    </row>
    <row r="248" spans="2:72" ht="16.5">
      <c r="B248" s="11">
        <f t="shared" ref="B248:B254" si="169">1+B247</f>
        <v>3</v>
      </c>
      <c r="C248" s="302" t="s">
        <v>61</v>
      </c>
      <c r="D248" s="12">
        <f t="shared" ref="D248:AI248" si="170">IF(D238&lt;0,MAX(-$C$10,200000*D238),MIN(200000*D238,$C$10)-IF(AND($D228&lt;$C$8*D225,$D228&gt;0),$C$9,0))</f>
        <v>0</v>
      </c>
      <c r="E248" s="307">
        <f t="shared" si="170"/>
        <v>0</v>
      </c>
      <c r="F248" s="307">
        <f t="shared" si="170"/>
        <v>0</v>
      </c>
      <c r="G248" s="307">
        <f t="shared" si="170"/>
        <v>0</v>
      </c>
      <c r="H248" s="307">
        <f t="shared" si="170"/>
        <v>0</v>
      </c>
      <c r="I248" s="307">
        <f t="shared" si="170"/>
        <v>0</v>
      </c>
      <c r="J248" s="307">
        <f t="shared" si="170"/>
        <v>0</v>
      </c>
      <c r="K248" s="307">
        <f t="shared" si="170"/>
        <v>0</v>
      </c>
      <c r="L248" s="307">
        <f t="shared" si="170"/>
        <v>0</v>
      </c>
      <c r="M248" s="307">
        <f t="shared" si="170"/>
        <v>0</v>
      </c>
      <c r="N248" s="307">
        <f t="shared" si="170"/>
        <v>0</v>
      </c>
      <c r="O248" s="307">
        <f t="shared" si="170"/>
        <v>0</v>
      </c>
      <c r="P248" s="307">
        <f t="shared" si="170"/>
        <v>0</v>
      </c>
      <c r="Q248" s="307">
        <f t="shared" si="170"/>
        <v>0</v>
      </c>
      <c r="R248" s="307">
        <f t="shared" si="170"/>
        <v>0</v>
      </c>
      <c r="S248" s="307">
        <f t="shared" si="170"/>
        <v>0</v>
      </c>
      <c r="T248" s="307">
        <f t="shared" si="170"/>
        <v>0</v>
      </c>
      <c r="U248" s="307">
        <f t="shared" si="170"/>
        <v>0</v>
      </c>
      <c r="V248" s="307">
        <f t="shared" si="170"/>
        <v>0</v>
      </c>
      <c r="W248" s="307">
        <f t="shared" si="170"/>
        <v>0</v>
      </c>
      <c r="X248" s="307">
        <f t="shared" si="170"/>
        <v>0</v>
      </c>
      <c r="Y248" s="307">
        <f t="shared" si="170"/>
        <v>0</v>
      </c>
      <c r="Z248" s="307">
        <f t="shared" si="170"/>
        <v>0</v>
      </c>
      <c r="AA248" s="307">
        <f t="shared" si="170"/>
        <v>0</v>
      </c>
      <c r="AB248" s="307">
        <f t="shared" si="170"/>
        <v>0</v>
      </c>
      <c r="AC248" s="307">
        <f t="shared" si="170"/>
        <v>0</v>
      </c>
      <c r="AD248" s="307">
        <f t="shared" si="170"/>
        <v>0</v>
      </c>
      <c r="AE248" s="307">
        <f t="shared" si="170"/>
        <v>0</v>
      </c>
      <c r="AF248" s="307">
        <f t="shared" si="170"/>
        <v>0</v>
      </c>
      <c r="AG248" s="307">
        <f t="shared" si="170"/>
        <v>0</v>
      </c>
      <c r="AH248" s="307">
        <f t="shared" si="170"/>
        <v>0</v>
      </c>
      <c r="AI248" s="307">
        <f t="shared" si="170"/>
        <v>0</v>
      </c>
      <c r="AJ248" s="307">
        <f t="shared" ref="AJ248:BK248" si="171">IF(AJ238&lt;0,MAX(-$C$10,200000*AJ238),MIN(200000*AJ238,$C$10)-IF(AND($D228&lt;$C$8*AJ225,$D228&gt;0),$C$9,0))</f>
        <v>0</v>
      </c>
      <c r="AK248" s="307">
        <f t="shared" si="171"/>
        <v>0</v>
      </c>
      <c r="AL248" s="307">
        <f t="shared" si="171"/>
        <v>0</v>
      </c>
      <c r="AM248" s="307">
        <f t="shared" si="171"/>
        <v>0</v>
      </c>
      <c r="AN248" s="307">
        <f t="shared" si="171"/>
        <v>0</v>
      </c>
      <c r="AO248" s="307">
        <f t="shared" si="171"/>
        <v>0</v>
      </c>
      <c r="AP248" s="307">
        <f t="shared" si="171"/>
        <v>0</v>
      </c>
      <c r="AQ248" s="307">
        <f t="shared" si="171"/>
        <v>0</v>
      </c>
      <c r="AR248" s="61">
        <f t="shared" si="171"/>
        <v>0</v>
      </c>
      <c r="AS248" s="307">
        <f t="shared" si="171"/>
        <v>0</v>
      </c>
      <c r="AT248" s="307">
        <f t="shared" si="171"/>
        <v>0</v>
      </c>
      <c r="AU248" s="307">
        <f t="shared" si="171"/>
        <v>0</v>
      </c>
      <c r="AV248" s="307">
        <f t="shared" si="171"/>
        <v>0</v>
      </c>
      <c r="AW248" s="307">
        <f t="shared" si="171"/>
        <v>0</v>
      </c>
      <c r="AX248" s="307">
        <f t="shared" si="171"/>
        <v>0</v>
      </c>
      <c r="AY248" s="307">
        <f t="shared" si="171"/>
        <v>0</v>
      </c>
      <c r="AZ248" s="307">
        <f t="shared" si="171"/>
        <v>0</v>
      </c>
      <c r="BA248" s="307">
        <f t="shared" si="171"/>
        <v>0</v>
      </c>
      <c r="BB248" s="307">
        <f t="shared" si="171"/>
        <v>0</v>
      </c>
      <c r="BC248" s="307">
        <f t="shared" si="171"/>
        <v>0</v>
      </c>
      <c r="BD248" s="307">
        <f t="shared" si="171"/>
        <v>0</v>
      </c>
      <c r="BE248" s="307">
        <f t="shared" si="171"/>
        <v>0</v>
      </c>
      <c r="BF248" s="307">
        <f t="shared" si="171"/>
        <v>0</v>
      </c>
      <c r="BG248" s="307">
        <f t="shared" si="171"/>
        <v>0</v>
      </c>
      <c r="BH248" s="307">
        <f t="shared" si="171"/>
        <v>0</v>
      </c>
      <c r="BI248" s="307">
        <f t="shared" si="171"/>
        <v>0</v>
      </c>
      <c r="BJ248" s="307">
        <f t="shared" si="171"/>
        <v>0</v>
      </c>
      <c r="BK248" s="307">
        <f t="shared" si="171"/>
        <v>0</v>
      </c>
      <c r="BL248" s="307">
        <f>IF(BL238&lt;0,MAX(-$C$10,200000*BL238),MIN(200000*BL238,$C$10)-IF(AND($D228&lt;$C$8*BL225,$D228&gt;0),$C$9,0))</f>
        <v>0</v>
      </c>
      <c r="BM248" s="307">
        <f>IF(BM238&lt;0,MAX(-$C$10,200000*BM238),MIN(200000*BM238,$C$10)-IF(AND($D228&lt;$C$8*BM225,$D228&gt;0),$C$9,0))</f>
        <v>0</v>
      </c>
      <c r="BN248" s="307">
        <f>IF(BN238&lt;0,MAX(-$C$10,200000*BN238),MIN(200000*BN238,$C$10)-IF(AND($D228&lt;$C$8*BN225,$D228&gt;0),$C$9,0))</f>
        <v>0</v>
      </c>
      <c r="BO248" s="12">
        <f>IF(D248=0,0,BO246)</f>
        <v>0</v>
      </c>
      <c r="BP248" s="43"/>
      <c r="BQ248" s="43"/>
      <c r="BR248" s="42"/>
      <c r="BS248"/>
      <c r="BT248"/>
    </row>
    <row r="249" spans="2:72" ht="16.5">
      <c r="B249" s="11">
        <f t="shared" si="169"/>
        <v>4</v>
      </c>
      <c r="C249" s="302" t="s">
        <v>61</v>
      </c>
      <c r="D249" s="12">
        <f t="shared" ref="D249:AI249" si="172">IF(D239&lt;0,MAX(-$C$10,200000*D239),MIN(200000*D239,$C$10)-IF(AND($D229&lt;$C$8*D225,$D229&gt;0),$C$9,0))</f>
        <v>0</v>
      </c>
      <c r="E249" s="307">
        <f t="shared" si="172"/>
        <v>0</v>
      </c>
      <c r="F249" s="307">
        <f t="shared" si="172"/>
        <v>0</v>
      </c>
      <c r="G249" s="307">
        <f t="shared" si="172"/>
        <v>0</v>
      </c>
      <c r="H249" s="307">
        <f t="shared" si="172"/>
        <v>0</v>
      </c>
      <c r="I249" s="307">
        <f t="shared" si="172"/>
        <v>0</v>
      </c>
      <c r="J249" s="307">
        <f t="shared" si="172"/>
        <v>0</v>
      </c>
      <c r="K249" s="307">
        <f t="shared" si="172"/>
        <v>0</v>
      </c>
      <c r="L249" s="307">
        <f t="shared" si="172"/>
        <v>0</v>
      </c>
      <c r="M249" s="307">
        <f t="shared" si="172"/>
        <v>0</v>
      </c>
      <c r="N249" s="307">
        <f t="shared" si="172"/>
        <v>0</v>
      </c>
      <c r="O249" s="307">
        <f t="shared" si="172"/>
        <v>0</v>
      </c>
      <c r="P249" s="307">
        <f t="shared" si="172"/>
        <v>0</v>
      </c>
      <c r="Q249" s="307">
        <f t="shared" si="172"/>
        <v>0</v>
      </c>
      <c r="R249" s="307">
        <f t="shared" si="172"/>
        <v>0</v>
      </c>
      <c r="S249" s="307">
        <f t="shared" si="172"/>
        <v>0</v>
      </c>
      <c r="T249" s="307">
        <f t="shared" si="172"/>
        <v>0</v>
      </c>
      <c r="U249" s="307">
        <f t="shared" si="172"/>
        <v>0</v>
      </c>
      <c r="V249" s="307">
        <f t="shared" si="172"/>
        <v>0</v>
      </c>
      <c r="W249" s="307">
        <f t="shared" si="172"/>
        <v>0</v>
      </c>
      <c r="X249" s="307">
        <f t="shared" si="172"/>
        <v>0</v>
      </c>
      <c r="Y249" s="307">
        <f t="shared" si="172"/>
        <v>0</v>
      </c>
      <c r="Z249" s="307">
        <f t="shared" si="172"/>
        <v>0</v>
      </c>
      <c r="AA249" s="307">
        <f t="shared" si="172"/>
        <v>0</v>
      </c>
      <c r="AB249" s="307">
        <f t="shared" si="172"/>
        <v>0</v>
      </c>
      <c r="AC249" s="307">
        <f t="shared" si="172"/>
        <v>0</v>
      </c>
      <c r="AD249" s="307">
        <f t="shared" si="172"/>
        <v>0</v>
      </c>
      <c r="AE249" s="307">
        <f t="shared" si="172"/>
        <v>0</v>
      </c>
      <c r="AF249" s="307">
        <f t="shared" si="172"/>
        <v>0</v>
      </c>
      <c r="AG249" s="307">
        <f t="shared" si="172"/>
        <v>0</v>
      </c>
      <c r="AH249" s="307">
        <f t="shared" si="172"/>
        <v>0</v>
      </c>
      <c r="AI249" s="307">
        <f t="shared" si="172"/>
        <v>0</v>
      </c>
      <c r="AJ249" s="307">
        <f t="shared" ref="AJ249:BK249" si="173">IF(AJ239&lt;0,MAX(-$C$10,200000*AJ239),MIN(200000*AJ239,$C$10)-IF(AND($D229&lt;$C$8*AJ225,$D229&gt;0),$C$9,0))</f>
        <v>0</v>
      </c>
      <c r="AK249" s="307">
        <f t="shared" si="173"/>
        <v>0</v>
      </c>
      <c r="AL249" s="307">
        <f t="shared" si="173"/>
        <v>0</v>
      </c>
      <c r="AM249" s="307">
        <f t="shared" si="173"/>
        <v>0</v>
      </c>
      <c r="AN249" s="307">
        <f t="shared" si="173"/>
        <v>0</v>
      </c>
      <c r="AO249" s="307">
        <f t="shared" si="173"/>
        <v>0</v>
      </c>
      <c r="AP249" s="307">
        <f t="shared" si="173"/>
        <v>0</v>
      </c>
      <c r="AQ249" s="307">
        <f t="shared" si="173"/>
        <v>0</v>
      </c>
      <c r="AR249" s="61">
        <f t="shared" si="173"/>
        <v>0</v>
      </c>
      <c r="AS249" s="307">
        <f t="shared" si="173"/>
        <v>0</v>
      </c>
      <c r="AT249" s="307">
        <f t="shared" si="173"/>
        <v>0</v>
      </c>
      <c r="AU249" s="307">
        <f t="shared" si="173"/>
        <v>0</v>
      </c>
      <c r="AV249" s="307">
        <f t="shared" si="173"/>
        <v>0</v>
      </c>
      <c r="AW249" s="307">
        <f t="shared" si="173"/>
        <v>0</v>
      </c>
      <c r="AX249" s="307">
        <f t="shared" si="173"/>
        <v>0</v>
      </c>
      <c r="AY249" s="307">
        <f t="shared" si="173"/>
        <v>0</v>
      </c>
      <c r="AZ249" s="307">
        <f t="shared" si="173"/>
        <v>0</v>
      </c>
      <c r="BA249" s="307">
        <f t="shared" si="173"/>
        <v>0</v>
      </c>
      <c r="BB249" s="307">
        <f t="shared" si="173"/>
        <v>0</v>
      </c>
      <c r="BC249" s="307">
        <f t="shared" si="173"/>
        <v>0</v>
      </c>
      <c r="BD249" s="307">
        <f t="shared" si="173"/>
        <v>0</v>
      </c>
      <c r="BE249" s="307">
        <f t="shared" si="173"/>
        <v>0</v>
      </c>
      <c r="BF249" s="307">
        <f t="shared" si="173"/>
        <v>0</v>
      </c>
      <c r="BG249" s="307">
        <f t="shared" si="173"/>
        <v>0</v>
      </c>
      <c r="BH249" s="307">
        <f t="shared" si="173"/>
        <v>0</v>
      </c>
      <c r="BI249" s="307">
        <f t="shared" si="173"/>
        <v>0</v>
      </c>
      <c r="BJ249" s="307">
        <f t="shared" si="173"/>
        <v>0</v>
      </c>
      <c r="BK249" s="307">
        <f t="shared" si="173"/>
        <v>0</v>
      </c>
      <c r="BL249" s="307">
        <f>IF(BL239&lt;0,MAX(-$C$10,200000*BL239),MIN(200000*BL239,$C$10)-IF(AND($D229&lt;$C$8*BL225,$D229&gt;0),$C$9,0))</f>
        <v>0</v>
      </c>
      <c r="BM249" s="307">
        <f>IF(BM239&lt;0,MAX(-$C$10,200000*BM239),MIN(200000*BM239,$C$10)-IF(AND($D229&lt;$C$8*BM225,$D229&gt;0),$C$9,0))</f>
        <v>0</v>
      </c>
      <c r="BN249" s="307">
        <f>IF(BN239&lt;0,MAX(-$C$10,200000*BN239),MIN(200000*BN239,$C$10)-IF(AND($D229&lt;$C$8*BN225,$D229&gt;0),$C$9,0))</f>
        <v>0</v>
      </c>
      <c r="BO249" s="12">
        <f>IF(D249=0,0,BO246)</f>
        <v>0</v>
      </c>
      <c r="BP249" s="43"/>
      <c r="BQ249" s="43"/>
      <c r="BR249" s="42"/>
      <c r="BS249"/>
      <c r="BT249"/>
    </row>
    <row r="250" spans="2:72" ht="16.5">
      <c r="B250" s="11">
        <f t="shared" si="169"/>
        <v>5</v>
      </c>
      <c r="C250" s="302" t="s">
        <v>61</v>
      </c>
      <c r="D250" s="12">
        <f t="shared" ref="D250:AI250" si="174">IF(D240&lt;0,MAX(-$C$10,200000*D240),MIN(200000*D240,$C$10)-IF(AND($D230&lt;$C$8*D225,$D230&gt;0),$C$9,0))</f>
        <v>0</v>
      </c>
      <c r="E250" s="307">
        <f t="shared" si="174"/>
        <v>0</v>
      </c>
      <c r="F250" s="307">
        <f t="shared" si="174"/>
        <v>0</v>
      </c>
      <c r="G250" s="307">
        <f t="shared" si="174"/>
        <v>0</v>
      </c>
      <c r="H250" s="307">
        <f t="shared" si="174"/>
        <v>0</v>
      </c>
      <c r="I250" s="307">
        <f t="shared" si="174"/>
        <v>0</v>
      </c>
      <c r="J250" s="307">
        <f t="shared" si="174"/>
        <v>0</v>
      </c>
      <c r="K250" s="307">
        <f t="shared" si="174"/>
        <v>0</v>
      </c>
      <c r="L250" s="307">
        <f t="shared" si="174"/>
        <v>0</v>
      </c>
      <c r="M250" s="307">
        <f t="shared" si="174"/>
        <v>0</v>
      </c>
      <c r="N250" s="307">
        <f t="shared" si="174"/>
        <v>0</v>
      </c>
      <c r="O250" s="307">
        <f t="shared" si="174"/>
        <v>0</v>
      </c>
      <c r="P250" s="307">
        <f t="shared" si="174"/>
        <v>0</v>
      </c>
      <c r="Q250" s="307">
        <f t="shared" si="174"/>
        <v>0</v>
      </c>
      <c r="R250" s="307">
        <f t="shared" si="174"/>
        <v>0</v>
      </c>
      <c r="S250" s="307">
        <f t="shared" si="174"/>
        <v>0</v>
      </c>
      <c r="T250" s="307">
        <f t="shared" si="174"/>
        <v>0</v>
      </c>
      <c r="U250" s="307">
        <f t="shared" si="174"/>
        <v>0</v>
      </c>
      <c r="V250" s="307">
        <f t="shared" si="174"/>
        <v>0</v>
      </c>
      <c r="W250" s="307">
        <f t="shared" si="174"/>
        <v>0</v>
      </c>
      <c r="X250" s="307">
        <f t="shared" si="174"/>
        <v>0</v>
      </c>
      <c r="Y250" s="307">
        <f t="shared" si="174"/>
        <v>0</v>
      </c>
      <c r="Z250" s="307">
        <f t="shared" si="174"/>
        <v>0</v>
      </c>
      <c r="AA250" s="307">
        <f t="shared" si="174"/>
        <v>0</v>
      </c>
      <c r="AB250" s="307">
        <f t="shared" si="174"/>
        <v>0</v>
      </c>
      <c r="AC250" s="307">
        <f t="shared" si="174"/>
        <v>0</v>
      </c>
      <c r="AD250" s="307">
        <f t="shared" si="174"/>
        <v>0</v>
      </c>
      <c r="AE250" s="307">
        <f t="shared" si="174"/>
        <v>0</v>
      </c>
      <c r="AF250" s="307">
        <f t="shared" si="174"/>
        <v>0</v>
      </c>
      <c r="AG250" s="307">
        <f t="shared" si="174"/>
        <v>0</v>
      </c>
      <c r="AH250" s="307">
        <f t="shared" si="174"/>
        <v>0</v>
      </c>
      <c r="AI250" s="307">
        <f t="shared" si="174"/>
        <v>0</v>
      </c>
      <c r="AJ250" s="307">
        <f t="shared" ref="AJ250:BK250" si="175">IF(AJ240&lt;0,MAX(-$C$10,200000*AJ240),MIN(200000*AJ240,$C$10)-IF(AND($D230&lt;$C$8*AJ225,$D230&gt;0),$C$9,0))</f>
        <v>0</v>
      </c>
      <c r="AK250" s="307">
        <f t="shared" si="175"/>
        <v>0</v>
      </c>
      <c r="AL250" s="307">
        <f t="shared" si="175"/>
        <v>0</v>
      </c>
      <c r="AM250" s="307">
        <f t="shared" si="175"/>
        <v>0</v>
      </c>
      <c r="AN250" s="307">
        <f t="shared" si="175"/>
        <v>0</v>
      </c>
      <c r="AO250" s="307">
        <f t="shared" si="175"/>
        <v>0</v>
      </c>
      <c r="AP250" s="307">
        <f t="shared" si="175"/>
        <v>0</v>
      </c>
      <c r="AQ250" s="307">
        <f t="shared" si="175"/>
        <v>0</v>
      </c>
      <c r="AR250" s="61">
        <f t="shared" si="175"/>
        <v>0</v>
      </c>
      <c r="AS250" s="307">
        <f t="shared" si="175"/>
        <v>0</v>
      </c>
      <c r="AT250" s="307">
        <f t="shared" si="175"/>
        <v>0</v>
      </c>
      <c r="AU250" s="307">
        <f t="shared" si="175"/>
        <v>0</v>
      </c>
      <c r="AV250" s="307">
        <f t="shared" si="175"/>
        <v>0</v>
      </c>
      <c r="AW250" s="307">
        <f t="shared" si="175"/>
        <v>0</v>
      </c>
      <c r="AX250" s="307">
        <f t="shared" si="175"/>
        <v>0</v>
      </c>
      <c r="AY250" s="307">
        <f t="shared" si="175"/>
        <v>0</v>
      </c>
      <c r="AZ250" s="307">
        <f t="shared" si="175"/>
        <v>0</v>
      </c>
      <c r="BA250" s="307">
        <f t="shared" si="175"/>
        <v>0</v>
      </c>
      <c r="BB250" s="307">
        <f t="shared" si="175"/>
        <v>0</v>
      </c>
      <c r="BC250" s="307">
        <f t="shared" si="175"/>
        <v>0</v>
      </c>
      <c r="BD250" s="307">
        <f t="shared" si="175"/>
        <v>0</v>
      </c>
      <c r="BE250" s="307">
        <f t="shared" si="175"/>
        <v>0</v>
      </c>
      <c r="BF250" s="307">
        <f t="shared" si="175"/>
        <v>0</v>
      </c>
      <c r="BG250" s="307">
        <f t="shared" si="175"/>
        <v>0</v>
      </c>
      <c r="BH250" s="307">
        <f t="shared" si="175"/>
        <v>0</v>
      </c>
      <c r="BI250" s="307">
        <f t="shared" si="175"/>
        <v>0</v>
      </c>
      <c r="BJ250" s="307">
        <f t="shared" si="175"/>
        <v>0</v>
      </c>
      <c r="BK250" s="307">
        <f t="shared" si="175"/>
        <v>0</v>
      </c>
      <c r="BL250" s="307">
        <f>IF(BL240&lt;0,MAX(-$C$10,200000*BL240),MIN(200000*BL240,$C$10)-IF(AND($D230&lt;$C$8*BL225,$D230&gt;0),$C$9,0))</f>
        <v>0</v>
      </c>
      <c r="BM250" s="307">
        <f>IF(BM240&lt;0,MAX(-$C$10,200000*BM240),MIN(200000*BM240,$C$10)-IF(AND($D230&lt;$C$8*BM225,$D230&gt;0),$C$9,0))</f>
        <v>0</v>
      </c>
      <c r="BN250" s="307">
        <f>IF(BN240&lt;0,MAX(-$C$10,200000*BN240),MIN(200000*BN240,$C$10)-IF(AND($D230&lt;$C$8*BN225,$D230&gt;0),$C$9,0))</f>
        <v>0</v>
      </c>
      <c r="BO250" s="12">
        <f>IF(D250=0,0,BO246)</f>
        <v>0</v>
      </c>
      <c r="BP250" s="43"/>
      <c r="BQ250" s="43"/>
      <c r="BR250" s="42"/>
      <c r="BS250"/>
      <c r="BT250"/>
    </row>
    <row r="251" spans="2:72" ht="16.5">
      <c r="B251" s="11">
        <f t="shared" si="169"/>
        <v>6</v>
      </c>
      <c r="C251" s="302" t="s">
        <v>61</v>
      </c>
      <c r="D251" s="12">
        <f t="shared" ref="D251:AI251" si="176">IF(D241&lt;0,MAX(-$C$10,200000*D241),MIN(200000*D241,$C$10)-IF(AND($D231&lt;$C$8*D225,$D231&gt;0),$C$9,0))</f>
        <v>0</v>
      </c>
      <c r="E251" s="307">
        <f t="shared" si="176"/>
        <v>0</v>
      </c>
      <c r="F251" s="307">
        <f t="shared" si="176"/>
        <v>0</v>
      </c>
      <c r="G251" s="307">
        <f t="shared" si="176"/>
        <v>0</v>
      </c>
      <c r="H251" s="307">
        <f t="shared" si="176"/>
        <v>0</v>
      </c>
      <c r="I251" s="307">
        <f t="shared" si="176"/>
        <v>0</v>
      </c>
      <c r="J251" s="307">
        <f t="shared" si="176"/>
        <v>0</v>
      </c>
      <c r="K251" s="307">
        <f t="shared" si="176"/>
        <v>0</v>
      </c>
      <c r="L251" s="307">
        <f t="shared" si="176"/>
        <v>0</v>
      </c>
      <c r="M251" s="307">
        <f t="shared" si="176"/>
        <v>0</v>
      </c>
      <c r="N251" s="307">
        <f t="shared" si="176"/>
        <v>0</v>
      </c>
      <c r="O251" s="307">
        <f t="shared" si="176"/>
        <v>0</v>
      </c>
      <c r="P251" s="307">
        <f t="shared" si="176"/>
        <v>0</v>
      </c>
      <c r="Q251" s="307">
        <f t="shared" si="176"/>
        <v>0</v>
      </c>
      <c r="R251" s="307">
        <f t="shared" si="176"/>
        <v>0</v>
      </c>
      <c r="S251" s="307">
        <f t="shared" si="176"/>
        <v>0</v>
      </c>
      <c r="T251" s="307">
        <f t="shared" si="176"/>
        <v>0</v>
      </c>
      <c r="U251" s="307">
        <f t="shared" si="176"/>
        <v>0</v>
      </c>
      <c r="V251" s="307">
        <f t="shared" si="176"/>
        <v>0</v>
      </c>
      <c r="W251" s="307">
        <f t="shared" si="176"/>
        <v>0</v>
      </c>
      <c r="X251" s="307">
        <f t="shared" si="176"/>
        <v>0</v>
      </c>
      <c r="Y251" s="307">
        <f t="shared" si="176"/>
        <v>0</v>
      </c>
      <c r="Z251" s="307">
        <f t="shared" si="176"/>
        <v>0</v>
      </c>
      <c r="AA251" s="307">
        <f t="shared" si="176"/>
        <v>0</v>
      </c>
      <c r="AB251" s="307">
        <f t="shared" si="176"/>
        <v>0</v>
      </c>
      <c r="AC251" s="307">
        <f t="shared" si="176"/>
        <v>0</v>
      </c>
      <c r="AD251" s="307">
        <f t="shared" si="176"/>
        <v>0</v>
      </c>
      <c r="AE251" s="307">
        <f t="shared" si="176"/>
        <v>0</v>
      </c>
      <c r="AF251" s="307">
        <f t="shared" si="176"/>
        <v>0</v>
      </c>
      <c r="AG251" s="307">
        <f t="shared" si="176"/>
        <v>0</v>
      </c>
      <c r="AH251" s="307">
        <f t="shared" si="176"/>
        <v>0</v>
      </c>
      <c r="AI251" s="307">
        <f t="shared" si="176"/>
        <v>0</v>
      </c>
      <c r="AJ251" s="307">
        <f t="shared" ref="AJ251:BK251" si="177">IF(AJ241&lt;0,MAX(-$C$10,200000*AJ241),MIN(200000*AJ241,$C$10)-IF(AND($D231&lt;$C$8*AJ225,$D231&gt;0),$C$9,0))</f>
        <v>0</v>
      </c>
      <c r="AK251" s="307">
        <f t="shared" si="177"/>
        <v>0</v>
      </c>
      <c r="AL251" s="307">
        <f t="shared" si="177"/>
        <v>0</v>
      </c>
      <c r="AM251" s="307">
        <f t="shared" si="177"/>
        <v>0</v>
      </c>
      <c r="AN251" s="307">
        <f t="shared" si="177"/>
        <v>0</v>
      </c>
      <c r="AO251" s="307">
        <f t="shared" si="177"/>
        <v>0</v>
      </c>
      <c r="AP251" s="307">
        <f t="shared" si="177"/>
        <v>0</v>
      </c>
      <c r="AQ251" s="307">
        <f t="shared" si="177"/>
        <v>0</v>
      </c>
      <c r="AR251" s="61">
        <f t="shared" si="177"/>
        <v>0</v>
      </c>
      <c r="AS251" s="307">
        <f t="shared" si="177"/>
        <v>0</v>
      </c>
      <c r="AT251" s="307">
        <f t="shared" si="177"/>
        <v>0</v>
      </c>
      <c r="AU251" s="307">
        <f t="shared" si="177"/>
        <v>0</v>
      </c>
      <c r="AV251" s="307">
        <f t="shared" si="177"/>
        <v>0</v>
      </c>
      <c r="AW251" s="307">
        <f t="shared" si="177"/>
        <v>0</v>
      </c>
      <c r="AX251" s="307">
        <f t="shared" si="177"/>
        <v>0</v>
      </c>
      <c r="AY251" s="307">
        <f t="shared" si="177"/>
        <v>0</v>
      </c>
      <c r="AZ251" s="307">
        <f t="shared" si="177"/>
        <v>0</v>
      </c>
      <c r="BA251" s="307">
        <f t="shared" si="177"/>
        <v>0</v>
      </c>
      <c r="BB251" s="307">
        <f t="shared" si="177"/>
        <v>0</v>
      </c>
      <c r="BC251" s="307">
        <f t="shared" si="177"/>
        <v>0</v>
      </c>
      <c r="BD251" s="307">
        <f t="shared" si="177"/>
        <v>0</v>
      </c>
      <c r="BE251" s="307">
        <f t="shared" si="177"/>
        <v>0</v>
      </c>
      <c r="BF251" s="307">
        <f t="shared" si="177"/>
        <v>0</v>
      </c>
      <c r="BG251" s="307">
        <f t="shared" si="177"/>
        <v>0</v>
      </c>
      <c r="BH251" s="307">
        <f t="shared" si="177"/>
        <v>0</v>
      </c>
      <c r="BI251" s="307">
        <f t="shared" si="177"/>
        <v>0</v>
      </c>
      <c r="BJ251" s="307">
        <f t="shared" si="177"/>
        <v>0</v>
      </c>
      <c r="BK251" s="307">
        <f t="shared" si="177"/>
        <v>0</v>
      </c>
      <c r="BL251" s="307">
        <f>IF(BL241&lt;0,MAX(-$C$10,200000*BL241),MIN(200000*BL241,$C$10)-IF(AND($D231&lt;$C$8*BL225,$D231&gt;0),$C$9,0))</f>
        <v>0</v>
      </c>
      <c r="BM251" s="307">
        <f>IF(BM241&lt;0,MAX(-$C$10,200000*BM241),MIN(200000*BM241,$C$10)-IF(AND($D231&lt;$C$8*BM225,$D231&gt;0),$C$9,0))</f>
        <v>0</v>
      </c>
      <c r="BN251" s="307">
        <f>IF(BN241&lt;0,MAX(-$C$10,200000*BN241),MIN(200000*BN241,$C$10)-IF(AND($D231&lt;$C$8*BN225,$D231&gt;0),$C$9,0))</f>
        <v>0</v>
      </c>
      <c r="BO251" s="12">
        <f>IF(D251=0,0,BO246)</f>
        <v>0</v>
      </c>
      <c r="BP251" s="43"/>
      <c r="BQ251" s="43"/>
      <c r="BR251" s="42"/>
      <c r="BS251"/>
      <c r="BT251"/>
    </row>
    <row r="252" spans="2:72" ht="16.5">
      <c r="B252" s="11">
        <f t="shared" si="169"/>
        <v>7</v>
      </c>
      <c r="C252" s="302" t="s">
        <v>61</v>
      </c>
      <c r="D252" s="12">
        <f t="shared" ref="D252:AI252" si="178">IF(D242&lt;0,MAX(-$C$10,200000*D242),MIN(200000*D242,$C$10)-IF(AND($D232&lt;$C$8*D225,$D232&gt;0),$C$9,0))</f>
        <v>0</v>
      </c>
      <c r="E252" s="307">
        <f t="shared" si="178"/>
        <v>0</v>
      </c>
      <c r="F252" s="307">
        <f t="shared" si="178"/>
        <v>0</v>
      </c>
      <c r="G252" s="307">
        <f t="shared" si="178"/>
        <v>0</v>
      </c>
      <c r="H252" s="307">
        <f t="shared" si="178"/>
        <v>0</v>
      </c>
      <c r="I252" s="307">
        <f t="shared" si="178"/>
        <v>0</v>
      </c>
      <c r="J252" s="307">
        <f t="shared" si="178"/>
        <v>0</v>
      </c>
      <c r="K252" s="307">
        <f t="shared" si="178"/>
        <v>0</v>
      </c>
      <c r="L252" s="307">
        <f t="shared" si="178"/>
        <v>0</v>
      </c>
      <c r="M252" s="307">
        <f t="shared" si="178"/>
        <v>0</v>
      </c>
      <c r="N252" s="307">
        <f t="shared" si="178"/>
        <v>0</v>
      </c>
      <c r="O252" s="307">
        <f t="shared" si="178"/>
        <v>0</v>
      </c>
      <c r="P252" s="307">
        <f t="shared" si="178"/>
        <v>0</v>
      </c>
      <c r="Q252" s="307">
        <f t="shared" si="178"/>
        <v>0</v>
      </c>
      <c r="R252" s="307">
        <f t="shared" si="178"/>
        <v>0</v>
      </c>
      <c r="S252" s="307">
        <f t="shared" si="178"/>
        <v>0</v>
      </c>
      <c r="T252" s="307">
        <f t="shared" si="178"/>
        <v>0</v>
      </c>
      <c r="U252" s="307">
        <f t="shared" si="178"/>
        <v>0</v>
      </c>
      <c r="V252" s="307">
        <f t="shared" si="178"/>
        <v>0</v>
      </c>
      <c r="W252" s="307">
        <f t="shared" si="178"/>
        <v>0</v>
      </c>
      <c r="X252" s="307">
        <f t="shared" si="178"/>
        <v>0</v>
      </c>
      <c r="Y252" s="307">
        <f t="shared" si="178"/>
        <v>0</v>
      </c>
      <c r="Z252" s="307">
        <f t="shared" si="178"/>
        <v>0</v>
      </c>
      <c r="AA252" s="307">
        <f t="shared" si="178"/>
        <v>0</v>
      </c>
      <c r="AB252" s="307">
        <f t="shared" si="178"/>
        <v>0</v>
      </c>
      <c r="AC252" s="307">
        <f t="shared" si="178"/>
        <v>0</v>
      </c>
      <c r="AD252" s="307">
        <f t="shared" si="178"/>
        <v>0</v>
      </c>
      <c r="AE252" s="307">
        <f t="shared" si="178"/>
        <v>0</v>
      </c>
      <c r="AF252" s="307">
        <f t="shared" si="178"/>
        <v>0</v>
      </c>
      <c r="AG252" s="307">
        <f t="shared" si="178"/>
        <v>0</v>
      </c>
      <c r="AH252" s="307">
        <f t="shared" si="178"/>
        <v>0</v>
      </c>
      <c r="AI252" s="307">
        <f t="shared" si="178"/>
        <v>0</v>
      </c>
      <c r="AJ252" s="307">
        <f t="shared" ref="AJ252:BK252" si="179">IF(AJ242&lt;0,MAX(-$C$10,200000*AJ242),MIN(200000*AJ242,$C$10)-IF(AND($D232&lt;$C$8*AJ225,$D232&gt;0),$C$9,0))</f>
        <v>0</v>
      </c>
      <c r="AK252" s="307">
        <f t="shared" si="179"/>
        <v>0</v>
      </c>
      <c r="AL252" s="307">
        <f t="shared" si="179"/>
        <v>0</v>
      </c>
      <c r="AM252" s="307">
        <f t="shared" si="179"/>
        <v>0</v>
      </c>
      <c r="AN252" s="307">
        <f t="shared" si="179"/>
        <v>0</v>
      </c>
      <c r="AO252" s="307">
        <f t="shared" si="179"/>
        <v>0</v>
      </c>
      <c r="AP252" s="307">
        <f t="shared" si="179"/>
        <v>0</v>
      </c>
      <c r="AQ252" s="307">
        <f t="shared" si="179"/>
        <v>0</v>
      </c>
      <c r="AR252" s="61">
        <f t="shared" si="179"/>
        <v>0</v>
      </c>
      <c r="AS252" s="307">
        <f t="shared" si="179"/>
        <v>0</v>
      </c>
      <c r="AT252" s="307">
        <f t="shared" si="179"/>
        <v>0</v>
      </c>
      <c r="AU252" s="307">
        <f t="shared" si="179"/>
        <v>0</v>
      </c>
      <c r="AV252" s="307">
        <f t="shared" si="179"/>
        <v>0</v>
      </c>
      <c r="AW252" s="307">
        <f t="shared" si="179"/>
        <v>0</v>
      </c>
      <c r="AX252" s="307">
        <f t="shared" si="179"/>
        <v>0</v>
      </c>
      <c r="AY252" s="307">
        <f t="shared" si="179"/>
        <v>0</v>
      </c>
      <c r="AZ252" s="307">
        <f t="shared" si="179"/>
        <v>0</v>
      </c>
      <c r="BA252" s="307">
        <f t="shared" si="179"/>
        <v>0</v>
      </c>
      <c r="BB252" s="307">
        <f t="shared" si="179"/>
        <v>0</v>
      </c>
      <c r="BC252" s="307">
        <f t="shared" si="179"/>
        <v>0</v>
      </c>
      <c r="BD252" s="307">
        <f t="shared" si="179"/>
        <v>0</v>
      </c>
      <c r="BE252" s="307">
        <f t="shared" si="179"/>
        <v>0</v>
      </c>
      <c r="BF252" s="307">
        <f t="shared" si="179"/>
        <v>0</v>
      </c>
      <c r="BG252" s="307">
        <f t="shared" si="179"/>
        <v>0</v>
      </c>
      <c r="BH252" s="307">
        <f t="shared" si="179"/>
        <v>0</v>
      </c>
      <c r="BI252" s="307">
        <f t="shared" si="179"/>
        <v>0</v>
      </c>
      <c r="BJ252" s="307">
        <f t="shared" si="179"/>
        <v>0</v>
      </c>
      <c r="BK252" s="307">
        <f t="shared" si="179"/>
        <v>0</v>
      </c>
      <c r="BL252" s="307">
        <f>IF(BL242&lt;0,MAX(-$C$10,200000*BL242),MIN(200000*BL242,$C$10)-IF(AND($D232&lt;$C$8*BL225,$D232&gt;0),$C$9,0))</f>
        <v>0</v>
      </c>
      <c r="BM252" s="307">
        <f>IF(BM242&lt;0,MAX(-$C$10,200000*BM242),MIN(200000*BM242,$C$10)-IF(AND($D232&lt;$C$8*BM225,$D232&gt;0),$C$9,0))</f>
        <v>0</v>
      </c>
      <c r="BN252" s="307">
        <f>IF(BN242&lt;0,MAX(-$C$10,200000*BN242),MIN(200000*BN242,$C$10)-IF(AND($D232&lt;$C$8*BN225,$D232&gt;0),$C$9,0))</f>
        <v>0</v>
      </c>
      <c r="BO252" s="12">
        <f>IF(D252=0,0,BO246)</f>
        <v>0</v>
      </c>
      <c r="BP252" s="43"/>
      <c r="BQ252" s="43"/>
      <c r="BR252" s="42"/>
      <c r="BS252"/>
      <c r="BT252"/>
    </row>
    <row r="253" spans="2:72" ht="16.5">
      <c r="B253" s="11">
        <f t="shared" si="169"/>
        <v>8</v>
      </c>
      <c r="C253" s="302" t="s">
        <v>61</v>
      </c>
      <c r="D253" s="12">
        <f t="shared" ref="D253:AI253" si="180">IF(D243&lt;0,MAX(-$C$10,200000*D243),MIN(200000*D243,$C$10)-IF(AND($D233&lt;$C$8*D225,$D233&gt;0),$C$9,0))</f>
        <v>0</v>
      </c>
      <c r="E253" s="307">
        <f t="shared" si="180"/>
        <v>0</v>
      </c>
      <c r="F253" s="307">
        <f t="shared" si="180"/>
        <v>0</v>
      </c>
      <c r="G253" s="307">
        <f t="shared" si="180"/>
        <v>0</v>
      </c>
      <c r="H253" s="307">
        <f t="shared" si="180"/>
        <v>0</v>
      </c>
      <c r="I253" s="307">
        <f t="shared" si="180"/>
        <v>0</v>
      </c>
      <c r="J253" s="307">
        <f t="shared" si="180"/>
        <v>0</v>
      </c>
      <c r="K253" s="307">
        <f t="shared" si="180"/>
        <v>0</v>
      </c>
      <c r="L253" s="307">
        <f t="shared" si="180"/>
        <v>0</v>
      </c>
      <c r="M253" s="307">
        <f t="shared" si="180"/>
        <v>0</v>
      </c>
      <c r="N253" s="307">
        <f t="shared" si="180"/>
        <v>0</v>
      </c>
      <c r="O253" s="307">
        <f t="shared" si="180"/>
        <v>0</v>
      </c>
      <c r="P253" s="307">
        <f t="shared" si="180"/>
        <v>0</v>
      </c>
      <c r="Q253" s="307">
        <f t="shared" si="180"/>
        <v>0</v>
      </c>
      <c r="R253" s="307">
        <f t="shared" si="180"/>
        <v>0</v>
      </c>
      <c r="S253" s="307">
        <f t="shared" si="180"/>
        <v>0</v>
      </c>
      <c r="T253" s="307">
        <f t="shared" si="180"/>
        <v>0</v>
      </c>
      <c r="U253" s="307">
        <f t="shared" si="180"/>
        <v>0</v>
      </c>
      <c r="V253" s="307">
        <f t="shared" si="180"/>
        <v>0</v>
      </c>
      <c r="W253" s="307">
        <f t="shared" si="180"/>
        <v>0</v>
      </c>
      <c r="X253" s="307">
        <f t="shared" si="180"/>
        <v>0</v>
      </c>
      <c r="Y253" s="307">
        <f t="shared" si="180"/>
        <v>0</v>
      </c>
      <c r="Z253" s="307">
        <f t="shared" si="180"/>
        <v>0</v>
      </c>
      <c r="AA253" s="307">
        <f t="shared" si="180"/>
        <v>0</v>
      </c>
      <c r="AB253" s="307">
        <f t="shared" si="180"/>
        <v>0</v>
      </c>
      <c r="AC253" s="307">
        <f t="shared" si="180"/>
        <v>0</v>
      </c>
      <c r="AD253" s="307">
        <f t="shared" si="180"/>
        <v>0</v>
      </c>
      <c r="AE253" s="307">
        <f t="shared" si="180"/>
        <v>0</v>
      </c>
      <c r="AF253" s="307">
        <f t="shared" si="180"/>
        <v>0</v>
      </c>
      <c r="AG253" s="307">
        <f t="shared" si="180"/>
        <v>0</v>
      </c>
      <c r="AH253" s="307">
        <f t="shared" si="180"/>
        <v>0</v>
      </c>
      <c r="AI253" s="307">
        <f t="shared" si="180"/>
        <v>0</v>
      </c>
      <c r="AJ253" s="307">
        <f t="shared" ref="AJ253:BK253" si="181">IF(AJ243&lt;0,MAX(-$C$10,200000*AJ243),MIN(200000*AJ243,$C$10)-IF(AND($D233&lt;$C$8*AJ225,$D233&gt;0),$C$9,0))</f>
        <v>0</v>
      </c>
      <c r="AK253" s="307">
        <f t="shared" si="181"/>
        <v>0</v>
      </c>
      <c r="AL253" s="307">
        <f t="shared" si="181"/>
        <v>0</v>
      </c>
      <c r="AM253" s="307">
        <f t="shared" si="181"/>
        <v>0</v>
      </c>
      <c r="AN253" s="307">
        <f t="shared" si="181"/>
        <v>0</v>
      </c>
      <c r="AO253" s="307">
        <f t="shared" si="181"/>
        <v>0</v>
      </c>
      <c r="AP253" s="307">
        <f t="shared" si="181"/>
        <v>0</v>
      </c>
      <c r="AQ253" s="307">
        <f t="shared" si="181"/>
        <v>0</v>
      </c>
      <c r="AR253" s="61">
        <f t="shared" si="181"/>
        <v>0</v>
      </c>
      <c r="AS253" s="307">
        <f t="shared" si="181"/>
        <v>0</v>
      </c>
      <c r="AT253" s="307">
        <f t="shared" si="181"/>
        <v>0</v>
      </c>
      <c r="AU253" s="307">
        <f t="shared" si="181"/>
        <v>0</v>
      </c>
      <c r="AV253" s="307">
        <f t="shared" si="181"/>
        <v>0</v>
      </c>
      <c r="AW253" s="307">
        <f t="shared" si="181"/>
        <v>0</v>
      </c>
      <c r="AX253" s="307">
        <f t="shared" si="181"/>
        <v>0</v>
      </c>
      <c r="AY253" s="307">
        <f t="shared" si="181"/>
        <v>0</v>
      </c>
      <c r="AZ253" s="307">
        <f t="shared" si="181"/>
        <v>0</v>
      </c>
      <c r="BA253" s="307">
        <f t="shared" si="181"/>
        <v>0</v>
      </c>
      <c r="BB253" s="307">
        <f t="shared" si="181"/>
        <v>0</v>
      </c>
      <c r="BC253" s="307">
        <f t="shared" si="181"/>
        <v>0</v>
      </c>
      <c r="BD253" s="307">
        <f t="shared" si="181"/>
        <v>0</v>
      </c>
      <c r="BE253" s="307">
        <f t="shared" si="181"/>
        <v>0</v>
      </c>
      <c r="BF253" s="307">
        <f t="shared" si="181"/>
        <v>0</v>
      </c>
      <c r="BG253" s="307">
        <f t="shared" si="181"/>
        <v>0</v>
      </c>
      <c r="BH253" s="307">
        <f t="shared" si="181"/>
        <v>0</v>
      </c>
      <c r="BI253" s="307">
        <f t="shared" si="181"/>
        <v>0</v>
      </c>
      <c r="BJ253" s="307">
        <f t="shared" si="181"/>
        <v>0</v>
      </c>
      <c r="BK253" s="307">
        <f t="shared" si="181"/>
        <v>0</v>
      </c>
      <c r="BL253" s="307">
        <f>IF(BL243&lt;0,MAX(-$C$10,200000*BL243),MIN(200000*BL243,$C$10)-IF(AND($D233&lt;$C$8*BL225,$D233&gt;0),$C$9,0))</f>
        <v>0</v>
      </c>
      <c r="BM253" s="307">
        <f>IF(BM243&lt;0,MAX(-$C$10,200000*BM243),MIN(200000*BM243,$C$10)-IF(AND($D233&lt;$C$8*BM225,$D233&gt;0),$C$9,0))</f>
        <v>0</v>
      </c>
      <c r="BN253" s="307">
        <f>IF(BN243&lt;0,MAX(-$C$10,200000*BN243),MIN(200000*BN243,$C$10)-IF(AND($D233&lt;$C$8*BN225,$D233&gt;0),$C$9,0))</f>
        <v>0</v>
      </c>
      <c r="BO253" s="12">
        <f>IF(D253=0,0,BO246)</f>
        <v>0</v>
      </c>
      <c r="BP253" s="43"/>
      <c r="BQ253" s="43"/>
      <c r="BR253" s="42"/>
      <c r="BS253"/>
      <c r="BT253"/>
    </row>
    <row r="254" spans="2:72" ht="16.5">
      <c r="B254" s="11">
        <f t="shared" si="169"/>
        <v>9</v>
      </c>
      <c r="C254" s="302" t="s">
        <v>61</v>
      </c>
      <c r="D254" s="12">
        <f t="shared" ref="D254:AI254" si="182">IF(D244&lt;0,MAX(-$C$10,200000*D244),MIN(200000*D244,$C$10)-IF(AND($D234&lt;$C$8*D225,$D234&gt;0),$C$9,0))</f>
        <v>0</v>
      </c>
      <c r="E254" s="307">
        <f t="shared" si="182"/>
        <v>0</v>
      </c>
      <c r="F254" s="307">
        <f t="shared" si="182"/>
        <v>0</v>
      </c>
      <c r="G254" s="307">
        <f t="shared" si="182"/>
        <v>0</v>
      </c>
      <c r="H254" s="307">
        <f t="shared" si="182"/>
        <v>0</v>
      </c>
      <c r="I254" s="307">
        <f t="shared" si="182"/>
        <v>0</v>
      </c>
      <c r="J254" s="307">
        <f t="shared" si="182"/>
        <v>0</v>
      </c>
      <c r="K254" s="307">
        <f t="shared" si="182"/>
        <v>0</v>
      </c>
      <c r="L254" s="307">
        <f t="shared" si="182"/>
        <v>0</v>
      </c>
      <c r="M254" s="307">
        <f t="shared" si="182"/>
        <v>0</v>
      </c>
      <c r="N254" s="307">
        <f t="shared" si="182"/>
        <v>0</v>
      </c>
      <c r="O254" s="307">
        <f t="shared" si="182"/>
        <v>0</v>
      </c>
      <c r="P254" s="307">
        <f t="shared" si="182"/>
        <v>0</v>
      </c>
      <c r="Q254" s="307">
        <f t="shared" si="182"/>
        <v>0</v>
      </c>
      <c r="R254" s="307">
        <f t="shared" si="182"/>
        <v>0</v>
      </c>
      <c r="S254" s="307">
        <f t="shared" si="182"/>
        <v>0</v>
      </c>
      <c r="T254" s="307">
        <f t="shared" si="182"/>
        <v>0</v>
      </c>
      <c r="U254" s="307">
        <f t="shared" si="182"/>
        <v>0</v>
      </c>
      <c r="V254" s="307">
        <f t="shared" si="182"/>
        <v>0</v>
      </c>
      <c r="W254" s="307">
        <f t="shared" si="182"/>
        <v>0</v>
      </c>
      <c r="X254" s="307">
        <f t="shared" si="182"/>
        <v>0</v>
      </c>
      <c r="Y254" s="307">
        <f t="shared" si="182"/>
        <v>0</v>
      </c>
      <c r="Z254" s="307">
        <f t="shared" si="182"/>
        <v>0</v>
      </c>
      <c r="AA254" s="307">
        <f t="shared" si="182"/>
        <v>0</v>
      </c>
      <c r="AB254" s="307">
        <f t="shared" si="182"/>
        <v>0</v>
      </c>
      <c r="AC254" s="307">
        <f t="shared" si="182"/>
        <v>0</v>
      </c>
      <c r="AD254" s="307">
        <f t="shared" si="182"/>
        <v>0</v>
      </c>
      <c r="AE254" s="307">
        <f t="shared" si="182"/>
        <v>0</v>
      </c>
      <c r="AF254" s="307">
        <f t="shared" si="182"/>
        <v>0</v>
      </c>
      <c r="AG254" s="307">
        <f t="shared" si="182"/>
        <v>0</v>
      </c>
      <c r="AH254" s="307">
        <f t="shared" si="182"/>
        <v>0</v>
      </c>
      <c r="AI254" s="307">
        <f t="shared" si="182"/>
        <v>0</v>
      </c>
      <c r="AJ254" s="307">
        <f t="shared" ref="AJ254:BK254" si="183">IF(AJ244&lt;0,MAX(-$C$10,200000*AJ244),MIN(200000*AJ244,$C$10)-IF(AND($D234&lt;$C$8*AJ225,$D234&gt;0),$C$9,0))</f>
        <v>0</v>
      </c>
      <c r="AK254" s="307">
        <f t="shared" si="183"/>
        <v>0</v>
      </c>
      <c r="AL254" s="307">
        <f t="shared" si="183"/>
        <v>0</v>
      </c>
      <c r="AM254" s="307">
        <f t="shared" si="183"/>
        <v>0</v>
      </c>
      <c r="AN254" s="307">
        <f t="shared" si="183"/>
        <v>0</v>
      </c>
      <c r="AO254" s="307">
        <f t="shared" si="183"/>
        <v>0</v>
      </c>
      <c r="AP254" s="307">
        <f t="shared" si="183"/>
        <v>0</v>
      </c>
      <c r="AQ254" s="307">
        <f t="shared" si="183"/>
        <v>0</v>
      </c>
      <c r="AR254" s="61">
        <f t="shared" si="183"/>
        <v>0</v>
      </c>
      <c r="AS254" s="307">
        <f t="shared" si="183"/>
        <v>0</v>
      </c>
      <c r="AT254" s="307">
        <f t="shared" si="183"/>
        <v>0</v>
      </c>
      <c r="AU254" s="307">
        <f t="shared" si="183"/>
        <v>0</v>
      </c>
      <c r="AV254" s="307">
        <f t="shared" si="183"/>
        <v>0</v>
      </c>
      <c r="AW254" s="307">
        <f t="shared" si="183"/>
        <v>0</v>
      </c>
      <c r="AX254" s="307">
        <f t="shared" si="183"/>
        <v>0</v>
      </c>
      <c r="AY254" s="307">
        <f t="shared" si="183"/>
        <v>0</v>
      </c>
      <c r="AZ254" s="307">
        <f t="shared" si="183"/>
        <v>0</v>
      </c>
      <c r="BA254" s="307">
        <f t="shared" si="183"/>
        <v>0</v>
      </c>
      <c r="BB254" s="307">
        <f t="shared" si="183"/>
        <v>0</v>
      </c>
      <c r="BC254" s="307">
        <f t="shared" si="183"/>
        <v>0</v>
      </c>
      <c r="BD254" s="307">
        <f t="shared" si="183"/>
        <v>0</v>
      </c>
      <c r="BE254" s="307">
        <f t="shared" si="183"/>
        <v>0</v>
      </c>
      <c r="BF254" s="307">
        <f t="shared" si="183"/>
        <v>0</v>
      </c>
      <c r="BG254" s="307">
        <f t="shared" si="183"/>
        <v>0</v>
      </c>
      <c r="BH254" s="307">
        <f t="shared" si="183"/>
        <v>0</v>
      </c>
      <c r="BI254" s="307">
        <f t="shared" si="183"/>
        <v>0</v>
      </c>
      <c r="BJ254" s="307">
        <f t="shared" si="183"/>
        <v>0</v>
      </c>
      <c r="BK254" s="307">
        <f t="shared" si="183"/>
        <v>0</v>
      </c>
      <c r="BL254" s="307">
        <f>IF(BL244&lt;0,MAX(-$C$10,200000*BL244),MIN(200000*BL244,$C$10)-IF(AND($D234&lt;$C$8*BL225,$D234&gt;0),$C$9,0))</f>
        <v>0</v>
      </c>
      <c r="BM254" s="307">
        <f>IF(BM244&lt;0,MAX(-$C$10,200000*BM244),MIN(200000*BM244,$C$10)-IF(AND($D234&lt;$C$8*BM225,$D234&gt;0),$C$9,0))</f>
        <v>0</v>
      </c>
      <c r="BN254" s="307">
        <f>IF(BN244&lt;0,MAX(-$C$10,200000*BN244),MIN(200000*BN244,$C$10)-IF(AND($D234&lt;$C$8*BN225,$D234&gt;0),$C$9,0))</f>
        <v>0</v>
      </c>
      <c r="BO254" s="12">
        <f>IF(D254=0,0,BO246)</f>
        <v>0</v>
      </c>
      <c r="BP254" s="43"/>
      <c r="BQ254" s="43"/>
      <c r="BR254" s="42"/>
      <c r="BS254"/>
      <c r="BT254"/>
    </row>
    <row r="255" spans="2:72" ht="16.5">
      <c r="B255" s="294" t="s">
        <v>62</v>
      </c>
      <c r="C255" s="302" t="s">
        <v>63</v>
      </c>
      <c r="D255" s="12">
        <f t="shared" ref="D255:BJ255" si="184">IF(D245&lt;0,MAX(-$C$10,200000*D245),MIN(200000*D245,$C$10)-IF(AND($F222&lt;$C$8*D225,$D235&gt;0),$C$9,0))</f>
        <v>-434.78260869565219</v>
      </c>
      <c r="E255" s="307">
        <f t="shared" si="184"/>
        <v>-434.78260869565219</v>
      </c>
      <c r="F255" s="307">
        <f t="shared" si="184"/>
        <v>-434.78260869565219</v>
      </c>
      <c r="G255" s="307">
        <f t="shared" si="184"/>
        <v>-434.78260869565219</v>
      </c>
      <c r="H255" s="307">
        <f t="shared" si="184"/>
        <v>-434.78260869565219</v>
      </c>
      <c r="I255" s="307">
        <f t="shared" si="184"/>
        <v>-434.78260869565219</v>
      </c>
      <c r="J255" s="307">
        <f t="shared" si="184"/>
        <v>-434.78260869565219</v>
      </c>
      <c r="K255" s="307">
        <f t="shared" si="184"/>
        <v>-434.78260869565219</v>
      </c>
      <c r="L255" s="307">
        <f t="shared" si="184"/>
        <v>-434.78260869565219</v>
      </c>
      <c r="M255" s="307">
        <f t="shared" si="184"/>
        <v>-434.78260869565219</v>
      </c>
      <c r="N255" s="307">
        <f t="shared" si="184"/>
        <v>-434.78260869565219</v>
      </c>
      <c r="O255" s="307">
        <f t="shared" si="184"/>
        <v>-434.78260869565219</v>
      </c>
      <c r="P255" s="307">
        <f t="shared" si="184"/>
        <v>-434.78260869565219</v>
      </c>
      <c r="Q255" s="307">
        <f t="shared" si="184"/>
        <v>-434.78260869565219</v>
      </c>
      <c r="R255" s="307">
        <f t="shared" si="184"/>
        <v>-434.78260869565219</v>
      </c>
      <c r="S255" s="307">
        <f t="shared" si="184"/>
        <v>-434.78260869565219</v>
      </c>
      <c r="T255" s="307">
        <f t="shared" si="184"/>
        <v>-434.78260869565219</v>
      </c>
      <c r="U255" s="307">
        <f t="shared" si="184"/>
        <v>-434.78260869565219</v>
      </c>
      <c r="V255" s="307">
        <f t="shared" si="184"/>
        <v>-434.78260869565219</v>
      </c>
      <c r="W255" s="307">
        <f t="shared" si="184"/>
        <v>-434.78260869565219</v>
      </c>
      <c r="X255" s="307">
        <f t="shared" si="184"/>
        <v>-434.78260869565219</v>
      </c>
      <c r="Y255" s="307">
        <f t="shared" si="184"/>
        <v>-434.78260869565219</v>
      </c>
      <c r="Z255" s="307">
        <f t="shared" si="184"/>
        <v>-434.78260869565219</v>
      </c>
      <c r="AA255" s="307">
        <f t="shared" si="184"/>
        <v>-434.78260869565219</v>
      </c>
      <c r="AB255" s="307">
        <f t="shared" si="184"/>
        <v>-434.78260869565219</v>
      </c>
      <c r="AC255" s="307">
        <f t="shared" si="184"/>
        <v>-434.78260869565219</v>
      </c>
      <c r="AD255" s="307">
        <f t="shared" si="184"/>
        <v>-434.78260869565219</v>
      </c>
      <c r="AE255" s="307">
        <f t="shared" si="184"/>
        <v>-434.78260869565219</v>
      </c>
      <c r="AF255" s="307">
        <f t="shared" si="184"/>
        <v>-434.78260869565219</v>
      </c>
      <c r="AG255" s="307">
        <f t="shared" si="184"/>
        <v>-434.78260869565219</v>
      </c>
      <c r="AH255" s="307">
        <f t="shared" si="184"/>
        <v>-434.78260869565219</v>
      </c>
      <c r="AI255" s="307">
        <f t="shared" si="184"/>
        <v>-434.78260869565219</v>
      </c>
      <c r="AJ255" s="307">
        <f t="shared" si="184"/>
        <v>-434.78260869565219</v>
      </c>
      <c r="AK255" s="307">
        <f t="shared" si="184"/>
        <v>-434.78260869565219</v>
      </c>
      <c r="AL255" s="307">
        <f t="shared" si="184"/>
        <v>-434.78260869565219</v>
      </c>
      <c r="AM255" s="307">
        <f t="shared" si="184"/>
        <v>-434.78260869565219</v>
      </c>
      <c r="AN255" s="307">
        <f t="shared" si="184"/>
        <v>-434.78260869565219</v>
      </c>
      <c r="AO255" s="307">
        <f t="shared" si="184"/>
        <v>-434.78260869565219</v>
      </c>
      <c r="AP255" s="307">
        <f t="shared" si="184"/>
        <v>-434.78260869565219</v>
      </c>
      <c r="AQ255" s="307">
        <f t="shared" si="184"/>
        <v>-434.78260869565219</v>
      </c>
      <c r="AR255" s="61">
        <f t="shared" si="184"/>
        <v>-434.78260869565219</v>
      </c>
      <c r="AS255" s="307">
        <f t="shared" si="184"/>
        <v>-357.24830838630317</v>
      </c>
      <c r="AT255" s="307">
        <f t="shared" si="184"/>
        <v>-289.6314936449715</v>
      </c>
      <c r="AU255" s="307">
        <f t="shared" si="184"/>
        <v>-230.14371329498312</v>
      </c>
      <c r="AV255" s="307">
        <f t="shared" si="184"/>
        <v>-177.40215541690304</v>
      </c>
      <c r="AW255" s="307">
        <f t="shared" si="184"/>
        <v>-130.32081447154181</v>
      </c>
      <c r="AX255" s="307">
        <f t="shared" si="184"/>
        <v>-88.034913734546933</v>
      </c>
      <c r="AY255" s="307">
        <f t="shared" si="184"/>
        <v>-49.847302341364077</v>
      </c>
      <c r="AZ255" s="307">
        <f t="shared" si="184"/>
        <v>-15.189717350429953</v>
      </c>
      <c r="BA255" s="307">
        <f t="shared" si="184"/>
        <v>16.405686086764423</v>
      </c>
      <c r="BB255" s="307">
        <f t="shared" si="184"/>
        <v>45.327577450482529</v>
      </c>
      <c r="BC255" s="307">
        <f t="shared" si="184"/>
        <v>71.901519970764639</v>
      </c>
      <c r="BD255" s="307">
        <f t="shared" si="184"/>
        <v>96.40227881688827</v>
      </c>
      <c r="BE255" s="307">
        <f t="shared" si="184"/>
        <v>116.75259630257058</v>
      </c>
      <c r="BF255" s="307">
        <f t="shared" si="184"/>
        <v>110.08201844652798</v>
      </c>
      <c r="BG255" s="307">
        <f t="shared" si="184"/>
        <v>124.02489531839619</v>
      </c>
      <c r="BH255" s="307">
        <f t="shared" si="184"/>
        <v>136.28603603603611</v>
      </c>
      <c r="BI255" s="307">
        <f t="shared" si="184"/>
        <v>147.15240136299562</v>
      </c>
      <c r="BJ255" s="307">
        <f t="shared" si="184"/>
        <v>156.84917871968807</v>
      </c>
      <c r="BK255" s="307">
        <f>IF(BK245&lt;0,MAX(-$C$10,200000*BK245),MIN(200000*BK245,$C$10)-IF(AND($F222&lt;$C$8*BK225,$D235&gt;0),$C$9,0))</f>
        <v>165.55555555555557</v>
      </c>
      <c r="BL255" s="307">
        <f>IF(BL245&lt;0,MAX(-$C$10,200000*BL245),MIN(200000*BL245,$C$10)-IF(AND($F222&lt;$C$8*BL225,$D235&gt;0),$C$9,0))</f>
        <v>236.33333333333334</v>
      </c>
      <c r="BM255" s="307">
        <f>IF(BM245&lt;0,MAX(-$C$10,200000*BM245),MIN(200000*BM245,$C$10)-IF(AND($F222&lt;$C$8*BM225,$D235&gt;0),$C$9,0))</f>
        <v>264.02898550724632</v>
      </c>
      <c r="BN255" s="307">
        <f>IF(BN245&lt;0,MAX(-$C$10,200000*BN245),MIN(200000*BN245,$C$10)-IF(AND($F222&lt;$C$8*BN225,$D235&gt;0),$C$9,0))</f>
        <v>278.79999999999995</v>
      </c>
      <c r="BO255" s="12">
        <f>BO246</f>
        <v>327.33333333333331</v>
      </c>
      <c r="BS255"/>
      <c r="BT255"/>
    </row>
    <row r="256" spans="2:72" ht="16.5">
      <c r="B256" s="290" t="s">
        <v>64</v>
      </c>
      <c r="C256" s="298" t="s">
        <v>65</v>
      </c>
      <c r="D256" s="3">
        <f>D246*$I222*MAIN!$C$16/MAIN!$Q$1</f>
        <v>-349672.92144303798</v>
      </c>
      <c r="E256" s="13">
        <f>E246*$I222*MAIN!$C$16/MAIN!$Q$1</f>
        <v>-349672.92144303798</v>
      </c>
      <c r="F256" s="13">
        <f>F246*$I222*MAIN!$C$16/MAIN!$Q$1</f>
        <v>-276023.31079222949</v>
      </c>
      <c r="G256" s="13">
        <f>G246*$I222*MAIN!$C$16/MAIN!$Q$1</f>
        <v>-194745.21687156934</v>
      </c>
      <c r="H256" s="13">
        <f>H246*$I222*MAIN!$C$16/MAIN!$Q$1</f>
        <v>-127823.98351528152</v>
      </c>
      <c r="I256" s="13">
        <f>I246*$I222*MAIN!$C$16/MAIN!$Q$1</f>
        <v>-71764.343746921819</v>
      </c>
      <c r="J256" s="13">
        <f>J246*$I222*MAIN!$C$16/MAIN!$Q$1</f>
        <v>-24120.459867997342</v>
      </c>
      <c r="K256" s="13">
        <f>K246*$I222*MAIN!$C$16/MAIN!$Q$1</f>
        <v>16870.432290602435</v>
      </c>
      <c r="L256" s="13">
        <f>L246*$I222*MAIN!$C$16/MAIN!$Q$1</f>
        <v>52510.921577262125</v>
      </c>
      <c r="M256" s="13">
        <f>M246*$I222*MAIN!$C$16/MAIN!$Q$1</f>
        <v>83784.384630542248</v>
      </c>
      <c r="N256" s="13">
        <f>N246*$I222*MAIN!$C$16/MAIN!$Q$1</f>
        <v>111447.12367566697</v>
      </c>
      <c r="O256" s="13">
        <f>O246*$I222*MAIN!$C$16/MAIN!$Q$1</f>
        <v>117860.71740565171</v>
      </c>
      <c r="P256" s="13">
        <f>P246*$I222*MAIN!$C$16/MAIN!$Q$1</f>
        <v>139953.20519888765</v>
      </c>
      <c r="Q256" s="13">
        <f>Q246*$I222*MAIN!$C$16/MAIN!$Q$1</f>
        <v>159871.5077511853</v>
      </c>
      <c r="R256" s="13">
        <f>R246*$I222*MAIN!$C$16/MAIN!$Q$1</f>
        <v>177921.52456833047</v>
      </c>
      <c r="S256" s="13">
        <f>S246*$I222*MAIN!$C$16/MAIN!$Q$1</f>
        <v>194354.34070422614</v>
      </c>
      <c r="T256" s="13">
        <f>T246*$I222*MAIN!$C$16/MAIN!$Q$1</f>
        <v>209377.97814862549</v>
      </c>
      <c r="U256" s="13">
        <f>U246*$I222*MAIN!$C$16/MAIN!$Q$1</f>
        <v>223166.24832707018</v>
      </c>
      <c r="V256" s="13">
        <f>V246*$I222*MAIN!$C$16/MAIN!$Q$1</f>
        <v>235865.50706279051</v>
      </c>
      <c r="W256" s="13">
        <f>W246*$I222*MAIN!$C$16/MAIN!$Q$1</f>
        <v>247599.86980250888</v>
      </c>
      <c r="X256" s="13">
        <f>X246*$I222*MAIN!$C$16/MAIN!$Q$1</f>
        <v>258475.28158451681</v>
      </c>
      <c r="Y256" s="13">
        <f>Y246*$I222*MAIN!$C$16/MAIN!$Q$1</f>
        <v>268582.72480283666</v>
      </c>
      <c r="Z256" s="13">
        <f>Z246*$I222*MAIN!$C$16/MAIN!$Q$1</f>
        <v>278000.77059638238</v>
      </c>
      <c r="AA256" s="13">
        <f>AA246*$I222*MAIN!$C$16/MAIN!$Q$1</f>
        <v>286797.62538816791</v>
      </c>
      <c r="AB256" s="13">
        <f>AB246*$I222*MAIN!$C$16/MAIN!$Q$1</f>
        <v>295032.78539904108</v>
      </c>
      <c r="AC256" s="13">
        <f>AC246*$I222*MAIN!$C$16/MAIN!$Q$1</f>
        <v>302758.38403576653</v>
      </c>
      <c r="AD256" s="13">
        <f>AD246*$I222*MAIN!$C$16/MAIN!$Q$1</f>
        <v>310020.2966707283</v>
      </c>
      <c r="AE256" s="13">
        <f>AE246*$I222*MAIN!$C$16/MAIN!$Q$1</f>
        <v>316859.05229264329</v>
      </c>
      <c r="AF256" s="13">
        <f>AF246*$I222*MAIN!$C$16/MAIN!$Q$1</f>
        <v>323310.59030137846</v>
      </c>
      <c r="AG256" s="13">
        <f>AG246*$I222*MAIN!$C$16/MAIN!$Q$1</f>
        <v>329406.89229035418</v>
      </c>
      <c r="AH256" s="13">
        <f>AH246*$I222*MAIN!$C$16/MAIN!$Q$1</f>
        <v>331443.30647180753</v>
      </c>
      <c r="AI256" s="13">
        <f>AI246*$I222*MAIN!$C$16/MAIN!$Q$1</f>
        <v>331443.30647180753</v>
      </c>
      <c r="AJ256" s="13">
        <f>AJ246*$I222*MAIN!$C$16/MAIN!$Q$1</f>
        <v>331443.30647180753</v>
      </c>
      <c r="AK256" s="13">
        <f>AK246*$I222*MAIN!$C$16/MAIN!$Q$1</f>
        <v>331443.30647180753</v>
      </c>
      <c r="AL256" s="13">
        <f>AL246*$I222*MAIN!$C$16/MAIN!$Q$1</f>
        <v>331443.30647180753</v>
      </c>
      <c r="AM256" s="13">
        <f>AM246*$I222*MAIN!$C$16/MAIN!$Q$1</f>
        <v>331443.30647180753</v>
      </c>
      <c r="AN256" s="13">
        <f>AN246*$I222*MAIN!$C$16/MAIN!$Q$1</f>
        <v>331443.30647180753</v>
      </c>
      <c r="AO256" s="13">
        <f>AO246*$I222*MAIN!$C$16/MAIN!$Q$1</f>
        <v>331443.30647180753</v>
      </c>
      <c r="AP256" s="13">
        <f>AP246*$I222*MAIN!$C$16/MAIN!$Q$1</f>
        <v>331443.30647180753</v>
      </c>
      <c r="AQ256" s="13">
        <f>AQ246*$I222*MAIN!$C$16/MAIN!$Q$1</f>
        <v>331443.30647180753</v>
      </c>
      <c r="AR256" s="56">
        <f>AR246*$I222*MAIN!$C$16/MAIN!$Q$1</f>
        <v>331443.30647180753</v>
      </c>
      <c r="AS256" s="13">
        <f>AS246*$I222*MAIN!$C$16/MAIN!$Q$1</f>
        <v>331443.30647180753</v>
      </c>
      <c r="AT256" s="13">
        <f>AT246*$I222*MAIN!$C$16/MAIN!$Q$1</f>
        <v>331443.30647180753</v>
      </c>
      <c r="AU256" s="13">
        <f>AU246*$I222*MAIN!$C$16/MAIN!$Q$1</f>
        <v>331443.30647180753</v>
      </c>
      <c r="AV256" s="13">
        <f>AV246*$I222*MAIN!$C$16/MAIN!$Q$1</f>
        <v>331443.30647180753</v>
      </c>
      <c r="AW256" s="13">
        <f>AW246*$I222*MAIN!$C$16/MAIN!$Q$1</f>
        <v>331443.30647180753</v>
      </c>
      <c r="AX256" s="13">
        <f>AX246*$I222*MAIN!$C$16/MAIN!$Q$1</f>
        <v>331443.30647180753</v>
      </c>
      <c r="AY256" s="13">
        <f>AY246*$I222*MAIN!$C$16/MAIN!$Q$1</f>
        <v>331443.30647180753</v>
      </c>
      <c r="AZ256" s="13">
        <f>AZ246*$I222*MAIN!$C$16/MAIN!$Q$1</f>
        <v>331443.30647180753</v>
      </c>
      <c r="BA256" s="13">
        <f>BA246*$I222*MAIN!$C$16/MAIN!$Q$1</f>
        <v>331443.30647180753</v>
      </c>
      <c r="BB256" s="13">
        <f>BB246*$I222*MAIN!$C$16/MAIN!$Q$1</f>
        <v>331443.30647180753</v>
      </c>
      <c r="BC256" s="13">
        <f>BC246*$I222*MAIN!$C$16/MAIN!$Q$1</f>
        <v>331443.30647180753</v>
      </c>
      <c r="BD256" s="13">
        <f>BD246*$I222*MAIN!$C$16/MAIN!$Q$1</f>
        <v>331443.30647180753</v>
      </c>
      <c r="BE256" s="13">
        <f>BE246*$I222*MAIN!$C$16/MAIN!$Q$1</f>
        <v>331443.30647180753</v>
      </c>
      <c r="BF256" s="13">
        <f>BF246*$I222*MAIN!$C$16/MAIN!$Q$1</f>
        <v>331443.30647180753</v>
      </c>
      <c r="BG256" s="13">
        <f>BG246*$I222*MAIN!$C$16/MAIN!$Q$1</f>
        <v>331443.30647180753</v>
      </c>
      <c r="BH256" s="13">
        <f>BH246*$I222*MAIN!$C$16/MAIN!$Q$1</f>
        <v>331443.30647180753</v>
      </c>
      <c r="BI256" s="13">
        <f>BI246*$I222*MAIN!$C$16/MAIN!$Q$1</f>
        <v>331443.30647180753</v>
      </c>
      <c r="BJ256" s="13">
        <f>BJ246*$I222*MAIN!$C$16/MAIN!$Q$1</f>
        <v>331443.30647180753</v>
      </c>
      <c r="BK256" s="13">
        <f>BK246*$I222*MAIN!$C$16/MAIN!$Q$1</f>
        <v>331443.30647180753</v>
      </c>
      <c r="BL256" s="13">
        <f>BL246*$I222*MAIN!$C$16/MAIN!$Q$1</f>
        <v>331443.30647180753</v>
      </c>
      <c r="BM256" s="13">
        <f>BM246*$I222*MAIN!$C$16/MAIN!$Q$1</f>
        <v>314169.46415252145</v>
      </c>
      <c r="BN256" s="13">
        <f>BN246*$I222*MAIN!$C$16/MAIN!$Q$1</f>
        <v>302289.90943469666</v>
      </c>
      <c r="BO256" s="3">
        <f>BO246*$I222*MAIN!$C$16/MAIN!$Q$1</f>
        <v>263257.08679041517</v>
      </c>
      <c r="BS256"/>
      <c r="BT256"/>
    </row>
    <row r="257" spans="1:72" ht="16.5">
      <c r="B257" s="14">
        <v>2</v>
      </c>
      <c r="C257" s="298" t="s">
        <v>66</v>
      </c>
      <c r="D257" s="3">
        <f>D247*$I222*2/MAIN!$Q$1</f>
        <v>0</v>
      </c>
      <c r="E257" s="13">
        <f>E247*$I222*2/MAIN!$Q$1</f>
        <v>0</v>
      </c>
      <c r="F257" s="13">
        <f>F247*$I222*2/MAIN!$Q$1</f>
        <v>0</v>
      </c>
      <c r="G257" s="13">
        <f>G247*$I222*2/MAIN!$Q$1</f>
        <v>0</v>
      </c>
      <c r="H257" s="13">
        <f>H247*$I222*2/MAIN!$Q$1</f>
        <v>0</v>
      </c>
      <c r="I257" s="13">
        <f>I247*$I222*2/MAIN!$Q$1</f>
        <v>0</v>
      </c>
      <c r="J257" s="13">
        <f>J247*$I222*2/MAIN!$Q$1</f>
        <v>0</v>
      </c>
      <c r="K257" s="13">
        <f>K247*$I222*2/MAIN!$Q$1</f>
        <v>0</v>
      </c>
      <c r="L257" s="13">
        <f>L247*$I222*2/MAIN!$Q$1</f>
        <v>0</v>
      </c>
      <c r="M257" s="13">
        <f>M247*$I222*2/MAIN!$Q$1</f>
        <v>0</v>
      </c>
      <c r="N257" s="13">
        <f>N247*$I222*2/MAIN!$Q$1</f>
        <v>0</v>
      </c>
      <c r="O257" s="13">
        <f>O247*$I222*2/MAIN!$Q$1</f>
        <v>0</v>
      </c>
      <c r="P257" s="13">
        <f>P247*$I222*2/MAIN!$Q$1</f>
        <v>0</v>
      </c>
      <c r="Q257" s="13">
        <f>Q247*$I222*2/MAIN!$Q$1</f>
        <v>0</v>
      </c>
      <c r="R257" s="13">
        <f>R247*$I222*2/MAIN!$Q$1</f>
        <v>0</v>
      </c>
      <c r="S257" s="13">
        <f>S247*$I222*2/MAIN!$Q$1</f>
        <v>0</v>
      </c>
      <c r="T257" s="13">
        <f>T247*$I222*2/MAIN!$Q$1</f>
        <v>0</v>
      </c>
      <c r="U257" s="13">
        <f>U247*$I222*2/MAIN!$Q$1</f>
        <v>0</v>
      </c>
      <c r="V257" s="13">
        <f>V247*$I222*2/MAIN!$Q$1</f>
        <v>0</v>
      </c>
      <c r="W257" s="13">
        <f>W247*$I222*2/MAIN!$Q$1</f>
        <v>0</v>
      </c>
      <c r="X257" s="13">
        <f>X247*$I222*2/MAIN!$Q$1</f>
        <v>0</v>
      </c>
      <c r="Y257" s="13">
        <f>Y247*$I222*2/MAIN!$Q$1</f>
        <v>0</v>
      </c>
      <c r="Z257" s="13">
        <f>Z247*$I222*2/MAIN!$Q$1</f>
        <v>0</v>
      </c>
      <c r="AA257" s="13">
        <f>AA247*$I222*2/MAIN!$Q$1</f>
        <v>0</v>
      </c>
      <c r="AB257" s="13">
        <f>AB247*$I222*2/MAIN!$Q$1</f>
        <v>0</v>
      </c>
      <c r="AC257" s="13">
        <f>AC247*$I222*2/MAIN!$Q$1</f>
        <v>0</v>
      </c>
      <c r="AD257" s="13">
        <f>AD247*$I222*2/MAIN!$Q$1</f>
        <v>0</v>
      </c>
      <c r="AE257" s="13">
        <f>AE247*$I222*2/MAIN!$Q$1</f>
        <v>0</v>
      </c>
      <c r="AF257" s="13">
        <f>AF247*$I222*2/MAIN!$Q$1</f>
        <v>0</v>
      </c>
      <c r="AG257" s="13">
        <f>AG247*$I222*2/MAIN!$Q$1</f>
        <v>0</v>
      </c>
      <c r="AH257" s="13">
        <f>AH247*$I222*2/MAIN!$Q$1</f>
        <v>0</v>
      </c>
      <c r="AI257" s="13">
        <f>AI247*$I222*2/MAIN!$Q$1</f>
        <v>0</v>
      </c>
      <c r="AJ257" s="13">
        <f>AJ247*$I222*2/MAIN!$Q$1</f>
        <v>0</v>
      </c>
      <c r="AK257" s="13">
        <f>AK247*$I222*2/MAIN!$Q$1</f>
        <v>0</v>
      </c>
      <c r="AL257" s="13">
        <f>AL247*$I222*2/MAIN!$Q$1</f>
        <v>0</v>
      </c>
      <c r="AM257" s="13">
        <f>AM247*$I222*2/MAIN!$Q$1</f>
        <v>0</v>
      </c>
      <c r="AN257" s="13">
        <f>AN247*$I222*2/MAIN!$Q$1</f>
        <v>0</v>
      </c>
      <c r="AO257" s="13">
        <f>AO247*$I222*2/MAIN!$Q$1</f>
        <v>0</v>
      </c>
      <c r="AP257" s="13">
        <f>AP247*$I222*2/MAIN!$Q$1</f>
        <v>0</v>
      </c>
      <c r="AQ257" s="13">
        <f>AQ247*$I222*2/MAIN!$Q$1</f>
        <v>0</v>
      </c>
      <c r="AR257" s="56">
        <f>AR247*$I222*2/MAIN!$Q$1</f>
        <v>0</v>
      </c>
      <c r="AS257" s="13">
        <f>AS247*$I222*2/MAIN!$Q$1</f>
        <v>0</v>
      </c>
      <c r="AT257" s="13">
        <f>AT247*$I222*2/MAIN!$Q$1</f>
        <v>0</v>
      </c>
      <c r="AU257" s="13">
        <f>AU247*$I222*2/MAIN!$Q$1</f>
        <v>0</v>
      </c>
      <c r="AV257" s="13">
        <f>AV247*$I222*2/MAIN!$Q$1</f>
        <v>0</v>
      </c>
      <c r="AW257" s="13">
        <f>AW247*$I222*2/MAIN!$Q$1</f>
        <v>0</v>
      </c>
      <c r="AX257" s="13">
        <f>AX247*$I222*2/MAIN!$Q$1</f>
        <v>0</v>
      </c>
      <c r="AY257" s="13">
        <f>AY247*$I222*2/MAIN!$Q$1</f>
        <v>0</v>
      </c>
      <c r="AZ257" s="13">
        <f>AZ247*$I222*2/MAIN!$Q$1</f>
        <v>0</v>
      </c>
      <c r="BA257" s="13">
        <f>BA247*$I222*2/MAIN!$Q$1</f>
        <v>0</v>
      </c>
      <c r="BB257" s="13">
        <f>BB247*$I222*2/MAIN!$Q$1</f>
        <v>0</v>
      </c>
      <c r="BC257" s="13">
        <f>BC247*$I222*2/MAIN!$Q$1</f>
        <v>0</v>
      </c>
      <c r="BD257" s="13">
        <f>BD247*$I222*2/MAIN!$Q$1</f>
        <v>0</v>
      </c>
      <c r="BE257" s="13">
        <f>BE247*$I222*2/MAIN!$Q$1</f>
        <v>0</v>
      </c>
      <c r="BF257" s="13">
        <f>BF247*$I222*2/MAIN!$Q$1</f>
        <v>0</v>
      </c>
      <c r="BG257" s="13">
        <f>BG247*$I222*2/MAIN!$Q$1</f>
        <v>0</v>
      </c>
      <c r="BH257" s="13">
        <f>BH247*$I222*2/MAIN!$Q$1</f>
        <v>0</v>
      </c>
      <c r="BI257" s="13">
        <f>BI247*$I222*2/MAIN!$Q$1</f>
        <v>0</v>
      </c>
      <c r="BJ257" s="13">
        <f>BJ247*$I222*2/MAIN!$Q$1</f>
        <v>0</v>
      </c>
      <c r="BK257" s="13">
        <f>BK247*$I222*2/MAIN!$Q$1</f>
        <v>0</v>
      </c>
      <c r="BL257" s="13">
        <f>BL247*$I222*2/MAIN!$Q$1</f>
        <v>0</v>
      </c>
      <c r="BM257" s="13">
        <f>BM247*$I222*2/MAIN!$Q$1</f>
        <v>0</v>
      </c>
      <c r="BN257" s="13">
        <f>BN247*$I222*2/MAIN!$Q$1</f>
        <v>0</v>
      </c>
      <c r="BO257" s="3">
        <f>BO247*$I222*2/MAIN!$Q$1</f>
        <v>0</v>
      </c>
      <c r="BP257" s="43"/>
      <c r="BQ257" s="43"/>
      <c r="BR257" s="42"/>
      <c r="BS257"/>
      <c r="BT257"/>
    </row>
    <row r="258" spans="1:72" ht="16.5">
      <c r="B258" s="14">
        <f t="shared" ref="B258:B264" si="185">1+B257</f>
        <v>3</v>
      </c>
      <c r="C258" s="298" t="s">
        <v>66</v>
      </c>
      <c r="D258" s="3">
        <f>D248*$I222*2/MAIN!$Q$1</f>
        <v>0</v>
      </c>
      <c r="E258" s="13">
        <f>E248*$I222*2/MAIN!$Q$1</f>
        <v>0</v>
      </c>
      <c r="F258" s="13">
        <f>F248*$I222*2/MAIN!$Q$1</f>
        <v>0</v>
      </c>
      <c r="G258" s="13">
        <f>G248*$I222*2/MAIN!$Q$1</f>
        <v>0</v>
      </c>
      <c r="H258" s="13">
        <f>H248*$I222*2/MAIN!$Q$1</f>
        <v>0</v>
      </c>
      <c r="I258" s="13">
        <f>I248*$I222*2/MAIN!$Q$1</f>
        <v>0</v>
      </c>
      <c r="J258" s="13">
        <f>J248*$I222*2/MAIN!$Q$1</f>
        <v>0</v>
      </c>
      <c r="K258" s="13">
        <f>K248*$I222*2/MAIN!$Q$1</f>
        <v>0</v>
      </c>
      <c r="L258" s="13">
        <f>L248*$I222*2/MAIN!$Q$1</f>
        <v>0</v>
      </c>
      <c r="M258" s="13">
        <f>M248*$I222*2/MAIN!$Q$1</f>
        <v>0</v>
      </c>
      <c r="N258" s="13">
        <f>N248*$I222*2/MAIN!$Q$1</f>
        <v>0</v>
      </c>
      <c r="O258" s="13">
        <f>O248*$I222*2/MAIN!$Q$1</f>
        <v>0</v>
      </c>
      <c r="P258" s="13">
        <f>P248*$I222*2/MAIN!$Q$1</f>
        <v>0</v>
      </c>
      <c r="Q258" s="13">
        <f>Q248*$I222*2/MAIN!$Q$1</f>
        <v>0</v>
      </c>
      <c r="R258" s="13">
        <f>R248*$I222*2/MAIN!$Q$1</f>
        <v>0</v>
      </c>
      <c r="S258" s="13">
        <f>S248*$I222*2/MAIN!$Q$1</f>
        <v>0</v>
      </c>
      <c r="T258" s="13">
        <f>T248*$I222*2/MAIN!$Q$1</f>
        <v>0</v>
      </c>
      <c r="U258" s="13">
        <f>U248*$I222*2/MAIN!$Q$1</f>
        <v>0</v>
      </c>
      <c r="V258" s="13">
        <f>V248*$I222*2/MAIN!$Q$1</f>
        <v>0</v>
      </c>
      <c r="W258" s="13">
        <f>W248*$I222*2/MAIN!$Q$1</f>
        <v>0</v>
      </c>
      <c r="X258" s="13">
        <f>X248*$I222*2/MAIN!$Q$1</f>
        <v>0</v>
      </c>
      <c r="Y258" s="13">
        <f>Y248*$I222*2/MAIN!$Q$1</f>
        <v>0</v>
      </c>
      <c r="Z258" s="13">
        <f>Z248*$I222*2/MAIN!$Q$1</f>
        <v>0</v>
      </c>
      <c r="AA258" s="13">
        <f>AA248*$I222*2/MAIN!$Q$1</f>
        <v>0</v>
      </c>
      <c r="AB258" s="13">
        <f>AB248*$I222*2/MAIN!$Q$1</f>
        <v>0</v>
      </c>
      <c r="AC258" s="13">
        <f>AC248*$I222*2/MAIN!$Q$1</f>
        <v>0</v>
      </c>
      <c r="AD258" s="13">
        <f>AD248*$I222*2/MAIN!$Q$1</f>
        <v>0</v>
      </c>
      <c r="AE258" s="13">
        <f>AE248*$I222*2/MAIN!$Q$1</f>
        <v>0</v>
      </c>
      <c r="AF258" s="13">
        <f>AF248*$I222*2/MAIN!$Q$1</f>
        <v>0</v>
      </c>
      <c r="AG258" s="13">
        <f>AG248*$I222*2/MAIN!$Q$1</f>
        <v>0</v>
      </c>
      <c r="AH258" s="13">
        <f>AH248*$I222*2/MAIN!$Q$1</f>
        <v>0</v>
      </c>
      <c r="AI258" s="13">
        <f>AI248*$I222*2/MAIN!$Q$1</f>
        <v>0</v>
      </c>
      <c r="AJ258" s="13">
        <f>AJ248*$I222*2/MAIN!$Q$1</f>
        <v>0</v>
      </c>
      <c r="AK258" s="13">
        <f>AK248*$I222*2/MAIN!$Q$1</f>
        <v>0</v>
      </c>
      <c r="AL258" s="13">
        <f>AL248*$I222*2/MAIN!$Q$1</f>
        <v>0</v>
      </c>
      <c r="AM258" s="13">
        <f>AM248*$I222*2/MAIN!$Q$1</f>
        <v>0</v>
      </c>
      <c r="AN258" s="13">
        <f>AN248*$I222*2/MAIN!$Q$1</f>
        <v>0</v>
      </c>
      <c r="AO258" s="13">
        <f>AO248*$I222*2/MAIN!$Q$1</f>
        <v>0</v>
      </c>
      <c r="AP258" s="13">
        <f>AP248*$I222*2/MAIN!$Q$1</f>
        <v>0</v>
      </c>
      <c r="AQ258" s="13">
        <f>AQ248*$I222*2/MAIN!$Q$1</f>
        <v>0</v>
      </c>
      <c r="AR258" s="59">
        <f>AR248*$I222*2/MAIN!$Q$1</f>
        <v>0</v>
      </c>
      <c r="AS258" s="13">
        <f>AS248*$I222*2/MAIN!$Q$1</f>
        <v>0</v>
      </c>
      <c r="AT258" s="13">
        <f>AT248*$I222*2/MAIN!$Q$1</f>
        <v>0</v>
      </c>
      <c r="AU258" s="13">
        <f>AU248*$I222*2/MAIN!$Q$1</f>
        <v>0</v>
      </c>
      <c r="AV258" s="13">
        <f>AV248*$I222*2/MAIN!$Q$1</f>
        <v>0</v>
      </c>
      <c r="AW258" s="13">
        <f>AW248*$I222*2/MAIN!$Q$1</f>
        <v>0</v>
      </c>
      <c r="AX258" s="13">
        <f>AX248*$I222*2/MAIN!$Q$1</f>
        <v>0</v>
      </c>
      <c r="AY258" s="13">
        <f>AY248*$I222*2/MAIN!$Q$1</f>
        <v>0</v>
      </c>
      <c r="AZ258" s="13">
        <f>AZ248*$I222*2/MAIN!$Q$1</f>
        <v>0</v>
      </c>
      <c r="BA258" s="13">
        <f>BA248*$I222*2/MAIN!$Q$1</f>
        <v>0</v>
      </c>
      <c r="BB258" s="13">
        <f>BB248*$I222*2/MAIN!$Q$1</f>
        <v>0</v>
      </c>
      <c r="BC258" s="13">
        <f>BC248*$I222*2/MAIN!$Q$1</f>
        <v>0</v>
      </c>
      <c r="BD258" s="13">
        <f>BD248*$I222*2/MAIN!$Q$1</f>
        <v>0</v>
      </c>
      <c r="BE258" s="13">
        <f>BE248*$I222*2/MAIN!$Q$1</f>
        <v>0</v>
      </c>
      <c r="BF258" s="13">
        <f>BF248*$I222*2/MAIN!$Q$1</f>
        <v>0</v>
      </c>
      <c r="BG258" s="13">
        <f>BG248*$I222*2/MAIN!$Q$1</f>
        <v>0</v>
      </c>
      <c r="BH258" s="13">
        <f>BH248*$I222*2/MAIN!$Q$1</f>
        <v>0</v>
      </c>
      <c r="BI258" s="13">
        <f>BI248*$I222*2/MAIN!$Q$1</f>
        <v>0</v>
      </c>
      <c r="BJ258" s="13">
        <f>BJ248*$I222*2/MAIN!$Q$1</f>
        <v>0</v>
      </c>
      <c r="BK258" s="13">
        <f>BK248*$I222*2/MAIN!$Q$1</f>
        <v>0</v>
      </c>
      <c r="BL258" s="13">
        <f>BL248*$I222*2/MAIN!$Q$1</f>
        <v>0</v>
      </c>
      <c r="BM258" s="13">
        <f>BM248*$I222*2/MAIN!$Q$1</f>
        <v>0</v>
      </c>
      <c r="BN258" s="13">
        <f>BN248*$I222*2/MAIN!$Q$1</f>
        <v>0</v>
      </c>
      <c r="BO258" s="3">
        <f>BO248*$I222*2/MAIN!$Q$1</f>
        <v>0</v>
      </c>
      <c r="BP258" s="43"/>
      <c r="BQ258" s="43"/>
      <c r="BR258" s="42"/>
      <c r="BS258"/>
      <c r="BT258"/>
    </row>
    <row r="259" spans="1:72" ht="16.5">
      <c r="B259" s="14">
        <f t="shared" si="185"/>
        <v>4</v>
      </c>
      <c r="C259" s="298" t="s">
        <v>66</v>
      </c>
      <c r="D259" s="3">
        <f>D249*$I222*2/MAIN!$Q$1</f>
        <v>0</v>
      </c>
      <c r="E259" s="13">
        <f>E249*$I222*2/MAIN!$Q$1</f>
        <v>0</v>
      </c>
      <c r="F259" s="13">
        <f>F249*$I222*2/MAIN!$Q$1</f>
        <v>0</v>
      </c>
      <c r="G259" s="13">
        <f>G249*$I222*2/MAIN!$Q$1</f>
        <v>0</v>
      </c>
      <c r="H259" s="13">
        <f>H249*$I222*2/MAIN!$Q$1</f>
        <v>0</v>
      </c>
      <c r="I259" s="13">
        <f>I249*$I222*2/MAIN!$Q$1</f>
        <v>0</v>
      </c>
      <c r="J259" s="13">
        <f>J249*$I222*2/MAIN!$Q$1</f>
        <v>0</v>
      </c>
      <c r="K259" s="13">
        <f>K249*$I222*2/MAIN!$Q$1</f>
        <v>0</v>
      </c>
      <c r="L259" s="13">
        <f>L249*$I222*2/MAIN!$Q$1</f>
        <v>0</v>
      </c>
      <c r="M259" s="13">
        <f>M249*$I222*2/MAIN!$Q$1</f>
        <v>0</v>
      </c>
      <c r="N259" s="13">
        <f>N249*$I222*2/MAIN!$Q$1</f>
        <v>0</v>
      </c>
      <c r="O259" s="13">
        <f>O249*$I222*2/MAIN!$Q$1</f>
        <v>0</v>
      </c>
      <c r="P259" s="13">
        <f>P249*$I222*2/MAIN!$Q$1</f>
        <v>0</v>
      </c>
      <c r="Q259" s="13">
        <f>Q249*$I222*2/MAIN!$Q$1</f>
        <v>0</v>
      </c>
      <c r="R259" s="13">
        <f>R249*$I222*2/MAIN!$Q$1</f>
        <v>0</v>
      </c>
      <c r="S259" s="13">
        <f>S249*$I222*2/MAIN!$Q$1</f>
        <v>0</v>
      </c>
      <c r="T259" s="13">
        <f>T249*$I222*2/MAIN!$Q$1</f>
        <v>0</v>
      </c>
      <c r="U259" s="13">
        <f>U249*$I222*2/MAIN!$Q$1</f>
        <v>0</v>
      </c>
      <c r="V259" s="13">
        <f>V249*$I222*2/MAIN!$Q$1</f>
        <v>0</v>
      </c>
      <c r="W259" s="13">
        <f>W249*$I222*2/MAIN!$Q$1</f>
        <v>0</v>
      </c>
      <c r="X259" s="13">
        <f>X249*$I222*2/MAIN!$Q$1</f>
        <v>0</v>
      </c>
      <c r="Y259" s="13">
        <f>Y249*$I222*2/MAIN!$Q$1</f>
        <v>0</v>
      </c>
      <c r="Z259" s="13">
        <f>Z249*$I222*2/MAIN!$Q$1</f>
        <v>0</v>
      </c>
      <c r="AA259" s="13">
        <f>AA249*$I222*2/MAIN!$Q$1</f>
        <v>0</v>
      </c>
      <c r="AB259" s="13">
        <f>AB249*$I222*2/MAIN!$Q$1</f>
        <v>0</v>
      </c>
      <c r="AC259" s="13">
        <f>AC249*$I222*2/MAIN!$Q$1</f>
        <v>0</v>
      </c>
      <c r="AD259" s="13">
        <f>AD249*$I222*2/MAIN!$Q$1</f>
        <v>0</v>
      </c>
      <c r="AE259" s="13">
        <f>AE249*$I222*2/MAIN!$Q$1</f>
        <v>0</v>
      </c>
      <c r="AF259" s="13">
        <f>AF249*$I222*2/MAIN!$Q$1</f>
        <v>0</v>
      </c>
      <c r="AG259" s="13">
        <f>AG249*$I222*2/MAIN!$Q$1</f>
        <v>0</v>
      </c>
      <c r="AH259" s="13">
        <f>AH249*$I222*2/MAIN!$Q$1</f>
        <v>0</v>
      </c>
      <c r="AI259" s="13">
        <f>AI249*$I222*2/MAIN!$Q$1</f>
        <v>0</v>
      </c>
      <c r="AJ259" s="13">
        <f>AJ249*$I222*2/MAIN!$Q$1</f>
        <v>0</v>
      </c>
      <c r="AK259" s="13">
        <f>AK249*$I222*2/MAIN!$Q$1</f>
        <v>0</v>
      </c>
      <c r="AL259" s="13">
        <f>AL249*$I222*2/MAIN!$Q$1</f>
        <v>0</v>
      </c>
      <c r="AM259" s="13">
        <f>AM249*$I222*2/MAIN!$Q$1</f>
        <v>0</v>
      </c>
      <c r="AN259" s="13">
        <f>AN249*$I222*2/MAIN!$Q$1</f>
        <v>0</v>
      </c>
      <c r="AO259" s="13">
        <f>AO249*$I222*2/MAIN!$Q$1</f>
        <v>0</v>
      </c>
      <c r="AP259" s="13">
        <f>AP249*$I222*2/MAIN!$Q$1</f>
        <v>0</v>
      </c>
      <c r="AQ259" s="13">
        <f>AQ249*$I222*2/MAIN!$Q$1</f>
        <v>0</v>
      </c>
      <c r="AR259" s="59">
        <f>AR249*$I222*2/MAIN!$Q$1</f>
        <v>0</v>
      </c>
      <c r="AS259" s="13">
        <f>AS249*$I222*2/MAIN!$Q$1</f>
        <v>0</v>
      </c>
      <c r="AT259" s="13">
        <f>AT249*$I222*2/MAIN!$Q$1</f>
        <v>0</v>
      </c>
      <c r="AU259" s="13">
        <f>AU249*$I222*2/MAIN!$Q$1</f>
        <v>0</v>
      </c>
      <c r="AV259" s="13">
        <f>AV249*$I222*2/MAIN!$Q$1</f>
        <v>0</v>
      </c>
      <c r="AW259" s="13">
        <f>AW249*$I222*2/MAIN!$Q$1</f>
        <v>0</v>
      </c>
      <c r="AX259" s="13">
        <f>AX249*$I222*2/MAIN!$Q$1</f>
        <v>0</v>
      </c>
      <c r="AY259" s="13">
        <f>AY249*$I222*2/MAIN!$Q$1</f>
        <v>0</v>
      </c>
      <c r="AZ259" s="13">
        <f>AZ249*$I222*2/MAIN!$Q$1</f>
        <v>0</v>
      </c>
      <c r="BA259" s="13">
        <f>BA249*$I222*2/MAIN!$Q$1</f>
        <v>0</v>
      </c>
      <c r="BB259" s="13">
        <f>BB249*$I222*2/MAIN!$Q$1</f>
        <v>0</v>
      </c>
      <c r="BC259" s="13">
        <f>BC249*$I222*2/MAIN!$Q$1</f>
        <v>0</v>
      </c>
      <c r="BD259" s="13">
        <f>BD249*$I222*2/MAIN!$Q$1</f>
        <v>0</v>
      </c>
      <c r="BE259" s="13">
        <f>BE249*$I222*2/MAIN!$Q$1</f>
        <v>0</v>
      </c>
      <c r="BF259" s="13">
        <f>BF249*$I222*2/MAIN!$Q$1</f>
        <v>0</v>
      </c>
      <c r="BG259" s="13">
        <f>BG249*$I222*2/MAIN!$Q$1</f>
        <v>0</v>
      </c>
      <c r="BH259" s="13">
        <f>BH249*$I222*2/MAIN!$Q$1</f>
        <v>0</v>
      </c>
      <c r="BI259" s="13">
        <f>BI249*$I222*2/MAIN!$Q$1</f>
        <v>0</v>
      </c>
      <c r="BJ259" s="13">
        <f>BJ249*$I222*2/MAIN!$Q$1</f>
        <v>0</v>
      </c>
      <c r="BK259" s="13">
        <f>BK249*$I222*2/MAIN!$Q$1</f>
        <v>0</v>
      </c>
      <c r="BL259" s="13">
        <f>BL249*$I222*2/MAIN!$Q$1</f>
        <v>0</v>
      </c>
      <c r="BM259" s="13">
        <f>BM249*$I222*2/MAIN!$Q$1</f>
        <v>0</v>
      </c>
      <c r="BN259" s="13">
        <f>BN249*$I222*2/MAIN!$Q$1</f>
        <v>0</v>
      </c>
      <c r="BO259" s="3">
        <f>BO249*$I222*2/MAIN!$Q$1</f>
        <v>0</v>
      </c>
      <c r="BP259" s="43"/>
      <c r="BQ259" s="43"/>
      <c r="BR259" s="42"/>
      <c r="BS259"/>
      <c r="BT259"/>
    </row>
    <row r="260" spans="1:72" ht="16.5">
      <c r="B260" s="14">
        <f t="shared" si="185"/>
        <v>5</v>
      </c>
      <c r="C260" s="298" t="s">
        <v>66</v>
      </c>
      <c r="D260" s="3">
        <f>D250*$I222*2/MAIN!$Q$1</f>
        <v>0</v>
      </c>
      <c r="E260" s="13">
        <f>E250*$I222*2/MAIN!$Q$1</f>
        <v>0</v>
      </c>
      <c r="F260" s="13">
        <f>F250*$I222*2/MAIN!$Q$1</f>
        <v>0</v>
      </c>
      <c r="G260" s="13">
        <f>G250*$I222*2/MAIN!$Q$1</f>
        <v>0</v>
      </c>
      <c r="H260" s="13">
        <f>H250*$I222*2/MAIN!$Q$1</f>
        <v>0</v>
      </c>
      <c r="I260" s="13">
        <f>I250*$I222*2/MAIN!$Q$1</f>
        <v>0</v>
      </c>
      <c r="J260" s="13">
        <f>J250*$I222*2/MAIN!$Q$1</f>
        <v>0</v>
      </c>
      <c r="K260" s="13">
        <f>K250*$I222*2/MAIN!$Q$1</f>
        <v>0</v>
      </c>
      <c r="L260" s="13">
        <f>L250*$I222*2/MAIN!$Q$1</f>
        <v>0</v>
      </c>
      <c r="M260" s="13">
        <f>M250*$I222*2/MAIN!$Q$1</f>
        <v>0</v>
      </c>
      <c r="N260" s="13">
        <f>N250*$I222*2/MAIN!$Q$1</f>
        <v>0</v>
      </c>
      <c r="O260" s="13">
        <f>O250*$I222*2/MAIN!$Q$1</f>
        <v>0</v>
      </c>
      <c r="P260" s="13">
        <f>P250*$I222*2/MAIN!$Q$1</f>
        <v>0</v>
      </c>
      <c r="Q260" s="13">
        <f>Q250*$I222*2/MAIN!$Q$1</f>
        <v>0</v>
      </c>
      <c r="R260" s="13">
        <f>R250*$I222*2/MAIN!$Q$1</f>
        <v>0</v>
      </c>
      <c r="S260" s="13">
        <f>S250*$I222*2/MAIN!$Q$1</f>
        <v>0</v>
      </c>
      <c r="T260" s="13">
        <f>T250*$I222*2/MAIN!$Q$1</f>
        <v>0</v>
      </c>
      <c r="U260" s="13">
        <f>U250*$I222*2/MAIN!$Q$1</f>
        <v>0</v>
      </c>
      <c r="V260" s="13">
        <f>V250*$I222*2/MAIN!$Q$1</f>
        <v>0</v>
      </c>
      <c r="W260" s="13">
        <f>W250*$I222*2/MAIN!$Q$1</f>
        <v>0</v>
      </c>
      <c r="X260" s="13">
        <f>X250*$I222*2/MAIN!$Q$1</f>
        <v>0</v>
      </c>
      <c r="Y260" s="13">
        <f>Y250*$I222*2/MAIN!$Q$1</f>
        <v>0</v>
      </c>
      <c r="Z260" s="13">
        <f>Z250*$I222*2/MAIN!$Q$1</f>
        <v>0</v>
      </c>
      <c r="AA260" s="13">
        <f>AA250*$I222*2/MAIN!$Q$1</f>
        <v>0</v>
      </c>
      <c r="AB260" s="13">
        <f>AB250*$I222*2/MAIN!$Q$1</f>
        <v>0</v>
      </c>
      <c r="AC260" s="13">
        <f>AC250*$I222*2/MAIN!$Q$1</f>
        <v>0</v>
      </c>
      <c r="AD260" s="13">
        <f>AD250*$I222*2/MAIN!$Q$1</f>
        <v>0</v>
      </c>
      <c r="AE260" s="13">
        <f>AE250*$I222*2/MAIN!$Q$1</f>
        <v>0</v>
      </c>
      <c r="AF260" s="13">
        <f>AF250*$I222*2/MAIN!$Q$1</f>
        <v>0</v>
      </c>
      <c r="AG260" s="13">
        <f>AG250*$I222*2/MAIN!$Q$1</f>
        <v>0</v>
      </c>
      <c r="AH260" s="13">
        <f>AH250*$I222*2/MAIN!$Q$1</f>
        <v>0</v>
      </c>
      <c r="AI260" s="13">
        <f>AI250*$I222*2/MAIN!$Q$1</f>
        <v>0</v>
      </c>
      <c r="AJ260" s="13">
        <f>AJ250*$I222*2/MAIN!$Q$1</f>
        <v>0</v>
      </c>
      <c r="AK260" s="13">
        <f>AK250*$I222*2/MAIN!$Q$1</f>
        <v>0</v>
      </c>
      <c r="AL260" s="13">
        <f>AL250*$I222*2/MAIN!$Q$1</f>
        <v>0</v>
      </c>
      <c r="AM260" s="13">
        <f>AM250*$I222*2/MAIN!$Q$1</f>
        <v>0</v>
      </c>
      <c r="AN260" s="13">
        <f>AN250*$I222*2/MAIN!$Q$1</f>
        <v>0</v>
      </c>
      <c r="AO260" s="13">
        <f>AO250*$I222*2/MAIN!$Q$1</f>
        <v>0</v>
      </c>
      <c r="AP260" s="13">
        <f>AP250*$I222*2/MAIN!$Q$1</f>
        <v>0</v>
      </c>
      <c r="AQ260" s="13">
        <f>AQ250*$I222*2/MAIN!$Q$1</f>
        <v>0</v>
      </c>
      <c r="AR260" s="59">
        <f>AR250*$I222*2/MAIN!$Q$1</f>
        <v>0</v>
      </c>
      <c r="AS260" s="13">
        <f>AS250*$I222*2/MAIN!$Q$1</f>
        <v>0</v>
      </c>
      <c r="AT260" s="13">
        <f>AT250*$I222*2/MAIN!$Q$1</f>
        <v>0</v>
      </c>
      <c r="AU260" s="13">
        <f>AU250*$I222*2/MAIN!$Q$1</f>
        <v>0</v>
      </c>
      <c r="AV260" s="13">
        <f>AV250*$I222*2/MAIN!$Q$1</f>
        <v>0</v>
      </c>
      <c r="AW260" s="13">
        <f>AW250*$I222*2/MAIN!$Q$1</f>
        <v>0</v>
      </c>
      <c r="AX260" s="13">
        <f>AX250*$I222*2/MAIN!$Q$1</f>
        <v>0</v>
      </c>
      <c r="AY260" s="13">
        <f>AY250*$I222*2/MAIN!$Q$1</f>
        <v>0</v>
      </c>
      <c r="AZ260" s="13">
        <f>AZ250*$I222*2/MAIN!$Q$1</f>
        <v>0</v>
      </c>
      <c r="BA260" s="13">
        <f>BA250*$I222*2/MAIN!$Q$1</f>
        <v>0</v>
      </c>
      <c r="BB260" s="13">
        <f>BB250*$I222*2/MAIN!$Q$1</f>
        <v>0</v>
      </c>
      <c r="BC260" s="13">
        <f>BC250*$I222*2/MAIN!$Q$1</f>
        <v>0</v>
      </c>
      <c r="BD260" s="13">
        <f>BD250*$I222*2/MAIN!$Q$1</f>
        <v>0</v>
      </c>
      <c r="BE260" s="13">
        <f>BE250*$I222*2/MAIN!$Q$1</f>
        <v>0</v>
      </c>
      <c r="BF260" s="13">
        <f>BF250*$I222*2/MAIN!$Q$1</f>
        <v>0</v>
      </c>
      <c r="BG260" s="13">
        <f>BG250*$I222*2/MAIN!$Q$1</f>
        <v>0</v>
      </c>
      <c r="BH260" s="13">
        <f>BH250*$I222*2/MAIN!$Q$1</f>
        <v>0</v>
      </c>
      <c r="BI260" s="13">
        <f>BI250*$I222*2/MAIN!$Q$1</f>
        <v>0</v>
      </c>
      <c r="BJ260" s="13">
        <f>BJ250*$I222*2/MAIN!$Q$1</f>
        <v>0</v>
      </c>
      <c r="BK260" s="13">
        <f>BK250*$I222*2/MAIN!$Q$1</f>
        <v>0</v>
      </c>
      <c r="BL260" s="13">
        <f>BL250*$I222*2/MAIN!$Q$1</f>
        <v>0</v>
      </c>
      <c r="BM260" s="13">
        <f>BM250*$I222*2/MAIN!$Q$1</f>
        <v>0</v>
      </c>
      <c r="BN260" s="13">
        <f>BN250*$I222*2/MAIN!$Q$1</f>
        <v>0</v>
      </c>
      <c r="BO260" s="3">
        <f>BO250*$I222*2/MAIN!$Q$1</f>
        <v>0</v>
      </c>
      <c r="BP260" s="43"/>
      <c r="BQ260" s="43"/>
      <c r="BR260" s="42"/>
      <c r="BS260"/>
      <c r="BT260"/>
    </row>
    <row r="261" spans="1:72" ht="16.5">
      <c r="B261" s="14">
        <f t="shared" si="185"/>
        <v>6</v>
      </c>
      <c r="C261" s="298" t="s">
        <v>66</v>
      </c>
      <c r="D261" s="3">
        <f>D251*$I222*2/MAIN!$Q$1</f>
        <v>0</v>
      </c>
      <c r="E261" s="13">
        <f>E251*$I222*2/MAIN!$Q$1</f>
        <v>0</v>
      </c>
      <c r="F261" s="13">
        <f>F251*$I222*2/MAIN!$Q$1</f>
        <v>0</v>
      </c>
      <c r="G261" s="13">
        <f>G251*$I222*2/MAIN!$Q$1</f>
        <v>0</v>
      </c>
      <c r="H261" s="13">
        <f>H251*$I222*2/MAIN!$Q$1</f>
        <v>0</v>
      </c>
      <c r="I261" s="13">
        <f>I251*$I222*2/MAIN!$Q$1</f>
        <v>0</v>
      </c>
      <c r="J261" s="13">
        <f>J251*$I222*2/MAIN!$Q$1</f>
        <v>0</v>
      </c>
      <c r="K261" s="13">
        <f>K251*$I222*2/MAIN!$Q$1</f>
        <v>0</v>
      </c>
      <c r="L261" s="13">
        <f>L251*$I222*2/MAIN!$Q$1</f>
        <v>0</v>
      </c>
      <c r="M261" s="13">
        <f>M251*$I222*2/MAIN!$Q$1</f>
        <v>0</v>
      </c>
      <c r="N261" s="13">
        <f>N251*$I222*2/MAIN!$Q$1</f>
        <v>0</v>
      </c>
      <c r="O261" s="13">
        <f>O251*$I222*2/MAIN!$Q$1</f>
        <v>0</v>
      </c>
      <c r="P261" s="13">
        <f>P251*$I222*2/MAIN!$Q$1</f>
        <v>0</v>
      </c>
      <c r="Q261" s="13">
        <f>Q251*$I222*2/MAIN!$Q$1</f>
        <v>0</v>
      </c>
      <c r="R261" s="13">
        <f>R251*$I222*2/MAIN!$Q$1</f>
        <v>0</v>
      </c>
      <c r="S261" s="13">
        <f>S251*$I222*2/MAIN!$Q$1</f>
        <v>0</v>
      </c>
      <c r="T261" s="13">
        <f>T251*$I222*2/MAIN!$Q$1</f>
        <v>0</v>
      </c>
      <c r="U261" s="13">
        <f>U251*$I222*2/MAIN!$Q$1</f>
        <v>0</v>
      </c>
      <c r="V261" s="13">
        <f>V251*$I222*2/MAIN!$Q$1</f>
        <v>0</v>
      </c>
      <c r="W261" s="13">
        <f>W251*$I222*2/MAIN!$Q$1</f>
        <v>0</v>
      </c>
      <c r="X261" s="13">
        <f>X251*$I222*2/MAIN!$Q$1</f>
        <v>0</v>
      </c>
      <c r="Y261" s="13">
        <f>Y251*$I222*2/MAIN!$Q$1</f>
        <v>0</v>
      </c>
      <c r="Z261" s="13">
        <f>Z251*$I222*2/MAIN!$Q$1</f>
        <v>0</v>
      </c>
      <c r="AA261" s="13">
        <f>AA251*$I222*2/MAIN!$Q$1</f>
        <v>0</v>
      </c>
      <c r="AB261" s="13">
        <f>AB251*$I222*2/MAIN!$Q$1</f>
        <v>0</v>
      </c>
      <c r="AC261" s="13">
        <f>AC251*$I222*2/MAIN!$Q$1</f>
        <v>0</v>
      </c>
      <c r="AD261" s="13">
        <f>AD251*$I222*2/MAIN!$Q$1</f>
        <v>0</v>
      </c>
      <c r="AE261" s="13">
        <f>AE251*$I222*2/MAIN!$Q$1</f>
        <v>0</v>
      </c>
      <c r="AF261" s="13">
        <f>AF251*$I222*2/MAIN!$Q$1</f>
        <v>0</v>
      </c>
      <c r="AG261" s="13">
        <f>AG251*$I222*2/MAIN!$Q$1</f>
        <v>0</v>
      </c>
      <c r="AH261" s="13">
        <f>AH251*$I222*2/MAIN!$Q$1</f>
        <v>0</v>
      </c>
      <c r="AI261" s="13">
        <f>AI251*$I222*2/MAIN!$Q$1</f>
        <v>0</v>
      </c>
      <c r="AJ261" s="13">
        <f>AJ251*$I222*2/MAIN!$Q$1</f>
        <v>0</v>
      </c>
      <c r="AK261" s="13">
        <f>AK251*$I222*2/MAIN!$Q$1</f>
        <v>0</v>
      </c>
      <c r="AL261" s="13">
        <f>AL251*$I222*2/MAIN!$Q$1</f>
        <v>0</v>
      </c>
      <c r="AM261" s="13">
        <f>AM251*$I222*2/MAIN!$Q$1</f>
        <v>0</v>
      </c>
      <c r="AN261" s="13">
        <f>AN251*$I222*2/MAIN!$Q$1</f>
        <v>0</v>
      </c>
      <c r="AO261" s="13">
        <f>AO251*$I222*2/MAIN!$Q$1</f>
        <v>0</v>
      </c>
      <c r="AP261" s="13">
        <f>AP251*$I222*2/MAIN!$Q$1</f>
        <v>0</v>
      </c>
      <c r="AQ261" s="13">
        <f>AQ251*$I222*2/MAIN!$Q$1</f>
        <v>0</v>
      </c>
      <c r="AR261" s="59">
        <f>AR251*$I222*2/MAIN!$Q$1</f>
        <v>0</v>
      </c>
      <c r="AS261" s="13">
        <f>AS251*$I222*2/MAIN!$Q$1</f>
        <v>0</v>
      </c>
      <c r="AT261" s="13">
        <f>AT251*$I222*2/MAIN!$Q$1</f>
        <v>0</v>
      </c>
      <c r="AU261" s="13">
        <f>AU251*$I222*2/MAIN!$Q$1</f>
        <v>0</v>
      </c>
      <c r="AV261" s="13">
        <f>AV251*$I222*2/MAIN!$Q$1</f>
        <v>0</v>
      </c>
      <c r="AW261" s="13">
        <f>AW251*$I222*2/MAIN!$Q$1</f>
        <v>0</v>
      </c>
      <c r="AX261" s="13">
        <f>AX251*$I222*2/MAIN!$Q$1</f>
        <v>0</v>
      </c>
      <c r="AY261" s="13">
        <f>AY251*$I222*2/MAIN!$Q$1</f>
        <v>0</v>
      </c>
      <c r="AZ261" s="13">
        <f>AZ251*$I222*2/MAIN!$Q$1</f>
        <v>0</v>
      </c>
      <c r="BA261" s="13">
        <f>BA251*$I222*2/MAIN!$Q$1</f>
        <v>0</v>
      </c>
      <c r="BB261" s="13">
        <f>BB251*$I222*2/MAIN!$Q$1</f>
        <v>0</v>
      </c>
      <c r="BC261" s="13">
        <f>BC251*$I222*2/MAIN!$Q$1</f>
        <v>0</v>
      </c>
      <c r="BD261" s="13">
        <f>BD251*$I222*2/MAIN!$Q$1</f>
        <v>0</v>
      </c>
      <c r="BE261" s="13">
        <f>BE251*$I222*2/MAIN!$Q$1</f>
        <v>0</v>
      </c>
      <c r="BF261" s="13">
        <f>BF251*$I222*2/MAIN!$Q$1</f>
        <v>0</v>
      </c>
      <c r="BG261" s="13">
        <f>BG251*$I222*2/MAIN!$Q$1</f>
        <v>0</v>
      </c>
      <c r="BH261" s="13">
        <f>BH251*$I222*2/MAIN!$Q$1</f>
        <v>0</v>
      </c>
      <c r="BI261" s="13">
        <f>BI251*$I222*2/MAIN!$Q$1</f>
        <v>0</v>
      </c>
      <c r="BJ261" s="13">
        <f>BJ251*$I222*2/MAIN!$Q$1</f>
        <v>0</v>
      </c>
      <c r="BK261" s="13">
        <f>BK251*$I222*2/MAIN!$Q$1</f>
        <v>0</v>
      </c>
      <c r="BL261" s="13">
        <f>BL251*$I222*2/MAIN!$Q$1</f>
        <v>0</v>
      </c>
      <c r="BM261" s="13">
        <f>BM251*$I222*2/MAIN!$Q$1</f>
        <v>0</v>
      </c>
      <c r="BN261" s="13">
        <f>BN251*$I222*2/MAIN!$Q$1</f>
        <v>0</v>
      </c>
      <c r="BO261" s="3">
        <f>BO251*$I222*2/MAIN!$Q$1</f>
        <v>0</v>
      </c>
      <c r="BP261" s="43"/>
      <c r="BQ261" s="43"/>
      <c r="BR261" s="42"/>
      <c r="BS261"/>
      <c r="BT261"/>
    </row>
    <row r="262" spans="1:72" ht="16.5">
      <c r="B262" s="14">
        <f t="shared" si="185"/>
        <v>7</v>
      </c>
      <c r="C262" s="298" t="s">
        <v>66</v>
      </c>
      <c r="D262" s="3">
        <f>D252*$I222*2/MAIN!$Q$1</f>
        <v>0</v>
      </c>
      <c r="E262" s="13">
        <f>E252*$I222*2/MAIN!$Q$1</f>
        <v>0</v>
      </c>
      <c r="F262" s="13">
        <f>F252*$I222*2/MAIN!$Q$1</f>
        <v>0</v>
      </c>
      <c r="G262" s="13">
        <f>G252*$I222*2/MAIN!$Q$1</f>
        <v>0</v>
      </c>
      <c r="H262" s="13">
        <f>H252*$I222*2/MAIN!$Q$1</f>
        <v>0</v>
      </c>
      <c r="I262" s="13">
        <f>I252*$I222*2/MAIN!$Q$1</f>
        <v>0</v>
      </c>
      <c r="J262" s="13">
        <f>J252*$I222*2/MAIN!$Q$1</f>
        <v>0</v>
      </c>
      <c r="K262" s="13">
        <f>K252*$I222*2/MAIN!$Q$1</f>
        <v>0</v>
      </c>
      <c r="L262" s="13">
        <f>L252*$I222*2/MAIN!$Q$1</f>
        <v>0</v>
      </c>
      <c r="M262" s="13">
        <f>M252*$I222*2/MAIN!$Q$1</f>
        <v>0</v>
      </c>
      <c r="N262" s="13">
        <f>N252*$I222*2/MAIN!$Q$1</f>
        <v>0</v>
      </c>
      <c r="O262" s="13">
        <f>O252*$I222*2/MAIN!$Q$1</f>
        <v>0</v>
      </c>
      <c r="P262" s="13">
        <f>P252*$I222*2/MAIN!$Q$1</f>
        <v>0</v>
      </c>
      <c r="Q262" s="13">
        <f>Q252*$I222*2/MAIN!$Q$1</f>
        <v>0</v>
      </c>
      <c r="R262" s="13">
        <f>R252*$I222*2/MAIN!$Q$1</f>
        <v>0</v>
      </c>
      <c r="S262" s="13">
        <f>S252*$I222*2/MAIN!$Q$1</f>
        <v>0</v>
      </c>
      <c r="T262" s="13">
        <f>T252*$I222*2/MAIN!$Q$1</f>
        <v>0</v>
      </c>
      <c r="U262" s="13">
        <f>U252*$I222*2/MAIN!$Q$1</f>
        <v>0</v>
      </c>
      <c r="V262" s="13">
        <f>V252*$I222*2/MAIN!$Q$1</f>
        <v>0</v>
      </c>
      <c r="W262" s="13">
        <f>W252*$I222*2/MAIN!$Q$1</f>
        <v>0</v>
      </c>
      <c r="X262" s="13">
        <f>X252*$I222*2/MAIN!$Q$1</f>
        <v>0</v>
      </c>
      <c r="Y262" s="13">
        <f>Y252*$I222*2/MAIN!$Q$1</f>
        <v>0</v>
      </c>
      <c r="Z262" s="13">
        <f>Z252*$I222*2/MAIN!$Q$1</f>
        <v>0</v>
      </c>
      <c r="AA262" s="13">
        <f>AA252*$I222*2/MAIN!$Q$1</f>
        <v>0</v>
      </c>
      <c r="AB262" s="13">
        <f>AB252*$I222*2/MAIN!$Q$1</f>
        <v>0</v>
      </c>
      <c r="AC262" s="13">
        <f>AC252*$I222*2/MAIN!$Q$1</f>
        <v>0</v>
      </c>
      <c r="AD262" s="13">
        <f>AD252*$I222*2/MAIN!$Q$1</f>
        <v>0</v>
      </c>
      <c r="AE262" s="13">
        <f>AE252*$I222*2/MAIN!$Q$1</f>
        <v>0</v>
      </c>
      <c r="AF262" s="13">
        <f>AF252*$I222*2/MAIN!$Q$1</f>
        <v>0</v>
      </c>
      <c r="AG262" s="13">
        <f>AG252*$I222*2/MAIN!$Q$1</f>
        <v>0</v>
      </c>
      <c r="AH262" s="13">
        <f>AH252*$I222*2/MAIN!$Q$1</f>
        <v>0</v>
      </c>
      <c r="AI262" s="13">
        <f>AI252*$I222*2/MAIN!$Q$1</f>
        <v>0</v>
      </c>
      <c r="AJ262" s="13">
        <f>AJ252*$I222*2/MAIN!$Q$1</f>
        <v>0</v>
      </c>
      <c r="AK262" s="13">
        <f>AK252*$I222*2/MAIN!$Q$1</f>
        <v>0</v>
      </c>
      <c r="AL262" s="13">
        <f>AL252*$I222*2/MAIN!$Q$1</f>
        <v>0</v>
      </c>
      <c r="AM262" s="13">
        <f>AM252*$I222*2/MAIN!$Q$1</f>
        <v>0</v>
      </c>
      <c r="AN262" s="13">
        <f>AN252*$I222*2/MAIN!$Q$1</f>
        <v>0</v>
      </c>
      <c r="AO262" s="13">
        <f>AO252*$I222*2/MAIN!$Q$1</f>
        <v>0</v>
      </c>
      <c r="AP262" s="13">
        <f>AP252*$I222*2/MAIN!$Q$1</f>
        <v>0</v>
      </c>
      <c r="AQ262" s="13">
        <f>AQ252*$I222*2/MAIN!$Q$1</f>
        <v>0</v>
      </c>
      <c r="AR262" s="59">
        <f>AR252*$I222*2/MAIN!$Q$1</f>
        <v>0</v>
      </c>
      <c r="AS262" s="13">
        <f>AS252*$I222*2/MAIN!$Q$1</f>
        <v>0</v>
      </c>
      <c r="AT262" s="13">
        <f>AT252*$I222*2/MAIN!$Q$1</f>
        <v>0</v>
      </c>
      <c r="AU262" s="13">
        <f>AU252*$I222*2/MAIN!$Q$1</f>
        <v>0</v>
      </c>
      <c r="AV262" s="13">
        <f>AV252*$I222*2/MAIN!$Q$1</f>
        <v>0</v>
      </c>
      <c r="AW262" s="13">
        <f>AW252*$I222*2/MAIN!$Q$1</f>
        <v>0</v>
      </c>
      <c r="AX262" s="13">
        <f>AX252*$I222*2/MAIN!$Q$1</f>
        <v>0</v>
      </c>
      <c r="AY262" s="13">
        <f>AY252*$I222*2/MAIN!$Q$1</f>
        <v>0</v>
      </c>
      <c r="AZ262" s="13">
        <f>AZ252*$I222*2/MAIN!$Q$1</f>
        <v>0</v>
      </c>
      <c r="BA262" s="13">
        <f>BA252*$I222*2/MAIN!$Q$1</f>
        <v>0</v>
      </c>
      <c r="BB262" s="13">
        <f>BB252*$I222*2/MAIN!$Q$1</f>
        <v>0</v>
      </c>
      <c r="BC262" s="13">
        <f>BC252*$I222*2/MAIN!$Q$1</f>
        <v>0</v>
      </c>
      <c r="BD262" s="13">
        <f>BD252*$I222*2/MAIN!$Q$1</f>
        <v>0</v>
      </c>
      <c r="BE262" s="13">
        <f>BE252*$I222*2/MAIN!$Q$1</f>
        <v>0</v>
      </c>
      <c r="BF262" s="13">
        <f>BF252*$I222*2/MAIN!$Q$1</f>
        <v>0</v>
      </c>
      <c r="BG262" s="13">
        <f>BG252*$I222*2/MAIN!$Q$1</f>
        <v>0</v>
      </c>
      <c r="BH262" s="13">
        <f>BH252*$I222*2/MAIN!$Q$1</f>
        <v>0</v>
      </c>
      <c r="BI262" s="13">
        <f>BI252*$I222*2/MAIN!$Q$1</f>
        <v>0</v>
      </c>
      <c r="BJ262" s="13">
        <f>BJ252*$I222*2/MAIN!$Q$1</f>
        <v>0</v>
      </c>
      <c r="BK262" s="13">
        <f>BK252*$I222*2/MAIN!$Q$1</f>
        <v>0</v>
      </c>
      <c r="BL262" s="13">
        <f>BL252*$I222*2/MAIN!$Q$1</f>
        <v>0</v>
      </c>
      <c r="BM262" s="13">
        <f>BM252*$I222*2/MAIN!$Q$1</f>
        <v>0</v>
      </c>
      <c r="BN262" s="13">
        <f>BN252*$I222*2/MAIN!$Q$1</f>
        <v>0</v>
      </c>
      <c r="BO262" s="3">
        <f>BO252*$I222*2/MAIN!$Q$1</f>
        <v>0</v>
      </c>
      <c r="BP262" s="43"/>
      <c r="BQ262" s="43"/>
      <c r="BR262" s="42"/>
      <c r="BS262"/>
      <c r="BT262"/>
    </row>
    <row r="263" spans="1:72" ht="16.5">
      <c r="B263" s="14">
        <f t="shared" si="185"/>
        <v>8</v>
      </c>
      <c r="C263" s="298" t="s">
        <v>66</v>
      </c>
      <c r="D263" s="3">
        <f>D253*$I222*2/MAIN!$Q$1</f>
        <v>0</v>
      </c>
      <c r="E263" s="13">
        <f>E253*$I222*2/MAIN!$Q$1</f>
        <v>0</v>
      </c>
      <c r="F263" s="13">
        <f>F253*$I222*2/MAIN!$Q$1</f>
        <v>0</v>
      </c>
      <c r="G263" s="13">
        <f>G253*$I222*2/MAIN!$Q$1</f>
        <v>0</v>
      </c>
      <c r="H263" s="13">
        <f>H253*$I222*2/MAIN!$Q$1</f>
        <v>0</v>
      </c>
      <c r="I263" s="13">
        <f>I253*$I222*2/MAIN!$Q$1</f>
        <v>0</v>
      </c>
      <c r="J263" s="13">
        <f>J253*$I222*2/MAIN!$Q$1</f>
        <v>0</v>
      </c>
      <c r="K263" s="13">
        <f>K253*$I222*2/MAIN!$Q$1</f>
        <v>0</v>
      </c>
      <c r="L263" s="13">
        <f>L253*$I222*2/MAIN!$Q$1</f>
        <v>0</v>
      </c>
      <c r="M263" s="13">
        <f>M253*$I222*2/MAIN!$Q$1</f>
        <v>0</v>
      </c>
      <c r="N263" s="13">
        <f>N253*$I222*2/MAIN!$Q$1</f>
        <v>0</v>
      </c>
      <c r="O263" s="13">
        <f>O253*$I222*2/MAIN!$Q$1</f>
        <v>0</v>
      </c>
      <c r="P263" s="13">
        <f>P253*$I222*2/MAIN!$Q$1</f>
        <v>0</v>
      </c>
      <c r="Q263" s="13">
        <f>Q253*$I222*2/MAIN!$Q$1</f>
        <v>0</v>
      </c>
      <c r="R263" s="13">
        <f>R253*$I222*2/MAIN!$Q$1</f>
        <v>0</v>
      </c>
      <c r="S263" s="13">
        <f>S253*$I222*2/MAIN!$Q$1</f>
        <v>0</v>
      </c>
      <c r="T263" s="13">
        <f>T253*$I222*2/MAIN!$Q$1</f>
        <v>0</v>
      </c>
      <c r="U263" s="13">
        <f>U253*$I222*2/MAIN!$Q$1</f>
        <v>0</v>
      </c>
      <c r="V263" s="13">
        <f>V253*$I222*2/MAIN!$Q$1</f>
        <v>0</v>
      </c>
      <c r="W263" s="13">
        <f>W253*$I222*2/MAIN!$Q$1</f>
        <v>0</v>
      </c>
      <c r="X263" s="13">
        <f>X253*$I222*2/MAIN!$Q$1</f>
        <v>0</v>
      </c>
      <c r="Y263" s="13">
        <f>Y253*$I222*2/MAIN!$Q$1</f>
        <v>0</v>
      </c>
      <c r="Z263" s="13">
        <f>Z253*$I222*2/MAIN!$Q$1</f>
        <v>0</v>
      </c>
      <c r="AA263" s="13">
        <f>AA253*$I222*2/MAIN!$Q$1</f>
        <v>0</v>
      </c>
      <c r="AB263" s="13">
        <f>AB253*$I222*2/MAIN!$Q$1</f>
        <v>0</v>
      </c>
      <c r="AC263" s="13">
        <f>AC253*$I222*2/MAIN!$Q$1</f>
        <v>0</v>
      </c>
      <c r="AD263" s="13">
        <f>AD253*$I222*2/MAIN!$Q$1</f>
        <v>0</v>
      </c>
      <c r="AE263" s="13">
        <f>AE253*$I222*2/MAIN!$Q$1</f>
        <v>0</v>
      </c>
      <c r="AF263" s="13">
        <f>AF253*$I222*2/MAIN!$Q$1</f>
        <v>0</v>
      </c>
      <c r="AG263" s="13">
        <f>AG253*$I222*2/MAIN!$Q$1</f>
        <v>0</v>
      </c>
      <c r="AH263" s="13">
        <f>AH253*$I222*2/MAIN!$Q$1</f>
        <v>0</v>
      </c>
      <c r="AI263" s="13">
        <f>AI253*$I222*2/MAIN!$Q$1</f>
        <v>0</v>
      </c>
      <c r="AJ263" s="13">
        <f>AJ253*$I222*2/MAIN!$Q$1</f>
        <v>0</v>
      </c>
      <c r="AK263" s="13">
        <f>AK253*$I222*2/MAIN!$Q$1</f>
        <v>0</v>
      </c>
      <c r="AL263" s="13">
        <f>AL253*$I222*2/MAIN!$Q$1</f>
        <v>0</v>
      </c>
      <c r="AM263" s="13">
        <f>AM253*$I222*2/MAIN!$Q$1</f>
        <v>0</v>
      </c>
      <c r="AN263" s="13">
        <f>AN253*$I222*2/MAIN!$Q$1</f>
        <v>0</v>
      </c>
      <c r="AO263" s="13">
        <f>AO253*$I222*2/MAIN!$Q$1</f>
        <v>0</v>
      </c>
      <c r="AP263" s="13">
        <f>AP253*$I222*2/MAIN!$Q$1</f>
        <v>0</v>
      </c>
      <c r="AQ263" s="13">
        <f>AQ253*$I222*2/MAIN!$Q$1</f>
        <v>0</v>
      </c>
      <c r="AR263" s="59">
        <f>AR253*$I222*2/MAIN!$Q$1</f>
        <v>0</v>
      </c>
      <c r="AS263" s="13">
        <f>AS253*$I222*2/MAIN!$Q$1</f>
        <v>0</v>
      </c>
      <c r="AT263" s="13">
        <f>AT253*$I222*2/MAIN!$Q$1</f>
        <v>0</v>
      </c>
      <c r="AU263" s="13">
        <f>AU253*$I222*2/MAIN!$Q$1</f>
        <v>0</v>
      </c>
      <c r="AV263" s="13">
        <f>AV253*$I222*2/MAIN!$Q$1</f>
        <v>0</v>
      </c>
      <c r="AW263" s="13">
        <f>AW253*$I222*2/MAIN!$Q$1</f>
        <v>0</v>
      </c>
      <c r="AX263" s="13">
        <f>AX253*$I222*2/MAIN!$Q$1</f>
        <v>0</v>
      </c>
      <c r="AY263" s="13">
        <f>AY253*$I222*2/MAIN!$Q$1</f>
        <v>0</v>
      </c>
      <c r="AZ263" s="13">
        <f>AZ253*$I222*2/MAIN!$Q$1</f>
        <v>0</v>
      </c>
      <c r="BA263" s="13">
        <f>BA253*$I222*2/MAIN!$Q$1</f>
        <v>0</v>
      </c>
      <c r="BB263" s="13">
        <f>BB253*$I222*2/MAIN!$Q$1</f>
        <v>0</v>
      </c>
      <c r="BC263" s="13">
        <f>BC253*$I222*2/MAIN!$Q$1</f>
        <v>0</v>
      </c>
      <c r="BD263" s="13">
        <f>BD253*$I222*2/MAIN!$Q$1</f>
        <v>0</v>
      </c>
      <c r="BE263" s="13">
        <f>BE253*$I222*2/MAIN!$Q$1</f>
        <v>0</v>
      </c>
      <c r="BF263" s="13">
        <f>BF253*$I222*2/MAIN!$Q$1</f>
        <v>0</v>
      </c>
      <c r="BG263" s="13">
        <f>BG253*$I222*2/MAIN!$Q$1</f>
        <v>0</v>
      </c>
      <c r="BH263" s="13">
        <f>BH253*$I222*2/MAIN!$Q$1</f>
        <v>0</v>
      </c>
      <c r="BI263" s="13">
        <f>BI253*$I222*2/MAIN!$Q$1</f>
        <v>0</v>
      </c>
      <c r="BJ263" s="13">
        <f>BJ253*$I222*2/MAIN!$Q$1</f>
        <v>0</v>
      </c>
      <c r="BK263" s="13">
        <f>BK253*$I222*2/MAIN!$Q$1</f>
        <v>0</v>
      </c>
      <c r="BL263" s="13">
        <f>BL253*$I222*2/MAIN!$Q$1</f>
        <v>0</v>
      </c>
      <c r="BM263" s="13">
        <f>BM253*$I222*2/MAIN!$Q$1</f>
        <v>0</v>
      </c>
      <c r="BN263" s="13">
        <f>BN253*$I222*2/MAIN!$Q$1</f>
        <v>0</v>
      </c>
      <c r="BO263" s="3">
        <f>BO253*$I222*2/MAIN!$Q$1</f>
        <v>0</v>
      </c>
      <c r="BP263" s="43"/>
      <c r="BQ263" s="43"/>
      <c r="BR263" s="42"/>
      <c r="BS263"/>
      <c r="BT263"/>
    </row>
    <row r="264" spans="1:72" ht="16.5">
      <c r="B264" s="14">
        <f t="shared" si="185"/>
        <v>9</v>
      </c>
      <c r="C264" s="298" t="s">
        <v>66</v>
      </c>
      <c r="D264" s="3">
        <f>D254*$I222*2/MAIN!$Q$1</f>
        <v>0</v>
      </c>
      <c r="E264" s="13">
        <f>E254*$I222*2/MAIN!$Q$1</f>
        <v>0</v>
      </c>
      <c r="F264" s="13">
        <f>F254*$I222*2/MAIN!$Q$1</f>
        <v>0</v>
      </c>
      <c r="G264" s="13">
        <f>G254*$I222*2/MAIN!$Q$1</f>
        <v>0</v>
      </c>
      <c r="H264" s="13">
        <f>H254*$I222*2/MAIN!$Q$1</f>
        <v>0</v>
      </c>
      <c r="I264" s="13">
        <f>I254*$I222*2/MAIN!$Q$1</f>
        <v>0</v>
      </c>
      <c r="J264" s="13">
        <f>J254*$I222*2/MAIN!$Q$1</f>
        <v>0</v>
      </c>
      <c r="K264" s="13">
        <f>K254*$I222*2/MAIN!$Q$1</f>
        <v>0</v>
      </c>
      <c r="L264" s="13">
        <f>L254*$I222*2/MAIN!$Q$1</f>
        <v>0</v>
      </c>
      <c r="M264" s="13">
        <f>M254*$I222*2/MAIN!$Q$1</f>
        <v>0</v>
      </c>
      <c r="N264" s="13">
        <f>N254*$I222*2/MAIN!$Q$1</f>
        <v>0</v>
      </c>
      <c r="O264" s="13">
        <f>O254*$I222*2/MAIN!$Q$1</f>
        <v>0</v>
      </c>
      <c r="P264" s="13">
        <f>P254*$I222*2/MAIN!$Q$1</f>
        <v>0</v>
      </c>
      <c r="Q264" s="13">
        <f>Q254*$I222*2/MAIN!$Q$1</f>
        <v>0</v>
      </c>
      <c r="R264" s="13">
        <f>R254*$I222*2/MAIN!$Q$1</f>
        <v>0</v>
      </c>
      <c r="S264" s="13">
        <f>S254*$I222*2/MAIN!$Q$1</f>
        <v>0</v>
      </c>
      <c r="T264" s="13">
        <f>T254*$I222*2/MAIN!$Q$1</f>
        <v>0</v>
      </c>
      <c r="U264" s="13">
        <f>U254*$I222*2/MAIN!$Q$1</f>
        <v>0</v>
      </c>
      <c r="V264" s="13">
        <f>V254*$I222*2/MAIN!$Q$1</f>
        <v>0</v>
      </c>
      <c r="W264" s="13">
        <f>W254*$I222*2/MAIN!$Q$1</f>
        <v>0</v>
      </c>
      <c r="X264" s="13">
        <f>X254*$I222*2/MAIN!$Q$1</f>
        <v>0</v>
      </c>
      <c r="Y264" s="13">
        <f>Y254*$I222*2/MAIN!$Q$1</f>
        <v>0</v>
      </c>
      <c r="Z264" s="13">
        <f>Z254*$I222*2/MAIN!$Q$1</f>
        <v>0</v>
      </c>
      <c r="AA264" s="13">
        <f>AA254*$I222*2/MAIN!$Q$1</f>
        <v>0</v>
      </c>
      <c r="AB264" s="13">
        <f>AB254*$I222*2/MAIN!$Q$1</f>
        <v>0</v>
      </c>
      <c r="AC264" s="13">
        <f>AC254*$I222*2/MAIN!$Q$1</f>
        <v>0</v>
      </c>
      <c r="AD264" s="13">
        <f>AD254*$I222*2/MAIN!$Q$1</f>
        <v>0</v>
      </c>
      <c r="AE264" s="13">
        <f>AE254*$I222*2/MAIN!$Q$1</f>
        <v>0</v>
      </c>
      <c r="AF264" s="13">
        <f>AF254*$I222*2/MAIN!$Q$1</f>
        <v>0</v>
      </c>
      <c r="AG264" s="13">
        <f>AG254*$I222*2/MAIN!$Q$1</f>
        <v>0</v>
      </c>
      <c r="AH264" s="13">
        <f>AH254*$I222*2/MAIN!$Q$1</f>
        <v>0</v>
      </c>
      <c r="AI264" s="13">
        <f>AI254*$I222*2/MAIN!$Q$1</f>
        <v>0</v>
      </c>
      <c r="AJ264" s="13">
        <f>AJ254*$I222*2/MAIN!$Q$1</f>
        <v>0</v>
      </c>
      <c r="AK264" s="13">
        <f>AK254*$I222*2/MAIN!$Q$1</f>
        <v>0</v>
      </c>
      <c r="AL264" s="13">
        <f>AL254*$I222*2/MAIN!$Q$1</f>
        <v>0</v>
      </c>
      <c r="AM264" s="13">
        <f>AM254*$I222*2/MAIN!$Q$1</f>
        <v>0</v>
      </c>
      <c r="AN264" s="13">
        <f>AN254*$I222*2/MAIN!$Q$1</f>
        <v>0</v>
      </c>
      <c r="AO264" s="13">
        <f>AO254*$I222*2/MAIN!$Q$1</f>
        <v>0</v>
      </c>
      <c r="AP264" s="13">
        <f>AP254*$I222*2/MAIN!$Q$1</f>
        <v>0</v>
      </c>
      <c r="AQ264" s="13">
        <f>AQ254*$I222*2/MAIN!$Q$1</f>
        <v>0</v>
      </c>
      <c r="AR264" s="59">
        <f>AR254*$I222*2/MAIN!$Q$1</f>
        <v>0</v>
      </c>
      <c r="AS264" s="13">
        <f>AS254*$I222*2/MAIN!$Q$1</f>
        <v>0</v>
      </c>
      <c r="AT264" s="13">
        <f>AT254*$I222*2/MAIN!$Q$1</f>
        <v>0</v>
      </c>
      <c r="AU264" s="13">
        <f>AU254*$I222*2/MAIN!$Q$1</f>
        <v>0</v>
      </c>
      <c r="AV264" s="13">
        <f>AV254*$I222*2/MAIN!$Q$1</f>
        <v>0</v>
      </c>
      <c r="AW264" s="13">
        <f>AW254*$I222*2/MAIN!$Q$1</f>
        <v>0</v>
      </c>
      <c r="AX264" s="13">
        <f>AX254*$I222*2/MAIN!$Q$1</f>
        <v>0</v>
      </c>
      <c r="AY264" s="13">
        <f>AY254*$I222*2/MAIN!$Q$1</f>
        <v>0</v>
      </c>
      <c r="AZ264" s="13">
        <f>AZ254*$I222*2/MAIN!$Q$1</f>
        <v>0</v>
      </c>
      <c r="BA264" s="13">
        <f>BA254*$I222*2/MAIN!$Q$1</f>
        <v>0</v>
      </c>
      <c r="BB264" s="13">
        <f>BB254*$I222*2/MAIN!$Q$1</f>
        <v>0</v>
      </c>
      <c r="BC264" s="13">
        <f>BC254*$I222*2/MAIN!$Q$1</f>
        <v>0</v>
      </c>
      <c r="BD264" s="13">
        <f>BD254*$I222*2/MAIN!$Q$1</f>
        <v>0</v>
      </c>
      <c r="BE264" s="13">
        <f>BE254*$I222*2/MAIN!$Q$1</f>
        <v>0</v>
      </c>
      <c r="BF264" s="13">
        <f>BF254*$I222*2/MAIN!$Q$1</f>
        <v>0</v>
      </c>
      <c r="BG264" s="13">
        <f>BG254*$I222*2/MAIN!$Q$1</f>
        <v>0</v>
      </c>
      <c r="BH264" s="13">
        <f>BH254*$I222*2/MAIN!$Q$1</f>
        <v>0</v>
      </c>
      <c r="BI264" s="13">
        <f>BI254*$I222*2/MAIN!$Q$1</f>
        <v>0</v>
      </c>
      <c r="BJ264" s="13">
        <f>BJ254*$I222*2/MAIN!$Q$1</f>
        <v>0</v>
      </c>
      <c r="BK264" s="13">
        <f>BK254*$I222*2/MAIN!$Q$1</f>
        <v>0</v>
      </c>
      <c r="BL264" s="13">
        <f>BL254*$I222*2/MAIN!$Q$1</f>
        <v>0</v>
      </c>
      <c r="BM264" s="13">
        <f>BM254*$I222*2/MAIN!$Q$1</f>
        <v>0</v>
      </c>
      <c r="BN264" s="13">
        <f>BN254*$I222*2/MAIN!$Q$1</f>
        <v>0</v>
      </c>
      <c r="BO264" s="3">
        <f>BO254*$I222*2/MAIN!$Q$1</f>
        <v>0</v>
      </c>
      <c r="BP264" s="43"/>
      <c r="BQ264" s="43"/>
      <c r="BR264" s="42"/>
      <c r="BS264"/>
      <c r="BT264"/>
    </row>
    <row r="265" spans="1:72" ht="16.5">
      <c r="B265" s="290" t="s">
        <v>67</v>
      </c>
      <c r="C265" s="298" t="s">
        <v>68</v>
      </c>
      <c r="D265" s="3">
        <f>D255*$I222*MAIN!$C$16/MAIN!$Q$1</f>
        <v>-349672.92144303798</v>
      </c>
      <c r="E265" s="13">
        <f>E255*$I222*MAIN!$C$16/MAIN!$Q$1</f>
        <v>-349672.92144303798</v>
      </c>
      <c r="F265" s="13">
        <f>F255*$I222*MAIN!$C$16/MAIN!$Q$1</f>
        <v>-349672.92144303798</v>
      </c>
      <c r="G265" s="13">
        <f>G255*$I222*MAIN!$C$16/MAIN!$Q$1</f>
        <v>-349672.92144303798</v>
      </c>
      <c r="H265" s="13">
        <f>H255*$I222*MAIN!$C$16/MAIN!$Q$1</f>
        <v>-349672.92144303798</v>
      </c>
      <c r="I265" s="13">
        <f>I255*$I222*MAIN!$C$16/MAIN!$Q$1</f>
        <v>-349672.92144303798</v>
      </c>
      <c r="J265" s="13">
        <f>J255*$I222*MAIN!$C$16/MAIN!$Q$1</f>
        <v>-349672.92144303798</v>
      </c>
      <c r="K265" s="13">
        <f>K255*$I222*MAIN!$C$16/MAIN!$Q$1</f>
        <v>-349672.92144303798</v>
      </c>
      <c r="L265" s="13">
        <f>L255*$I222*MAIN!$C$16/MAIN!$Q$1</f>
        <v>-349672.92144303798</v>
      </c>
      <c r="M265" s="13">
        <f>M255*$I222*MAIN!$C$16/MAIN!$Q$1</f>
        <v>-349672.92144303798</v>
      </c>
      <c r="N265" s="13">
        <f>N255*$I222*MAIN!$C$16/MAIN!$Q$1</f>
        <v>-349672.92144303798</v>
      </c>
      <c r="O265" s="13">
        <f>O255*$I222*MAIN!$C$16/MAIN!$Q$1</f>
        <v>-349672.92144303798</v>
      </c>
      <c r="P265" s="13">
        <f>P255*$I222*MAIN!$C$16/MAIN!$Q$1</f>
        <v>-349672.92144303798</v>
      </c>
      <c r="Q265" s="13">
        <f>Q255*$I222*MAIN!$C$16/MAIN!$Q$1</f>
        <v>-349672.92144303798</v>
      </c>
      <c r="R265" s="13">
        <f>R255*$I222*MAIN!$C$16/MAIN!$Q$1</f>
        <v>-349672.92144303798</v>
      </c>
      <c r="S265" s="13">
        <f>S255*$I222*MAIN!$C$16/MAIN!$Q$1</f>
        <v>-349672.92144303798</v>
      </c>
      <c r="T265" s="13">
        <f>T255*$I222*MAIN!$C$16/MAIN!$Q$1</f>
        <v>-349672.92144303798</v>
      </c>
      <c r="U265" s="13">
        <f>U255*$I222*MAIN!$C$16/MAIN!$Q$1</f>
        <v>-349672.92144303798</v>
      </c>
      <c r="V265" s="13">
        <f>V255*$I222*MAIN!$C$16/MAIN!$Q$1</f>
        <v>-349672.92144303798</v>
      </c>
      <c r="W265" s="13">
        <f>W255*$I222*MAIN!$C$16/MAIN!$Q$1</f>
        <v>-349672.92144303798</v>
      </c>
      <c r="X265" s="13">
        <f>X255*$I222*MAIN!$C$16/MAIN!$Q$1</f>
        <v>-349672.92144303798</v>
      </c>
      <c r="Y265" s="13">
        <f>Y255*$I222*MAIN!$C$16/MAIN!$Q$1</f>
        <v>-349672.92144303798</v>
      </c>
      <c r="Z265" s="13">
        <f>Z255*$I222*MAIN!$C$16/MAIN!$Q$1</f>
        <v>-349672.92144303798</v>
      </c>
      <c r="AA265" s="13">
        <f>AA255*$I222*MAIN!$C$16/MAIN!$Q$1</f>
        <v>-349672.92144303798</v>
      </c>
      <c r="AB265" s="13">
        <f>AB255*$I222*MAIN!$C$16/MAIN!$Q$1</f>
        <v>-349672.92144303798</v>
      </c>
      <c r="AC265" s="13">
        <f>AC255*$I222*MAIN!$C$16/MAIN!$Q$1</f>
        <v>-349672.92144303798</v>
      </c>
      <c r="AD265" s="13">
        <f>AD255*$I222*MAIN!$C$16/MAIN!$Q$1</f>
        <v>-349672.92144303798</v>
      </c>
      <c r="AE265" s="13">
        <f>AE255*$I222*MAIN!$C$16/MAIN!$Q$1</f>
        <v>-349672.92144303798</v>
      </c>
      <c r="AF265" s="13">
        <f>AF255*$I222*MAIN!$C$16/MAIN!$Q$1</f>
        <v>-349672.92144303798</v>
      </c>
      <c r="AG265" s="13">
        <f>AG255*$I222*MAIN!$C$16/MAIN!$Q$1</f>
        <v>-349672.92144303798</v>
      </c>
      <c r="AH265" s="13">
        <f>AH255*$I222*MAIN!$C$16/MAIN!$Q$1</f>
        <v>-349672.92144303798</v>
      </c>
      <c r="AI265" s="13">
        <f>AI255*$I222*MAIN!$C$16/MAIN!$Q$1</f>
        <v>-349672.92144303798</v>
      </c>
      <c r="AJ265" s="13">
        <f>AJ255*$I222*MAIN!$C$16/MAIN!$Q$1</f>
        <v>-349672.92144303798</v>
      </c>
      <c r="AK265" s="13">
        <f>AK255*$I222*MAIN!$C$16/MAIN!$Q$1</f>
        <v>-349672.92144303798</v>
      </c>
      <c r="AL265" s="13">
        <f>AL255*$I222*MAIN!$C$16/MAIN!$Q$1</f>
        <v>-349672.92144303798</v>
      </c>
      <c r="AM265" s="13">
        <f>AM255*$I222*MAIN!$C$16/MAIN!$Q$1</f>
        <v>-349672.92144303798</v>
      </c>
      <c r="AN265" s="13">
        <f>AN255*$I222*MAIN!$C$16/MAIN!$Q$1</f>
        <v>-349672.92144303798</v>
      </c>
      <c r="AO265" s="13">
        <f>AO255*$I222*MAIN!$C$16/MAIN!$Q$1</f>
        <v>-349672.92144303798</v>
      </c>
      <c r="AP265" s="13">
        <f>AP255*$I222*MAIN!$C$16/MAIN!$Q$1</f>
        <v>-349672.92144303798</v>
      </c>
      <c r="AQ265" s="13">
        <f>AQ255*$I222*MAIN!$C$16/MAIN!$Q$1</f>
        <v>-349672.92144303798</v>
      </c>
      <c r="AR265" s="59">
        <f>AR255*$I222*MAIN!$C$16/MAIN!$Q$1</f>
        <v>-349672.92144303798</v>
      </c>
      <c r="AS265" s="13">
        <f>AS255*$I222*MAIN!$C$16/MAIN!$Q$1</f>
        <v>-287316.13725025055</v>
      </c>
      <c r="AT265" s="13">
        <f>AT255*$I222*MAIN!$C$16/MAIN!$Q$1</f>
        <v>-232935.46820692008</v>
      </c>
      <c r="AU265" s="13">
        <f>AU255*$I222*MAIN!$C$16/MAIN!$Q$1</f>
        <v>-185092.55653309307</v>
      </c>
      <c r="AV265" s="13">
        <f>AV255*$I222*MAIN!$C$16/MAIN!$Q$1</f>
        <v>-142675.2788963168</v>
      </c>
      <c r="AW265" s="13">
        <f>AW255*$I222*MAIN!$C$16/MAIN!$Q$1</f>
        <v>-104810.21781853036</v>
      </c>
      <c r="AX265" s="13">
        <f>AX255*$I222*MAIN!$C$16/MAIN!$Q$1</f>
        <v>-70801.878591453162</v>
      </c>
      <c r="AY265" s="13">
        <f>AY255*$I222*MAIN!$C$16/MAIN!$Q$1</f>
        <v>-40089.579222246073</v>
      </c>
      <c r="AZ265" s="13">
        <f>AZ255*$I222*MAIN!$C$16/MAIN!$Q$1</f>
        <v>-12216.295536183339</v>
      </c>
      <c r="BA265" s="13">
        <f>BA255*$I222*MAIN!$C$16/MAIN!$Q$1</f>
        <v>13194.235619143528</v>
      </c>
      <c r="BB265" s="13">
        <f>BB255*$I222*MAIN!$C$16/MAIN!$Q$1</f>
        <v>36454.600786805328</v>
      </c>
      <c r="BC265" s="13">
        <f>BC255*$I222*MAIN!$C$16/MAIN!$Q$1</f>
        <v>57826.633452056078</v>
      </c>
      <c r="BD265" s="13">
        <f>BD255*$I222*MAIN!$C$16/MAIN!$Q$1</f>
        <v>77531.312875635515</v>
      </c>
      <c r="BE265" s="13">
        <f>BE255*$I222*MAIN!$C$16/MAIN!$Q$1</f>
        <v>93898.009300912818</v>
      </c>
      <c r="BF265" s="13">
        <f>BF255*$I222*MAIN!$C$16/MAIN!$Q$1</f>
        <v>88533.212273650817</v>
      </c>
      <c r="BG265" s="13">
        <f>BG255*$I222*MAIN!$C$16/MAIN!$Q$1</f>
        <v>99746.739198596275</v>
      </c>
      <c r="BH265" s="13">
        <f>BH255*$I222*MAIN!$C$16/MAIN!$Q$1</f>
        <v>109607.73365700735</v>
      </c>
      <c r="BI265" s="13">
        <f>BI255*$I222*MAIN!$C$16/MAIN!$Q$1</f>
        <v>118346.98318850146</v>
      </c>
      <c r="BJ265" s="13">
        <f>BJ255*$I222*MAIN!$C$16/MAIN!$Q$1</f>
        <v>126145.59426236535</v>
      </c>
      <c r="BK265" s="13">
        <f>BK255*$I222*MAIN!$C$16/MAIN!$Q$1</f>
        <v>133147.67797614346</v>
      </c>
      <c r="BL265" s="13">
        <f>BL255*$I222*MAIN!$C$16/MAIN!$Q$1</f>
        <v>190070.54433238733</v>
      </c>
      <c r="BM265" s="13">
        <f>BM255*$I222*MAIN!$C$16/MAIN!$Q$1</f>
        <v>212344.70942830879</v>
      </c>
      <c r="BN265" s="13">
        <f>BN255*$I222*MAIN!$C$16/MAIN!$Q$1</f>
        <v>224224.26414613362</v>
      </c>
      <c r="BO265" s="3">
        <f>BO255*$I222*MAIN!$C$16/MAIN!$Q$1</f>
        <v>263257.08679041517</v>
      </c>
      <c r="BS265"/>
      <c r="BT265"/>
    </row>
    <row r="266" spans="1:72" ht="16.5">
      <c r="B266" s="290" t="s">
        <v>69</v>
      </c>
      <c r="C266" s="298" t="s">
        <v>70</v>
      </c>
      <c r="D266" s="3">
        <f>MAX($F222-$C$8/2*D225,$F222-MAIN!$C$14/2)</f>
        <v>244.30220518127851</v>
      </c>
      <c r="E266" s="304">
        <f>MAX($F222-$C$8/2*E225,$F222-MAIN!$C$14/2)</f>
        <v>242.9778301283749</v>
      </c>
      <c r="F266" s="304">
        <f>MAX($F222-$C$8/2*F225,$F222-MAIN!$C$14/2)</f>
        <v>241.6534550754713</v>
      </c>
      <c r="G266" s="304">
        <f>MAX($F222-$C$8/2*G225,$F222-MAIN!$C$14/2)</f>
        <v>240.32908002256767</v>
      </c>
      <c r="H266" s="304">
        <f>MAX($F222-$C$8/2*H225,$F222-MAIN!$C$14/2)</f>
        <v>239.00470496966406</v>
      </c>
      <c r="I266" s="304">
        <f>MAX($F222-$C$8/2*I225,$F222-MAIN!$C$14/2)</f>
        <v>237.68032991676046</v>
      </c>
      <c r="J266" s="304">
        <f>MAX($F222-$C$8/2*J225,$F222-MAIN!$C$14/2)</f>
        <v>236.35595486385685</v>
      </c>
      <c r="K266" s="304">
        <f>MAX($F222-$C$8/2*K225,$F222-MAIN!$C$14/2)</f>
        <v>235.03157981095325</v>
      </c>
      <c r="L266" s="304">
        <f>MAX($F222-$C$8/2*L225,$F222-MAIN!$C$14/2)</f>
        <v>233.70720475804961</v>
      </c>
      <c r="M266" s="304">
        <f>MAX($F222-$C$8/2*M225,$F222-MAIN!$C$14/2)</f>
        <v>232.38282970514601</v>
      </c>
      <c r="N266" s="304">
        <f>MAX($F222-$C$8/2*N225,$F222-MAIN!$C$14/2)</f>
        <v>231.0584546522424</v>
      </c>
      <c r="O266" s="304">
        <f>MAX($F222-$C$8/2*O225,$F222-MAIN!$C$14/2)</f>
        <v>229.7340795993388</v>
      </c>
      <c r="P266" s="304">
        <f>MAX($F222-$C$8/2*P225,$F222-MAIN!$C$14/2)</f>
        <v>228.40970454643519</v>
      </c>
      <c r="Q266" s="304">
        <f>MAX($F222-$C$8/2*Q225,$F222-MAIN!$C$14/2)</f>
        <v>227.08532949353156</v>
      </c>
      <c r="R266" s="304">
        <f>MAX($F222-$C$8/2*R225,$F222-MAIN!$C$14/2)</f>
        <v>225.76095444062796</v>
      </c>
      <c r="S266" s="304">
        <f>MAX($F222-$C$8/2*S225,$F222-MAIN!$C$14/2)</f>
        <v>224.43657938772435</v>
      </c>
      <c r="T266" s="304">
        <f>MAX($F222-$C$8/2*T225,$F222-MAIN!$C$14/2)</f>
        <v>223.11220433482075</v>
      </c>
      <c r="U266" s="304">
        <f>MAX($F222-$C$8/2*U225,$F222-MAIN!$C$14/2)</f>
        <v>221.78782928191714</v>
      </c>
      <c r="V266" s="304">
        <f>MAX($F222-$C$8/2*V225,$F222-MAIN!$C$14/2)</f>
        <v>220.46345422901351</v>
      </c>
      <c r="W266" s="304">
        <f>MAX($F222-$C$8/2*W225,$F222-MAIN!$C$14/2)</f>
        <v>219.1390791761099</v>
      </c>
      <c r="X266" s="304">
        <f>MAX($F222-$C$8/2*X225,$F222-MAIN!$C$14/2)</f>
        <v>217.8147041232063</v>
      </c>
      <c r="Y266" s="304">
        <f>MAX($F222-$C$8/2*Y225,$F222-MAIN!$C$14/2)</f>
        <v>216.49032907030269</v>
      </c>
      <c r="Z266" s="304">
        <f>MAX($F222-$C$8/2*Z225,$F222-MAIN!$C$14/2)</f>
        <v>215.16595401739909</v>
      </c>
      <c r="AA266" s="304">
        <f>MAX($F222-$C$8/2*AA225,$F222-MAIN!$C$14/2)</f>
        <v>213.84157896449545</v>
      </c>
      <c r="AB266" s="304">
        <f>MAX($F222-$C$8/2*AB225,$F222-MAIN!$C$14/2)</f>
        <v>212.51720391159185</v>
      </c>
      <c r="AC266" s="304">
        <f>MAX($F222-$C$8/2*AC225,$F222-MAIN!$C$14/2)</f>
        <v>211.19282885868824</v>
      </c>
      <c r="AD266" s="304">
        <f>MAX($F222-$C$8/2*AD225,$F222-MAIN!$C$14/2)</f>
        <v>209.86845380578464</v>
      </c>
      <c r="AE266" s="304">
        <f>MAX($F222-$C$8/2*AE225,$F222-MAIN!$C$14/2)</f>
        <v>208.54407875288103</v>
      </c>
      <c r="AF266" s="304">
        <f>MAX($F222-$C$8/2*AF225,$F222-MAIN!$C$14/2)</f>
        <v>207.2197036999774</v>
      </c>
      <c r="AG266" s="304">
        <f>MAX($F222-$C$8/2*AG225,$F222-MAIN!$C$14/2)</f>
        <v>205.8953286470738</v>
      </c>
      <c r="AH266" s="304">
        <f>MAX($F222-$C$8/2*AH225,$F222-MAIN!$C$14/2)</f>
        <v>204.57095359417019</v>
      </c>
      <c r="AI266" s="304">
        <f>MAX($F222-$C$8/2*AI225,$F222-MAIN!$C$14/2)</f>
        <v>203.24657854126659</v>
      </c>
      <c r="AJ266" s="304">
        <f>MAX($F222-$C$8/2*AJ225,$F222-MAIN!$C$14/2)</f>
        <v>201.92220348836298</v>
      </c>
      <c r="AK266" s="304">
        <f>MAX($F222-$C$8/2*AK225,$F222-MAIN!$C$14/2)</f>
        <v>200.59782843545935</v>
      </c>
      <c r="AL266" s="304">
        <f>MAX($F222-$C$8/2*AL225,$F222-MAIN!$C$14/2)</f>
        <v>199.27345338255574</v>
      </c>
      <c r="AM266" s="304">
        <f>MAX($F222-$C$8/2*AM225,$F222-MAIN!$C$14/2)</f>
        <v>197.94907832965214</v>
      </c>
      <c r="AN266" s="304">
        <f>MAX($F222-$C$8/2*AN225,$F222-MAIN!$C$14/2)</f>
        <v>196.62470327674853</v>
      </c>
      <c r="AO266" s="304">
        <f>MAX($F222-$C$8/2*AO225,$F222-MAIN!$C$14/2)</f>
        <v>195.30032822384493</v>
      </c>
      <c r="AP266" s="304">
        <f>MAX($F222-$C$8/2*AP225,$F222-MAIN!$C$14/2)</f>
        <v>193.9759531709413</v>
      </c>
      <c r="AQ266" s="304">
        <f>MAX($F222-$C$8/2*AQ225,$F222-MAIN!$C$14/2)</f>
        <v>192.65157811803769</v>
      </c>
      <c r="AR266" s="56">
        <f>MAX($F222-$C$8/2*AR225,$F222-MAIN!$C$14/2)</f>
        <v>191.32720306513411</v>
      </c>
      <c r="AS266" s="304">
        <f>MAX($F222-$C$8/2*AS225,$F222-MAIN!$C$14/2)</f>
        <v>186.73103448275862</v>
      </c>
      <c r="AT266" s="304">
        <f>MAX($F222-$C$8/2*AT225,$F222-MAIN!$C$14/2)</f>
        <v>182.13486590038315</v>
      </c>
      <c r="AU266" s="304">
        <f>MAX($F222-$C$8/2*AU225,$F222-MAIN!$C$14/2)</f>
        <v>177.53869731800768</v>
      </c>
      <c r="AV266" s="304">
        <f>MAX($F222-$C$8/2*AV225,$F222-MAIN!$C$14/2)</f>
        <v>172.94252873563218</v>
      </c>
      <c r="AW266" s="304">
        <f>MAX($F222-$C$8/2*AW225,$F222-MAIN!$C$14/2)</f>
        <v>168.34636015325668</v>
      </c>
      <c r="AX266" s="304">
        <f>MAX($F222-$C$8/2*AX225,$F222-MAIN!$C$14/2)</f>
        <v>163.75019157088121</v>
      </c>
      <c r="AY266" s="304">
        <f>MAX($F222-$C$8/2*AY225,$F222-MAIN!$C$14/2)</f>
        <v>159.15402298850574</v>
      </c>
      <c r="AZ266" s="304">
        <f>MAX($F222-$C$8/2*AZ225,$F222-MAIN!$C$14/2)</f>
        <v>154.55785440613028</v>
      </c>
      <c r="BA266" s="304">
        <f>MAX($F222-$C$8/2*BA225,$F222-MAIN!$C$14/2)</f>
        <v>149.96168582375478</v>
      </c>
      <c r="BB266" s="304">
        <f>MAX($F222-$C$8/2*BB225,$F222-MAIN!$C$14/2)</f>
        <v>145.36551724137928</v>
      </c>
      <c r="BC266" s="304">
        <f>MAX($F222-$C$8/2*BC225,$F222-MAIN!$C$14/2)</f>
        <v>140.76934865900381</v>
      </c>
      <c r="BD266" s="304">
        <f>MAX($F222-$C$8/2*BD225,$F222-MAIN!$C$14/2)</f>
        <v>136.17318007662834</v>
      </c>
      <c r="BE266" s="304">
        <f>MAX($F222-$C$8/2*BE225,$F222-MAIN!$C$14/2)</f>
        <v>131.57701149425287</v>
      </c>
      <c r="BF266" s="304">
        <f>MAX($F222-$C$8/2*BF225,$F222-MAIN!$C$14/2)</f>
        <v>126.98084291187737</v>
      </c>
      <c r="BG266" s="304">
        <f>MAX($F222-$C$8/2*BG225,$F222-MAIN!$C$14/2)</f>
        <v>122.38467432950191</v>
      </c>
      <c r="BH266" s="304">
        <f>MAX($F222-$C$8/2*BH225,$F222-MAIN!$C$14/2)</f>
        <v>117.78850574712641</v>
      </c>
      <c r="BI266" s="304">
        <f>MAX($F222-$C$8/2*BI225,$F222-MAIN!$C$14/2)</f>
        <v>113.19233716475094</v>
      </c>
      <c r="BJ266" s="304">
        <f>MAX($F222-$C$8/2*BJ225,$F222-MAIN!$C$14/2)</f>
        <v>108.59616858237544</v>
      </c>
      <c r="BK266" s="304">
        <f>MAX($F222-$C$8/2*BK225,$F222-MAIN!$C$14/2)</f>
        <v>104</v>
      </c>
      <c r="BL266" s="304">
        <f>MAX($F222-$C$8/2*BL225,$F222-MAIN!$C$14/2)</f>
        <v>104</v>
      </c>
      <c r="BM266" s="304">
        <f>MAX($F222-$C$8/2*BM225,$F222-MAIN!$C$14/2)</f>
        <v>104</v>
      </c>
      <c r="BN266" s="304">
        <f>MAX($F222-$C$8/2*BN225,$F222-MAIN!$C$14/2)</f>
        <v>104</v>
      </c>
      <c r="BO266" s="3">
        <f>$F222-MAIN!$C$14/2</f>
        <v>104</v>
      </c>
      <c r="BS266"/>
      <c r="BT266"/>
    </row>
    <row r="267" spans="1:72" ht="16.5">
      <c r="A267" s="227">
        <f>IF(I222=0,0,1)</f>
        <v>1</v>
      </c>
      <c r="B267" s="295" t="s">
        <v>31</v>
      </c>
      <c r="C267" s="298" t="s">
        <v>71</v>
      </c>
      <c r="D267" s="3">
        <f>$A267*(D226+SUM(D256:D265))/1000</f>
        <v>-171.78580474762688</v>
      </c>
      <c r="E267" s="304">
        <f t="shared" ref="E267:BO267" si="186">$A267*(E226+SUM(E256:E265))/1000</f>
        <v>-99.739801869670401</v>
      </c>
      <c r="F267" s="304">
        <f t="shared" si="186"/>
        <v>45.955811659094529</v>
      </c>
      <c r="G267" s="304">
        <f t="shared" si="186"/>
        <v>199.27990845771112</v>
      </c>
      <c r="H267" s="304">
        <f t="shared" si="186"/>
        <v>338.24714469195544</v>
      </c>
      <c r="I267" s="304">
        <f t="shared" si="186"/>
        <v>466.35278733827141</v>
      </c>
      <c r="J267" s="304">
        <f t="shared" si="186"/>
        <v>586.04267409515239</v>
      </c>
      <c r="K267" s="304">
        <f t="shared" si="186"/>
        <v>699.07956913170847</v>
      </c>
      <c r="L267" s="304">
        <f t="shared" si="186"/>
        <v>806.76606129632466</v>
      </c>
      <c r="M267" s="304">
        <f t="shared" si="186"/>
        <v>910.08552722756144</v>
      </c>
      <c r="N267" s="304">
        <f t="shared" si="186"/>
        <v>1009.7942691506422</v>
      </c>
      <c r="O267" s="304">
        <f t="shared" si="186"/>
        <v>1088.2538657585835</v>
      </c>
      <c r="P267" s="304">
        <f t="shared" si="186"/>
        <v>1182.3923564297756</v>
      </c>
      <c r="Q267" s="304">
        <f t="shared" si="186"/>
        <v>1274.3566618600298</v>
      </c>
      <c r="R267" s="304">
        <f t="shared" si="186"/>
        <v>1364.4526815551319</v>
      </c>
      <c r="S267" s="304">
        <f t="shared" si="186"/>
        <v>1452.9315005689837</v>
      </c>
      <c r="T267" s="304">
        <f t="shared" si="186"/>
        <v>1540.0011408913394</v>
      </c>
      <c r="U267" s="304">
        <f t="shared" si="186"/>
        <v>1625.8354139477406</v>
      </c>
      <c r="V267" s="304">
        <f t="shared" si="186"/>
        <v>1710.5806755614174</v>
      </c>
      <c r="W267" s="304">
        <f t="shared" si="186"/>
        <v>1794.3610411790917</v>
      </c>
      <c r="X267" s="304">
        <f t="shared" si="186"/>
        <v>1877.2824558390564</v>
      </c>
      <c r="Y267" s="304">
        <f t="shared" si="186"/>
        <v>1959.4359019353324</v>
      </c>
      <c r="Z267" s="304">
        <f t="shared" si="186"/>
        <v>2040.8999506068351</v>
      </c>
      <c r="AA267" s="304">
        <f t="shared" si="186"/>
        <v>2121.7428082765769</v>
      </c>
      <c r="AB267" s="304">
        <f t="shared" si="186"/>
        <v>2202.0239711654067</v>
      </c>
      <c r="AC267" s="304">
        <f t="shared" si="186"/>
        <v>2281.7955726800883</v>
      </c>
      <c r="AD267" s="304">
        <f t="shared" si="186"/>
        <v>2361.1034881930063</v>
      </c>
      <c r="AE267" s="304">
        <f t="shared" si="186"/>
        <v>2439.9882466928784</v>
      </c>
      <c r="AF267" s="304">
        <f t="shared" si="186"/>
        <v>2518.4857875795697</v>
      </c>
      <c r="AG267" s="304">
        <f t="shared" si="186"/>
        <v>2596.6280924465018</v>
      </c>
      <c r="AH267" s="304">
        <f t="shared" si="186"/>
        <v>2670.7105095059114</v>
      </c>
      <c r="AI267" s="304">
        <f t="shared" si="186"/>
        <v>2742.7565123838681</v>
      </c>
      <c r="AJ267" s="304">
        <f t="shared" si="186"/>
        <v>2814.8025152618243</v>
      </c>
      <c r="AK267" s="304">
        <f t="shared" si="186"/>
        <v>2886.8485181397809</v>
      </c>
      <c r="AL267" s="304">
        <f t="shared" si="186"/>
        <v>2958.8945210177371</v>
      </c>
      <c r="AM267" s="304">
        <f t="shared" si="186"/>
        <v>3030.9405238956938</v>
      </c>
      <c r="AN267" s="304">
        <f t="shared" si="186"/>
        <v>3102.98652677365</v>
      </c>
      <c r="AO267" s="304">
        <f t="shared" si="186"/>
        <v>3175.0325296516066</v>
      </c>
      <c r="AP267" s="304">
        <f t="shared" si="186"/>
        <v>3247.0785325295628</v>
      </c>
      <c r="AQ267" s="304">
        <f t="shared" si="186"/>
        <v>3319.1245354075199</v>
      </c>
      <c r="AR267" s="61">
        <f t="shared" si="186"/>
        <v>3391.1705382854748</v>
      </c>
      <c r="AS267" s="304">
        <f t="shared" si="186"/>
        <v>3703.5588933594868</v>
      </c>
      <c r="AT267" s="304">
        <f t="shared" si="186"/>
        <v>4007.9711332840443</v>
      </c>
      <c r="AU267" s="304">
        <f t="shared" si="186"/>
        <v>4305.8456158390973</v>
      </c>
      <c r="AV267" s="304">
        <f t="shared" si="186"/>
        <v>4598.2944643571009</v>
      </c>
      <c r="AW267" s="304">
        <f t="shared" si="186"/>
        <v>4886.1910963161145</v>
      </c>
      <c r="AX267" s="304">
        <f t="shared" si="186"/>
        <v>5170.2310064244166</v>
      </c>
      <c r="AY267" s="304">
        <f t="shared" si="186"/>
        <v>5450.9748766748498</v>
      </c>
      <c r="AZ267" s="304">
        <f t="shared" si="186"/>
        <v>5728.8797312421384</v>
      </c>
      <c r="BA267" s="304">
        <f t="shared" si="186"/>
        <v>6004.321833278691</v>
      </c>
      <c r="BB267" s="304">
        <f t="shared" si="186"/>
        <v>6277.6137693275787</v>
      </c>
      <c r="BC267" s="304">
        <f t="shared" si="186"/>
        <v>6549.0173728740565</v>
      </c>
      <c r="BD267" s="304">
        <f t="shared" si="186"/>
        <v>6818.7536231788608</v>
      </c>
      <c r="BE267" s="304">
        <f t="shared" si="186"/>
        <v>7085.1518904853656</v>
      </c>
      <c r="BF267" s="304">
        <f t="shared" si="186"/>
        <v>7329.8186643393292</v>
      </c>
      <c r="BG267" s="304">
        <f t="shared" si="186"/>
        <v>7591.0637621455007</v>
      </c>
      <c r="BH267" s="304">
        <f t="shared" si="186"/>
        <v>7850.9563274851398</v>
      </c>
      <c r="BI267" s="304">
        <f t="shared" si="186"/>
        <v>8109.7271478978582</v>
      </c>
      <c r="BJ267" s="304">
        <f t="shared" si="186"/>
        <v>8367.5573298529507</v>
      </c>
      <c r="BK267" s="304">
        <f t="shared" si="186"/>
        <v>8624.5909844479502</v>
      </c>
      <c r="BL267" s="304">
        <f>$A267*(BL226+SUM(BL256:BL265))/1000</f>
        <v>8681.5138508041946</v>
      </c>
      <c r="BM267" s="304">
        <f>$A267*(BM226+SUM(BM256:BM265))/1000</f>
        <v>8686.5141735808302</v>
      </c>
      <c r="BN267" s="304">
        <f>$A267*(BN226+SUM(BN256:BN265))/1000</f>
        <v>8686.5141735808302</v>
      </c>
      <c r="BO267" s="3">
        <f t="shared" si="186"/>
        <v>8686.5141735808302</v>
      </c>
      <c r="BS267"/>
      <c r="BT267"/>
    </row>
    <row r="268" spans="1:72" ht="16.5">
      <c r="B268" s="295" t="s">
        <v>72</v>
      </c>
      <c r="C268" s="298" t="s">
        <v>73</v>
      </c>
      <c r="D268" s="3">
        <f>$A267*IF(D267+E267=0,0,IF(D267=0,2*E268-F268,(D226*D266+D256*($F222-$C222)+D257*($F222-$D227)+D258*($F222-$D228)+D259*($F222-$D229)+D260*($F222-$D230)+D261*($F222-$D231)+D262*($F222-$D232)+D263*($F222-$D233)+D264*($F222-$D234))/1000000-D267*($F222-MAIN!$C$14/2)/1000))</f>
        <v>74.017836716343794</v>
      </c>
      <c r="E268" s="304">
        <f>$A267*IF(E267+F267=0,0,IF(E267=0,2*F268-G268,(E226*E266+E256*($F222-$C222)+E257*($F222-$D227)+E258*($F222-$D228)+E259*($F222-$D229)+E260*($F222-$D230)+E261*($F222-$D231)+E262*($F222-$D232)+E263*($F222-$D233)+E264*($F222-$D234))/1000000-E267*($F222-MAIN!$C$14/2)/1000))</f>
        <v>83.331946512325416</v>
      </c>
      <c r="F268" s="304">
        <f>$A267*IF(F267+G267=0,0,IF(F267=0,2*G268-H268,(F226*F266+F256*($F222-$C222)+F257*($F222-$D227)+F258*($F222-$D228)+F259*($F222-$D229)+F260*($F222-$D230)+F261*($F222-$D231)+F262*($F222-$D232)+F263*($F222-$D233)+F264*($F222-$D234))/1000000-F267*($F222-MAIN!$C$14/2)/1000))</f>
        <v>100.11478395824513</v>
      </c>
      <c r="G268" s="304">
        <f>$A267*IF(G267+H267=0,0,IF(G267=0,2*H268-I268,(G226*G266+G256*($F222-$C222)+G257*($F222-$D227)+G258*($F222-$D228)+G259*($F222-$D229)+G260*($F222-$D230)+G261*($F222-$D231)+G262*($F222-$D232)+G263*($F222-$D233)+G264*($F222-$D234))/1000000-G267*($F222-MAIN!$C$14/2)/1000))</f>
        <v>117.50015180648339</v>
      </c>
      <c r="H268" s="304">
        <f>$A267*IF(H267+I267=0,0,IF(H267=0,2*I268-J268,(H226*H266+H256*($F222-$C222)+H257*($F222-$D227)+H258*($F222-$D228)+H259*($F222-$D229)+H260*($F222-$D230)+H261*($F222-$D231)+H262*($F222-$D232)+H263*($F222-$D233)+H264*($F222-$D234))/1000000-H267*($F222-MAIN!$C$14/2)/1000))</f>
        <v>133.20157429828103</v>
      </c>
      <c r="I268" s="304">
        <f>$A267*IF(I267+J267=0,0,IF(I267=0,2*J268-K268,(I226*I266+I256*($F222-$C222)+I257*($F222-$D227)+I258*($F222-$D228)+I259*($F222-$D229)+I260*($F222-$D230)+I261*($F222-$D231)+I262*($F222-$D232)+I263*($F222-$D233)+I264*($F222-$D234))/1000000-I267*($F222-MAIN!$C$14/2)/1000))</f>
        <v>147.58255919918813</v>
      </c>
      <c r="J268" s="304">
        <f>$A267*IF(J267+K267=0,0,IF(J267=0,2*K268-L268,(J226*J266+J256*($F222-$C222)+J257*($F222-$D227)+J258*($F222-$D228)+J259*($F222-$D229)+J260*($F222-$D230)+J261*($F222-$D231)+J262*($F222-$D232)+J263*($F222-$D233)+J264*($F222-$D234))/1000000-J267*($F222-MAIN!$C$14/2)/1000))</f>
        <v>160.89747362984804</v>
      </c>
      <c r="K268" s="304">
        <f>$A267*IF(K267+L267=0,0,IF(K267=0,2*L268-M268,(K226*K266+K256*($F222-$C222)+K257*($F222-$D227)+K258*($F222-$D228)+K259*($F222-$D229)+K260*($F222-$D230)+K261*($F222-$D231)+K262*($F222-$D232)+K263*($F222-$D233)+K264*($F222-$D234))/1000000-K267*($F222-MAIN!$C$14/2)/1000))</f>
        <v>173.32964506384815</v>
      </c>
      <c r="L268" s="304">
        <f>$A267*IF(L267+M267=0,0,IF(L267=0,2*M268-N268,(L226*L266+L256*($F222-$C222)+L257*($F222-$D227)+L258*($F222-$D228)+L259*($F222-$D229)+L260*($F222-$D230)+L261*($F222-$D231)+L262*($F222-$D232)+L263*($F222-$D233)+L264*($F222-$D234))/1000000-L267*($F222-MAIN!$C$14/2)/1000))</f>
        <v>185.01454274142054</v>
      </c>
      <c r="M268" s="304">
        <f>$A267*IF(M267+N267=0,0,IF(M267=0,2*N268-O268,(M226*M266+M256*($F222-$C222)+M257*($F222-$D227)+M258*($F222-$D228)+M259*($F222-$D229)+M260*($F222-$D230)+M261*($F222-$D231)+M262*($F222-$D232)+M263*($F222-$D233)+M264*($F222-$D234))/1000000-M267*($F222-MAIN!$C$14/2)/1000))</f>
        <v>196.05443783297545</v>
      </c>
      <c r="N268" s="304">
        <f>$A267*IF(N267+O267=0,0,IF(N267=0,2*O268-P268,(N226*N266+N256*($F222-$C222)+N257*($F222-$D227)+N258*($F222-$D228)+N259*($F222-$D229)+N260*($F222-$D230)+N261*($F222-$D231)+N262*($F222-$D232)+N263*($F222-$D233)+N264*($F222-$D234))/1000000-N267*($F222-MAIN!$C$14/2)/1000))</f>
        <v>206.52798576993621</v>
      </c>
      <c r="O268" s="304">
        <f>$A267*IF(O267+P267=0,0,IF(O267=0,2*P268-Q268,(O226*O266+O256*($F222-$C222)+O257*($F222-$D227)+O258*($F222-$D228)+O259*($F222-$D229)+O260*($F222-$D230)+O261*($F222-$D231)+O262*($F222-$D232)+O263*($F222-$D233)+O264*($F222-$D234))/1000000-O267*($F222-MAIN!$C$14/2)/1000))</f>
        <v>214.6007907363765</v>
      </c>
      <c r="P268" s="304">
        <f>$A267*IF(P267+Q267=0,0,IF(P267=0,2*Q268-R268,(P226*P266+P256*($F222-$C222)+P257*($F222-$D227)+P258*($F222-$D228)+P259*($F222-$D229)+P260*($F222-$D230)+P261*($F222-$D231)+P262*($F222-$D232)+P263*($F222-$D233)+P264*($F222-$D234))/1000000-P267*($F222-MAIN!$C$14/2)/1000))</f>
        <v>224.11336882764897</v>
      </c>
      <c r="Q268" s="304">
        <f>$A267*IF(Q267+R267=0,0,IF(Q267=0,2*R268-S268,(Q226*Q266+Q256*($F222-$C222)+Q257*($F222-$D227)+Q258*($F222-$D228)+Q259*($F222-$D229)+Q260*($F222-$D230)+Q261*($F222-$D231)+Q262*($F222-$D232)+Q263*($F222-$D233)+Q264*($F222-$D234))/1000000-Q267*($F222-MAIN!$C$14/2)/1000))</f>
        <v>233.20899979611772</v>
      </c>
      <c r="R268" s="304">
        <f>$A267*IF(R267+S267=0,0,IF(R267=0,2*S268-T268,(R226*R266+R256*($F222-$C222)+R257*($F222-$D227)+R258*($F222-$D228)+R259*($F222-$D229)+R260*($F222-$D230)+R261*($F222-$D231)+R262*($F222-$D232)+R263*($F222-$D233)+R264*($F222-$D234))/1000000-R267*($F222-MAIN!$C$14/2)/1000))</f>
        <v>241.91949719038485</v>
      </c>
      <c r="S268" s="304">
        <f>$A267*IF(S267+T267=0,0,IF(S267=0,2*T268-U268,(S226*S266+S256*($F222-$C222)+S257*($F222-$D227)+S258*($F222-$D228)+S259*($F222-$D229)+S260*($F222-$D230)+S261*($F222-$D231)+S262*($F222-$D232)+S263*($F222-$D233)+S264*($F222-$D234))/1000000-S267*($F222-MAIN!$C$14/2)/1000))</f>
        <v>250.27097385605592</v>
      </c>
      <c r="T268" s="304">
        <f>$A267*IF(T267+U267=0,0,IF(T267=0,2*U268-V268,(T226*T266+T256*($F222-$C222)+T257*($F222-$D227)+T258*($F222-$D228)+T259*($F222-$D229)+T260*($F222-$D230)+T261*($F222-$D231)+T262*($F222-$D232)+T263*($F222-$D233)+T264*($F222-$D234))/1000000-T267*($F222-MAIN!$C$14/2)/1000))</f>
        <v>258.28506408006547</v>
      </c>
      <c r="U268" s="304">
        <f>$A267*IF(U267+V267=0,0,IF(U267=0,2*V268-W268,(U226*U266+U256*($F222-$C222)+U257*($F222-$D227)+U258*($F222-$D228)+U259*($F222-$D229)+U260*($F222-$D230)+U261*($F222-$D231)+U262*($F222-$D232)+U263*($F222-$D233)+U264*($F222-$D234))/1000000-U267*($F222-MAIN!$C$14/2)/1000))</f>
        <v>265.97984425066966</v>
      </c>
      <c r="V268" s="304">
        <f>$A267*IF(V267+W267=0,0,IF(V267=0,2*W268-X268,(V226*V266+V256*($F222-$C222)+V257*($F222-$D227)+V258*($F222-$D228)+V259*($F222-$D229)+V260*($F222-$D230)+V261*($F222-$D231)+V262*($F222-$D232)+V263*($F222-$D233)+V264*($F222-$D234))/1000000-V267*($F222-MAIN!$C$14/2)/1000))</f>
        <v>273.37053537348459</v>
      </c>
      <c r="W268" s="304">
        <f>$A267*IF(W267+X267=0,0,IF(W267=0,2*X268-Y268,(W226*W266+W256*($F222-$C222)+W257*($F222-$D227)+W258*($F222-$D228)+W259*($F222-$D229)+W260*($F222-$D230)+W261*($F222-$D231)+W262*($F222-$D232)+W263*($F222-$D233)+W264*($F222-$D234))/1000000-W267*($F222-MAIN!$C$14/2)/1000))</f>
        <v>280.47004545496941</v>
      </c>
      <c r="X268" s="304">
        <f>$A267*IF(X267+Y267=0,0,IF(X267=0,2*Y268-Z268,(X226*X266+X256*($F222-$C222)+X257*($F222-$D227)+X258*($F222-$D228)+X259*($F222-$D229)+X260*($F222-$D230)+X261*($F222-$D231)+X262*($F222-$D232)+X263*($F222-$D233)+X264*($F222-$D234))/1000000-X267*($F222-MAIN!$C$14/2)/1000))</f>
        <v>287.28939277910627</v>
      </c>
      <c r="Y268" s="304">
        <f>$A267*IF(Y267+Z267=0,0,IF(Y267=0,2*Z268-AA268,(Y226*Y266+Y256*($F222-$C222)+Y257*($F222-$D227)+Y258*($F222-$D228)+Y259*($F222-$D229)+Y260*($F222-$D230)+Y261*($F222-$D231)+Y262*($F222-$D232)+Y263*($F222-$D233)+Y264*($F222-$D234))/1000000-Y267*($F222-MAIN!$C$14/2)/1000))</f>
        <v>293.83803951487369</v>
      </c>
      <c r="Z268" s="304">
        <f>$A267*IF(Z267+AA267=0,0,IF(Z267=0,2*AA268-AB268,(Z226*Z266+Z256*($F222-$C222)+Z257*($F222-$D227)+Z258*($F222-$D228)+Z259*($F222-$D229)+Z260*($F222-$D230)+Z261*($F222-$D231)+Z262*($F222-$D232)+Z263*($F222-$D233)+Z264*($F222-$D234))/1000000-Z267*($F222-MAIN!$C$14/2)/1000))</f>
        <v>300.12415706071863</v>
      </c>
      <c r="AA268" s="304">
        <f>$A267*IF(AA267+AB267=0,0,IF(AA267=0,2*AB268-AC268,(AA226*AA266+AA256*($F222-$C222)+AA257*($F222-$D227)+AA258*($F222-$D228)+AA259*($F222-$D229)+AA260*($F222-$D230)+AA261*($F222-$D231)+AA262*($F222-$D232)+AA263*($F222-$D233)+AA264*($F222-$D234))/1000000-AA267*($F222-MAIN!$C$14/2)/1000))</f>
        <v>306.15483888463427</v>
      </c>
      <c r="AB268" s="304">
        <f>$A267*IF(AB267+AC267=0,0,IF(AB267=0,2*AC268-AD268,(AB226*AB266+AB256*($F222-$C222)+AB257*($F222-$D227)+AB258*($F222-$D228)+AB259*($F222-$D229)+AB260*($F222-$D230)+AB261*($F222-$D231)+AB262*($F222-$D232)+AB263*($F222-$D233)+AB264*($F222-$D234))/1000000-AB267*($F222-MAIN!$C$14/2)/1000))</f>
        <v>311.93627259358942</v>
      </c>
      <c r="AC268" s="304">
        <f>$A267*IF(AC267+AD267=0,0,IF(AC267=0,2*AD268-AE268,(AC226*AC266+AC256*($F222-$C222)+AC257*($F222-$D227)+AC258*($F222-$D228)+AC259*($F222-$D229)+AC260*($F222-$D230)+AC261*($F222-$D231)+AC262*($F222-$D232)+AC263*($F222-$D233)+AC264*($F222-$D234))/1000000-AC267*($F222-MAIN!$C$14/2)/1000))</f>
        <v>317.47388006188714</v>
      </c>
      <c r="AD268" s="304">
        <f>$A267*IF(AD267+AE267=0,0,IF(AD267=0,2*AE268-AF268,(AD226*AD266+AD256*($F222-$C222)+AD257*($F222-$D227)+AD258*($F222-$D228)+AD259*($F222-$D229)+AD260*($F222-$D230)+AD261*($F222-$D231)+AD262*($F222-$D232)+AD263*($F222-$D233)+AD264*($F222-$D234))/1000000-AD267*($F222-MAIN!$C$14/2)/1000))</f>
        <v>322.77243232825526</v>
      </c>
      <c r="AE268" s="304">
        <f>$A267*IF(AE267+AF267=0,0,IF(AE267=0,2*AF268-AG268,(AE226*AE266+AE256*($F222-$C222)+AE257*($F222-$D227)+AE258*($F222-$D228)+AE259*($F222-$D229)+AE260*($F222-$D230)+AE261*($F222-$D231)+AE262*($F222-$D232)+AE263*($F222-$D233)+AE264*($F222-$D234))/1000000-AE267*($F222-MAIN!$C$14/2)/1000))</f>
        <v>327.83614440752081</v>
      </c>
      <c r="AF268" s="304">
        <f>$A267*IF(AF267+AG267=0,0,IF(AF267=0,2*AG268-AH268,(AF226*AF266+AF256*($F222-$C222)+AF257*($F222-$D227)+AF258*($F222-$D228)+AF259*($F222-$D229)+AF260*($F222-$D230)+AF261*($F222-$D231)+AF262*($F222-$D232)+AF263*($F222-$D233)+AF264*($F222-$D234))/1000000-AF267*($F222-MAIN!$C$14/2)/1000))</f>
        <v>332.6687539972695</v>
      </c>
      <c r="AG268" s="304">
        <f>$A267*IF(AG267+AH267=0,0,IF(AG267=0,2*AH268-AI268,(AG226*AG266+AG256*($F222-$C222)+AG257*($F222-$D227)+AG258*($F222-$D228)+AG259*($F222-$D229)+AG260*($F222-$D230)+AG261*($F222-$D231)+AG262*($F222-$D232)+AG263*($F222-$D233)+AG264*($F222-$D234))/1000000-AG267*($F222-MAIN!$C$14/2)/1000))</f>
        <v>337.27358718321739</v>
      </c>
      <c r="AH268" s="304">
        <f>$A267*IF(AH267+AI267=0,0,IF(AH267=0,2*AI268-AJ268,(AH226*AH266+AH256*($F222-$C222)+AH257*($F222-$D227)+AH258*($F222-$D228)+AH259*($F222-$D229)+AH260*($F222-$D230)+AH261*($F222-$D231)+AH262*($F222-$D232)+AH263*($F222-$D233)+AH264*($F222-$D234))/1000000-AH267*($F222-MAIN!$C$14/2)/1000))</f>
        <v>341.2653601794367</v>
      </c>
      <c r="AI268" s="304">
        <f>$A267*IF(AI267+AJ267=0,0,IF(AI267=0,2*AJ268-AK268,(AI226*AI266+AI256*($F222-$C222)+AI257*($F222-$D227)+AI258*($F222-$D228)+AI259*($F222-$D229)+AI260*($F222-$D230)+AI261*($F222-$D231)+AI262*($F222-$D232)+AI263*($F222-$D233)+AI264*($F222-$D234))/1000000-AI267*($F222-MAIN!$C$14/2)/1000))</f>
        <v>344.85451424303909</v>
      </c>
      <c r="AJ268" s="304">
        <f>$A267*IF(AJ267+AK267=0,0,IF(AJ267=0,2*AK268-AL268,(AJ226*AJ266+AJ256*($F222-$C222)+AJ257*($F222-$D227)+AJ258*($F222-$D228)+AJ259*($F222-$D229)+AJ260*($F222-$D230)+AJ261*($F222-$D231)+AJ262*($F222-$D232)+AJ263*($F222-$D233)+AJ264*($F222-$D234))/1000000-AJ267*($F222-MAIN!$C$14/2)/1000))</f>
        <v>348.25283644889538</v>
      </c>
      <c r="AK268" s="304">
        <f>$A267*IF(AK267+AL267=0,0,IF(AK267=0,2*AL268-AM268,(AK226*AK266+AK256*($F222-$C222)+AK257*($F222-$D227)+AK258*($F222-$D228)+AK259*($F222-$D229)+AK260*($F222-$D230)+AK261*($F222-$D231)+AK262*($F222-$D232)+AK263*($F222-$D233)+AK264*($F222-$D234))/1000000-AK267*($F222-MAIN!$C$14/2)/1000))</f>
        <v>351.46032679700579</v>
      </c>
      <c r="AL268" s="304">
        <f>$A267*IF(AL267+AM267=0,0,IF(AL267=0,2*AM268-AN268,(AL226*AL266+AL256*($F222-$C222)+AL257*($F222-$D227)+AL258*($F222-$D228)+AL259*($F222-$D229)+AL260*($F222-$D230)+AL261*($F222-$D231)+AL262*($F222-$D232)+AL263*($F222-$D233)+AL264*($F222-$D234))/1000000-AL267*($F222-MAIN!$C$14/2)/1000))</f>
        <v>354.47698528737033</v>
      </c>
      <c r="AM268" s="304">
        <f>$A267*IF(AM267+AN267=0,0,IF(AM267=0,2*AN268-AO268,(AM226*AM266+AM256*($F222-$C222)+AM257*($F222-$D227)+AM258*($F222-$D228)+AM259*($F222-$D229)+AM260*($F222-$D230)+AM261*($F222-$D231)+AM262*($F222-$D232)+AM263*($F222-$D233)+AM264*($F222-$D234))/1000000-AM267*($F222-MAIN!$C$14/2)/1000))</f>
        <v>357.30281191998887</v>
      </c>
      <c r="AN268" s="304">
        <f>$A267*IF(AN267+AO267=0,0,IF(AN267=0,2*AO268-AP268,(AN226*AN266+AN256*($F222-$C222)+AN257*($F222-$D227)+AN258*($F222-$D228)+AN259*($F222-$D229)+AN260*($F222-$D230)+AN261*($F222-$D231)+AN262*($F222-$D232)+AN263*($F222-$D233)+AN264*($F222-$D234))/1000000-AN267*($F222-MAIN!$C$14/2)/1000))</f>
        <v>359.93780669486142</v>
      </c>
      <c r="AO268" s="304">
        <f>$A267*IF(AO267+AP267=0,0,IF(AO267=0,2*AP268-AQ268,(AO226*AO266+AO256*($F222-$C222)+AO257*($F222-$D227)+AO258*($F222-$D228)+AO259*($F222-$D229)+AO260*($F222-$D230)+AO261*($F222-$D231)+AO262*($F222-$D232)+AO263*($F222-$D233)+AO264*($F222-$D234))/1000000-AO267*($F222-MAIN!$C$14/2)/1000))</f>
        <v>362.38196961198776</v>
      </c>
      <c r="AP268" s="304">
        <f>$A267*IF(AP267+AQ267=0,0,IF(AP267=0,2*AQ268-AR268,(AP226*AP266+AP256*($F222-$C222)+AP257*($F222-$D227)+AP258*($F222-$D228)+AP259*($F222-$D229)+AP260*($F222-$D230)+AP261*($F222-$D231)+AP262*($F222-$D232)+AP263*($F222-$D233)+AP264*($F222-$D234))/1000000-AP267*($F222-MAIN!$C$14/2)/1000))</f>
        <v>364.63530067136838</v>
      </c>
      <c r="AQ268" s="304">
        <f>$A267*IF(AQ267+AR267=0,0,IF(AQ267=0,2*AR268-AS268,(AQ226*AQ266+AQ256*($F222-$C222)+AQ257*($F222-$D227)+AQ258*($F222-$D228)+AQ259*($F222-$D229)+AQ260*($F222-$D230)+AQ261*($F222-$D231)+AQ262*($F222-$D232)+AQ263*($F222-$D233)+AQ264*($F222-$D234))/1000000-AQ267*($F222-MAIN!$C$14/2)/1000))</f>
        <v>366.69779987300291</v>
      </c>
      <c r="AR268" s="56">
        <f>$A267*IF(AR267+AS267=0,0,IF(AR267=0,2*AS268-AT268,(AR226*AR266+AR256*($F222-$C222)+AR257*($F222-$D227)+AR258*($F222-$D228)+AR259*($F222-$D229)+AR260*($F222-$D230)+AR261*($F222-$D231)+AR262*($F222-$D232)+AR263*($F222-$D233)+AR264*($F222-$D234))/1000000-AR267*($F222-MAIN!$C$14/2)/1000))</f>
        <v>368.56946721689155</v>
      </c>
      <c r="AS268" s="304">
        <f>$A267*IF(AS267+AT267=0,0,IF(AS267=0,2*AT268-AU268,(AS226*AS266+AS256*($F222-$C222)+AS257*($F222-$D227)+AS258*($F222-$D228)+AS259*($F222-$D229)+AS260*($F222-$D230)+AS261*($F222-$D231)+AS262*($F222-$D232)+AS263*($F222-$D233)+AS264*($F222-$D234))/1000000-AS267*($F222-MAIN!$C$14/2)/1000))</f>
        <v>367.09955430404995</v>
      </c>
      <c r="AT268" s="304">
        <f>$A267*IF(AT267+AU267=0,0,IF(AT267=0,2*AU268-AV268,(AT226*AT266+AT256*($F222-$C222)+AT257*($F222-$D227)+AT258*($F222-$D228)+AT259*($F222-$D229)+AT260*($F222-$D230)+AT261*($F222-$D231)+AT262*($F222-$D232)+AT263*($F222-$D233)+AT264*($F222-$D234))/1000000-AT267*($F222-MAIN!$C$14/2)/1000))</f>
        <v>364.16078286537964</v>
      </c>
      <c r="AU268" s="304">
        <f>$A267*IF(AU267+AV267=0,0,IF(AU267=0,2*AV268-AW268,(AU226*AU266+AU256*($F222-$C222)+AU257*($F222-$D227)+AU258*($F222-$D228)+AU259*($F222-$D229)+AU260*($F222-$D230)+AU261*($F222-$D231)+AU262*($F222-$D232)+AU263*($F222-$D233)+AU264*($F222-$D234))/1000000-AU267*($F222-MAIN!$C$14/2)/1000))</f>
        <v>359.60356369176498</v>
      </c>
      <c r="AV268" s="304">
        <f>$A267*IF(AV267+AW267=0,0,IF(AV267=0,2*AW268-AX268,(AV226*AV266+AV256*($F222-$C222)+AV257*($F222-$D227)+AV258*($F222-$D228)+AV259*($F222-$D229)+AV260*($F222-$D230)+AV261*($F222-$D231)+AV262*($F222-$D232)+AV263*($F222-$D233)+AV264*($F222-$D234))/1000000-AV267*($F222-MAIN!$C$14/2)/1000))</f>
        <v>353.31223595663067</v>
      </c>
      <c r="AW268" s="304">
        <f>$A267*IF(AW267+AX267=0,0,IF(AW267=0,2*AX268-AY268,(AW226*AW266+AW256*($F222-$C222)+AW257*($F222-$D227)+AW258*($F222-$D228)+AW259*($F222-$D229)+AW260*($F222-$D230)+AW261*($F222-$D231)+AW262*($F222-$D232)+AW263*($F222-$D233)+AW264*($F222-$D234))/1000000-AW267*($F222-MAIN!$C$14/2)/1000))</f>
        <v>345.19596424225909</v>
      </c>
      <c r="AX268" s="304">
        <f>$A267*IF(AX267+AY267=0,0,IF(AX267=0,2*AY268-AZ268,(AX226*AX266+AX256*($F222-$C222)+AX257*($F222-$D227)+AX258*($F222-$D228)+AX259*($F222-$D229)+AX260*($F222-$D230)+AX261*($F222-$D231)+AX262*($F222-$D232)+AX263*($F222-$D233)+AX264*($F222-$D234))/1000000-AX267*($F222-MAIN!$C$14/2)/1000))</f>
        <v>335.18241709898882</v>
      </c>
      <c r="AY268" s="304">
        <f>$A267*IF(AY267+AZ267=0,0,IF(AY267=0,2*AZ268-BA268,(AY226*AY266+AY256*($F222-$C222)+AY257*($F222-$D227)+AY258*($F222-$D228)+AY259*($F222-$D229)+AY260*($F222-$D230)+AY261*($F222-$D231)+AY262*($F222-$D232)+AY263*($F222-$D233)+AY264*($F222-$D234))/1000000-AY267*($F222-MAIN!$C$14/2)/1000))</f>
        <v>323.21328359956431</v>
      </c>
      <c r="AZ268" s="304">
        <f>$A267*IF(AZ267+BA267=0,0,IF(AZ267=0,2*BA268-BB268,(AZ226*AZ266+AZ256*($F222-$C222)+AZ257*($F222-$D227)+AZ258*($F222-$D228)+AZ259*($F222-$D229)+AZ260*($F222-$D230)+AZ261*($F222-$D231)+AZ262*($F222-$D232)+AZ263*($F222-$D233)+AZ264*($F222-$D234))/1000000-AZ267*($F222-MAIN!$C$14/2)/1000))</f>
        <v>309.24103322981432</v>
      </c>
      <c r="BA268" s="304">
        <f>$A267*IF(BA267+BB267=0,0,IF(BA267=0,2*BB268-BC268,(BA226*BA266+BA256*($F222-$C222)+BA257*($F222-$D227)+BA258*($F222-$D228)+BA259*($F222-$D229)+BA260*($F222-$D230)+BA261*($F222-$D231)+BA262*($F222-$D232)+BA263*($F222-$D233)+BA264*($F222-$D234))/1000000-BA267*($F222-MAIN!$C$14/2)/1000))</f>
        <v>293.22653462188828</v>
      </c>
      <c r="BB268" s="304">
        <f>$A267*IF(BB267+BC267=0,0,IF(BB267=0,2*BC268-BD268,(BB226*BB266+BB256*($F222-$C222)+BB257*($F222-$D227)+BB258*($F222-$D228)+BB259*($F222-$D229)+BB260*($F222-$D230)+BB261*($F222-$D231)+BB262*($F222-$D232)+BB263*($F222-$D233)+BB264*($F222-$D234))/1000000-BB267*($F222-MAIN!$C$14/2)/1000))</f>
        <v>275.13727877530664</v>
      </c>
      <c r="BC268" s="304">
        <f>$A267*IF(BC267+BD267=0,0,IF(BC267=0,2*BD268-BE268,(BC226*BC266+BC256*($F222-$C222)+BC257*($F222-$D227)+BC258*($F222-$D228)+BC259*($F222-$D229)+BC260*($F222-$D230)+BC261*($F222-$D231)+BC262*($F222-$D232)+BC263*($F222-$D233)+BC264*($F222-$D234))/1000000-BC267*($F222-MAIN!$C$14/2)/1000))</f>
        <v>254.94603500760354</v>
      </c>
      <c r="BD268" s="304">
        <f>$A267*IF(BD267+BE267=0,0,IF(BD267=0,2*BE268-BF268,(BD226*BD266+BD256*($F222-$C222)+BD257*($F222-$D227)+BD258*($F222-$D228)+BD259*($F222-$D229)+BD260*($F222-$D230)+BD261*($F222-$D231)+BD262*($F222-$D232)+BD263*($F222-$D233)+BD264*($F222-$D234))/1000000-BD267*($F222-MAIN!$C$14/2)/1000))</f>
        <v>232.62982147566163</v>
      </c>
      <c r="BE268" s="304">
        <f>$A267*IF(BE267+BF267=0,0,IF(BE267=0,2*BF268-BG268,(BE226*BE266+BE256*($F222-$C222)+BE257*($F222-$D227)+BE258*($F222-$D228)+BE259*($F222-$D229)+BE260*($F222-$D230)+BE261*($F222-$D231)+BE262*($F222-$D232)+BE263*($F222-$D233)+BE264*($F222-$D234))/1000000-BE267*($F222-MAIN!$C$14/2)/1000))</f>
        <v>208.36238367417047</v>
      </c>
      <c r="BF268" s="304">
        <f>$A267*IF(BF267+BG267=0,0,IF(BF267=0,2*BG268-BH268,(BF226*BF266+BF256*($F222-$C222)+BF257*($F222-$D227)+BF258*($F222-$D228)+BF259*($F222-$D229)+BF260*($F222-$D230)+BF261*($F222-$D231)+BF262*($F222-$D232)+BF263*($F222-$D233)+BF264*($F222-$D234))/1000000-BF267*($F222-MAIN!$C$14/2)/1000))</f>
        <v>184.0566466903706</v>
      </c>
      <c r="BG268" s="304">
        <f>$A267*IF(BG267+BH267=0,0,IF(BG267=0,2*BH268-BI268,(BG226*BG266+BG256*($F222-$C222)+BG257*($F222-$D227)+BG258*($F222-$D228)+BG259*($F222-$D229)+BG260*($F222-$D230)+BG261*($F222-$D231)+BG262*($F222-$D232)+BG263*($F222-$D233)+BG264*($F222-$D234))/1000000-BG267*($F222-MAIN!$C$14/2)/1000))</f>
        <v>155.72838951416895</v>
      </c>
      <c r="BH268" s="304">
        <f>$A267*IF(BH267+BI267=0,0,IF(BH267=0,2*BI268-BJ268,(BH226*BH266+BH256*($F222-$C222)+BH257*($F222-$D227)+BH258*($F222-$D228)+BH259*($F222-$D229)+BH260*($F222-$D230)+BH261*($F222-$D231)+BH262*($F222-$D232)+BH263*($F222-$D233)+BH264*($F222-$D234))/1000000-BH267*($F222-MAIN!$C$14/2)/1000))</f>
        <v>125.2424212131142</v>
      </c>
      <c r="BI268" s="304">
        <f>$A267*IF(BI267+BJ267=0,0,IF(BI267=0,2*BJ268-BK268,(BI226*BI266+BI256*($F222-$C222)+BI257*($F222-$D227)+BI258*($F222-$D228)+BI259*($F222-$D229)+BI260*($F222-$D230)+BI261*($F222-$D231)+BI262*($F222-$D232)+BI263*($F222-$D233)+BI264*($F222-$D234))/1000000-BI267*($F222-MAIN!$C$14/2)/1000))</f>
        <v>92.574739883086409</v>
      </c>
      <c r="BJ268" s="304">
        <f>$A267*IF(BJ267+BK267=0,0,IF(BJ267=0,2*BK268-BO268,(BJ226*BJ266+BJ256*($F222-$C222)+BJ257*($F222-$D227)+BJ258*($F222-$D228)+BJ259*($F222-$D229)+BJ260*($F222-$D230)+BJ261*($F222-$D231)+BJ262*($F222-$D232)+BJ263*($F222-$D233)+BJ264*($F222-$D234))/1000000-BJ267*($F222-MAIN!$C$14/2)/1000))</f>
        <v>57.706510451279087</v>
      </c>
      <c r="BK268" s="304">
        <f>$A267*IF(BK267+BO267=0,0,IF(BK267=0,2*BO268-BP268,(BK226*BK266+BK256*($F222-$C222)+BK257*($F222-$D227)+BK258*($F222-$D228)+BK259*($F222-$D229)+BK260*($F222-$D230)+BK261*($F222-$D231)+BK262*($F222-$D232)+BK263*($F222-$D233)+BK264*($F222-$D234))/1000000-BK267*($F222-MAIN!$C$14/2)/1000))</f>
        <v>20.622745363549143</v>
      </c>
      <c r="BL268" s="304">
        <f>$A267*IF(BL267+BP267=0,0,IF(BL267=0,2*BP268-BQ268,(BL226*BL266+BL256*($F222-$C222)+BL257*($F222-$D227)+BL258*($F222-$D228)+BL259*($F222-$D229)+BL260*($F222-$D230)+BL261*($F222-$D231)+BL262*($F222-$D232)+BL263*($F222-$D233)+BL264*($F222-$D234))/1000000-BL267*($F222-MAIN!$C$14/2)/1000))</f>
        <v>14.702767262499719</v>
      </c>
      <c r="BM268" s="304">
        <f>$A267*IF(BM267+BQ267=0,0,IF(BM267=0,2*BQ268-BR268,(BM226*BM266+BM256*($F222-$C222)+BM257*($F222-$D227)+BM258*($F222-$D228)+BM259*($F222-$D229)+BM260*($F222-$D230)+BM261*($F222-$D231)+BM262*($F222-$D232)+BM263*($F222-$D233)+BM264*($F222-$D234))/1000000-BM267*($F222-MAIN!$C$14/2)/1000))</f>
        <v>10.589774491317939</v>
      </c>
      <c r="BN268" s="304">
        <f>$A267*IF(BN267+BR267=0,0,IF(BN267=0,2*BR268-BS268,(BN226*BN266+BN256*($F222-$C222)+BN257*($F222-$D227)+BN258*($F222-$D228)+BN259*($F222-$D229)+BN260*($F222-$D230)+BN261*($F222-$D231)+BN262*($F222-$D232)+BN263*($F222-$D233)+BN264*($F222-$D234))/1000000-BN267*($F222-MAIN!$C$14/2)/1000))</f>
        <v>8.118827110010443</v>
      </c>
      <c r="BO268" s="3">
        <v>0</v>
      </c>
      <c r="BS268"/>
      <c r="BT268"/>
    </row>
    <row r="269" spans="1:72" ht="16.5">
      <c r="B269" s="296" t="s">
        <v>74</v>
      </c>
      <c r="C269" s="303" t="s">
        <v>75</v>
      </c>
      <c r="D269" s="15"/>
      <c r="E269" s="308"/>
      <c r="F269" s="308"/>
      <c r="G269" s="308"/>
      <c r="H269" s="308"/>
      <c r="I269" s="308"/>
      <c r="J269" s="308"/>
      <c r="K269" s="308"/>
      <c r="L269" s="308"/>
      <c r="M269" s="308"/>
      <c r="N269" s="308"/>
      <c r="O269" s="308"/>
      <c r="P269" s="308"/>
      <c r="Q269" s="308"/>
      <c r="R269" s="308"/>
      <c r="S269" s="308"/>
      <c r="T269" s="308"/>
      <c r="U269" s="308"/>
      <c r="V269" s="308"/>
      <c r="W269" s="308"/>
      <c r="X269" s="308"/>
      <c r="Y269" s="308"/>
      <c r="Z269" s="308"/>
      <c r="AA269" s="308"/>
      <c r="AB269" s="308"/>
      <c r="AC269" s="308"/>
      <c r="AD269" s="308"/>
      <c r="AE269" s="309" t="str">
        <f>FIXED(MAIN!$Q$1,0)&amp;MAIN!R$1&amp;FIXED(B221,0)</f>
        <v>8H16</v>
      </c>
      <c r="AF269" s="308"/>
      <c r="AG269" s="308"/>
      <c r="AH269" s="308"/>
      <c r="AI269" s="308"/>
      <c r="AJ269" s="308"/>
      <c r="AK269" s="308"/>
      <c r="AL269" s="308"/>
      <c r="AM269" s="308"/>
      <c r="AN269" s="308"/>
      <c r="AO269" s="308"/>
      <c r="AP269" s="308"/>
      <c r="AQ269" s="308"/>
      <c r="AR269" s="60"/>
      <c r="AS269" s="308"/>
      <c r="AT269" s="308"/>
      <c r="AU269" s="308"/>
      <c r="AV269" s="308"/>
      <c r="AW269" s="308"/>
      <c r="AX269" s="308"/>
      <c r="AY269" s="308"/>
      <c r="AZ269" s="308"/>
      <c r="BA269" s="308"/>
      <c r="BB269" s="308"/>
      <c r="BC269" s="308"/>
      <c r="BD269" s="308"/>
      <c r="BE269" s="308"/>
      <c r="BF269" s="308"/>
      <c r="BG269" s="308"/>
      <c r="BH269" s="308"/>
      <c r="BI269" s="308"/>
      <c r="BJ269" s="308"/>
      <c r="BK269" s="308"/>
      <c r="BL269" s="621"/>
      <c r="BM269" s="621"/>
      <c r="BN269" s="621"/>
      <c r="BO269" s="15"/>
      <c r="BS269"/>
      <c r="BT269"/>
    </row>
    <row r="270" spans="1:72">
      <c r="B270" s="67"/>
      <c r="C270" s="65" t="s">
        <v>135</v>
      </c>
      <c r="D270" s="66">
        <f t="shared" ref="D270:BJ271" si="187">E267-D267</f>
        <v>72.046002877956482</v>
      </c>
      <c r="E270" s="66">
        <f t="shared" si="187"/>
        <v>145.69561352876494</v>
      </c>
      <c r="F270" s="66">
        <f t="shared" si="187"/>
        <v>153.32409679861658</v>
      </c>
      <c r="G270" s="66">
        <f t="shared" si="187"/>
        <v>138.96723623424433</v>
      </c>
      <c r="H270" s="66">
        <f t="shared" si="187"/>
        <v>128.10564264631597</v>
      </c>
      <c r="I270" s="66">
        <f t="shared" si="187"/>
        <v>119.68988675688098</v>
      </c>
      <c r="J270" s="66">
        <f t="shared" si="187"/>
        <v>113.03689503655607</v>
      </c>
      <c r="K270" s="66">
        <f t="shared" si="187"/>
        <v>107.6864921646162</v>
      </c>
      <c r="L270" s="66">
        <f t="shared" si="187"/>
        <v>103.31946593123678</v>
      </c>
      <c r="M270" s="66">
        <f t="shared" si="187"/>
        <v>99.708741923080765</v>
      </c>
      <c r="N270" s="66">
        <f t="shared" si="187"/>
        <v>78.459596607941307</v>
      </c>
      <c r="O270" s="66">
        <f t="shared" si="187"/>
        <v>94.13849067119213</v>
      </c>
      <c r="P270" s="66">
        <f t="shared" si="187"/>
        <v>91.964305430254171</v>
      </c>
      <c r="Q270" s="66">
        <f t="shared" si="187"/>
        <v>90.096019695102086</v>
      </c>
      <c r="R270" s="66">
        <f t="shared" si="187"/>
        <v>88.478819013851762</v>
      </c>
      <c r="S270" s="66">
        <f t="shared" si="187"/>
        <v>87.069640322355781</v>
      </c>
      <c r="T270" s="66">
        <f t="shared" si="187"/>
        <v>85.834273056401116</v>
      </c>
      <c r="U270" s="66">
        <f t="shared" si="187"/>
        <v>84.745261613676803</v>
      </c>
      <c r="V270" s="66">
        <f t="shared" si="187"/>
        <v>83.780365617674306</v>
      </c>
      <c r="W270" s="66">
        <f t="shared" si="187"/>
        <v>82.921414659964739</v>
      </c>
      <c r="X270" s="66">
        <f t="shared" si="187"/>
        <v>82.153446096275957</v>
      </c>
      <c r="Y270" s="66">
        <f t="shared" si="187"/>
        <v>81.464048671502724</v>
      </c>
      <c r="Z270" s="66">
        <f t="shared" si="187"/>
        <v>80.842857669741761</v>
      </c>
      <c r="AA270" s="66">
        <f t="shared" si="187"/>
        <v>80.28116288882984</v>
      </c>
      <c r="AB270" s="66">
        <f t="shared" si="187"/>
        <v>79.771601514681606</v>
      </c>
      <c r="AC270" s="66">
        <f t="shared" si="187"/>
        <v>79.307915512918044</v>
      </c>
      <c r="AD270" s="66">
        <f t="shared" si="187"/>
        <v>78.884758499872078</v>
      </c>
      <c r="AE270" s="66">
        <f t="shared" si="187"/>
        <v>78.49754088669124</v>
      </c>
      <c r="AF270" s="66">
        <f t="shared" si="187"/>
        <v>78.142304866932136</v>
      </c>
      <c r="AG270" s="66">
        <f t="shared" si="187"/>
        <v>74.082417059409636</v>
      </c>
      <c r="AH270" s="66">
        <f t="shared" si="187"/>
        <v>72.046002877956653</v>
      </c>
      <c r="AI270" s="66">
        <f t="shared" si="187"/>
        <v>72.046002877956198</v>
      </c>
      <c r="AJ270" s="66">
        <f t="shared" si="187"/>
        <v>72.046002877956653</v>
      </c>
      <c r="AK270" s="66">
        <f t="shared" si="187"/>
        <v>72.046002877956198</v>
      </c>
      <c r="AL270" s="66">
        <f t="shared" si="187"/>
        <v>72.046002877956653</v>
      </c>
      <c r="AM270" s="66">
        <f t="shared" si="187"/>
        <v>72.046002877956198</v>
      </c>
      <c r="AN270" s="66">
        <f t="shared" si="187"/>
        <v>72.046002877956653</v>
      </c>
      <c r="AO270" s="66">
        <f t="shared" si="187"/>
        <v>72.046002877956198</v>
      </c>
      <c r="AP270" s="66">
        <f t="shared" si="187"/>
        <v>72.046002877957108</v>
      </c>
      <c r="AQ270" s="66">
        <f t="shared" si="187"/>
        <v>72.046002877954834</v>
      </c>
      <c r="AR270" s="66">
        <f t="shared" si="187"/>
        <v>312.388355074012</v>
      </c>
      <c r="AS270" s="66">
        <f t="shared" si="187"/>
        <v>304.41223992455753</v>
      </c>
      <c r="AT270" s="66">
        <f t="shared" si="187"/>
        <v>297.87448255505296</v>
      </c>
      <c r="AU270" s="66">
        <f t="shared" si="187"/>
        <v>292.44884851800362</v>
      </c>
      <c r="AV270" s="66">
        <f t="shared" si="187"/>
        <v>287.89663195901358</v>
      </c>
      <c r="AW270" s="66">
        <f t="shared" si="187"/>
        <v>284.03991010830214</v>
      </c>
      <c r="AX270" s="66">
        <f t="shared" si="187"/>
        <v>280.74387025043325</v>
      </c>
      <c r="AY270" s="66">
        <f t="shared" si="187"/>
        <v>277.90485456728857</v>
      </c>
      <c r="AZ270" s="66">
        <f t="shared" si="187"/>
        <v>275.44210203655257</v>
      </c>
      <c r="BA270" s="66">
        <f t="shared" si="187"/>
        <v>273.29193604888769</v>
      </c>
      <c r="BB270" s="66">
        <f t="shared" si="187"/>
        <v>271.40360354647783</v>
      </c>
      <c r="BC270" s="66">
        <f t="shared" si="187"/>
        <v>269.73625030480434</v>
      </c>
      <c r="BD270" s="66">
        <f t="shared" si="187"/>
        <v>266.39826730650475</v>
      </c>
      <c r="BE270" s="66">
        <f t="shared" si="187"/>
        <v>244.6667738539636</v>
      </c>
      <c r="BF270" s="66">
        <f t="shared" si="187"/>
        <v>261.24509780617154</v>
      </c>
      <c r="BG270" s="66">
        <f t="shared" si="187"/>
        <v>259.89256533963908</v>
      </c>
      <c r="BH270" s="66">
        <f t="shared" si="187"/>
        <v>258.77082041271842</v>
      </c>
      <c r="BI270" s="66">
        <f t="shared" si="187"/>
        <v>257.83018195509248</v>
      </c>
      <c r="BJ270" s="66">
        <f t="shared" si="187"/>
        <v>257.03365459499946</v>
      </c>
      <c r="BK270" s="66">
        <f t="shared" ref="BK270:BN271" si="188">BL267-BK267</f>
        <v>56.922866356244413</v>
      </c>
      <c r="BL270" s="66">
        <f t="shared" si="188"/>
        <v>5.0003227766355849</v>
      </c>
      <c r="BM270" s="66">
        <f t="shared" si="188"/>
        <v>0</v>
      </c>
      <c r="BN270" s="66">
        <f t="shared" si="188"/>
        <v>0</v>
      </c>
      <c r="BO270" s="65">
        <v>0</v>
      </c>
      <c r="BQ270" s="43"/>
      <c r="BR270" s="42"/>
      <c r="BS270"/>
      <c r="BT270"/>
    </row>
    <row r="271" spans="1:72">
      <c r="B271" s="67"/>
      <c r="C271" s="65" t="s">
        <v>136</v>
      </c>
      <c r="D271" s="66">
        <f t="shared" si="187"/>
        <v>9.3141097959816221</v>
      </c>
      <c r="E271" s="66">
        <f t="shared" si="187"/>
        <v>16.782837445919711</v>
      </c>
      <c r="F271" s="66">
        <f t="shared" si="187"/>
        <v>17.385367848238261</v>
      </c>
      <c r="G271" s="66">
        <f t="shared" si="187"/>
        <v>15.701422491797643</v>
      </c>
      <c r="H271" s="66">
        <f t="shared" si="187"/>
        <v>14.380984900907094</v>
      </c>
      <c r="I271" s="66">
        <f t="shared" si="187"/>
        <v>13.314914430659911</v>
      </c>
      <c r="J271" s="66">
        <f t="shared" si="187"/>
        <v>12.432171434000111</v>
      </c>
      <c r="K271" s="66">
        <f t="shared" si="187"/>
        <v>11.684897677572394</v>
      </c>
      <c r="L271" s="66">
        <f t="shared" si="187"/>
        <v>11.039895091554911</v>
      </c>
      <c r="M271" s="66">
        <f t="shared" si="187"/>
        <v>10.473547936960756</v>
      </c>
      <c r="N271" s="66">
        <f t="shared" si="187"/>
        <v>8.0728049664402874</v>
      </c>
      <c r="O271" s="66">
        <f t="shared" si="187"/>
        <v>9.5125780912724736</v>
      </c>
      <c r="P271" s="66">
        <f t="shared" si="187"/>
        <v>9.095630968468754</v>
      </c>
      <c r="Q271" s="66">
        <f t="shared" si="187"/>
        <v>8.7104973942671222</v>
      </c>
      <c r="R271" s="66">
        <f t="shared" si="187"/>
        <v>8.3514766656710719</v>
      </c>
      <c r="S271" s="66">
        <f t="shared" si="187"/>
        <v>8.01409022400955</v>
      </c>
      <c r="T271" s="66">
        <f t="shared" si="187"/>
        <v>7.6947801706041901</v>
      </c>
      <c r="U271" s="66">
        <f t="shared" si="187"/>
        <v>7.3906911228149283</v>
      </c>
      <c r="V271" s="66">
        <f t="shared" si="187"/>
        <v>7.0995100814848229</v>
      </c>
      <c r="W271" s="66">
        <f t="shared" si="187"/>
        <v>6.8193473241368565</v>
      </c>
      <c r="X271" s="66">
        <f t="shared" si="187"/>
        <v>6.5486467357674201</v>
      </c>
      <c r="Y271" s="66">
        <f t="shared" si="187"/>
        <v>6.2861175458449452</v>
      </c>
      <c r="Z271" s="66">
        <f t="shared" si="187"/>
        <v>6.0306818239156428</v>
      </c>
      <c r="AA271" s="66">
        <f t="shared" si="187"/>
        <v>5.7814337089551486</v>
      </c>
      <c r="AB271" s="66">
        <f t="shared" si="187"/>
        <v>5.5376074682977219</v>
      </c>
      <c r="AC271" s="66">
        <f t="shared" si="187"/>
        <v>5.2985522663681195</v>
      </c>
      <c r="AD271" s="66">
        <f t="shared" si="187"/>
        <v>5.0637120792655423</v>
      </c>
      <c r="AE271" s="66">
        <f t="shared" si="187"/>
        <v>4.8326095897486994</v>
      </c>
      <c r="AF271" s="66">
        <f t="shared" si="187"/>
        <v>4.6048331859478822</v>
      </c>
      <c r="AG271" s="66">
        <f t="shared" si="187"/>
        <v>3.9917729962193107</v>
      </c>
      <c r="AH271" s="66">
        <f t="shared" si="187"/>
        <v>3.5891540636023933</v>
      </c>
      <c r="AI271" s="66">
        <f t="shared" si="187"/>
        <v>3.3983222058562887</v>
      </c>
      <c r="AJ271" s="66">
        <f t="shared" si="187"/>
        <v>3.2074903481104116</v>
      </c>
      <c r="AK271" s="66">
        <f t="shared" si="187"/>
        <v>3.0166584903645344</v>
      </c>
      <c r="AL271" s="66">
        <f t="shared" si="187"/>
        <v>2.8258266326185435</v>
      </c>
      <c r="AM271" s="66">
        <f t="shared" si="187"/>
        <v>2.6349947748725526</v>
      </c>
      <c r="AN271" s="66">
        <f t="shared" si="187"/>
        <v>2.4441629171263344</v>
      </c>
      <c r="AO271" s="66">
        <f t="shared" si="187"/>
        <v>2.2533310593806277</v>
      </c>
      <c r="AP271" s="66">
        <f t="shared" si="187"/>
        <v>2.0624992016345232</v>
      </c>
      <c r="AQ271" s="66">
        <f t="shared" si="187"/>
        <v>1.871667343888646</v>
      </c>
      <c r="AR271" s="66">
        <f t="shared" si="187"/>
        <v>-1.4699129128416075</v>
      </c>
      <c r="AS271" s="66">
        <f t="shared" si="187"/>
        <v>-2.938771438670301</v>
      </c>
      <c r="AT271" s="66">
        <f t="shared" si="187"/>
        <v>-4.5572191736146692</v>
      </c>
      <c r="AU271" s="66">
        <f t="shared" si="187"/>
        <v>-6.2913277351343027</v>
      </c>
      <c r="AV271" s="66">
        <f t="shared" si="187"/>
        <v>-8.1162717143715781</v>
      </c>
      <c r="AW271" s="66">
        <f t="shared" si="187"/>
        <v>-10.013547143270273</v>
      </c>
      <c r="AX271" s="66">
        <f t="shared" si="187"/>
        <v>-11.969133499424515</v>
      </c>
      <c r="AY271" s="66">
        <f t="shared" si="187"/>
        <v>-13.972250369749986</v>
      </c>
      <c r="AZ271" s="66">
        <f t="shared" si="187"/>
        <v>-16.014498607926043</v>
      </c>
      <c r="BA271" s="66">
        <f t="shared" si="187"/>
        <v>-18.089255846581636</v>
      </c>
      <c r="BB271" s="66">
        <f t="shared" si="187"/>
        <v>-20.191243767703099</v>
      </c>
      <c r="BC271" s="66">
        <f t="shared" si="187"/>
        <v>-22.316213531941912</v>
      </c>
      <c r="BD271" s="66">
        <f t="shared" si="187"/>
        <v>-24.267437801491155</v>
      </c>
      <c r="BE271" s="66">
        <f t="shared" si="187"/>
        <v>-24.305736983799875</v>
      </c>
      <c r="BF271" s="66">
        <f t="shared" si="187"/>
        <v>-28.328257176201646</v>
      </c>
      <c r="BG271" s="66">
        <f t="shared" si="187"/>
        <v>-30.485968301054754</v>
      </c>
      <c r="BH271" s="66">
        <f t="shared" si="187"/>
        <v>-32.66768133002779</v>
      </c>
      <c r="BI271" s="66">
        <f t="shared" si="187"/>
        <v>-34.868229431807322</v>
      </c>
      <c r="BJ271" s="66">
        <f t="shared" si="187"/>
        <v>-37.083765087729944</v>
      </c>
      <c r="BK271" s="66">
        <f t="shared" si="188"/>
        <v>-5.9199781010494235</v>
      </c>
      <c r="BL271" s="66">
        <f t="shared" si="188"/>
        <v>-4.11299277118178</v>
      </c>
      <c r="BM271" s="66">
        <f t="shared" si="188"/>
        <v>-2.4709473813074965</v>
      </c>
      <c r="BN271" s="66">
        <f t="shared" si="188"/>
        <v>-8.118827110010443</v>
      </c>
      <c r="BO271" s="65">
        <v>0</v>
      </c>
      <c r="BQ271" s="43"/>
      <c r="BR271" s="42"/>
      <c r="BS271"/>
      <c r="BT271"/>
    </row>
    <row r="272" spans="1:72" ht="25.5">
      <c r="B272" s="40"/>
      <c r="C272" s="2"/>
      <c r="D272" s="2"/>
      <c r="E272" s="2"/>
      <c r="F272" s="2"/>
      <c r="G272" s="2"/>
      <c r="H272" s="2"/>
      <c r="I272" s="2"/>
      <c r="J272" s="2"/>
      <c r="K272" s="2"/>
      <c r="L272" s="2"/>
      <c r="M272" s="2"/>
      <c r="N272" s="43"/>
      <c r="O272" s="47"/>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c r="AX272" s="2"/>
      <c r="AY272" s="2"/>
      <c r="AZ272" s="2"/>
      <c r="BA272" s="2"/>
      <c r="BB272" s="2"/>
      <c r="BC272" s="2"/>
      <c r="BD272" s="2"/>
      <c r="BE272" s="2"/>
      <c r="BF272" s="2"/>
      <c r="BG272" s="2"/>
      <c r="BH272" s="2"/>
      <c r="BI272" s="2"/>
      <c r="BJ272" s="2"/>
      <c r="BK272" s="2"/>
      <c r="BL272" s="2"/>
      <c r="BM272" s="2"/>
      <c r="BN272" s="2"/>
      <c r="BO272" s="16"/>
      <c r="BQ272" s="43"/>
      <c r="BR272" s="42"/>
      <c r="BS272"/>
      <c r="BT272"/>
    </row>
    <row r="273" spans="2:72" ht="18.75">
      <c r="B273" s="275">
        <f>MAIN!C$38</f>
        <v>16</v>
      </c>
      <c r="C273" s="276" t="s">
        <v>43</v>
      </c>
      <c r="D273" s="258"/>
      <c r="E273" s="259"/>
      <c r="F273" s="259"/>
      <c r="G273" s="259"/>
      <c r="H273" s="259"/>
      <c r="I273" s="259"/>
      <c r="J273" s="259"/>
      <c r="K273" s="277"/>
      <c r="L273" s="259"/>
      <c r="M273" s="259"/>
      <c r="N273" s="278" t="s">
        <v>93</v>
      </c>
      <c r="O273" s="279">
        <f>$C$8*$C$9*MAIN!C$13</f>
        <v>21760.000000000004</v>
      </c>
      <c r="P273" s="73"/>
      <c r="Q273" s="73"/>
      <c r="R273" s="73"/>
      <c r="S273" s="73"/>
      <c r="T273" s="73"/>
      <c r="U273" s="73"/>
      <c r="V273" s="73"/>
      <c r="W273" s="73"/>
      <c r="X273" s="73"/>
      <c r="Y273" s="73"/>
      <c r="Z273" s="73"/>
      <c r="AA273" s="73"/>
      <c r="AB273" s="73"/>
      <c r="AC273" s="73"/>
      <c r="AD273" s="73"/>
      <c r="AE273" s="73"/>
      <c r="AF273" s="73"/>
      <c r="AG273" s="73"/>
      <c r="AH273" s="73"/>
      <c r="AI273" s="73"/>
      <c r="AJ273" s="73"/>
      <c r="AK273" s="73"/>
      <c r="AL273" s="73"/>
      <c r="AM273" s="73"/>
      <c r="AN273" s="73"/>
      <c r="AO273" s="73"/>
      <c r="AP273" s="73"/>
      <c r="AQ273" s="73"/>
      <c r="AS273" s="73"/>
      <c r="BR273"/>
      <c r="BS273"/>
      <c r="BT273"/>
    </row>
    <row r="274" spans="2:72" ht="18.75">
      <c r="B274" s="260" t="str">
        <f>B222</f>
        <v>d' =</v>
      </c>
      <c r="C274" s="261">
        <f>MAIN!I$8+MAIN!E38+MAIN!C38/2</f>
        <v>46</v>
      </c>
      <c r="D274" s="262"/>
      <c r="E274" s="263" t="str">
        <f>E222</f>
        <v>d =</v>
      </c>
      <c r="F274" s="261">
        <f>IF(I274=0,0,MAIN!C$14-C274)</f>
        <v>254</v>
      </c>
      <c r="G274" s="262" t="str">
        <f>G222</f>
        <v>mm</v>
      </c>
      <c r="H274" s="263" t="s">
        <v>76</v>
      </c>
      <c r="I274" s="264">
        <f>IF(MAIN!I38="ok",MAIN!C$13*MAIN!C$14*MAIN!D38/100,0)</f>
        <v>1608.4954386379745</v>
      </c>
      <c r="J274" s="262" t="str">
        <f>J222</f>
        <v>mm²</v>
      </c>
      <c r="K274" s="263" t="s">
        <v>48</v>
      </c>
      <c r="L274" s="261">
        <f>(F274-C274)/(MAIN!C$15-1)</f>
        <v>208</v>
      </c>
      <c r="M274" s="262" t="s">
        <v>14</v>
      </c>
      <c r="N274" s="263" t="s">
        <v>17</v>
      </c>
      <c r="O274" s="280">
        <f>I274*MAIN!C$16/MAIN!Q$1*(200000*F$8-C$9-C$10)</f>
        <v>195070.86710902277</v>
      </c>
      <c r="P274" s="45"/>
      <c r="Q274" s="45"/>
      <c r="R274" s="45"/>
      <c r="S274" s="45"/>
      <c r="T274" s="45"/>
      <c r="U274" s="45"/>
      <c r="V274" s="45"/>
      <c r="W274" s="45"/>
      <c r="X274" s="45"/>
      <c r="Y274" s="45"/>
      <c r="Z274" s="45"/>
      <c r="AA274" s="45"/>
      <c r="AB274" s="45"/>
      <c r="AC274" s="45"/>
      <c r="AD274" s="45"/>
      <c r="AE274" s="45"/>
      <c r="AF274" s="45"/>
      <c r="AG274" s="45"/>
      <c r="AH274" s="45"/>
      <c r="AI274" s="289"/>
      <c r="AJ274" s="45"/>
      <c r="AK274" s="45"/>
      <c r="AL274" s="45"/>
      <c r="AM274" s="45"/>
      <c r="AN274" s="45"/>
      <c r="AO274" s="45"/>
      <c r="AP274" s="45"/>
      <c r="AQ274" s="45"/>
      <c r="AS274" s="45"/>
      <c r="BR274"/>
      <c r="BS274"/>
      <c r="BT274"/>
    </row>
    <row r="275" spans="2:72" ht="18.75">
      <c r="B275" s="265"/>
      <c r="C275" s="266"/>
      <c r="D275" s="267"/>
      <c r="E275" s="268" t="str">
        <f>E171</f>
        <v>Interval =</v>
      </c>
      <c r="F275" s="269">
        <f>(AR277-D277)/40</f>
        <v>3.3109376322590252</v>
      </c>
      <c r="G275" s="270" t="s">
        <v>50</v>
      </c>
      <c r="H275" s="281"/>
      <c r="I275" s="281"/>
      <c r="J275" s="281"/>
      <c r="K275" s="281"/>
      <c r="L275" s="281"/>
      <c r="M275" s="281"/>
      <c r="N275" s="282" t="s">
        <v>120</v>
      </c>
      <c r="O275" s="283">
        <f>-100000*F$8*C274*I274*MAIN!C$16/MAIN!Q$1*2</f>
        <v>-25896776.56207139</v>
      </c>
      <c r="P275" s="49"/>
      <c r="Q275" s="49"/>
      <c r="R275" s="49"/>
      <c r="S275" s="49"/>
      <c r="T275" s="49"/>
      <c r="U275" s="49"/>
      <c r="V275" s="49"/>
      <c r="W275" s="49"/>
      <c r="X275" s="49"/>
      <c r="Y275" s="49"/>
      <c r="Z275" s="49"/>
      <c r="AA275" s="49"/>
      <c r="AB275" s="49"/>
      <c r="AC275" s="49"/>
      <c r="AD275" s="49"/>
      <c r="AE275" s="49"/>
      <c r="AF275" s="49"/>
      <c r="AG275" s="289"/>
      <c r="AH275" s="49"/>
      <c r="AI275" s="310"/>
      <c r="AJ275" s="49"/>
      <c r="AK275" s="49"/>
      <c r="AL275" s="49"/>
      <c r="AM275" s="49"/>
      <c r="AN275" s="49"/>
      <c r="AO275" s="49"/>
      <c r="AP275" s="49"/>
      <c r="AQ275" s="49"/>
      <c r="AR275" s="49" t="s">
        <v>49</v>
      </c>
      <c r="AS275" s="50">
        <f>IF(I274=0,0,(BK277-AR277)/19)</f>
        <v>11.490421455938698</v>
      </c>
      <c r="AT275" s="46" t="s">
        <v>121</v>
      </c>
      <c r="BR275"/>
      <c r="BS275"/>
      <c r="BT275"/>
    </row>
    <row r="276" spans="2:72" ht="15.75">
      <c r="C276" s="51"/>
      <c r="D276" s="52"/>
      <c r="E276" s="52"/>
      <c r="F276" s="52"/>
      <c r="G276" s="52"/>
      <c r="H276" s="52"/>
      <c r="I276" s="52"/>
      <c r="J276" s="52"/>
      <c r="K276" s="52"/>
      <c r="L276" s="52"/>
      <c r="M276" s="52"/>
      <c r="N276" s="45"/>
      <c r="O276" s="52"/>
      <c r="P276" s="52"/>
      <c r="Q276" s="52"/>
      <c r="R276" s="52"/>
      <c r="S276" s="52"/>
      <c r="T276" s="52"/>
      <c r="U276" s="52"/>
      <c r="V276" s="52"/>
      <c r="W276" s="52"/>
      <c r="X276" s="52"/>
      <c r="Y276" s="52"/>
      <c r="Z276" s="52"/>
      <c r="AA276" s="52"/>
      <c r="AB276" s="52"/>
      <c r="AC276" s="52"/>
      <c r="AD276" s="52"/>
      <c r="AE276" s="52"/>
      <c r="AF276" s="52"/>
      <c r="AG276" s="52"/>
      <c r="AH276" s="52"/>
      <c r="AI276" s="52"/>
      <c r="AJ276" s="52"/>
      <c r="AK276" s="52"/>
      <c r="AL276" s="52"/>
      <c r="AM276" s="52"/>
      <c r="AN276" s="52"/>
      <c r="AO276" s="52"/>
      <c r="AP276" s="52"/>
      <c r="AQ276" s="52"/>
      <c r="AR276" s="52"/>
      <c r="AS276" s="52"/>
      <c r="BK276" s="53"/>
      <c r="BL276" s="53"/>
      <c r="BM276" s="53"/>
      <c r="BN276" s="53"/>
      <c r="BO276" s="288" t="s">
        <v>51</v>
      </c>
      <c r="BR276"/>
      <c r="BS276"/>
      <c r="BT276"/>
    </row>
    <row r="277" spans="2:72" ht="16.5">
      <c r="B277" s="284" t="s">
        <v>115</v>
      </c>
      <c r="C277" s="297" t="s">
        <v>52</v>
      </c>
      <c r="D277" s="285">
        <f>0.8*(-O274+SQRT(O274^2-4*O273*O275))/2/O273</f>
        <v>24.244487046803727</v>
      </c>
      <c r="E277" s="286">
        <f t="shared" ref="E277:AQ277" si="189">D277+$F275</f>
        <v>27.555424679062753</v>
      </c>
      <c r="F277" s="286">
        <f t="shared" si="189"/>
        <v>30.86636231132178</v>
      </c>
      <c r="G277" s="286">
        <f t="shared" si="189"/>
        <v>34.177299943580806</v>
      </c>
      <c r="H277" s="286">
        <f t="shared" si="189"/>
        <v>37.488237575839833</v>
      </c>
      <c r="I277" s="286">
        <f t="shared" si="189"/>
        <v>40.799175208098859</v>
      </c>
      <c r="J277" s="286">
        <f t="shared" si="189"/>
        <v>44.110112840357885</v>
      </c>
      <c r="K277" s="286">
        <f t="shared" si="189"/>
        <v>47.421050472616912</v>
      </c>
      <c r="L277" s="286">
        <f t="shared" si="189"/>
        <v>50.731988104875938</v>
      </c>
      <c r="M277" s="286">
        <f t="shared" si="189"/>
        <v>54.042925737134965</v>
      </c>
      <c r="N277" s="286">
        <f t="shared" si="189"/>
        <v>57.353863369393991</v>
      </c>
      <c r="O277" s="286">
        <f t="shared" si="189"/>
        <v>60.664801001653018</v>
      </c>
      <c r="P277" s="286">
        <f t="shared" si="189"/>
        <v>63.975738633912044</v>
      </c>
      <c r="Q277" s="286">
        <f t="shared" si="189"/>
        <v>67.286676266171071</v>
      </c>
      <c r="R277" s="286">
        <f t="shared" si="189"/>
        <v>70.597613898430097</v>
      </c>
      <c r="S277" s="286">
        <f t="shared" si="189"/>
        <v>73.908551530689124</v>
      </c>
      <c r="T277" s="286">
        <f t="shared" si="189"/>
        <v>77.21948916294815</v>
      </c>
      <c r="U277" s="286">
        <f t="shared" si="189"/>
        <v>80.530426795207177</v>
      </c>
      <c r="V277" s="286">
        <f t="shared" si="189"/>
        <v>83.841364427466203</v>
      </c>
      <c r="W277" s="286">
        <f t="shared" si="189"/>
        <v>87.15230205972523</v>
      </c>
      <c r="X277" s="286">
        <f t="shared" si="189"/>
        <v>90.463239691984256</v>
      </c>
      <c r="Y277" s="286">
        <f t="shared" si="189"/>
        <v>93.774177324243283</v>
      </c>
      <c r="Z277" s="286">
        <f t="shared" si="189"/>
        <v>97.085114956502309</v>
      </c>
      <c r="AA277" s="286">
        <f t="shared" si="189"/>
        <v>100.39605258876134</v>
      </c>
      <c r="AB277" s="286">
        <f t="shared" si="189"/>
        <v>103.70699022102036</v>
      </c>
      <c r="AC277" s="286">
        <f t="shared" si="189"/>
        <v>107.01792785327939</v>
      </c>
      <c r="AD277" s="286">
        <f t="shared" si="189"/>
        <v>110.32886548553842</v>
      </c>
      <c r="AE277" s="286">
        <f t="shared" si="189"/>
        <v>113.63980311779744</v>
      </c>
      <c r="AF277" s="286">
        <f t="shared" si="189"/>
        <v>116.95074075005647</v>
      </c>
      <c r="AG277" s="286">
        <f t="shared" si="189"/>
        <v>120.26167838231549</v>
      </c>
      <c r="AH277" s="286">
        <f t="shared" si="189"/>
        <v>123.57261601457452</v>
      </c>
      <c r="AI277" s="286">
        <f t="shared" si="189"/>
        <v>126.88355364683355</v>
      </c>
      <c r="AJ277" s="286">
        <f t="shared" si="189"/>
        <v>130.19449127909257</v>
      </c>
      <c r="AK277" s="286">
        <f t="shared" si="189"/>
        <v>133.5054289113516</v>
      </c>
      <c r="AL277" s="286">
        <f t="shared" si="189"/>
        <v>136.81636654361063</v>
      </c>
      <c r="AM277" s="286">
        <f t="shared" si="189"/>
        <v>140.12730417586965</v>
      </c>
      <c r="AN277" s="286">
        <f t="shared" si="189"/>
        <v>143.43824180812868</v>
      </c>
      <c r="AO277" s="286">
        <f t="shared" si="189"/>
        <v>146.74917944038771</v>
      </c>
      <c r="AP277" s="286">
        <f t="shared" si="189"/>
        <v>150.06011707264673</v>
      </c>
      <c r="AQ277" s="286">
        <f t="shared" si="189"/>
        <v>153.37105470490576</v>
      </c>
      <c r="AR277" s="62">
        <f>200000*F$8/C$10*F274/(1+200000*F$8/C$10)</f>
        <v>156.68199233716473</v>
      </c>
      <c r="AS277" s="286">
        <f t="shared" ref="AS277:BJ277" si="190">AR277+$AS275</f>
        <v>168.17241379310343</v>
      </c>
      <c r="AT277" s="286">
        <f t="shared" si="190"/>
        <v>179.66283524904213</v>
      </c>
      <c r="AU277" s="286">
        <f t="shared" si="190"/>
        <v>191.15325670498083</v>
      </c>
      <c r="AV277" s="286">
        <f t="shared" si="190"/>
        <v>202.64367816091954</v>
      </c>
      <c r="AW277" s="286">
        <f t="shared" si="190"/>
        <v>214.13409961685824</v>
      </c>
      <c r="AX277" s="286">
        <f t="shared" si="190"/>
        <v>225.62452107279694</v>
      </c>
      <c r="AY277" s="286">
        <f t="shared" si="190"/>
        <v>237.11494252873564</v>
      </c>
      <c r="AZ277" s="286">
        <f t="shared" si="190"/>
        <v>248.60536398467434</v>
      </c>
      <c r="BA277" s="286">
        <f t="shared" si="190"/>
        <v>260.09578544061304</v>
      </c>
      <c r="BB277" s="286">
        <f t="shared" si="190"/>
        <v>271.58620689655174</v>
      </c>
      <c r="BC277" s="286">
        <f t="shared" si="190"/>
        <v>283.07662835249045</v>
      </c>
      <c r="BD277" s="286">
        <f t="shared" si="190"/>
        <v>294.56704980842915</v>
      </c>
      <c r="BE277" s="286">
        <f t="shared" si="190"/>
        <v>306.05747126436785</v>
      </c>
      <c r="BF277" s="286">
        <f t="shared" si="190"/>
        <v>317.54789272030655</v>
      </c>
      <c r="BG277" s="286">
        <f t="shared" si="190"/>
        <v>329.03831417624525</v>
      </c>
      <c r="BH277" s="286">
        <f t="shared" si="190"/>
        <v>340.52873563218395</v>
      </c>
      <c r="BI277" s="286">
        <f t="shared" si="190"/>
        <v>352.01915708812265</v>
      </c>
      <c r="BJ277" s="286">
        <f t="shared" si="190"/>
        <v>363.50957854406136</v>
      </c>
      <c r="BK277" s="286">
        <f>BK17</f>
        <v>375</v>
      </c>
      <c r="BL277" s="286">
        <f>BL17</f>
        <v>550</v>
      </c>
      <c r="BM277" s="286">
        <f>BM17</f>
        <v>725</v>
      </c>
      <c r="BN277" s="286">
        <f>BN17</f>
        <v>900</v>
      </c>
      <c r="BO277" s="287"/>
      <c r="BR277"/>
      <c r="BS277"/>
      <c r="BT277"/>
    </row>
    <row r="278" spans="2:72" ht="16.5">
      <c r="B278" s="290" t="s">
        <v>53</v>
      </c>
      <c r="C278" s="298" t="s">
        <v>54</v>
      </c>
      <c r="D278" s="3">
        <f>MIN($C$8*D277,MAIN!$C$14)*MAIN!$C$13*$C$9</f>
        <v>527560.03813844908</v>
      </c>
      <c r="E278" s="304">
        <f>MIN($C$8*E277,MAIN!$C$14)*MAIN!$C$13*$C$9</f>
        <v>599606.04101640556</v>
      </c>
      <c r="F278" s="304">
        <f>MIN($C$8*F277,MAIN!$C$14)*MAIN!$C$13*$C$9</f>
        <v>671652.04389436205</v>
      </c>
      <c r="G278" s="304">
        <f>MIN($C$8*G277,MAIN!$C$14)*MAIN!$C$13*$C$9</f>
        <v>743698.04677231843</v>
      </c>
      <c r="H278" s="304">
        <f>MIN($C$8*H277,MAIN!$C$14)*MAIN!$C$13*$C$9</f>
        <v>815744.04965027492</v>
      </c>
      <c r="I278" s="304">
        <f>MIN($C$8*I277,MAIN!$C$14)*MAIN!$C$13*$C$9</f>
        <v>887790.05252823117</v>
      </c>
      <c r="J278" s="304">
        <f>MIN($C$8*J277,MAIN!$C$14)*MAIN!$C$13*$C$9</f>
        <v>959836.05540618778</v>
      </c>
      <c r="K278" s="304">
        <f>MIN($C$8*K277,MAIN!$C$14)*MAIN!$C$13*$C$9</f>
        <v>1031882.058284144</v>
      </c>
      <c r="L278" s="304">
        <f>MIN($C$8*L277,MAIN!$C$14)*MAIN!$C$13*$C$9</f>
        <v>1103928.0611621006</v>
      </c>
      <c r="M278" s="304">
        <f>MIN($C$8*M277,MAIN!$C$14)*MAIN!$C$13*$C$9</f>
        <v>1175974.0640400571</v>
      </c>
      <c r="N278" s="304">
        <f>MIN($C$8*N277,MAIN!$C$14)*MAIN!$C$13*$C$9</f>
        <v>1248020.0669180132</v>
      </c>
      <c r="O278" s="304">
        <f>MIN($C$8*O277,MAIN!$C$14)*MAIN!$C$13*$C$9</f>
        <v>1320066.0697959696</v>
      </c>
      <c r="P278" s="304">
        <f>MIN($C$8*P277,MAIN!$C$14)*MAIN!$C$13*$C$9</f>
        <v>1392112.0726739261</v>
      </c>
      <c r="Q278" s="304">
        <f>MIN($C$8*Q277,MAIN!$C$14)*MAIN!$C$13*$C$9</f>
        <v>1464158.0755518826</v>
      </c>
      <c r="R278" s="304">
        <f>MIN($C$8*R277,MAIN!$C$14)*MAIN!$C$13*$C$9</f>
        <v>1536204.0784298393</v>
      </c>
      <c r="S278" s="304">
        <f>MIN($C$8*S277,MAIN!$C$14)*MAIN!$C$13*$C$9</f>
        <v>1608250.0813077954</v>
      </c>
      <c r="T278" s="304">
        <f>MIN($C$8*T277,MAIN!$C$14)*MAIN!$C$13*$C$9</f>
        <v>1680296.0841857519</v>
      </c>
      <c r="U278" s="304">
        <f>MIN($C$8*U277,MAIN!$C$14)*MAIN!$C$13*$C$9</f>
        <v>1752342.0870637083</v>
      </c>
      <c r="V278" s="304">
        <f>MIN($C$8*V277,MAIN!$C$14)*MAIN!$C$13*$C$9</f>
        <v>1824388.0899416648</v>
      </c>
      <c r="W278" s="304">
        <f>MIN($C$8*W277,MAIN!$C$14)*MAIN!$C$13*$C$9</f>
        <v>1896434.0928196209</v>
      </c>
      <c r="X278" s="304">
        <f>MIN($C$8*X277,MAIN!$C$14)*MAIN!$C$13*$C$9</f>
        <v>1968480.0956975776</v>
      </c>
      <c r="Y278" s="304">
        <f>MIN($C$8*Y277,MAIN!$C$14)*MAIN!$C$13*$C$9</f>
        <v>2040526.0985755338</v>
      </c>
      <c r="Z278" s="304">
        <f>MIN($C$8*Z277,MAIN!$C$14)*MAIN!$C$13*$C$9</f>
        <v>2112572.1014534906</v>
      </c>
      <c r="AA278" s="304">
        <f>MIN($C$8*AA277,MAIN!$C$14)*MAIN!$C$13*$C$9</f>
        <v>2184618.1043314468</v>
      </c>
      <c r="AB278" s="304">
        <f>MIN($C$8*AB277,MAIN!$C$14)*MAIN!$C$13*$C$9</f>
        <v>2256664.1072094035</v>
      </c>
      <c r="AC278" s="304">
        <f>MIN($C$8*AC277,MAIN!$C$14)*MAIN!$C$13*$C$9</f>
        <v>2328710.1100873598</v>
      </c>
      <c r="AD278" s="304">
        <f>MIN($C$8*AD277,MAIN!$C$14)*MAIN!$C$13*$C$9</f>
        <v>2400756.112965316</v>
      </c>
      <c r="AE278" s="304">
        <f>MIN($C$8*AE277,MAIN!$C$14)*MAIN!$C$13*$C$9</f>
        <v>2472802.1158432728</v>
      </c>
      <c r="AF278" s="304">
        <f>MIN($C$8*AF277,MAIN!$C$14)*MAIN!$C$13*$C$9</f>
        <v>2544848.118721229</v>
      </c>
      <c r="AG278" s="304">
        <f>MIN($C$8*AG277,MAIN!$C$14)*MAIN!$C$13*$C$9</f>
        <v>2616894.1215991857</v>
      </c>
      <c r="AH278" s="304">
        <f>MIN($C$8*AH277,MAIN!$C$14)*MAIN!$C$13*$C$9</f>
        <v>2688940.1244771415</v>
      </c>
      <c r="AI278" s="304">
        <f>MIN($C$8*AI277,MAIN!$C$14)*MAIN!$C$13*$C$9</f>
        <v>2760986.1273550983</v>
      </c>
      <c r="AJ278" s="304">
        <f>MIN($C$8*AJ277,MAIN!$C$14)*MAIN!$C$13*$C$9</f>
        <v>2833032.1302330545</v>
      </c>
      <c r="AK278" s="304">
        <f>MIN($C$8*AK277,MAIN!$C$14)*MAIN!$C$13*$C$9</f>
        <v>2905078.1331110112</v>
      </c>
      <c r="AL278" s="304">
        <f>MIN($C$8*AL277,MAIN!$C$14)*MAIN!$C$13*$C$9</f>
        <v>2977124.1359889675</v>
      </c>
      <c r="AM278" s="304">
        <f>MIN($C$8*AM277,MAIN!$C$14)*MAIN!$C$13*$C$9</f>
        <v>3049170.1388669242</v>
      </c>
      <c r="AN278" s="304">
        <f>MIN($C$8*AN277,MAIN!$C$14)*MAIN!$C$13*$C$9</f>
        <v>3121216.1417448805</v>
      </c>
      <c r="AO278" s="304">
        <f>MIN($C$8*AO277,MAIN!$C$14)*MAIN!$C$13*$C$9</f>
        <v>3193262.1446228367</v>
      </c>
      <c r="AP278" s="304">
        <f>MIN($C$8*AP277,MAIN!$C$14)*MAIN!$C$13*$C$9</f>
        <v>3265308.147500793</v>
      </c>
      <c r="AQ278" s="304">
        <f>MIN($C$8*AQ277,MAIN!$C$14)*MAIN!$C$13*$C$9</f>
        <v>3337354.1503787502</v>
      </c>
      <c r="AR278" s="56">
        <f>MIN($C$8*AR277,MAIN!$C$14)*MAIN!$C$13*$C$9</f>
        <v>3409400.153256705</v>
      </c>
      <c r="AS278" s="304">
        <f>MIN($C$8*AS277,MAIN!$C$14)*MAIN!$C$13*$C$9</f>
        <v>3659431.7241379302</v>
      </c>
      <c r="AT278" s="304">
        <f>MIN($C$8*AT277,MAIN!$C$14)*MAIN!$C$13*$C$9</f>
        <v>3909463.2950191572</v>
      </c>
      <c r="AU278" s="304">
        <f>MIN($C$8*AU277,MAIN!$C$14)*MAIN!$C$13*$C$9</f>
        <v>4159494.8659003833</v>
      </c>
      <c r="AV278" s="304">
        <f>MIN($C$8*AV277,MAIN!$C$14)*MAIN!$C$13*$C$9</f>
        <v>4409526.4367816094</v>
      </c>
      <c r="AW278" s="304">
        <f>MIN($C$8*AW277,MAIN!$C$14)*MAIN!$C$13*$C$9</f>
        <v>4659558.0076628365</v>
      </c>
      <c r="AX278" s="304">
        <f>MIN($C$8*AX277,MAIN!$C$14)*MAIN!$C$13*$C$9</f>
        <v>4909589.5785440626</v>
      </c>
      <c r="AY278" s="304">
        <f>MIN($C$8*AY277,MAIN!$C$14)*MAIN!$C$13*$C$9</f>
        <v>5159621.1494252877</v>
      </c>
      <c r="AZ278" s="304">
        <f>MIN($C$8*AZ277,MAIN!$C$14)*MAIN!$C$13*$C$9</f>
        <v>5409652.7203065138</v>
      </c>
      <c r="BA278" s="304">
        <f>MIN($C$8*BA277,MAIN!$C$14)*MAIN!$C$13*$C$9</f>
        <v>5659684.2911877399</v>
      </c>
      <c r="BB278" s="304">
        <f>MIN($C$8*BB277,MAIN!$C$14)*MAIN!$C$13*$C$9</f>
        <v>5909715.862068966</v>
      </c>
      <c r="BC278" s="304">
        <f>MIN($C$8*BC277,MAIN!$C$14)*MAIN!$C$13*$C$9</f>
        <v>6159747.4329501931</v>
      </c>
      <c r="BD278" s="304">
        <f>MIN($C$8*BD277,MAIN!$C$14)*MAIN!$C$13*$C$9</f>
        <v>6409779.0038314182</v>
      </c>
      <c r="BE278" s="304">
        <f>MIN($C$8*BE277,MAIN!$C$14)*MAIN!$C$13*$C$9</f>
        <v>6659810.5747126453</v>
      </c>
      <c r="BF278" s="304">
        <f>MIN($C$8*BF277,MAIN!$C$14)*MAIN!$C$13*$C$9</f>
        <v>6909842.1455938704</v>
      </c>
      <c r="BG278" s="304">
        <f>MIN($C$8*BG277,MAIN!$C$14)*MAIN!$C$13*$C$9</f>
        <v>7159873.7164750965</v>
      </c>
      <c r="BH278" s="304">
        <f>MIN($C$8*BH277,MAIN!$C$14)*MAIN!$C$13*$C$9</f>
        <v>7409905.2873563245</v>
      </c>
      <c r="BI278" s="304">
        <f>MIN($C$8*BI277,MAIN!$C$14)*MAIN!$C$13*$C$9</f>
        <v>7659936.8582375497</v>
      </c>
      <c r="BJ278" s="304">
        <f>MIN($C$8*BJ277,MAIN!$C$14)*MAIN!$C$13*$C$9</f>
        <v>7909968.4291187767</v>
      </c>
      <c r="BK278" s="304">
        <f>MIN($C$8*BK277,MAIN!$C$14)*MAIN!$C$13*$C$9</f>
        <v>8160000</v>
      </c>
      <c r="BL278" s="304">
        <f>MIN($C$8*BL277,MAIN!$C$14)*MAIN!$C$13*$C$9</f>
        <v>8160000</v>
      </c>
      <c r="BM278" s="304">
        <f>MIN($C$8*BM277,MAIN!$C$14)*MAIN!$C$13*$C$9</f>
        <v>8160000</v>
      </c>
      <c r="BN278" s="304">
        <f>MIN($C$8*BN277,MAIN!$C$14)*MAIN!$C$13*$C$9</f>
        <v>8160000</v>
      </c>
      <c r="BO278" s="3">
        <f>MAIN!$C$13*MAIN!$C$14*$C$9</f>
        <v>8160000</v>
      </c>
      <c r="BR278"/>
      <c r="BS278"/>
      <c r="BT278"/>
    </row>
    <row r="279" spans="2:72" ht="16.5">
      <c r="B279" s="4">
        <v>2</v>
      </c>
      <c r="C279" s="299" t="s">
        <v>55</v>
      </c>
      <c r="D279" s="5">
        <f>IF(C274+L274&gt;=F274,0,C274+L274)</f>
        <v>0</v>
      </c>
      <c r="E279" s="6"/>
      <c r="F279" s="6"/>
      <c r="G279" s="6"/>
      <c r="H279" s="6"/>
      <c r="I279" s="6"/>
      <c r="J279" s="6"/>
      <c r="K279" s="6"/>
      <c r="L279" s="6"/>
      <c r="M279" s="6"/>
      <c r="N279" s="6"/>
      <c r="O279" s="6"/>
      <c r="P279" s="6"/>
      <c r="Q279" s="6"/>
      <c r="R279" s="6"/>
      <c r="S279" s="6"/>
      <c r="T279" s="6"/>
      <c r="U279" s="6"/>
      <c r="V279" s="6"/>
      <c r="W279" s="6"/>
      <c r="X279" s="6"/>
      <c r="Y279" s="6"/>
      <c r="Z279" s="6"/>
      <c r="AA279" s="6"/>
      <c r="AB279" s="6"/>
      <c r="AC279" s="6"/>
      <c r="AD279" s="6"/>
      <c r="AE279" s="6"/>
      <c r="AF279" s="6"/>
      <c r="AG279" s="6"/>
      <c r="AH279" s="6"/>
      <c r="AI279" s="6"/>
      <c r="AJ279" s="6"/>
      <c r="AK279" s="6"/>
      <c r="AL279" s="6"/>
      <c r="AM279" s="6"/>
      <c r="AN279" s="6"/>
      <c r="AO279" s="6"/>
      <c r="AP279" s="6"/>
      <c r="AQ279" s="6"/>
      <c r="AR279" s="57"/>
      <c r="AS279" s="6"/>
      <c r="AT279" s="6"/>
      <c r="AU279" s="6"/>
      <c r="AV279" s="6"/>
      <c r="AW279" s="6"/>
      <c r="AX279" s="6"/>
      <c r="AY279" s="6"/>
      <c r="AZ279" s="6"/>
      <c r="BA279" s="6"/>
      <c r="BB279" s="6"/>
      <c r="BC279" s="6"/>
      <c r="BD279" s="6"/>
      <c r="BE279" s="6"/>
      <c r="BF279" s="6"/>
      <c r="BG279" s="6"/>
      <c r="BH279" s="6"/>
      <c r="BI279" s="6"/>
      <c r="BJ279" s="6"/>
      <c r="BK279" s="6"/>
      <c r="BL279" s="6"/>
      <c r="BM279" s="6"/>
      <c r="BN279" s="6"/>
      <c r="BO279" s="7"/>
      <c r="BP279" s="43"/>
      <c r="BR279"/>
      <c r="BS279"/>
      <c r="BT279"/>
    </row>
    <row r="280" spans="2:72" ht="16.5">
      <c r="B280" s="4">
        <f t="shared" ref="B280:B286" si="191">1+B279</f>
        <v>3</v>
      </c>
      <c r="C280" s="299" t="s">
        <v>55</v>
      </c>
      <c r="D280" s="5">
        <f>IF(C274+B279*L274&gt;=F274,0,C274+B279*L274)</f>
        <v>0</v>
      </c>
      <c r="E280" s="6"/>
      <c r="F280" s="6"/>
      <c r="G280" s="6"/>
      <c r="H280" s="6"/>
      <c r="I280" s="6"/>
      <c r="J280" s="6"/>
      <c r="K280" s="6"/>
      <c r="L280" s="6"/>
      <c r="M280" s="6"/>
      <c r="N280" s="6"/>
      <c r="O280" s="6"/>
      <c r="P280" s="6"/>
      <c r="Q280" s="6"/>
      <c r="R280" s="6"/>
      <c r="S280" s="6"/>
      <c r="T280" s="6"/>
      <c r="U280" s="6"/>
      <c r="V280" s="6"/>
      <c r="W280" s="6"/>
      <c r="X280" s="6"/>
      <c r="Y280" s="6"/>
      <c r="Z280" s="6"/>
      <c r="AA280" s="6"/>
      <c r="AB280" s="6"/>
      <c r="AC280" s="6"/>
      <c r="AD280" s="6"/>
      <c r="AE280" s="6"/>
      <c r="AF280" s="6"/>
      <c r="AG280" s="6"/>
      <c r="AH280" s="6"/>
      <c r="AI280" s="6"/>
      <c r="AJ280" s="6"/>
      <c r="AK280" s="6"/>
      <c r="AL280" s="6"/>
      <c r="AM280" s="6"/>
      <c r="AN280" s="6"/>
      <c r="AO280" s="6"/>
      <c r="AP280" s="6"/>
      <c r="AQ280" s="6"/>
      <c r="AR280" s="57"/>
      <c r="AS280" s="6"/>
      <c r="AT280" s="6"/>
      <c r="AU280" s="6"/>
      <c r="AV280" s="6"/>
      <c r="AW280" s="6"/>
      <c r="AX280" s="6"/>
      <c r="AY280" s="6"/>
      <c r="AZ280" s="6"/>
      <c r="BA280" s="6"/>
      <c r="BB280" s="6"/>
      <c r="BC280" s="6"/>
      <c r="BD280" s="6"/>
      <c r="BE280" s="6"/>
      <c r="BF280" s="6"/>
      <c r="BG280" s="6"/>
      <c r="BH280" s="6"/>
      <c r="BI280" s="6"/>
      <c r="BJ280" s="6"/>
      <c r="BK280" s="6"/>
      <c r="BL280" s="6"/>
      <c r="BM280" s="6"/>
      <c r="BN280" s="6"/>
      <c r="BO280" s="7"/>
      <c r="BP280" s="43"/>
      <c r="BR280"/>
      <c r="BS280"/>
      <c r="BT280"/>
    </row>
    <row r="281" spans="2:72" ht="16.5">
      <c r="B281" s="4">
        <f t="shared" si="191"/>
        <v>4</v>
      </c>
      <c r="C281" s="299" t="s">
        <v>55</v>
      </c>
      <c r="D281" s="5">
        <f>IF(C274+B280*L274&gt;=F274,0,C274+B280*L274)</f>
        <v>0</v>
      </c>
      <c r="E281" s="6"/>
      <c r="F281" s="6"/>
      <c r="G281" s="6"/>
      <c r="H281" s="6"/>
      <c r="I281" s="6"/>
      <c r="J281" s="6"/>
      <c r="K281" s="6"/>
      <c r="L281" s="6"/>
      <c r="M281" s="6"/>
      <c r="N281" s="6"/>
      <c r="O281" s="6"/>
      <c r="P281" s="6"/>
      <c r="Q281" s="6"/>
      <c r="R281" s="6"/>
      <c r="S281" s="6"/>
      <c r="T281" s="6"/>
      <c r="U281" s="6"/>
      <c r="V281" s="6"/>
      <c r="W281" s="6"/>
      <c r="X281" s="6"/>
      <c r="Y281" s="6"/>
      <c r="Z281" s="6"/>
      <c r="AA281" s="6"/>
      <c r="AB281" s="6"/>
      <c r="AC281" s="6"/>
      <c r="AD281" s="6"/>
      <c r="AE281" s="6"/>
      <c r="AF281" s="6"/>
      <c r="AG281" s="6"/>
      <c r="AH281" s="6"/>
      <c r="AI281" s="6"/>
      <c r="AJ281" s="6"/>
      <c r="AK281" s="6"/>
      <c r="AL281" s="6"/>
      <c r="AM281" s="6"/>
      <c r="AN281" s="6"/>
      <c r="AO281" s="6"/>
      <c r="AP281" s="6"/>
      <c r="AQ281" s="6"/>
      <c r="AR281" s="57"/>
      <c r="AS281" s="6"/>
      <c r="AT281" s="6"/>
      <c r="AU281" s="6"/>
      <c r="AV281" s="6"/>
      <c r="AW281" s="6"/>
      <c r="AX281" s="6"/>
      <c r="AY281" s="6"/>
      <c r="AZ281" s="6"/>
      <c r="BA281" s="6"/>
      <c r="BB281" s="6"/>
      <c r="BC281" s="6"/>
      <c r="BD281" s="6"/>
      <c r="BE281" s="6"/>
      <c r="BF281" s="6"/>
      <c r="BG281" s="6"/>
      <c r="BH281" s="6"/>
      <c r="BI281" s="6"/>
      <c r="BJ281" s="6"/>
      <c r="BK281" s="6"/>
      <c r="BL281" s="6"/>
      <c r="BM281" s="6"/>
      <c r="BN281" s="6"/>
      <c r="BO281" s="7"/>
      <c r="BP281" s="43"/>
      <c r="BR281"/>
      <c r="BS281"/>
      <c r="BT281"/>
    </row>
    <row r="282" spans="2:72" ht="16.5">
      <c r="B282" s="4">
        <f t="shared" si="191"/>
        <v>5</v>
      </c>
      <c r="C282" s="299" t="s">
        <v>55</v>
      </c>
      <c r="D282" s="5">
        <f>IF(C274+B281*L274&gt;=F274,0,C274+B281*L274)</f>
        <v>0</v>
      </c>
      <c r="E282" s="6"/>
      <c r="F282" s="6"/>
      <c r="G282" s="6"/>
      <c r="H282" s="6"/>
      <c r="I282" s="6"/>
      <c r="J282" s="6"/>
      <c r="K282" s="6"/>
      <c r="L282" s="6"/>
      <c r="M282" s="6"/>
      <c r="N282" s="6"/>
      <c r="O282" s="6"/>
      <c r="P282" s="6"/>
      <c r="Q282" s="6"/>
      <c r="R282" s="6"/>
      <c r="S282" s="6"/>
      <c r="T282" s="6"/>
      <c r="U282" s="6"/>
      <c r="V282" s="6"/>
      <c r="W282" s="6"/>
      <c r="X282" s="6"/>
      <c r="Y282" s="6"/>
      <c r="Z282" s="6"/>
      <c r="AA282" s="6"/>
      <c r="AB282" s="6"/>
      <c r="AC282" s="6"/>
      <c r="AD282" s="6"/>
      <c r="AE282" s="6"/>
      <c r="AF282" s="6"/>
      <c r="AG282" s="6"/>
      <c r="AH282" s="6"/>
      <c r="AI282" s="6"/>
      <c r="AJ282" s="6"/>
      <c r="AK282" s="6"/>
      <c r="AL282" s="6"/>
      <c r="AM282" s="6"/>
      <c r="AN282" s="6"/>
      <c r="AO282" s="6"/>
      <c r="AP282" s="6"/>
      <c r="AQ282" s="6"/>
      <c r="AR282" s="57"/>
      <c r="AS282" s="6"/>
      <c r="AT282" s="6"/>
      <c r="AU282" s="6"/>
      <c r="AV282" s="6"/>
      <c r="AW282" s="6"/>
      <c r="AX282" s="6"/>
      <c r="AY282" s="6"/>
      <c r="AZ282" s="6"/>
      <c r="BA282" s="6"/>
      <c r="BB282" s="6"/>
      <c r="BC282" s="6"/>
      <c r="BD282" s="6"/>
      <c r="BE282" s="6"/>
      <c r="BF282" s="6"/>
      <c r="BG282" s="6"/>
      <c r="BH282" s="6"/>
      <c r="BI282" s="6"/>
      <c r="BJ282" s="6"/>
      <c r="BK282" s="6"/>
      <c r="BL282" s="6"/>
      <c r="BM282" s="6"/>
      <c r="BN282" s="6"/>
      <c r="BO282" s="7"/>
      <c r="BP282" s="43"/>
      <c r="BR282"/>
      <c r="BS282"/>
      <c r="BT282"/>
    </row>
    <row r="283" spans="2:72" ht="16.5">
      <c r="B283" s="4">
        <f t="shared" si="191"/>
        <v>6</v>
      </c>
      <c r="C283" s="299" t="s">
        <v>55</v>
      </c>
      <c r="D283" s="5">
        <f>IF(C274+B282*L274&gt;=F274,0,C274+B282*L274)</f>
        <v>0</v>
      </c>
      <c r="E283" s="6"/>
      <c r="F283" s="6"/>
      <c r="G283" s="6"/>
      <c r="H283" s="6"/>
      <c r="I283" s="6"/>
      <c r="J283" s="6"/>
      <c r="K283" s="6"/>
      <c r="L283" s="6"/>
      <c r="M283" s="6"/>
      <c r="N283" s="6"/>
      <c r="O283" s="6"/>
      <c r="P283" s="6"/>
      <c r="Q283" s="6"/>
      <c r="R283" s="6"/>
      <c r="S283" s="6"/>
      <c r="T283" s="6"/>
      <c r="U283" s="6"/>
      <c r="V283" s="6"/>
      <c r="W283" s="6"/>
      <c r="X283" s="6"/>
      <c r="Y283" s="6"/>
      <c r="Z283" s="6"/>
      <c r="AA283" s="6"/>
      <c r="AB283" s="6"/>
      <c r="AC283" s="6"/>
      <c r="AD283" s="6"/>
      <c r="AE283" s="6"/>
      <c r="AF283" s="6"/>
      <c r="AG283" s="6"/>
      <c r="AH283" s="6"/>
      <c r="AI283" s="6"/>
      <c r="AJ283" s="6"/>
      <c r="AK283" s="6"/>
      <c r="AL283" s="6"/>
      <c r="AM283" s="6"/>
      <c r="AN283" s="6"/>
      <c r="AO283" s="6"/>
      <c r="AP283" s="6"/>
      <c r="AQ283" s="6"/>
      <c r="AR283" s="57"/>
      <c r="AS283" s="6"/>
      <c r="AT283" s="6"/>
      <c r="AU283" s="6"/>
      <c r="AV283" s="6"/>
      <c r="AW283" s="6"/>
      <c r="AX283" s="6"/>
      <c r="AY283" s="6"/>
      <c r="AZ283" s="6"/>
      <c r="BA283" s="6"/>
      <c r="BB283" s="6"/>
      <c r="BC283" s="6"/>
      <c r="BD283" s="6"/>
      <c r="BE283" s="6"/>
      <c r="BF283" s="6"/>
      <c r="BG283" s="6"/>
      <c r="BH283" s="6"/>
      <c r="BI283" s="6"/>
      <c r="BJ283" s="6"/>
      <c r="BK283" s="6"/>
      <c r="BL283" s="6"/>
      <c r="BM283" s="6"/>
      <c r="BN283" s="6"/>
      <c r="BO283" s="7"/>
      <c r="BP283" s="43"/>
      <c r="BR283"/>
      <c r="BS283"/>
      <c r="BT283"/>
    </row>
    <row r="284" spans="2:72" ht="16.5">
      <c r="B284" s="4">
        <f t="shared" si="191"/>
        <v>7</v>
      </c>
      <c r="C284" s="299" t="s">
        <v>55</v>
      </c>
      <c r="D284" s="5">
        <f>IF(C274+B283*L274&gt;=F274,0,C274+B283*L274)</f>
        <v>0</v>
      </c>
      <c r="E284" s="6"/>
      <c r="F284" s="6"/>
      <c r="G284" s="6"/>
      <c r="H284" s="6"/>
      <c r="I284" s="6"/>
      <c r="J284" s="6"/>
      <c r="K284" s="6"/>
      <c r="L284" s="6"/>
      <c r="M284" s="6"/>
      <c r="N284" s="6"/>
      <c r="O284" s="6"/>
      <c r="P284" s="6"/>
      <c r="Q284" s="6"/>
      <c r="R284" s="6"/>
      <c r="S284" s="6"/>
      <c r="T284" s="6"/>
      <c r="U284" s="6"/>
      <c r="V284" s="6"/>
      <c r="W284" s="6"/>
      <c r="X284" s="6"/>
      <c r="Y284" s="6"/>
      <c r="Z284" s="6"/>
      <c r="AA284" s="6"/>
      <c r="AB284" s="6"/>
      <c r="AC284" s="6"/>
      <c r="AD284" s="6"/>
      <c r="AE284" s="6"/>
      <c r="AF284" s="6"/>
      <c r="AG284" s="6"/>
      <c r="AH284" s="6"/>
      <c r="AI284" s="6"/>
      <c r="AJ284" s="6"/>
      <c r="AK284" s="6"/>
      <c r="AL284" s="6"/>
      <c r="AM284" s="6"/>
      <c r="AN284" s="6"/>
      <c r="AO284" s="6"/>
      <c r="AP284" s="6"/>
      <c r="AQ284" s="6"/>
      <c r="AR284" s="57"/>
      <c r="AS284" s="6"/>
      <c r="AT284" s="6"/>
      <c r="AU284" s="6"/>
      <c r="AV284" s="6"/>
      <c r="AW284" s="6"/>
      <c r="AX284" s="6"/>
      <c r="AY284" s="6"/>
      <c r="AZ284" s="6"/>
      <c r="BA284" s="6"/>
      <c r="BB284" s="6"/>
      <c r="BC284" s="6"/>
      <c r="BD284" s="6"/>
      <c r="BE284" s="6"/>
      <c r="BF284" s="6"/>
      <c r="BG284" s="6"/>
      <c r="BH284" s="6"/>
      <c r="BI284" s="6"/>
      <c r="BJ284" s="6"/>
      <c r="BK284" s="6"/>
      <c r="BL284" s="6"/>
      <c r="BM284" s="6"/>
      <c r="BN284" s="6"/>
      <c r="BO284" s="7"/>
      <c r="BP284" s="43"/>
      <c r="BR284"/>
      <c r="BS284"/>
      <c r="BT284"/>
    </row>
    <row r="285" spans="2:72" ht="16.5">
      <c r="B285" s="4">
        <f t="shared" si="191"/>
        <v>8</v>
      </c>
      <c r="C285" s="299" t="s">
        <v>55</v>
      </c>
      <c r="D285" s="5">
        <f>IF(C274+B284*L274&gt;=F274,0,C274+B284*L274)</f>
        <v>0</v>
      </c>
      <c r="E285" s="6"/>
      <c r="F285" s="6"/>
      <c r="G285" s="6"/>
      <c r="H285" s="6"/>
      <c r="I285" s="6"/>
      <c r="J285" s="6"/>
      <c r="K285" s="6"/>
      <c r="L285" s="6"/>
      <c r="M285" s="6"/>
      <c r="N285" s="6"/>
      <c r="O285" s="6"/>
      <c r="P285" s="6"/>
      <c r="Q285" s="6"/>
      <c r="R285" s="6"/>
      <c r="S285" s="6"/>
      <c r="T285" s="6"/>
      <c r="U285" s="6"/>
      <c r="V285" s="6"/>
      <c r="W285" s="6"/>
      <c r="X285" s="6"/>
      <c r="Y285" s="6"/>
      <c r="Z285" s="6"/>
      <c r="AA285" s="6"/>
      <c r="AB285" s="6"/>
      <c r="AC285" s="6"/>
      <c r="AD285" s="6"/>
      <c r="AE285" s="6"/>
      <c r="AF285" s="6"/>
      <c r="AG285" s="6"/>
      <c r="AH285" s="6"/>
      <c r="AI285" s="6"/>
      <c r="AJ285" s="6"/>
      <c r="AK285" s="6"/>
      <c r="AL285" s="6"/>
      <c r="AM285" s="6"/>
      <c r="AN285" s="6"/>
      <c r="AO285" s="6"/>
      <c r="AP285" s="6"/>
      <c r="AQ285" s="6"/>
      <c r="AR285" s="57"/>
      <c r="AS285" s="6"/>
      <c r="AT285" s="6"/>
      <c r="AU285" s="6"/>
      <c r="AV285" s="6"/>
      <c r="AW285" s="6"/>
      <c r="AX285" s="6"/>
      <c r="AY285" s="6"/>
      <c r="AZ285" s="6"/>
      <c r="BA285" s="6"/>
      <c r="BB285" s="6"/>
      <c r="BC285" s="6"/>
      <c r="BD285" s="6"/>
      <c r="BE285" s="6"/>
      <c r="BF285" s="6"/>
      <c r="BG285" s="6"/>
      <c r="BH285" s="6"/>
      <c r="BI285" s="6"/>
      <c r="BJ285" s="6"/>
      <c r="BK285" s="6"/>
      <c r="BL285" s="6"/>
      <c r="BM285" s="6"/>
      <c r="BN285" s="6"/>
      <c r="BO285" s="7"/>
      <c r="BP285" s="43"/>
      <c r="BR285"/>
      <c r="BS285"/>
      <c r="BT285"/>
    </row>
    <row r="286" spans="2:72" ht="16.5">
      <c r="B286" s="4">
        <f t="shared" si="191"/>
        <v>9</v>
      </c>
      <c r="C286" s="299" t="s">
        <v>55</v>
      </c>
      <c r="D286" s="5">
        <f>IF(C274+B285*L274&gt;=F274,0,C274+B285*L274)</f>
        <v>0</v>
      </c>
      <c r="E286" s="6"/>
      <c r="F286" s="6"/>
      <c r="G286" s="6"/>
      <c r="H286" s="6"/>
      <c r="I286" s="6"/>
      <c r="J286" s="6"/>
      <c r="K286" s="6"/>
      <c r="L286" s="6"/>
      <c r="M286" s="6"/>
      <c r="N286" s="6"/>
      <c r="O286" s="6"/>
      <c r="P286" s="6"/>
      <c r="Q286" s="6"/>
      <c r="R286" s="6"/>
      <c r="S286" s="6"/>
      <c r="T286" s="6"/>
      <c r="U286" s="6"/>
      <c r="V286" s="6"/>
      <c r="W286" s="6"/>
      <c r="X286" s="6"/>
      <c r="Y286" s="6"/>
      <c r="Z286" s="6"/>
      <c r="AA286" s="6"/>
      <c r="AB286" s="6"/>
      <c r="AC286" s="6"/>
      <c r="AD286" s="6"/>
      <c r="AE286" s="6"/>
      <c r="AF286" s="6"/>
      <c r="AG286" s="6"/>
      <c r="AH286" s="6"/>
      <c r="AI286" s="6"/>
      <c r="AJ286" s="6"/>
      <c r="AK286" s="6"/>
      <c r="AL286" s="6"/>
      <c r="AM286" s="6"/>
      <c r="AN286" s="6"/>
      <c r="AO286" s="6"/>
      <c r="AP286" s="6"/>
      <c r="AQ286" s="6"/>
      <c r="AR286" s="57"/>
      <c r="AS286" s="6"/>
      <c r="AT286" s="6"/>
      <c r="AU286" s="6"/>
      <c r="AV286" s="6"/>
      <c r="AW286" s="6"/>
      <c r="AX286" s="6"/>
      <c r="AY286" s="6"/>
      <c r="AZ286" s="6"/>
      <c r="BA286" s="6"/>
      <c r="BB286" s="6"/>
      <c r="BC286" s="6"/>
      <c r="BD286" s="6"/>
      <c r="BE286" s="6"/>
      <c r="BF286" s="6"/>
      <c r="BG286" s="6"/>
      <c r="BH286" s="6"/>
      <c r="BI286" s="6"/>
      <c r="BJ286" s="6"/>
      <c r="BK286" s="6"/>
      <c r="BL286" s="6"/>
      <c r="BM286" s="6"/>
      <c r="BN286" s="6"/>
      <c r="BO286" s="7"/>
      <c r="BP286" s="43"/>
      <c r="BR286"/>
      <c r="BS286"/>
      <c r="BT286"/>
    </row>
    <row r="287" spans="2:72" ht="16.5">
      <c r="B287" s="291" t="s">
        <v>116</v>
      </c>
      <c r="C287" s="298" t="s">
        <v>117</v>
      </c>
      <c r="D287" s="3">
        <f>IF(D277&gt;MAIN!$C$14,MAX($F$9,$F$9*D277/(D277-$F$10)),$F$8)</f>
        <v>3.5000000000000001E-3</v>
      </c>
      <c r="E287" s="304">
        <f>IF(E277&gt;MAIN!$C$14,MAX($F$9,$F$9*E277/(E277-$F$10)),$F$8)</f>
        <v>3.5000000000000001E-3</v>
      </c>
      <c r="F287" s="304">
        <f>IF(F277&gt;MAIN!$C$14,MAX($F$9,$F$9*F277/(F277-$F$10)),$F$8)</f>
        <v>3.5000000000000001E-3</v>
      </c>
      <c r="G287" s="304">
        <f>IF(G277&gt;MAIN!$C$14,MAX($F$9,$F$9*G277/(G277-$F$10)),$F$8)</f>
        <v>3.5000000000000001E-3</v>
      </c>
      <c r="H287" s="304">
        <f>IF(H277&gt;MAIN!$C$14,MAX($F$9,$F$9*H277/(H277-$F$10)),$F$8)</f>
        <v>3.5000000000000001E-3</v>
      </c>
      <c r="I287" s="304">
        <f>IF(I277&gt;MAIN!$C$14,MAX($F$9,$F$9*I277/(I277-$F$10)),$F$8)</f>
        <v>3.5000000000000001E-3</v>
      </c>
      <c r="J287" s="304">
        <f>IF(J277&gt;MAIN!$C$14,MAX($F$9,$F$9*J277/(J277-$F$10)),$F$8)</f>
        <v>3.5000000000000001E-3</v>
      </c>
      <c r="K287" s="304">
        <f>IF(K277&gt;MAIN!$C$14,MAX($F$9,$F$9*K277/(K277-$F$10)),$F$8)</f>
        <v>3.5000000000000001E-3</v>
      </c>
      <c r="L287" s="304">
        <f>IF(L277&gt;MAIN!$C$14,MAX($F$9,$F$9*L277/(L277-$F$10)),$F$8)</f>
        <v>3.5000000000000001E-3</v>
      </c>
      <c r="M287" s="304">
        <f>IF(M277&gt;MAIN!$C$14,MAX($F$9,$F$9*M277/(M277-$F$10)),$F$8)</f>
        <v>3.5000000000000001E-3</v>
      </c>
      <c r="N287" s="304">
        <f>IF(N277&gt;MAIN!$C$14,MAX($F$9,$F$9*N277/(N277-$F$10)),$F$8)</f>
        <v>3.5000000000000001E-3</v>
      </c>
      <c r="O287" s="304">
        <f>IF(O277&gt;MAIN!$C$14,MAX($F$9,$F$9*O277/(O277-$F$10)),$F$8)</f>
        <v>3.5000000000000001E-3</v>
      </c>
      <c r="P287" s="304">
        <f>IF(P277&gt;MAIN!$C$14,MAX($F$9,$F$9*P277/(P277-$F$10)),$F$8)</f>
        <v>3.5000000000000001E-3</v>
      </c>
      <c r="Q287" s="304">
        <f>IF(Q277&gt;MAIN!$C$14,MAX($F$9,$F$9*Q277/(Q277-$F$10)),$F$8)</f>
        <v>3.5000000000000001E-3</v>
      </c>
      <c r="R287" s="304">
        <f>IF(R277&gt;MAIN!$C$14,MAX($F$9,$F$9*R277/(R277-$F$10)),$F$8)</f>
        <v>3.5000000000000001E-3</v>
      </c>
      <c r="S287" s="304">
        <f>IF(S277&gt;MAIN!$C$14,MAX($F$9,$F$9*S277/(S277-$F$10)),$F$8)</f>
        <v>3.5000000000000001E-3</v>
      </c>
      <c r="T287" s="304">
        <f>IF(T277&gt;MAIN!$C$14,MAX($F$9,$F$9*T277/(T277-$F$10)),$F$8)</f>
        <v>3.5000000000000001E-3</v>
      </c>
      <c r="U287" s="304">
        <f>IF(U277&gt;MAIN!$C$14,MAX($F$9,$F$9*U277/(U277-$F$10)),$F$8)</f>
        <v>3.5000000000000001E-3</v>
      </c>
      <c r="V287" s="304">
        <f>IF(V277&gt;MAIN!$C$14,MAX($F$9,$F$9*V277/(V277-$F$10)),$F$8)</f>
        <v>3.5000000000000001E-3</v>
      </c>
      <c r="W287" s="304">
        <f>IF(W277&gt;MAIN!$C$14,MAX($F$9,$F$9*W277/(W277-$F$10)),$F$8)</f>
        <v>3.5000000000000001E-3</v>
      </c>
      <c r="X287" s="304">
        <f>IF(X277&gt;MAIN!$C$14,MAX($F$9,$F$9*X277/(X277-$F$10)),$F$8)</f>
        <v>3.5000000000000001E-3</v>
      </c>
      <c r="Y287" s="304">
        <f>IF(Y277&gt;MAIN!$C$14,MAX($F$9,$F$9*Y277/(Y277-$F$10)),$F$8)</f>
        <v>3.5000000000000001E-3</v>
      </c>
      <c r="Z287" s="304">
        <f>IF(Z277&gt;MAIN!$C$14,MAX($F$9,$F$9*Z277/(Z277-$F$10)),$F$8)</f>
        <v>3.5000000000000001E-3</v>
      </c>
      <c r="AA287" s="304">
        <f>IF(AA277&gt;MAIN!$C$14,MAX($F$9,$F$9*AA277/(AA277-$F$10)),$F$8)</f>
        <v>3.5000000000000001E-3</v>
      </c>
      <c r="AB287" s="304">
        <f>IF(AB277&gt;MAIN!$C$14,MAX($F$9,$F$9*AB277/(AB277-$F$10)),$F$8)</f>
        <v>3.5000000000000001E-3</v>
      </c>
      <c r="AC287" s="304">
        <f>IF(AC277&gt;MAIN!$C$14,MAX($F$9,$F$9*AC277/(AC277-$F$10)),$F$8)</f>
        <v>3.5000000000000001E-3</v>
      </c>
      <c r="AD287" s="304">
        <f>IF(AD277&gt;MAIN!$C$14,MAX($F$9,$F$9*AD277/(AD277-$F$10)),$F$8)</f>
        <v>3.5000000000000001E-3</v>
      </c>
      <c r="AE287" s="304">
        <f>IF(AE277&gt;MAIN!$C$14,MAX($F$9,$F$9*AE277/(AE277-$F$10)),$F$8)</f>
        <v>3.5000000000000001E-3</v>
      </c>
      <c r="AF287" s="304">
        <f>IF(AF277&gt;MAIN!$C$14,MAX($F$9,$F$9*AF277/(AF277-$F$10)),$F$8)</f>
        <v>3.5000000000000001E-3</v>
      </c>
      <c r="AG287" s="304">
        <f>IF(AG277&gt;MAIN!$C$14,MAX($F$9,$F$9*AG277/(AG277-$F$10)),$F$8)</f>
        <v>3.5000000000000001E-3</v>
      </c>
      <c r="AH287" s="304">
        <f>IF(AH277&gt;MAIN!$C$14,MAX($F$9,$F$9*AH277/(AH277-$F$10)),$F$8)</f>
        <v>3.5000000000000001E-3</v>
      </c>
      <c r="AI287" s="304">
        <f>IF(AI277&gt;MAIN!$C$14,MAX($F$9,$F$9*AI277/(AI277-$F$10)),$F$8)</f>
        <v>3.5000000000000001E-3</v>
      </c>
      <c r="AJ287" s="304">
        <f>IF(AJ277&gt;MAIN!$C$14,MAX($F$9,$F$9*AJ277/(AJ277-$F$10)),$F$8)</f>
        <v>3.5000000000000001E-3</v>
      </c>
      <c r="AK287" s="304">
        <f>IF(AK277&gt;MAIN!$C$14,MAX($F$9,$F$9*AK277/(AK277-$F$10)),$F$8)</f>
        <v>3.5000000000000001E-3</v>
      </c>
      <c r="AL287" s="304">
        <f>IF(AL277&gt;MAIN!$C$14,MAX($F$9,$F$9*AL277/(AL277-$F$10)),$F$8)</f>
        <v>3.5000000000000001E-3</v>
      </c>
      <c r="AM287" s="304">
        <f>IF(AM277&gt;MAIN!$C$14,MAX($F$9,$F$9*AM277/(AM277-$F$10)),$F$8)</f>
        <v>3.5000000000000001E-3</v>
      </c>
      <c r="AN287" s="304">
        <f>IF(AN277&gt;MAIN!$C$14,MAX($F$9,$F$9*AN277/(AN277-$F$10)),$F$8)</f>
        <v>3.5000000000000001E-3</v>
      </c>
      <c r="AO287" s="304">
        <f>IF(AO277&gt;MAIN!$C$14,MAX($F$9,$F$9*AO277/(AO277-$F$10)),$F$8)</f>
        <v>3.5000000000000001E-3</v>
      </c>
      <c r="AP287" s="304">
        <f>IF(AP277&gt;MAIN!$C$14,MAX($F$9,$F$9*AP277/(AP277-$F$10)),$F$8)</f>
        <v>3.5000000000000001E-3</v>
      </c>
      <c r="AQ287" s="304">
        <f>IF(AQ277&gt;MAIN!$C$14,MAX($F$9,$F$9*AQ277/(AQ277-$F$10)),$F$8)</f>
        <v>3.5000000000000001E-3</v>
      </c>
      <c r="AR287" s="56">
        <f>IF(AR277&gt;MAIN!$C$14,MAX($F$9,$F$9*AR277/(AR277-$F$10)),$F$8)</f>
        <v>3.5000000000000001E-3</v>
      </c>
      <c r="AS287" s="304">
        <f>IF(AS277&gt;MAIN!$C$14,MAX($F$9,$F$9*AS277/(AS277-$F$10)),$F$8)</f>
        <v>3.5000000000000001E-3</v>
      </c>
      <c r="AT287" s="304">
        <f>IF(AT277&gt;MAIN!$C$14,MAX($F$9,$F$9*AT277/(AT277-$F$10)),$F$8)</f>
        <v>3.5000000000000001E-3</v>
      </c>
      <c r="AU287" s="304">
        <f>IF(AU277&gt;MAIN!$C$14,MAX($F$9,$F$9*AU277/(AU277-$F$10)),$F$8)</f>
        <v>3.5000000000000001E-3</v>
      </c>
      <c r="AV287" s="304">
        <f>IF(AV277&gt;MAIN!$C$14,MAX($F$9,$F$9*AV277/(AV277-$F$10)),$F$8)</f>
        <v>3.5000000000000001E-3</v>
      </c>
      <c r="AW287" s="304">
        <f>IF(AW277&gt;MAIN!$C$14,MAX($F$9,$F$9*AW277/(AW277-$F$10)),$F$8)</f>
        <v>3.5000000000000001E-3</v>
      </c>
      <c r="AX287" s="304">
        <f>IF(AX277&gt;MAIN!$C$14,MAX($F$9,$F$9*AX277/(AX277-$F$10)),$F$8)</f>
        <v>3.5000000000000001E-3</v>
      </c>
      <c r="AY287" s="304">
        <f>IF(AY277&gt;MAIN!$C$14,MAX($F$9,$F$9*AY277/(AY277-$F$10)),$F$8)</f>
        <v>3.5000000000000001E-3</v>
      </c>
      <c r="AZ287" s="304">
        <f>IF(AZ277&gt;MAIN!$C$14,MAX($F$9,$F$9*AZ277/(AZ277-$F$10)),$F$8)</f>
        <v>3.5000000000000001E-3</v>
      </c>
      <c r="BA287" s="304">
        <f>IF(BA277&gt;MAIN!$C$14,MAX($F$9,$F$9*BA277/(BA277-$F$10)),$F$8)</f>
        <v>3.5000000000000001E-3</v>
      </c>
      <c r="BB287" s="304">
        <f>IF(BB277&gt;MAIN!$C$14,MAX($F$9,$F$9*BB277/(BB277-$F$10)),$F$8)</f>
        <v>3.5000000000000001E-3</v>
      </c>
      <c r="BC287" s="304">
        <f>IF(BC277&gt;MAIN!$C$14,MAX($F$9,$F$9*BC277/(BC277-$F$10)),$F$8)</f>
        <v>3.5000000000000001E-3</v>
      </c>
      <c r="BD287" s="304">
        <f>IF(BD277&gt;MAIN!$C$14,MAX($F$9,$F$9*BD277/(BD277-$F$10)),$F$8)</f>
        <v>3.5000000000000001E-3</v>
      </c>
      <c r="BE287" s="304">
        <f>IF(BE277&gt;MAIN!$C$14,MAX($F$9,$F$9*BE277/(BE277-$F$10)),$F$8)</f>
        <v>3.4320726228180012E-3</v>
      </c>
      <c r="BF287" s="304">
        <f>IF(BF277&gt;MAIN!$C$14,MAX($F$9,$F$9*BF277/(BF277-$F$10)),$F$8)</f>
        <v>3.3167162131260003E-3</v>
      </c>
      <c r="BG287" s="304">
        <f>IF(BG277&gt;MAIN!$C$14,MAX($F$9,$F$9*BG277/(BG277-$F$10)),$F$8)</f>
        <v>3.2161666203000274E-3</v>
      </c>
      <c r="BH287" s="304">
        <f>IF(BH277&gt;MAIN!$C$14,MAX($F$9,$F$9*BH277/(BH277-$F$10)),$F$8)</f>
        <v>3.1277449324324321E-3</v>
      </c>
      <c r="BI287" s="304">
        <f>IF(BI277&gt;MAIN!$C$14,MAX($F$9,$F$9*BI277/(BI277-$F$10)),$F$8)</f>
        <v>3.0493817209399357E-3</v>
      </c>
      <c r="BJ287" s="304">
        <f>IF(BJ277&gt;MAIN!$C$14,MAX($F$9,$F$9*BJ277/(BJ277-$F$10)),$F$8)</f>
        <v>2.979453038079173E-3</v>
      </c>
      <c r="BK287" s="304">
        <f>IF(BK277&gt;MAIN!$C$14,MAX($F$9,$F$9*BK277/(BK277-$F$10)),$F$8)</f>
        <v>2.9166666666666668E-3</v>
      </c>
      <c r="BL287" s="304">
        <f>IF(BL277&gt;MAIN!$C$14,MAX($F$9,$F$9*BL277/(BL277-$F$10)),$F$8)</f>
        <v>2.40625E-3</v>
      </c>
      <c r="BM287" s="304">
        <f>IF(BM277&gt;MAIN!$C$14,MAX($F$9,$F$9*BM277/(BM277-$F$10)),$F$8)</f>
        <v>2.2065217391304347E-3</v>
      </c>
      <c r="BN287" s="304">
        <f>IF(BN277&gt;MAIN!$C$14,MAX($F$9,$F$9*BN277/(BN277-$F$10)),$F$8)</f>
        <v>2.0999999999999999E-3</v>
      </c>
      <c r="BO287" s="3">
        <f>$F$9</f>
        <v>1.75E-3</v>
      </c>
      <c r="BP287" s="43"/>
      <c r="BR287"/>
      <c r="BS287"/>
      <c r="BT287"/>
    </row>
    <row r="288" spans="2:72" ht="16.5">
      <c r="B288" s="292" t="s">
        <v>118</v>
      </c>
      <c r="C288" s="300" t="s">
        <v>56</v>
      </c>
      <c r="D288" s="8">
        <f t="shared" ref="D288:AI288" si="192">D287*(D277-$C274)/D277</f>
        <v>-3.1406849395984827E-3</v>
      </c>
      <c r="E288" s="305">
        <f t="shared" si="192"/>
        <v>-2.3427696860114631E-3</v>
      </c>
      <c r="F288" s="305">
        <f t="shared" si="192"/>
        <v>-1.716034153170852E-3</v>
      </c>
      <c r="G288" s="305">
        <f t="shared" si="192"/>
        <v>-1.2107290589302121E-3</v>
      </c>
      <c r="H288" s="305">
        <f t="shared" si="192"/>
        <v>-7.9468042274039041E-4</v>
      </c>
      <c r="I288" s="305">
        <f t="shared" si="192"/>
        <v>-4.461582048854904E-4</v>
      </c>
      <c r="J288" s="305">
        <f t="shared" si="192"/>
        <v>-1.4995665693911958E-4</v>
      </c>
      <c r="K288" s="305">
        <f t="shared" si="192"/>
        <v>1.048833082479103E-4</v>
      </c>
      <c r="L288" s="305">
        <f t="shared" si="192"/>
        <v>3.2645987247391134E-4</v>
      </c>
      <c r="M288" s="305">
        <f t="shared" si="192"/>
        <v>5.2088667843216475E-4</v>
      </c>
      <c r="N288" s="305">
        <f t="shared" si="192"/>
        <v>6.9286564946703872E-4</v>
      </c>
      <c r="O288" s="305">
        <f t="shared" si="192"/>
        <v>8.4607223065624152E-4</v>
      </c>
      <c r="P288" s="305">
        <f t="shared" si="192"/>
        <v>9.8342100555822809E-4</v>
      </c>
      <c r="Q288" s="305">
        <f t="shared" si="192"/>
        <v>1.1072528926362785E-3</v>
      </c>
      <c r="R288" s="305">
        <f t="shared" si="192"/>
        <v>1.2194696660480164E-3</v>
      </c>
      <c r="S288" s="305">
        <f t="shared" si="192"/>
        <v>1.3216323190537998E-3</v>
      </c>
      <c r="T288" s="305">
        <f t="shared" si="192"/>
        <v>1.415034122276325E-3</v>
      </c>
      <c r="U288" s="305">
        <f t="shared" si="192"/>
        <v>1.5007556596039048E-3</v>
      </c>
      <c r="V288" s="305">
        <f t="shared" si="192"/>
        <v>1.579706823720812E-3</v>
      </c>
      <c r="W288" s="305">
        <f t="shared" si="192"/>
        <v>1.6526592391137625E-3</v>
      </c>
      <c r="X288" s="305">
        <f t="shared" si="192"/>
        <v>1.7202715650226062E-3</v>
      </c>
      <c r="Y288" s="305">
        <f t="shared" si="192"/>
        <v>1.7831094380779287E-3</v>
      </c>
      <c r="Z288" s="305">
        <f t="shared" si="192"/>
        <v>1.8416613342618598E-3</v>
      </c>
      <c r="AA288" s="305">
        <f t="shared" si="192"/>
        <v>1.8963512922217933E-3</v>
      </c>
      <c r="AB288" s="305">
        <f t="shared" si="192"/>
        <v>1.9475491993656672E-3</v>
      </c>
      <c r="AC288" s="305">
        <f t="shared" si="192"/>
        <v>1.995579168560154E-3</v>
      </c>
      <c r="AD288" s="305">
        <f t="shared" si="192"/>
        <v>2.0407264065349841E-3</v>
      </c>
      <c r="AE288" s="305">
        <f t="shared" si="192"/>
        <v>2.0832428816062835E-3</v>
      </c>
      <c r="AF288" s="305">
        <f t="shared" si="192"/>
        <v>2.1233520286623557E-3</v>
      </c>
      <c r="AG288" s="305">
        <f t="shared" si="192"/>
        <v>2.1612526769485443E-3</v>
      </c>
      <c r="AH288" s="305">
        <f t="shared" si="192"/>
        <v>2.1971223464184717E-3</v>
      </c>
      <c r="AI288" s="305">
        <f t="shared" si="192"/>
        <v>2.2311200279893969E-3</v>
      </c>
      <c r="AJ288" s="305">
        <f t="shared" ref="AJ288:BK288" si="193">AJ287*(AJ277-$C274)/AJ277</f>
        <v>2.2633885395744514E-3</v>
      </c>
      <c r="AK288" s="305">
        <f t="shared" si="193"/>
        <v>2.2940565315369686E-3</v>
      </c>
      <c r="AL288" s="305">
        <f t="shared" si="193"/>
        <v>2.3232402009544613E-3</v>
      </c>
      <c r="AM288" s="305">
        <f t="shared" si="193"/>
        <v>2.3510447628541141E-3</v>
      </c>
      <c r="AN288" s="305">
        <f t="shared" si="193"/>
        <v>2.3775657176880144E-3</v>
      </c>
      <c r="AO288" s="305">
        <f t="shared" si="193"/>
        <v>2.4028899472286229E-3</v>
      </c>
      <c r="AP288" s="305">
        <f t="shared" si="193"/>
        <v>2.4270966653847331E-3</v>
      </c>
      <c r="AQ288" s="305">
        <f t="shared" si="193"/>
        <v>2.4502582458614973E-3</v>
      </c>
      <c r="AR288" s="58">
        <f t="shared" si="193"/>
        <v>2.4724409448818895E-3</v>
      </c>
      <c r="AS288" s="305">
        <f t="shared" si="193"/>
        <v>2.5426491695714577E-3</v>
      </c>
      <c r="AT288" s="305">
        <f t="shared" si="193"/>
        <v>2.6038769939435297E-3</v>
      </c>
      <c r="AU288" s="305">
        <f t="shared" si="193"/>
        <v>2.6577438816620235E-3</v>
      </c>
      <c r="AV288" s="305">
        <f t="shared" si="193"/>
        <v>2.7055019852524108E-3</v>
      </c>
      <c r="AW288" s="305">
        <f t="shared" si="193"/>
        <v>2.7481346955572652E-3</v>
      </c>
      <c r="AX288" s="305">
        <f t="shared" si="193"/>
        <v>2.7864250781143868E-3</v>
      </c>
      <c r="AY288" s="305">
        <f t="shared" si="193"/>
        <v>2.821004411265694E-3</v>
      </c>
      <c r="AZ288" s="305">
        <f t="shared" si="193"/>
        <v>2.8523872638165399E-3</v>
      </c>
      <c r="BA288" s="305">
        <f t="shared" si="193"/>
        <v>2.8809972748029757E-3</v>
      </c>
      <c r="BB288" s="305">
        <f t="shared" si="193"/>
        <v>2.9071863890299645E-3</v>
      </c>
      <c r="BC288" s="305">
        <f t="shared" si="193"/>
        <v>2.931249407847543E-3</v>
      </c>
      <c r="BD288" s="305">
        <f t="shared" si="193"/>
        <v>2.9534351343617491E-3</v>
      </c>
      <c r="BE288" s="305">
        <f t="shared" si="193"/>
        <v>2.9162370184871479E-3</v>
      </c>
      <c r="BF288" s="305">
        <f t="shared" si="193"/>
        <v>2.8362565744340269E-3</v>
      </c>
      <c r="BG288" s="305">
        <f t="shared" si="193"/>
        <v>2.7665421900746855E-3</v>
      </c>
      <c r="BH288" s="305">
        <f t="shared" si="193"/>
        <v>2.7052364864864863E-3</v>
      </c>
      <c r="BI288" s="305">
        <f t="shared" si="193"/>
        <v>2.6509046598516888E-3</v>
      </c>
      <c r="BJ288" s="305">
        <f t="shared" si="193"/>
        <v>2.6024207730682264E-3</v>
      </c>
      <c r="BK288" s="305">
        <f t="shared" si="193"/>
        <v>2.5588888888888888E-3</v>
      </c>
      <c r="BL288" s="305">
        <f>BL287*(BL277-$C274)/BL277</f>
        <v>2.2049999999999999E-3</v>
      </c>
      <c r="BM288" s="305">
        <f>BM287*(BM277-$C274)/BM277</f>
        <v>2.0665217391304348E-3</v>
      </c>
      <c r="BN288" s="305">
        <f>BN287*(BN277-$C274)/BN277</f>
        <v>1.9926666666666665E-3</v>
      </c>
      <c r="BO288" s="8">
        <f>BO287</f>
        <v>1.75E-3</v>
      </c>
      <c r="BR288"/>
      <c r="BS288"/>
      <c r="BT288"/>
    </row>
    <row r="289" spans="2:72" ht="16.5">
      <c r="B289" s="9">
        <v>2</v>
      </c>
      <c r="C289" s="300" t="s">
        <v>57</v>
      </c>
      <c r="D289" s="8">
        <f>IF($D279=0,0,D287*(D277-$D279)/D277)</f>
        <v>0</v>
      </c>
      <c r="E289" s="305">
        <f t="shared" ref="E289:BK289" si="194">IF($D279=0,0,E287*(E277-$D279)/E277)</f>
        <v>0</v>
      </c>
      <c r="F289" s="305">
        <f t="shared" si="194"/>
        <v>0</v>
      </c>
      <c r="G289" s="305">
        <f t="shared" si="194"/>
        <v>0</v>
      </c>
      <c r="H289" s="305">
        <f t="shared" si="194"/>
        <v>0</v>
      </c>
      <c r="I289" s="305">
        <f t="shared" si="194"/>
        <v>0</v>
      </c>
      <c r="J289" s="305">
        <f t="shared" si="194"/>
        <v>0</v>
      </c>
      <c r="K289" s="305">
        <f t="shared" si="194"/>
        <v>0</v>
      </c>
      <c r="L289" s="305">
        <f t="shared" si="194"/>
        <v>0</v>
      </c>
      <c r="M289" s="305">
        <f t="shared" si="194"/>
        <v>0</v>
      </c>
      <c r="N289" s="305">
        <f t="shared" si="194"/>
        <v>0</v>
      </c>
      <c r="O289" s="305">
        <f t="shared" si="194"/>
        <v>0</v>
      </c>
      <c r="P289" s="305">
        <f t="shared" si="194"/>
        <v>0</v>
      </c>
      <c r="Q289" s="305">
        <f t="shared" si="194"/>
        <v>0</v>
      </c>
      <c r="R289" s="305">
        <f t="shared" si="194"/>
        <v>0</v>
      </c>
      <c r="S289" s="305">
        <f t="shared" si="194"/>
        <v>0</v>
      </c>
      <c r="T289" s="305">
        <f t="shared" si="194"/>
        <v>0</v>
      </c>
      <c r="U289" s="305">
        <f t="shared" si="194"/>
        <v>0</v>
      </c>
      <c r="V289" s="305">
        <f t="shared" si="194"/>
        <v>0</v>
      </c>
      <c r="W289" s="305">
        <f t="shared" si="194"/>
        <v>0</v>
      </c>
      <c r="X289" s="305">
        <f t="shared" si="194"/>
        <v>0</v>
      </c>
      <c r="Y289" s="305">
        <f t="shared" si="194"/>
        <v>0</v>
      </c>
      <c r="Z289" s="305">
        <f t="shared" si="194"/>
        <v>0</v>
      </c>
      <c r="AA289" s="305">
        <f t="shared" si="194"/>
        <v>0</v>
      </c>
      <c r="AB289" s="305">
        <f t="shared" si="194"/>
        <v>0</v>
      </c>
      <c r="AC289" s="305">
        <f t="shared" si="194"/>
        <v>0</v>
      </c>
      <c r="AD289" s="305">
        <f t="shared" si="194"/>
        <v>0</v>
      </c>
      <c r="AE289" s="305">
        <f t="shared" si="194"/>
        <v>0</v>
      </c>
      <c r="AF289" s="305">
        <f t="shared" si="194"/>
        <v>0</v>
      </c>
      <c r="AG289" s="305">
        <f t="shared" si="194"/>
        <v>0</v>
      </c>
      <c r="AH289" s="305">
        <f t="shared" si="194"/>
        <v>0</v>
      </c>
      <c r="AI289" s="305">
        <f t="shared" si="194"/>
        <v>0</v>
      </c>
      <c r="AJ289" s="305">
        <f t="shared" si="194"/>
        <v>0</v>
      </c>
      <c r="AK289" s="305">
        <f t="shared" si="194"/>
        <v>0</v>
      </c>
      <c r="AL289" s="305">
        <f t="shared" si="194"/>
        <v>0</v>
      </c>
      <c r="AM289" s="305">
        <f t="shared" si="194"/>
        <v>0</v>
      </c>
      <c r="AN289" s="305">
        <f t="shared" si="194"/>
        <v>0</v>
      </c>
      <c r="AO289" s="305">
        <f t="shared" si="194"/>
        <v>0</v>
      </c>
      <c r="AP289" s="305">
        <f t="shared" si="194"/>
        <v>0</v>
      </c>
      <c r="AQ289" s="305">
        <f t="shared" si="194"/>
        <v>0</v>
      </c>
      <c r="AR289" s="58">
        <f t="shared" si="194"/>
        <v>0</v>
      </c>
      <c r="AS289" s="305">
        <f t="shared" si="194"/>
        <v>0</v>
      </c>
      <c r="AT289" s="305">
        <f t="shared" si="194"/>
        <v>0</v>
      </c>
      <c r="AU289" s="305">
        <f t="shared" si="194"/>
        <v>0</v>
      </c>
      <c r="AV289" s="305">
        <f t="shared" si="194"/>
        <v>0</v>
      </c>
      <c r="AW289" s="305">
        <f t="shared" si="194"/>
        <v>0</v>
      </c>
      <c r="AX289" s="305">
        <f t="shared" si="194"/>
        <v>0</v>
      </c>
      <c r="AY289" s="305">
        <f t="shared" si="194"/>
        <v>0</v>
      </c>
      <c r="AZ289" s="305">
        <f t="shared" si="194"/>
        <v>0</v>
      </c>
      <c r="BA289" s="305">
        <f t="shared" si="194"/>
        <v>0</v>
      </c>
      <c r="BB289" s="305">
        <f t="shared" si="194"/>
        <v>0</v>
      </c>
      <c r="BC289" s="305">
        <f t="shared" si="194"/>
        <v>0</v>
      </c>
      <c r="BD289" s="305">
        <f t="shared" si="194"/>
        <v>0</v>
      </c>
      <c r="BE289" s="305">
        <f t="shared" si="194"/>
        <v>0</v>
      </c>
      <c r="BF289" s="305">
        <f t="shared" si="194"/>
        <v>0</v>
      </c>
      <c r="BG289" s="305">
        <f t="shared" si="194"/>
        <v>0</v>
      </c>
      <c r="BH289" s="305">
        <f t="shared" si="194"/>
        <v>0</v>
      </c>
      <c r="BI289" s="305">
        <f t="shared" si="194"/>
        <v>0</v>
      </c>
      <c r="BJ289" s="305">
        <f t="shared" si="194"/>
        <v>0</v>
      </c>
      <c r="BK289" s="305">
        <f t="shared" si="194"/>
        <v>0</v>
      </c>
      <c r="BL289" s="305">
        <f>IF($D279=0,0,BL287*(BL277-$D279)/BL277)</f>
        <v>0</v>
      </c>
      <c r="BM289" s="305">
        <f>IF($D279=0,0,BM287*(BM277-$D279)/BM277)</f>
        <v>0</v>
      </c>
      <c r="BN289" s="305">
        <f>IF($D279=0,0,BN287*(BN277-$D279)/BN277)</f>
        <v>0</v>
      </c>
      <c r="BO289" s="8">
        <f>IF(D289=0,0,BO288)</f>
        <v>0</v>
      </c>
      <c r="BP289" s="43"/>
      <c r="BR289"/>
      <c r="BS289"/>
      <c r="BT289"/>
    </row>
    <row r="290" spans="2:72" ht="16.5">
      <c r="B290" s="9">
        <f t="shared" ref="B290:B296" si="195">1+B289</f>
        <v>3</v>
      </c>
      <c r="C290" s="300" t="s">
        <v>57</v>
      </c>
      <c r="D290" s="8">
        <f>IF($D280=0,0,D287*(D277-$D280)/D277)</f>
        <v>0</v>
      </c>
      <c r="E290" s="305">
        <f t="shared" ref="E290:BK290" si="196">IF($D280=0,0,E287*(E277-$D280)/E277)</f>
        <v>0</v>
      </c>
      <c r="F290" s="305">
        <f t="shared" si="196"/>
        <v>0</v>
      </c>
      <c r="G290" s="305">
        <f t="shared" si="196"/>
        <v>0</v>
      </c>
      <c r="H290" s="305">
        <f t="shared" si="196"/>
        <v>0</v>
      </c>
      <c r="I290" s="305">
        <f t="shared" si="196"/>
        <v>0</v>
      </c>
      <c r="J290" s="305">
        <f t="shared" si="196"/>
        <v>0</v>
      </c>
      <c r="K290" s="305">
        <f t="shared" si="196"/>
        <v>0</v>
      </c>
      <c r="L290" s="305">
        <f t="shared" si="196"/>
        <v>0</v>
      </c>
      <c r="M290" s="305">
        <f t="shared" si="196"/>
        <v>0</v>
      </c>
      <c r="N290" s="305">
        <f t="shared" si="196"/>
        <v>0</v>
      </c>
      <c r="O290" s="305">
        <f t="shared" si="196"/>
        <v>0</v>
      </c>
      <c r="P290" s="305">
        <f t="shared" si="196"/>
        <v>0</v>
      </c>
      <c r="Q290" s="305">
        <f t="shared" si="196"/>
        <v>0</v>
      </c>
      <c r="R290" s="305">
        <f t="shared" si="196"/>
        <v>0</v>
      </c>
      <c r="S290" s="305">
        <f t="shared" si="196"/>
        <v>0</v>
      </c>
      <c r="T290" s="305">
        <f t="shared" si="196"/>
        <v>0</v>
      </c>
      <c r="U290" s="305">
        <f t="shared" si="196"/>
        <v>0</v>
      </c>
      <c r="V290" s="305">
        <f t="shared" si="196"/>
        <v>0</v>
      </c>
      <c r="W290" s="305">
        <f t="shared" si="196"/>
        <v>0</v>
      </c>
      <c r="X290" s="305">
        <f t="shared" si="196"/>
        <v>0</v>
      </c>
      <c r="Y290" s="305">
        <f t="shared" si="196"/>
        <v>0</v>
      </c>
      <c r="Z290" s="305">
        <f t="shared" si="196"/>
        <v>0</v>
      </c>
      <c r="AA290" s="305">
        <f t="shared" si="196"/>
        <v>0</v>
      </c>
      <c r="AB290" s="305">
        <f t="shared" si="196"/>
        <v>0</v>
      </c>
      <c r="AC290" s="305">
        <f t="shared" si="196"/>
        <v>0</v>
      </c>
      <c r="AD290" s="305">
        <f t="shared" si="196"/>
        <v>0</v>
      </c>
      <c r="AE290" s="305">
        <f t="shared" si="196"/>
        <v>0</v>
      </c>
      <c r="AF290" s="305">
        <f t="shared" si="196"/>
        <v>0</v>
      </c>
      <c r="AG290" s="305">
        <f t="shared" si="196"/>
        <v>0</v>
      </c>
      <c r="AH290" s="305">
        <f t="shared" si="196"/>
        <v>0</v>
      </c>
      <c r="AI290" s="305">
        <f t="shared" si="196"/>
        <v>0</v>
      </c>
      <c r="AJ290" s="305">
        <f t="shared" si="196"/>
        <v>0</v>
      </c>
      <c r="AK290" s="305">
        <f t="shared" si="196"/>
        <v>0</v>
      </c>
      <c r="AL290" s="305">
        <f t="shared" si="196"/>
        <v>0</v>
      </c>
      <c r="AM290" s="305">
        <f t="shared" si="196"/>
        <v>0</v>
      </c>
      <c r="AN290" s="305">
        <f t="shared" si="196"/>
        <v>0</v>
      </c>
      <c r="AO290" s="305">
        <f t="shared" si="196"/>
        <v>0</v>
      </c>
      <c r="AP290" s="305">
        <f t="shared" si="196"/>
        <v>0</v>
      </c>
      <c r="AQ290" s="305">
        <f t="shared" si="196"/>
        <v>0</v>
      </c>
      <c r="AR290" s="58">
        <f t="shared" si="196"/>
        <v>0</v>
      </c>
      <c r="AS290" s="305">
        <f t="shared" si="196"/>
        <v>0</v>
      </c>
      <c r="AT290" s="305">
        <f t="shared" si="196"/>
        <v>0</v>
      </c>
      <c r="AU290" s="305">
        <f t="shared" si="196"/>
        <v>0</v>
      </c>
      <c r="AV290" s="305">
        <f t="shared" si="196"/>
        <v>0</v>
      </c>
      <c r="AW290" s="305">
        <f t="shared" si="196"/>
        <v>0</v>
      </c>
      <c r="AX290" s="305">
        <f t="shared" si="196"/>
        <v>0</v>
      </c>
      <c r="AY290" s="305">
        <f t="shared" si="196"/>
        <v>0</v>
      </c>
      <c r="AZ290" s="305">
        <f t="shared" si="196"/>
        <v>0</v>
      </c>
      <c r="BA290" s="305">
        <f t="shared" si="196"/>
        <v>0</v>
      </c>
      <c r="BB290" s="305">
        <f t="shared" si="196"/>
        <v>0</v>
      </c>
      <c r="BC290" s="305">
        <f t="shared" si="196"/>
        <v>0</v>
      </c>
      <c r="BD290" s="305">
        <f t="shared" si="196"/>
        <v>0</v>
      </c>
      <c r="BE290" s="305">
        <f t="shared" si="196"/>
        <v>0</v>
      </c>
      <c r="BF290" s="305">
        <f t="shared" si="196"/>
        <v>0</v>
      </c>
      <c r="BG290" s="305">
        <f t="shared" si="196"/>
        <v>0</v>
      </c>
      <c r="BH290" s="305">
        <f t="shared" si="196"/>
        <v>0</v>
      </c>
      <c r="BI290" s="305">
        <f t="shared" si="196"/>
        <v>0</v>
      </c>
      <c r="BJ290" s="305">
        <f t="shared" si="196"/>
        <v>0</v>
      </c>
      <c r="BK290" s="305">
        <f t="shared" si="196"/>
        <v>0</v>
      </c>
      <c r="BL290" s="305">
        <f>IF($D280=0,0,BL287*(BL277-$D280)/BL277)</f>
        <v>0</v>
      </c>
      <c r="BM290" s="305">
        <f>IF($D280=0,0,BM287*(BM277-$D280)/BM277)</f>
        <v>0</v>
      </c>
      <c r="BN290" s="305">
        <f>IF($D280=0,0,BN287*(BN277-$D280)/BN277)</f>
        <v>0</v>
      </c>
      <c r="BO290" s="8">
        <f>IF(D290=0,0,BO288)</f>
        <v>0</v>
      </c>
      <c r="BP290" s="43"/>
      <c r="BR290"/>
      <c r="BS290"/>
      <c r="BT290"/>
    </row>
    <row r="291" spans="2:72" ht="16.5">
      <c r="B291" s="9">
        <f t="shared" si="195"/>
        <v>4</v>
      </c>
      <c r="C291" s="300" t="s">
        <v>57</v>
      </c>
      <c r="D291" s="8">
        <f>IF($D281=0,0,D287*(D277-$D281)/D277)</f>
        <v>0</v>
      </c>
      <c r="E291" s="305">
        <f t="shared" ref="E291:BK291" si="197">IF($D281=0,0,E287*(E277-$D281)/E277)</f>
        <v>0</v>
      </c>
      <c r="F291" s="305">
        <f t="shared" si="197"/>
        <v>0</v>
      </c>
      <c r="G291" s="305">
        <f t="shared" si="197"/>
        <v>0</v>
      </c>
      <c r="H291" s="305">
        <f t="shared" si="197"/>
        <v>0</v>
      </c>
      <c r="I291" s="305">
        <f t="shared" si="197"/>
        <v>0</v>
      </c>
      <c r="J291" s="305">
        <f t="shared" si="197"/>
        <v>0</v>
      </c>
      <c r="K291" s="305">
        <f t="shared" si="197"/>
        <v>0</v>
      </c>
      <c r="L291" s="305">
        <f t="shared" si="197"/>
        <v>0</v>
      </c>
      <c r="M291" s="305">
        <f t="shared" si="197"/>
        <v>0</v>
      </c>
      <c r="N291" s="305">
        <f t="shared" si="197"/>
        <v>0</v>
      </c>
      <c r="O291" s="305">
        <f t="shared" si="197"/>
        <v>0</v>
      </c>
      <c r="P291" s="305">
        <f t="shared" si="197"/>
        <v>0</v>
      </c>
      <c r="Q291" s="305">
        <f t="shared" si="197"/>
        <v>0</v>
      </c>
      <c r="R291" s="305">
        <f t="shared" si="197"/>
        <v>0</v>
      </c>
      <c r="S291" s="305">
        <f t="shared" si="197"/>
        <v>0</v>
      </c>
      <c r="T291" s="305">
        <f t="shared" si="197"/>
        <v>0</v>
      </c>
      <c r="U291" s="305">
        <f t="shared" si="197"/>
        <v>0</v>
      </c>
      <c r="V291" s="305">
        <f t="shared" si="197"/>
        <v>0</v>
      </c>
      <c r="W291" s="305">
        <f t="shared" si="197"/>
        <v>0</v>
      </c>
      <c r="X291" s="305">
        <f t="shared" si="197"/>
        <v>0</v>
      </c>
      <c r="Y291" s="305">
        <f t="shared" si="197"/>
        <v>0</v>
      </c>
      <c r="Z291" s="305">
        <f t="shared" si="197"/>
        <v>0</v>
      </c>
      <c r="AA291" s="305">
        <f t="shared" si="197"/>
        <v>0</v>
      </c>
      <c r="AB291" s="305">
        <f t="shared" si="197"/>
        <v>0</v>
      </c>
      <c r="AC291" s="305">
        <f t="shared" si="197"/>
        <v>0</v>
      </c>
      <c r="AD291" s="305">
        <f t="shared" si="197"/>
        <v>0</v>
      </c>
      <c r="AE291" s="305">
        <f t="shared" si="197"/>
        <v>0</v>
      </c>
      <c r="AF291" s="305">
        <f t="shared" si="197"/>
        <v>0</v>
      </c>
      <c r="AG291" s="305">
        <f t="shared" si="197"/>
        <v>0</v>
      </c>
      <c r="AH291" s="305">
        <f t="shared" si="197"/>
        <v>0</v>
      </c>
      <c r="AI291" s="305">
        <f t="shared" si="197"/>
        <v>0</v>
      </c>
      <c r="AJ291" s="305">
        <f t="shared" si="197"/>
        <v>0</v>
      </c>
      <c r="AK291" s="305">
        <f t="shared" si="197"/>
        <v>0</v>
      </c>
      <c r="AL291" s="305">
        <f t="shared" si="197"/>
        <v>0</v>
      </c>
      <c r="AM291" s="305">
        <f t="shared" si="197"/>
        <v>0</v>
      </c>
      <c r="AN291" s="305">
        <f t="shared" si="197"/>
        <v>0</v>
      </c>
      <c r="AO291" s="305">
        <f t="shared" si="197"/>
        <v>0</v>
      </c>
      <c r="AP291" s="305">
        <f t="shared" si="197"/>
        <v>0</v>
      </c>
      <c r="AQ291" s="305">
        <f t="shared" si="197"/>
        <v>0</v>
      </c>
      <c r="AR291" s="58">
        <f t="shared" si="197"/>
        <v>0</v>
      </c>
      <c r="AS291" s="305">
        <f t="shared" si="197"/>
        <v>0</v>
      </c>
      <c r="AT291" s="305">
        <f t="shared" si="197"/>
        <v>0</v>
      </c>
      <c r="AU291" s="305">
        <f t="shared" si="197"/>
        <v>0</v>
      </c>
      <c r="AV291" s="305">
        <f t="shared" si="197"/>
        <v>0</v>
      </c>
      <c r="AW291" s="305">
        <f t="shared" si="197"/>
        <v>0</v>
      </c>
      <c r="AX291" s="305">
        <f t="shared" si="197"/>
        <v>0</v>
      </c>
      <c r="AY291" s="305">
        <f t="shared" si="197"/>
        <v>0</v>
      </c>
      <c r="AZ291" s="305">
        <f t="shared" si="197"/>
        <v>0</v>
      </c>
      <c r="BA291" s="305">
        <f t="shared" si="197"/>
        <v>0</v>
      </c>
      <c r="BB291" s="305">
        <f t="shared" si="197"/>
        <v>0</v>
      </c>
      <c r="BC291" s="305">
        <f t="shared" si="197"/>
        <v>0</v>
      </c>
      <c r="BD291" s="305">
        <f t="shared" si="197"/>
        <v>0</v>
      </c>
      <c r="BE291" s="305">
        <f t="shared" si="197"/>
        <v>0</v>
      </c>
      <c r="BF291" s="305">
        <f t="shared" si="197"/>
        <v>0</v>
      </c>
      <c r="BG291" s="305">
        <f t="shared" si="197"/>
        <v>0</v>
      </c>
      <c r="BH291" s="305">
        <f t="shared" si="197"/>
        <v>0</v>
      </c>
      <c r="BI291" s="305">
        <f t="shared" si="197"/>
        <v>0</v>
      </c>
      <c r="BJ291" s="305">
        <f t="shared" si="197"/>
        <v>0</v>
      </c>
      <c r="BK291" s="305">
        <f t="shared" si="197"/>
        <v>0</v>
      </c>
      <c r="BL291" s="305">
        <f>IF($D281=0,0,BL287*(BL277-$D281)/BL277)</f>
        <v>0</v>
      </c>
      <c r="BM291" s="305">
        <f>IF($D281=0,0,BM287*(BM277-$D281)/BM277)</f>
        <v>0</v>
      </c>
      <c r="BN291" s="305">
        <f>IF($D281=0,0,BN287*(BN277-$D281)/BN277)</f>
        <v>0</v>
      </c>
      <c r="BO291" s="8">
        <f>IF(D291=0,0,BO288)</f>
        <v>0</v>
      </c>
      <c r="BP291" s="43"/>
      <c r="BR291"/>
      <c r="BS291"/>
      <c r="BT291"/>
    </row>
    <row r="292" spans="2:72" ht="16.5">
      <c r="B292" s="9">
        <f t="shared" si="195"/>
        <v>5</v>
      </c>
      <c r="C292" s="300" t="s">
        <v>57</v>
      </c>
      <c r="D292" s="8">
        <f>IF($D282=0,0,D287*(D277-$D282)/D277)</f>
        <v>0</v>
      </c>
      <c r="E292" s="305">
        <f t="shared" ref="E292:BK292" si="198">IF($D282=0,0,E287*(E277-$D282)/E277)</f>
        <v>0</v>
      </c>
      <c r="F292" s="305">
        <f t="shared" si="198"/>
        <v>0</v>
      </c>
      <c r="G292" s="305">
        <f t="shared" si="198"/>
        <v>0</v>
      </c>
      <c r="H292" s="305">
        <f t="shared" si="198"/>
        <v>0</v>
      </c>
      <c r="I292" s="305">
        <f t="shared" si="198"/>
        <v>0</v>
      </c>
      <c r="J292" s="305">
        <f t="shared" si="198"/>
        <v>0</v>
      </c>
      <c r="K292" s="305">
        <f t="shared" si="198"/>
        <v>0</v>
      </c>
      <c r="L292" s="305">
        <f t="shared" si="198"/>
        <v>0</v>
      </c>
      <c r="M292" s="305">
        <f t="shared" si="198"/>
        <v>0</v>
      </c>
      <c r="N292" s="305">
        <f t="shared" si="198"/>
        <v>0</v>
      </c>
      <c r="O292" s="305">
        <f t="shared" si="198"/>
        <v>0</v>
      </c>
      <c r="P292" s="305">
        <f t="shared" si="198"/>
        <v>0</v>
      </c>
      <c r="Q292" s="305">
        <f t="shared" si="198"/>
        <v>0</v>
      </c>
      <c r="R292" s="305">
        <f t="shared" si="198"/>
        <v>0</v>
      </c>
      <c r="S292" s="305">
        <f t="shared" si="198"/>
        <v>0</v>
      </c>
      <c r="T292" s="305">
        <f t="shared" si="198"/>
        <v>0</v>
      </c>
      <c r="U292" s="305">
        <f t="shared" si="198"/>
        <v>0</v>
      </c>
      <c r="V292" s="305">
        <f t="shared" si="198"/>
        <v>0</v>
      </c>
      <c r="W292" s="305">
        <f t="shared" si="198"/>
        <v>0</v>
      </c>
      <c r="X292" s="305">
        <f t="shared" si="198"/>
        <v>0</v>
      </c>
      <c r="Y292" s="305">
        <f t="shared" si="198"/>
        <v>0</v>
      </c>
      <c r="Z292" s="305">
        <f t="shared" si="198"/>
        <v>0</v>
      </c>
      <c r="AA292" s="305">
        <f t="shared" si="198"/>
        <v>0</v>
      </c>
      <c r="AB292" s="305">
        <f t="shared" si="198"/>
        <v>0</v>
      </c>
      <c r="AC292" s="305">
        <f t="shared" si="198"/>
        <v>0</v>
      </c>
      <c r="AD292" s="305">
        <f t="shared" si="198"/>
        <v>0</v>
      </c>
      <c r="AE292" s="305">
        <f t="shared" si="198"/>
        <v>0</v>
      </c>
      <c r="AF292" s="305">
        <f t="shared" si="198"/>
        <v>0</v>
      </c>
      <c r="AG292" s="305">
        <f t="shared" si="198"/>
        <v>0</v>
      </c>
      <c r="AH292" s="305">
        <f t="shared" si="198"/>
        <v>0</v>
      </c>
      <c r="AI292" s="305">
        <f t="shared" si="198"/>
        <v>0</v>
      </c>
      <c r="AJ292" s="305">
        <f t="shared" si="198"/>
        <v>0</v>
      </c>
      <c r="AK292" s="305">
        <f t="shared" si="198"/>
        <v>0</v>
      </c>
      <c r="AL292" s="305">
        <f t="shared" si="198"/>
        <v>0</v>
      </c>
      <c r="AM292" s="305">
        <f t="shared" si="198"/>
        <v>0</v>
      </c>
      <c r="AN292" s="305">
        <f t="shared" si="198"/>
        <v>0</v>
      </c>
      <c r="AO292" s="305">
        <f t="shared" si="198"/>
        <v>0</v>
      </c>
      <c r="AP292" s="305">
        <f t="shared" si="198"/>
        <v>0</v>
      </c>
      <c r="AQ292" s="305">
        <f t="shared" si="198"/>
        <v>0</v>
      </c>
      <c r="AR292" s="58">
        <f t="shared" si="198"/>
        <v>0</v>
      </c>
      <c r="AS292" s="305">
        <f t="shared" si="198"/>
        <v>0</v>
      </c>
      <c r="AT292" s="305">
        <f t="shared" si="198"/>
        <v>0</v>
      </c>
      <c r="AU292" s="305">
        <f t="shared" si="198"/>
        <v>0</v>
      </c>
      <c r="AV292" s="305">
        <f t="shared" si="198"/>
        <v>0</v>
      </c>
      <c r="AW292" s="305">
        <f t="shared" si="198"/>
        <v>0</v>
      </c>
      <c r="AX292" s="305">
        <f t="shared" si="198"/>
        <v>0</v>
      </c>
      <c r="AY292" s="305">
        <f t="shared" si="198"/>
        <v>0</v>
      </c>
      <c r="AZ292" s="305">
        <f t="shared" si="198"/>
        <v>0</v>
      </c>
      <c r="BA292" s="305">
        <f t="shared" si="198"/>
        <v>0</v>
      </c>
      <c r="BB292" s="305">
        <f t="shared" si="198"/>
        <v>0</v>
      </c>
      <c r="BC292" s="305">
        <f t="shared" si="198"/>
        <v>0</v>
      </c>
      <c r="BD292" s="305">
        <f t="shared" si="198"/>
        <v>0</v>
      </c>
      <c r="BE292" s="305">
        <f t="shared" si="198"/>
        <v>0</v>
      </c>
      <c r="BF292" s="305">
        <f t="shared" si="198"/>
        <v>0</v>
      </c>
      <c r="BG292" s="305">
        <f t="shared" si="198"/>
        <v>0</v>
      </c>
      <c r="BH292" s="305">
        <f t="shared" si="198"/>
        <v>0</v>
      </c>
      <c r="BI292" s="305">
        <f t="shared" si="198"/>
        <v>0</v>
      </c>
      <c r="BJ292" s="305">
        <f t="shared" si="198"/>
        <v>0</v>
      </c>
      <c r="BK292" s="305">
        <f t="shared" si="198"/>
        <v>0</v>
      </c>
      <c r="BL292" s="305">
        <f>IF($D282=0,0,BL287*(BL277-$D282)/BL277)</f>
        <v>0</v>
      </c>
      <c r="BM292" s="305">
        <f>IF($D282=0,0,BM287*(BM277-$D282)/BM277)</f>
        <v>0</v>
      </c>
      <c r="BN292" s="305">
        <f>IF($D282=0,0,BN287*(BN277-$D282)/BN277)</f>
        <v>0</v>
      </c>
      <c r="BO292" s="8">
        <f>IF(D292=0,0,BO288)</f>
        <v>0</v>
      </c>
      <c r="BP292" s="43"/>
      <c r="BR292"/>
      <c r="BS292"/>
      <c r="BT292"/>
    </row>
    <row r="293" spans="2:72" ht="16.5">
      <c r="B293" s="9">
        <f t="shared" si="195"/>
        <v>6</v>
      </c>
      <c r="C293" s="300" t="s">
        <v>57</v>
      </c>
      <c r="D293" s="8">
        <f>IF($D283=0,0,D287*(D277-$D283)/D277)</f>
        <v>0</v>
      </c>
      <c r="E293" s="305">
        <f t="shared" ref="E293:BK293" si="199">IF($D283=0,0,E287*(E277-$D283)/E277)</f>
        <v>0</v>
      </c>
      <c r="F293" s="306">
        <f t="shared" si="199"/>
        <v>0</v>
      </c>
      <c r="G293" s="306">
        <f t="shared" si="199"/>
        <v>0</v>
      </c>
      <c r="H293" s="306">
        <f t="shared" si="199"/>
        <v>0</v>
      </c>
      <c r="I293" s="305">
        <f t="shared" si="199"/>
        <v>0</v>
      </c>
      <c r="J293" s="305">
        <f t="shared" si="199"/>
        <v>0</v>
      </c>
      <c r="K293" s="305">
        <f t="shared" si="199"/>
        <v>0</v>
      </c>
      <c r="L293" s="305">
        <f t="shared" si="199"/>
        <v>0</v>
      </c>
      <c r="M293" s="305">
        <f t="shared" si="199"/>
        <v>0</v>
      </c>
      <c r="N293" s="305">
        <f t="shared" si="199"/>
        <v>0</v>
      </c>
      <c r="O293" s="305">
        <f t="shared" si="199"/>
        <v>0</v>
      </c>
      <c r="P293" s="305">
        <f t="shared" si="199"/>
        <v>0</v>
      </c>
      <c r="Q293" s="305">
        <f t="shared" si="199"/>
        <v>0</v>
      </c>
      <c r="R293" s="305">
        <f t="shared" si="199"/>
        <v>0</v>
      </c>
      <c r="S293" s="305">
        <f t="shared" si="199"/>
        <v>0</v>
      </c>
      <c r="T293" s="305">
        <f t="shared" si="199"/>
        <v>0</v>
      </c>
      <c r="U293" s="305">
        <f t="shared" si="199"/>
        <v>0</v>
      </c>
      <c r="V293" s="305">
        <f t="shared" si="199"/>
        <v>0</v>
      </c>
      <c r="W293" s="305">
        <f t="shared" si="199"/>
        <v>0</v>
      </c>
      <c r="X293" s="305">
        <f t="shared" si="199"/>
        <v>0</v>
      </c>
      <c r="Y293" s="305">
        <f t="shared" si="199"/>
        <v>0</v>
      </c>
      <c r="Z293" s="305">
        <f t="shared" si="199"/>
        <v>0</v>
      </c>
      <c r="AA293" s="305">
        <f t="shared" si="199"/>
        <v>0</v>
      </c>
      <c r="AB293" s="305">
        <f t="shared" si="199"/>
        <v>0</v>
      </c>
      <c r="AC293" s="305">
        <f t="shared" si="199"/>
        <v>0</v>
      </c>
      <c r="AD293" s="305">
        <f t="shared" si="199"/>
        <v>0</v>
      </c>
      <c r="AE293" s="305">
        <f t="shared" si="199"/>
        <v>0</v>
      </c>
      <c r="AF293" s="305">
        <f t="shared" si="199"/>
        <v>0</v>
      </c>
      <c r="AG293" s="305">
        <f t="shared" si="199"/>
        <v>0</v>
      </c>
      <c r="AH293" s="305">
        <f t="shared" si="199"/>
        <v>0</v>
      </c>
      <c r="AI293" s="305">
        <f t="shared" si="199"/>
        <v>0</v>
      </c>
      <c r="AJ293" s="305">
        <f t="shared" si="199"/>
        <v>0</v>
      </c>
      <c r="AK293" s="305">
        <f t="shared" si="199"/>
        <v>0</v>
      </c>
      <c r="AL293" s="305">
        <f t="shared" si="199"/>
        <v>0</v>
      </c>
      <c r="AM293" s="305">
        <f t="shared" si="199"/>
        <v>0</v>
      </c>
      <c r="AN293" s="305">
        <f t="shared" si="199"/>
        <v>0</v>
      </c>
      <c r="AO293" s="305">
        <f t="shared" si="199"/>
        <v>0</v>
      </c>
      <c r="AP293" s="305">
        <f t="shared" si="199"/>
        <v>0</v>
      </c>
      <c r="AQ293" s="305">
        <f t="shared" si="199"/>
        <v>0</v>
      </c>
      <c r="AR293" s="58">
        <f t="shared" si="199"/>
        <v>0</v>
      </c>
      <c r="AS293" s="305">
        <f t="shared" si="199"/>
        <v>0</v>
      </c>
      <c r="AT293" s="305">
        <f t="shared" si="199"/>
        <v>0</v>
      </c>
      <c r="AU293" s="305">
        <f t="shared" si="199"/>
        <v>0</v>
      </c>
      <c r="AV293" s="305">
        <f t="shared" si="199"/>
        <v>0</v>
      </c>
      <c r="AW293" s="305">
        <f t="shared" si="199"/>
        <v>0</v>
      </c>
      <c r="AX293" s="305">
        <f t="shared" si="199"/>
        <v>0</v>
      </c>
      <c r="AY293" s="305">
        <f t="shared" si="199"/>
        <v>0</v>
      </c>
      <c r="AZ293" s="305">
        <f t="shared" si="199"/>
        <v>0</v>
      </c>
      <c r="BA293" s="305">
        <f t="shared" si="199"/>
        <v>0</v>
      </c>
      <c r="BB293" s="305">
        <f t="shared" si="199"/>
        <v>0</v>
      </c>
      <c r="BC293" s="305">
        <f t="shared" si="199"/>
        <v>0</v>
      </c>
      <c r="BD293" s="305">
        <f t="shared" si="199"/>
        <v>0</v>
      </c>
      <c r="BE293" s="305">
        <f t="shared" si="199"/>
        <v>0</v>
      </c>
      <c r="BF293" s="305">
        <f t="shared" si="199"/>
        <v>0</v>
      </c>
      <c r="BG293" s="305">
        <f t="shared" si="199"/>
        <v>0</v>
      </c>
      <c r="BH293" s="305">
        <f t="shared" si="199"/>
        <v>0</v>
      </c>
      <c r="BI293" s="305">
        <f t="shared" si="199"/>
        <v>0</v>
      </c>
      <c r="BJ293" s="305">
        <f t="shared" si="199"/>
        <v>0</v>
      </c>
      <c r="BK293" s="305">
        <f t="shared" si="199"/>
        <v>0</v>
      </c>
      <c r="BL293" s="305">
        <f>IF($D283=0,0,BL287*(BL277-$D283)/BL277)</f>
        <v>0</v>
      </c>
      <c r="BM293" s="305">
        <f>IF($D283=0,0,BM287*(BM277-$D283)/BM277)</f>
        <v>0</v>
      </c>
      <c r="BN293" s="305">
        <f>IF($D283=0,0,BN287*(BN277-$D283)/BN277)</f>
        <v>0</v>
      </c>
      <c r="BO293" s="8">
        <f>IF(D293=0,0,BO288)</f>
        <v>0</v>
      </c>
      <c r="BP293" s="43"/>
      <c r="BR293"/>
      <c r="BS293"/>
      <c r="BT293"/>
    </row>
    <row r="294" spans="2:72" ht="16.5">
      <c r="B294" s="9">
        <f t="shared" si="195"/>
        <v>7</v>
      </c>
      <c r="C294" s="300" t="s">
        <v>57</v>
      </c>
      <c r="D294" s="8">
        <f>IF($D284=0,0,D287*(D277-$D284)/D277)</f>
        <v>0</v>
      </c>
      <c r="E294" s="305">
        <f t="shared" ref="E294:BK294" si="200">IF($D284=0,0,E287*(E277-$D284)/E277)</f>
        <v>0</v>
      </c>
      <c r="F294" s="306">
        <f t="shared" si="200"/>
        <v>0</v>
      </c>
      <c r="G294" s="306">
        <f t="shared" si="200"/>
        <v>0</v>
      </c>
      <c r="H294" s="306">
        <f t="shared" si="200"/>
        <v>0</v>
      </c>
      <c r="I294" s="305">
        <f t="shared" si="200"/>
        <v>0</v>
      </c>
      <c r="J294" s="305">
        <f t="shared" si="200"/>
        <v>0</v>
      </c>
      <c r="K294" s="305">
        <f t="shared" si="200"/>
        <v>0</v>
      </c>
      <c r="L294" s="305">
        <f t="shared" si="200"/>
        <v>0</v>
      </c>
      <c r="M294" s="305">
        <f t="shared" si="200"/>
        <v>0</v>
      </c>
      <c r="N294" s="305">
        <f t="shared" si="200"/>
        <v>0</v>
      </c>
      <c r="O294" s="305">
        <f t="shared" si="200"/>
        <v>0</v>
      </c>
      <c r="P294" s="305">
        <f t="shared" si="200"/>
        <v>0</v>
      </c>
      <c r="Q294" s="305">
        <f t="shared" si="200"/>
        <v>0</v>
      </c>
      <c r="R294" s="305">
        <f t="shared" si="200"/>
        <v>0</v>
      </c>
      <c r="S294" s="305">
        <f t="shared" si="200"/>
        <v>0</v>
      </c>
      <c r="T294" s="305">
        <f t="shared" si="200"/>
        <v>0</v>
      </c>
      <c r="U294" s="305">
        <f t="shared" si="200"/>
        <v>0</v>
      </c>
      <c r="V294" s="305">
        <f t="shared" si="200"/>
        <v>0</v>
      </c>
      <c r="W294" s="305">
        <f t="shared" si="200"/>
        <v>0</v>
      </c>
      <c r="X294" s="305">
        <f t="shared" si="200"/>
        <v>0</v>
      </c>
      <c r="Y294" s="305">
        <f t="shared" si="200"/>
        <v>0</v>
      </c>
      <c r="Z294" s="305">
        <f t="shared" si="200"/>
        <v>0</v>
      </c>
      <c r="AA294" s="305">
        <f t="shared" si="200"/>
        <v>0</v>
      </c>
      <c r="AB294" s="305">
        <f t="shared" si="200"/>
        <v>0</v>
      </c>
      <c r="AC294" s="305">
        <f t="shared" si="200"/>
        <v>0</v>
      </c>
      <c r="AD294" s="305">
        <f t="shared" si="200"/>
        <v>0</v>
      </c>
      <c r="AE294" s="305">
        <f t="shared" si="200"/>
        <v>0</v>
      </c>
      <c r="AF294" s="305">
        <f t="shared" si="200"/>
        <v>0</v>
      </c>
      <c r="AG294" s="305">
        <f t="shared" si="200"/>
        <v>0</v>
      </c>
      <c r="AH294" s="305">
        <f t="shared" si="200"/>
        <v>0</v>
      </c>
      <c r="AI294" s="305">
        <f t="shared" si="200"/>
        <v>0</v>
      </c>
      <c r="AJ294" s="305">
        <f t="shared" si="200"/>
        <v>0</v>
      </c>
      <c r="AK294" s="305">
        <f t="shared" si="200"/>
        <v>0</v>
      </c>
      <c r="AL294" s="305">
        <f t="shared" si="200"/>
        <v>0</v>
      </c>
      <c r="AM294" s="305">
        <f t="shared" si="200"/>
        <v>0</v>
      </c>
      <c r="AN294" s="305">
        <f t="shared" si="200"/>
        <v>0</v>
      </c>
      <c r="AO294" s="305">
        <f t="shared" si="200"/>
        <v>0</v>
      </c>
      <c r="AP294" s="305">
        <f t="shared" si="200"/>
        <v>0</v>
      </c>
      <c r="AQ294" s="305">
        <f t="shared" si="200"/>
        <v>0</v>
      </c>
      <c r="AR294" s="58">
        <f t="shared" si="200"/>
        <v>0</v>
      </c>
      <c r="AS294" s="305">
        <f t="shared" si="200"/>
        <v>0</v>
      </c>
      <c r="AT294" s="305">
        <f t="shared" si="200"/>
        <v>0</v>
      </c>
      <c r="AU294" s="305">
        <f t="shared" si="200"/>
        <v>0</v>
      </c>
      <c r="AV294" s="305">
        <f t="shared" si="200"/>
        <v>0</v>
      </c>
      <c r="AW294" s="305">
        <f t="shared" si="200"/>
        <v>0</v>
      </c>
      <c r="AX294" s="305">
        <f t="shared" si="200"/>
        <v>0</v>
      </c>
      <c r="AY294" s="305">
        <f t="shared" si="200"/>
        <v>0</v>
      </c>
      <c r="AZ294" s="305">
        <f t="shared" si="200"/>
        <v>0</v>
      </c>
      <c r="BA294" s="305">
        <f t="shared" si="200"/>
        <v>0</v>
      </c>
      <c r="BB294" s="305">
        <f t="shared" si="200"/>
        <v>0</v>
      </c>
      <c r="BC294" s="305">
        <f t="shared" si="200"/>
        <v>0</v>
      </c>
      <c r="BD294" s="305">
        <f t="shared" si="200"/>
        <v>0</v>
      </c>
      <c r="BE294" s="305">
        <f t="shared" si="200"/>
        <v>0</v>
      </c>
      <c r="BF294" s="305">
        <f t="shared" si="200"/>
        <v>0</v>
      </c>
      <c r="BG294" s="305">
        <f t="shared" si="200"/>
        <v>0</v>
      </c>
      <c r="BH294" s="305">
        <f t="shared" si="200"/>
        <v>0</v>
      </c>
      <c r="BI294" s="305">
        <f t="shared" si="200"/>
        <v>0</v>
      </c>
      <c r="BJ294" s="305">
        <f t="shared" si="200"/>
        <v>0</v>
      </c>
      <c r="BK294" s="305">
        <f t="shared" si="200"/>
        <v>0</v>
      </c>
      <c r="BL294" s="305">
        <f>IF($D284=0,0,BL287*(BL277-$D284)/BL277)</f>
        <v>0</v>
      </c>
      <c r="BM294" s="305">
        <f>IF($D284=0,0,BM287*(BM277-$D284)/BM277)</f>
        <v>0</v>
      </c>
      <c r="BN294" s="305">
        <f>IF($D284=0,0,BN287*(BN277-$D284)/BN277)</f>
        <v>0</v>
      </c>
      <c r="BO294" s="8">
        <f>IF(D294=0,0,BO288)</f>
        <v>0</v>
      </c>
      <c r="BP294" s="43"/>
      <c r="BR294"/>
      <c r="BS294"/>
      <c r="BT294"/>
    </row>
    <row r="295" spans="2:72" ht="16.5">
      <c r="B295" s="9">
        <f t="shared" si="195"/>
        <v>8</v>
      </c>
      <c r="C295" s="300" t="s">
        <v>57</v>
      </c>
      <c r="D295" s="8">
        <f>IF($D285=0,0,D287*(D277-$D285)/D277)</f>
        <v>0</v>
      </c>
      <c r="E295" s="305">
        <f t="shared" ref="E295:BK295" si="201">IF($D285=0,0,E287*(E277-$D285)/E277)</f>
        <v>0</v>
      </c>
      <c r="F295" s="306">
        <f t="shared" si="201"/>
        <v>0</v>
      </c>
      <c r="G295" s="306">
        <f t="shared" si="201"/>
        <v>0</v>
      </c>
      <c r="H295" s="306">
        <f t="shared" si="201"/>
        <v>0</v>
      </c>
      <c r="I295" s="305">
        <f t="shared" si="201"/>
        <v>0</v>
      </c>
      <c r="J295" s="305">
        <f t="shared" si="201"/>
        <v>0</v>
      </c>
      <c r="K295" s="305">
        <f t="shared" si="201"/>
        <v>0</v>
      </c>
      <c r="L295" s="305">
        <f t="shared" si="201"/>
        <v>0</v>
      </c>
      <c r="M295" s="305">
        <f t="shared" si="201"/>
        <v>0</v>
      </c>
      <c r="N295" s="305">
        <f t="shared" si="201"/>
        <v>0</v>
      </c>
      <c r="O295" s="305">
        <f t="shared" si="201"/>
        <v>0</v>
      </c>
      <c r="P295" s="305">
        <f t="shared" si="201"/>
        <v>0</v>
      </c>
      <c r="Q295" s="305">
        <f t="shared" si="201"/>
        <v>0</v>
      </c>
      <c r="R295" s="305">
        <f t="shared" si="201"/>
        <v>0</v>
      </c>
      <c r="S295" s="305">
        <f t="shared" si="201"/>
        <v>0</v>
      </c>
      <c r="T295" s="305">
        <f t="shared" si="201"/>
        <v>0</v>
      </c>
      <c r="U295" s="305">
        <f t="shared" si="201"/>
        <v>0</v>
      </c>
      <c r="V295" s="305">
        <f t="shared" si="201"/>
        <v>0</v>
      </c>
      <c r="W295" s="305">
        <f t="shared" si="201"/>
        <v>0</v>
      </c>
      <c r="X295" s="305">
        <f t="shared" si="201"/>
        <v>0</v>
      </c>
      <c r="Y295" s="305">
        <f t="shared" si="201"/>
        <v>0</v>
      </c>
      <c r="Z295" s="305">
        <f t="shared" si="201"/>
        <v>0</v>
      </c>
      <c r="AA295" s="305">
        <f t="shared" si="201"/>
        <v>0</v>
      </c>
      <c r="AB295" s="305">
        <f t="shared" si="201"/>
        <v>0</v>
      </c>
      <c r="AC295" s="305">
        <f t="shared" si="201"/>
        <v>0</v>
      </c>
      <c r="AD295" s="305">
        <f t="shared" si="201"/>
        <v>0</v>
      </c>
      <c r="AE295" s="305">
        <f t="shared" si="201"/>
        <v>0</v>
      </c>
      <c r="AF295" s="305">
        <f t="shared" si="201"/>
        <v>0</v>
      </c>
      <c r="AG295" s="305">
        <f t="shared" si="201"/>
        <v>0</v>
      </c>
      <c r="AH295" s="305">
        <f t="shared" si="201"/>
        <v>0</v>
      </c>
      <c r="AI295" s="305">
        <f t="shared" si="201"/>
        <v>0</v>
      </c>
      <c r="AJ295" s="305">
        <f t="shared" si="201"/>
        <v>0</v>
      </c>
      <c r="AK295" s="305">
        <f t="shared" si="201"/>
        <v>0</v>
      </c>
      <c r="AL295" s="305">
        <f t="shared" si="201"/>
        <v>0</v>
      </c>
      <c r="AM295" s="305">
        <f t="shared" si="201"/>
        <v>0</v>
      </c>
      <c r="AN295" s="305">
        <f t="shared" si="201"/>
        <v>0</v>
      </c>
      <c r="AO295" s="305">
        <f t="shared" si="201"/>
        <v>0</v>
      </c>
      <c r="AP295" s="305">
        <f t="shared" si="201"/>
        <v>0</v>
      </c>
      <c r="AQ295" s="305">
        <f t="shared" si="201"/>
        <v>0</v>
      </c>
      <c r="AR295" s="58">
        <f t="shared" si="201"/>
        <v>0</v>
      </c>
      <c r="AS295" s="305">
        <f t="shared" si="201"/>
        <v>0</v>
      </c>
      <c r="AT295" s="305">
        <f t="shared" si="201"/>
        <v>0</v>
      </c>
      <c r="AU295" s="305">
        <f t="shared" si="201"/>
        <v>0</v>
      </c>
      <c r="AV295" s="305">
        <f t="shared" si="201"/>
        <v>0</v>
      </c>
      <c r="AW295" s="305">
        <f t="shared" si="201"/>
        <v>0</v>
      </c>
      <c r="AX295" s="305">
        <f t="shared" si="201"/>
        <v>0</v>
      </c>
      <c r="AY295" s="305">
        <f t="shared" si="201"/>
        <v>0</v>
      </c>
      <c r="AZ295" s="305">
        <f t="shared" si="201"/>
        <v>0</v>
      </c>
      <c r="BA295" s="305">
        <f t="shared" si="201"/>
        <v>0</v>
      </c>
      <c r="BB295" s="305">
        <f t="shared" si="201"/>
        <v>0</v>
      </c>
      <c r="BC295" s="305">
        <f t="shared" si="201"/>
        <v>0</v>
      </c>
      <c r="BD295" s="305">
        <f t="shared" si="201"/>
        <v>0</v>
      </c>
      <c r="BE295" s="305">
        <f t="shared" si="201"/>
        <v>0</v>
      </c>
      <c r="BF295" s="305">
        <f t="shared" si="201"/>
        <v>0</v>
      </c>
      <c r="BG295" s="305">
        <f t="shared" si="201"/>
        <v>0</v>
      </c>
      <c r="BH295" s="305">
        <f t="shared" si="201"/>
        <v>0</v>
      </c>
      <c r="BI295" s="305">
        <f t="shared" si="201"/>
        <v>0</v>
      </c>
      <c r="BJ295" s="305">
        <f t="shared" si="201"/>
        <v>0</v>
      </c>
      <c r="BK295" s="305">
        <f t="shared" si="201"/>
        <v>0</v>
      </c>
      <c r="BL295" s="305">
        <f>IF($D285=0,0,BL287*(BL277-$D285)/BL277)</f>
        <v>0</v>
      </c>
      <c r="BM295" s="305">
        <f>IF($D285=0,0,BM287*(BM277-$D285)/BM277)</f>
        <v>0</v>
      </c>
      <c r="BN295" s="305">
        <f>IF($D285=0,0,BN287*(BN277-$D285)/BN277)</f>
        <v>0</v>
      </c>
      <c r="BO295" s="8">
        <f>IF(D295=0,0,BO288)</f>
        <v>0</v>
      </c>
      <c r="BP295" s="43"/>
      <c r="BR295"/>
      <c r="BS295"/>
      <c r="BT295"/>
    </row>
    <row r="296" spans="2:72" ht="16.5">
      <c r="B296" s="9">
        <f t="shared" si="195"/>
        <v>9</v>
      </c>
      <c r="C296" s="300" t="s">
        <v>57</v>
      </c>
      <c r="D296" s="8">
        <f>IF($D286=0,0,D287*(D277-$D286)/D277)</f>
        <v>0</v>
      </c>
      <c r="E296" s="305">
        <f t="shared" ref="E296:BK296" si="202">IF($D286=0,0,E287*(E277-$D286)/E277)</f>
        <v>0</v>
      </c>
      <c r="F296" s="306">
        <f t="shared" si="202"/>
        <v>0</v>
      </c>
      <c r="G296" s="306">
        <f t="shared" si="202"/>
        <v>0</v>
      </c>
      <c r="H296" s="306">
        <f t="shared" si="202"/>
        <v>0</v>
      </c>
      <c r="I296" s="305">
        <f t="shared" si="202"/>
        <v>0</v>
      </c>
      <c r="J296" s="305">
        <f t="shared" si="202"/>
        <v>0</v>
      </c>
      <c r="K296" s="305">
        <f t="shared" si="202"/>
        <v>0</v>
      </c>
      <c r="L296" s="305">
        <f t="shared" si="202"/>
        <v>0</v>
      </c>
      <c r="M296" s="305">
        <f t="shared" si="202"/>
        <v>0</v>
      </c>
      <c r="N296" s="305">
        <f t="shared" si="202"/>
        <v>0</v>
      </c>
      <c r="O296" s="305">
        <f t="shared" si="202"/>
        <v>0</v>
      </c>
      <c r="P296" s="305">
        <f t="shared" si="202"/>
        <v>0</v>
      </c>
      <c r="Q296" s="305">
        <f t="shared" si="202"/>
        <v>0</v>
      </c>
      <c r="R296" s="305">
        <f t="shared" si="202"/>
        <v>0</v>
      </c>
      <c r="S296" s="305">
        <f t="shared" si="202"/>
        <v>0</v>
      </c>
      <c r="T296" s="305">
        <f t="shared" si="202"/>
        <v>0</v>
      </c>
      <c r="U296" s="305">
        <f t="shared" si="202"/>
        <v>0</v>
      </c>
      <c r="V296" s="305">
        <f t="shared" si="202"/>
        <v>0</v>
      </c>
      <c r="W296" s="305">
        <f t="shared" si="202"/>
        <v>0</v>
      </c>
      <c r="X296" s="305">
        <f t="shared" si="202"/>
        <v>0</v>
      </c>
      <c r="Y296" s="305">
        <f t="shared" si="202"/>
        <v>0</v>
      </c>
      <c r="Z296" s="305">
        <f t="shared" si="202"/>
        <v>0</v>
      </c>
      <c r="AA296" s="305">
        <f t="shared" si="202"/>
        <v>0</v>
      </c>
      <c r="AB296" s="305">
        <f t="shared" si="202"/>
        <v>0</v>
      </c>
      <c r="AC296" s="305">
        <f t="shared" si="202"/>
        <v>0</v>
      </c>
      <c r="AD296" s="305">
        <f t="shared" si="202"/>
        <v>0</v>
      </c>
      <c r="AE296" s="305">
        <f t="shared" si="202"/>
        <v>0</v>
      </c>
      <c r="AF296" s="305">
        <f t="shared" si="202"/>
        <v>0</v>
      </c>
      <c r="AG296" s="305">
        <f t="shared" si="202"/>
        <v>0</v>
      </c>
      <c r="AH296" s="305">
        <f t="shared" si="202"/>
        <v>0</v>
      </c>
      <c r="AI296" s="305">
        <f t="shared" si="202"/>
        <v>0</v>
      </c>
      <c r="AJ296" s="305">
        <f t="shared" si="202"/>
        <v>0</v>
      </c>
      <c r="AK296" s="305">
        <f t="shared" si="202"/>
        <v>0</v>
      </c>
      <c r="AL296" s="305">
        <f t="shared" si="202"/>
        <v>0</v>
      </c>
      <c r="AM296" s="305">
        <f t="shared" si="202"/>
        <v>0</v>
      </c>
      <c r="AN296" s="305">
        <f t="shared" si="202"/>
        <v>0</v>
      </c>
      <c r="AO296" s="305">
        <f t="shared" si="202"/>
        <v>0</v>
      </c>
      <c r="AP296" s="305">
        <f t="shared" si="202"/>
        <v>0</v>
      </c>
      <c r="AQ296" s="305">
        <f t="shared" si="202"/>
        <v>0</v>
      </c>
      <c r="AR296" s="58">
        <f t="shared" si="202"/>
        <v>0</v>
      </c>
      <c r="AS296" s="305">
        <f t="shared" si="202"/>
        <v>0</v>
      </c>
      <c r="AT296" s="305">
        <f t="shared" si="202"/>
        <v>0</v>
      </c>
      <c r="AU296" s="305">
        <f t="shared" si="202"/>
        <v>0</v>
      </c>
      <c r="AV296" s="305">
        <f t="shared" si="202"/>
        <v>0</v>
      </c>
      <c r="AW296" s="305">
        <f t="shared" si="202"/>
        <v>0</v>
      </c>
      <c r="AX296" s="305">
        <f t="shared" si="202"/>
        <v>0</v>
      </c>
      <c r="AY296" s="305">
        <f t="shared" si="202"/>
        <v>0</v>
      </c>
      <c r="AZ296" s="305">
        <f t="shared" si="202"/>
        <v>0</v>
      </c>
      <c r="BA296" s="305">
        <f t="shared" si="202"/>
        <v>0</v>
      </c>
      <c r="BB296" s="305">
        <f t="shared" si="202"/>
        <v>0</v>
      </c>
      <c r="BC296" s="305">
        <f t="shared" si="202"/>
        <v>0</v>
      </c>
      <c r="BD296" s="305">
        <f t="shared" si="202"/>
        <v>0</v>
      </c>
      <c r="BE296" s="305">
        <f t="shared" si="202"/>
        <v>0</v>
      </c>
      <c r="BF296" s="305">
        <f t="shared" si="202"/>
        <v>0</v>
      </c>
      <c r="BG296" s="305">
        <f t="shared" si="202"/>
        <v>0</v>
      </c>
      <c r="BH296" s="305">
        <f t="shared" si="202"/>
        <v>0</v>
      </c>
      <c r="BI296" s="305">
        <f t="shared" si="202"/>
        <v>0</v>
      </c>
      <c r="BJ296" s="305">
        <f t="shared" si="202"/>
        <v>0</v>
      </c>
      <c r="BK296" s="305">
        <f t="shared" si="202"/>
        <v>0</v>
      </c>
      <c r="BL296" s="305">
        <f>IF($D286=0,0,BL287*(BL277-$D286)/BL277)</f>
        <v>0</v>
      </c>
      <c r="BM296" s="305">
        <f>IF($D286=0,0,BM287*(BM277-$D286)/BM277)</f>
        <v>0</v>
      </c>
      <c r="BN296" s="305">
        <f>IF($D286=0,0,BN287*(BN277-$D286)/BN277)</f>
        <v>0</v>
      </c>
      <c r="BO296" s="8">
        <f>IF(D296=0,0,BO288)</f>
        <v>0</v>
      </c>
      <c r="BP296" s="43"/>
      <c r="BR296"/>
      <c r="BS296"/>
      <c r="BT296"/>
    </row>
    <row r="297" spans="2:72" ht="16.5">
      <c r="B297" s="292" t="s">
        <v>119</v>
      </c>
      <c r="C297" s="300" t="s">
        <v>58</v>
      </c>
      <c r="D297" s="8">
        <f>D287*(D277-$F274)/D277</f>
        <v>-3.3168129883869878E-2</v>
      </c>
      <c r="E297" s="10">
        <f t="shared" ref="E297:BK297" si="203">E287*(E277-$F274)/E277</f>
        <v>-2.8762250005367647E-2</v>
      </c>
      <c r="F297" s="32">
        <f t="shared" si="203"/>
        <v>-2.5301579889247749E-2</v>
      </c>
      <c r="G297" s="32">
        <f t="shared" si="203"/>
        <v>-2.2511416977571173E-2</v>
      </c>
      <c r="H297" s="32">
        <f t="shared" si="203"/>
        <v>-2.0214104942957809E-2</v>
      </c>
      <c r="I297" s="10">
        <f t="shared" si="203"/>
        <v>-1.8289656174802493E-2</v>
      </c>
      <c r="J297" s="10">
        <f t="shared" si="203"/>
        <v>-1.6654108497011662E-2</v>
      </c>
      <c r="K297" s="10">
        <f t="shared" si="203"/>
        <v>-1.52469486892398E-2</v>
      </c>
      <c r="L297" s="10">
        <f t="shared" si="203"/>
        <v>-1.4023460704165795E-2</v>
      </c>
      <c r="M297" s="10">
        <f t="shared" si="203"/>
        <v>-1.2949886601700655E-2</v>
      </c>
      <c r="N297" s="10">
        <f t="shared" si="203"/>
        <v>-1.2000263587725482E-2</v>
      </c>
      <c r="O297" s="10">
        <f t="shared" si="203"/>
        <v>-1.1154296813332926E-2</v>
      </c>
      <c r="P297" s="10">
        <f t="shared" si="203"/>
        <v>-1.0395892708439349E-2</v>
      </c>
      <c r="Q297" s="10">
        <f t="shared" si="203"/>
        <v>-9.7121253319648968E-3</v>
      </c>
      <c r="R297" s="10">
        <f t="shared" si="203"/>
        <v>-9.0924935831261707E-3</v>
      </c>
      <c r="S297" s="10">
        <f t="shared" si="203"/>
        <v>-8.528378064355106E-3</v>
      </c>
      <c r="T297" s="10">
        <f t="shared" si="203"/>
        <v>-8.012637672648119E-3</v>
      </c>
      <c r="U297" s="10">
        <f t="shared" si="203"/>
        <v>-7.5393057056653955E-3</v>
      </c>
      <c r="V297" s="10">
        <f t="shared" si="203"/>
        <v>-7.1033579733676905E-3</v>
      </c>
      <c r="W297" s="10">
        <f t="shared" si="203"/>
        <v>-6.7005337666327025E-3</v>
      </c>
      <c r="X297" s="10">
        <f t="shared" si="203"/>
        <v>-6.3271961409621319E-3</v>
      </c>
      <c r="Y297" s="10">
        <f t="shared" si="203"/>
        <v>-5.9802217984392635E-3</v>
      </c>
      <c r="Z297" s="10">
        <f t="shared" si="203"/>
        <v>-5.6569135021192962E-3</v>
      </c>
      <c r="AA297" s="10">
        <f t="shared" si="203"/>
        <v>-5.3549298212100978E-3</v>
      </c>
      <c r="AB297" s="10">
        <f t="shared" si="203"/>
        <v>-5.0722283339374036E-3</v>
      </c>
      <c r="AC297" s="10">
        <f t="shared" si="203"/>
        <v>-4.8070193736026263E-3</v>
      </c>
      <c r="AD297" s="10">
        <f t="shared" si="203"/>
        <v>-4.5577281030459568E-3</v>
      </c>
      <c r="AE297" s="10">
        <f t="shared" si="203"/>
        <v>-4.3229632189566098E-3</v>
      </c>
      <c r="AF297" s="10">
        <f t="shared" si="203"/>
        <v>-4.1014909721687311E-3</v>
      </c>
      <c r="AG297" s="10">
        <f t="shared" si="203"/>
        <v>-3.8922134794580386E-3</v>
      </c>
      <c r="AH297" s="10">
        <f t="shared" si="203"/>
        <v>-3.6941505219501764E-3</v>
      </c>
      <c r="AI297" s="10">
        <f t="shared" si="203"/>
        <v>-3.5064241932759384E-3</v>
      </c>
      <c r="AJ297" s="10">
        <f t="shared" si="203"/>
        <v>-3.3282458901758545E-3</v>
      </c>
      <c r="AK297" s="10">
        <f t="shared" si="203"/>
        <v>-3.1589052389045641E-3</v>
      </c>
      <c r="AL297" s="10">
        <f t="shared" si="203"/>
        <v>-2.9977606295123224E-3</v>
      </c>
      <c r="AM297" s="10">
        <f t="shared" si="203"/>
        <v>-2.8442310920664135E-3</v>
      </c>
      <c r="AN297" s="10">
        <f t="shared" si="203"/>
        <v>-2.6977892979835744E-3</v>
      </c>
      <c r="AO297" s="10">
        <f t="shared" si="203"/>
        <v>-2.5579555087810804E-3</v>
      </c>
      <c r="AP297" s="10">
        <f t="shared" si="203"/>
        <v>-2.4242923259190814E-3</v>
      </c>
      <c r="AQ297" s="10">
        <f t="shared" si="203"/>
        <v>-2.2964001206778181E-3</v>
      </c>
      <c r="AR297" s="58">
        <f t="shared" si="203"/>
        <v>-2.1739130434782618E-3</v>
      </c>
      <c r="AS297" s="10">
        <f t="shared" si="203"/>
        <v>-1.7862415419315158E-3</v>
      </c>
      <c r="AT297" s="10">
        <f t="shared" si="203"/>
        <v>-1.4481574682248574E-3</v>
      </c>
      <c r="AU297" s="10">
        <f t="shared" si="203"/>
        <v>-1.1507185664749156E-3</v>
      </c>
      <c r="AV297" s="10">
        <f t="shared" si="203"/>
        <v>-8.8701077708451515E-4</v>
      </c>
      <c r="AW297" s="10">
        <f t="shared" si="203"/>
        <v>-6.5160407235770909E-4</v>
      </c>
      <c r="AX297" s="10">
        <f t="shared" si="203"/>
        <v>-4.4017456867273465E-4</v>
      </c>
      <c r="AY297" s="10">
        <f t="shared" si="203"/>
        <v>-2.4923651170682037E-4</v>
      </c>
      <c r="AZ297" s="10">
        <f t="shared" si="203"/>
        <v>-7.5948586752149768E-5</v>
      </c>
      <c r="BA297" s="10">
        <f t="shared" si="203"/>
        <v>8.2028430433822111E-5</v>
      </c>
      <c r="BB297" s="10">
        <f t="shared" si="203"/>
        <v>2.2663788725241265E-4</v>
      </c>
      <c r="BC297" s="10">
        <f t="shared" si="203"/>
        <v>3.595075998538232E-4</v>
      </c>
      <c r="BD297" s="10">
        <f t="shared" si="203"/>
        <v>4.8201139408444137E-4</v>
      </c>
      <c r="BE297" s="10">
        <f t="shared" si="203"/>
        <v>5.8376298151285291E-4</v>
      </c>
      <c r="BF297" s="10">
        <f t="shared" si="203"/>
        <v>6.6374342556597325E-4</v>
      </c>
      <c r="BG297" s="10">
        <f t="shared" si="203"/>
        <v>7.3345780992531428E-4</v>
      </c>
      <c r="BH297" s="10">
        <f t="shared" si="203"/>
        <v>7.9476351351351381E-4</v>
      </c>
      <c r="BI297" s="10">
        <f t="shared" si="203"/>
        <v>8.4909534014831133E-4</v>
      </c>
      <c r="BJ297" s="10">
        <f t="shared" si="203"/>
        <v>8.9757922693177363E-4</v>
      </c>
      <c r="BK297" s="10">
        <f t="shared" si="203"/>
        <v>9.411111111111111E-4</v>
      </c>
      <c r="BL297" s="10">
        <f>BL287*(BL277-$F274)/BL277</f>
        <v>1.2949999999999999E-3</v>
      </c>
      <c r="BM297" s="10">
        <f>BM287*(BM277-$F274)/BM277</f>
        <v>1.4334782608695651E-3</v>
      </c>
      <c r="BN297" s="10">
        <f>BN287*(BN277-$F274)/BN277</f>
        <v>1.5073333333333332E-3</v>
      </c>
      <c r="BO297" s="8">
        <f>BO288</f>
        <v>1.75E-3</v>
      </c>
      <c r="BR297"/>
      <c r="BS297"/>
      <c r="BT297"/>
    </row>
    <row r="298" spans="2:72" ht="16.5">
      <c r="B298" s="293" t="s">
        <v>59</v>
      </c>
      <c r="C298" s="301" t="s">
        <v>60</v>
      </c>
      <c r="D298" s="12">
        <f t="shared" ref="D298:BJ298" si="204">IF(D288&lt;0,MAX(-$C$10,200000*D288),MIN(200000*D288,$C$10)-IF(AND($C274&lt;$C$8*D277,$C274&gt;0),$C$9,0))</f>
        <v>-434.78260869565219</v>
      </c>
      <c r="E298" s="307">
        <f t="shared" si="204"/>
        <v>-434.78260869565219</v>
      </c>
      <c r="F298" s="307">
        <f t="shared" si="204"/>
        <v>-343.20683063417039</v>
      </c>
      <c r="G298" s="307">
        <f t="shared" si="204"/>
        <v>-242.1458117860424</v>
      </c>
      <c r="H298" s="307">
        <f t="shared" si="204"/>
        <v>-158.93608454807807</v>
      </c>
      <c r="I298" s="307">
        <f t="shared" si="204"/>
        <v>-89.231640977098081</v>
      </c>
      <c r="J298" s="307">
        <f t="shared" si="204"/>
        <v>-29.991331387823916</v>
      </c>
      <c r="K298" s="307">
        <f t="shared" si="204"/>
        <v>20.976661649582059</v>
      </c>
      <c r="L298" s="307">
        <f t="shared" si="204"/>
        <v>65.291974494782266</v>
      </c>
      <c r="M298" s="307">
        <f t="shared" si="204"/>
        <v>104.17733568643295</v>
      </c>
      <c r="N298" s="307">
        <f t="shared" si="204"/>
        <v>138.57312989340775</v>
      </c>
      <c r="O298" s="307">
        <f t="shared" si="204"/>
        <v>146.54777946458165</v>
      </c>
      <c r="P298" s="307">
        <f t="shared" si="204"/>
        <v>174.01753444497896</v>
      </c>
      <c r="Q298" s="307">
        <f t="shared" si="204"/>
        <v>198.78391186058903</v>
      </c>
      <c r="R298" s="307">
        <f t="shared" si="204"/>
        <v>221.2272665429366</v>
      </c>
      <c r="S298" s="307">
        <f t="shared" si="204"/>
        <v>241.65979714409329</v>
      </c>
      <c r="T298" s="307">
        <f t="shared" si="204"/>
        <v>260.34015778859833</v>
      </c>
      <c r="U298" s="307">
        <f t="shared" si="204"/>
        <v>277.4844652541143</v>
      </c>
      <c r="V298" s="307">
        <f t="shared" si="204"/>
        <v>293.27469807749571</v>
      </c>
      <c r="W298" s="307">
        <f t="shared" si="204"/>
        <v>307.86518115608584</v>
      </c>
      <c r="X298" s="307">
        <f t="shared" si="204"/>
        <v>321.38764633785456</v>
      </c>
      <c r="Y298" s="307">
        <f t="shared" si="204"/>
        <v>333.95522094891908</v>
      </c>
      <c r="Z298" s="307">
        <f t="shared" si="204"/>
        <v>345.66560018570527</v>
      </c>
      <c r="AA298" s="307">
        <f t="shared" si="204"/>
        <v>356.60359177769197</v>
      </c>
      <c r="AB298" s="307">
        <f t="shared" si="204"/>
        <v>366.84317320646676</v>
      </c>
      <c r="AC298" s="307">
        <f t="shared" si="204"/>
        <v>376.44916704536411</v>
      </c>
      <c r="AD298" s="307">
        <f t="shared" si="204"/>
        <v>385.47861464033014</v>
      </c>
      <c r="AE298" s="307">
        <f t="shared" si="204"/>
        <v>393.98190965459003</v>
      </c>
      <c r="AF298" s="307">
        <f t="shared" si="204"/>
        <v>402.00373906580444</v>
      </c>
      <c r="AG298" s="307">
        <f t="shared" si="204"/>
        <v>409.5838687230422</v>
      </c>
      <c r="AH298" s="307">
        <f t="shared" si="204"/>
        <v>412.1159420289855</v>
      </c>
      <c r="AI298" s="307">
        <f t="shared" si="204"/>
        <v>412.1159420289855</v>
      </c>
      <c r="AJ298" s="307">
        <f t="shared" si="204"/>
        <v>412.1159420289855</v>
      </c>
      <c r="AK298" s="307">
        <f t="shared" si="204"/>
        <v>412.1159420289855</v>
      </c>
      <c r="AL298" s="307">
        <f t="shared" si="204"/>
        <v>412.1159420289855</v>
      </c>
      <c r="AM298" s="307">
        <f t="shared" si="204"/>
        <v>412.1159420289855</v>
      </c>
      <c r="AN298" s="307">
        <f t="shared" si="204"/>
        <v>412.1159420289855</v>
      </c>
      <c r="AO298" s="307">
        <f t="shared" si="204"/>
        <v>412.1159420289855</v>
      </c>
      <c r="AP298" s="307">
        <f t="shared" si="204"/>
        <v>412.1159420289855</v>
      </c>
      <c r="AQ298" s="307">
        <f t="shared" si="204"/>
        <v>412.1159420289855</v>
      </c>
      <c r="AR298" s="61">
        <f t="shared" si="204"/>
        <v>412.1159420289855</v>
      </c>
      <c r="AS298" s="307">
        <f t="shared" si="204"/>
        <v>412.1159420289855</v>
      </c>
      <c r="AT298" s="307">
        <f t="shared" si="204"/>
        <v>412.1159420289855</v>
      </c>
      <c r="AU298" s="307">
        <f t="shared" si="204"/>
        <v>412.1159420289855</v>
      </c>
      <c r="AV298" s="307">
        <f t="shared" si="204"/>
        <v>412.1159420289855</v>
      </c>
      <c r="AW298" s="307">
        <f t="shared" si="204"/>
        <v>412.1159420289855</v>
      </c>
      <c r="AX298" s="307">
        <f t="shared" si="204"/>
        <v>412.1159420289855</v>
      </c>
      <c r="AY298" s="307">
        <f t="shared" si="204"/>
        <v>412.1159420289855</v>
      </c>
      <c r="AZ298" s="307">
        <f t="shared" si="204"/>
        <v>412.1159420289855</v>
      </c>
      <c r="BA298" s="307">
        <f t="shared" si="204"/>
        <v>412.1159420289855</v>
      </c>
      <c r="BB298" s="307">
        <f t="shared" si="204"/>
        <v>412.1159420289855</v>
      </c>
      <c r="BC298" s="307">
        <f t="shared" si="204"/>
        <v>412.1159420289855</v>
      </c>
      <c r="BD298" s="307">
        <f t="shared" si="204"/>
        <v>412.1159420289855</v>
      </c>
      <c r="BE298" s="307">
        <f t="shared" si="204"/>
        <v>412.1159420289855</v>
      </c>
      <c r="BF298" s="307">
        <f t="shared" si="204"/>
        <v>412.1159420289855</v>
      </c>
      <c r="BG298" s="307">
        <f t="shared" si="204"/>
        <v>412.1159420289855</v>
      </c>
      <c r="BH298" s="307">
        <f t="shared" si="204"/>
        <v>412.1159420289855</v>
      </c>
      <c r="BI298" s="307">
        <f t="shared" si="204"/>
        <v>412.1159420289855</v>
      </c>
      <c r="BJ298" s="307">
        <f t="shared" si="204"/>
        <v>412.1159420289855</v>
      </c>
      <c r="BK298" s="307">
        <f>IF(BK288&lt;0,MAX(-$C$10,200000*BK288),MIN(200000*BK288,$C$10)-IF(AND($C274&lt;$C$8*BK277,$C274&gt;0),$C$9,0))</f>
        <v>412.1159420289855</v>
      </c>
      <c r="BL298" s="307">
        <f>IF(BL288&lt;0,MAX(-$C$10,200000*BL288),MIN(200000*BL288,$C$10)-IF(AND($C274&lt;$C$8*BL277,$C274&gt;0),$C$9,0))</f>
        <v>412.1159420289855</v>
      </c>
      <c r="BM298" s="307">
        <f>IF(BM288&lt;0,MAX(-$C$10,200000*BM288),MIN(200000*BM288,$C$10)-IF(AND($C274&lt;$C$8*BM277,$C274&gt;0),$C$9,0))</f>
        <v>390.63768115942025</v>
      </c>
      <c r="BN298" s="307">
        <f>IF(BN288&lt;0,MAX(-$C$10,200000*BN288),MIN(200000*BN288,$C$10)-IF(AND($C274&lt;$C$8*BN277,$C274&gt;0),$C$9,0))</f>
        <v>375.86666666666662</v>
      </c>
      <c r="BO298" s="12">
        <f>200000*BO288-C$9</f>
        <v>327.33333333333331</v>
      </c>
      <c r="BR298"/>
      <c r="BS298"/>
      <c r="BT298"/>
    </row>
    <row r="299" spans="2:72" ht="16.5">
      <c r="B299" s="11">
        <v>2</v>
      </c>
      <c r="C299" s="302" t="s">
        <v>61</v>
      </c>
      <c r="D299" s="12">
        <f t="shared" ref="D299:AI299" si="205">IF(D289&lt;0,MAX(-$C$10,200000*D289),MIN(200000*D289,$C$10)-IF(AND($D279&lt;$C$8*D277,$D279&gt;0),$C$9,0))</f>
        <v>0</v>
      </c>
      <c r="E299" s="307">
        <f t="shared" si="205"/>
        <v>0</v>
      </c>
      <c r="F299" s="307">
        <f t="shared" si="205"/>
        <v>0</v>
      </c>
      <c r="G299" s="307">
        <f t="shared" si="205"/>
        <v>0</v>
      </c>
      <c r="H299" s="307">
        <f t="shared" si="205"/>
        <v>0</v>
      </c>
      <c r="I299" s="307">
        <f t="shared" si="205"/>
        <v>0</v>
      </c>
      <c r="J299" s="307">
        <f t="shared" si="205"/>
        <v>0</v>
      </c>
      <c r="K299" s="307">
        <f t="shared" si="205"/>
        <v>0</v>
      </c>
      <c r="L299" s="307">
        <f t="shared" si="205"/>
        <v>0</v>
      </c>
      <c r="M299" s="307">
        <f t="shared" si="205"/>
        <v>0</v>
      </c>
      <c r="N299" s="307">
        <f t="shared" si="205"/>
        <v>0</v>
      </c>
      <c r="O299" s="307">
        <f t="shared" si="205"/>
        <v>0</v>
      </c>
      <c r="P299" s="307">
        <f t="shared" si="205"/>
        <v>0</v>
      </c>
      <c r="Q299" s="307">
        <f t="shared" si="205"/>
        <v>0</v>
      </c>
      <c r="R299" s="307">
        <f t="shared" si="205"/>
        <v>0</v>
      </c>
      <c r="S299" s="307">
        <f t="shared" si="205"/>
        <v>0</v>
      </c>
      <c r="T299" s="307">
        <f t="shared" si="205"/>
        <v>0</v>
      </c>
      <c r="U299" s="307">
        <f t="shared" si="205"/>
        <v>0</v>
      </c>
      <c r="V299" s="307">
        <f t="shared" si="205"/>
        <v>0</v>
      </c>
      <c r="W299" s="307">
        <f t="shared" si="205"/>
        <v>0</v>
      </c>
      <c r="X299" s="307">
        <f t="shared" si="205"/>
        <v>0</v>
      </c>
      <c r="Y299" s="307">
        <f t="shared" si="205"/>
        <v>0</v>
      </c>
      <c r="Z299" s="307">
        <f t="shared" si="205"/>
        <v>0</v>
      </c>
      <c r="AA299" s="307">
        <f t="shared" si="205"/>
        <v>0</v>
      </c>
      <c r="AB299" s="307">
        <f t="shared" si="205"/>
        <v>0</v>
      </c>
      <c r="AC299" s="307">
        <f t="shared" si="205"/>
        <v>0</v>
      </c>
      <c r="AD299" s="307">
        <f t="shared" si="205"/>
        <v>0</v>
      </c>
      <c r="AE299" s="307">
        <f t="shared" si="205"/>
        <v>0</v>
      </c>
      <c r="AF299" s="307">
        <f t="shared" si="205"/>
        <v>0</v>
      </c>
      <c r="AG299" s="307">
        <f t="shared" si="205"/>
        <v>0</v>
      </c>
      <c r="AH299" s="307">
        <f t="shared" si="205"/>
        <v>0</v>
      </c>
      <c r="AI299" s="307">
        <f t="shared" si="205"/>
        <v>0</v>
      </c>
      <c r="AJ299" s="307">
        <f t="shared" ref="AJ299:BK299" si="206">IF(AJ289&lt;0,MAX(-$C$10,200000*AJ289),MIN(200000*AJ289,$C$10)-IF(AND($D279&lt;$C$8*AJ277,$D279&gt;0),$C$9,0))</f>
        <v>0</v>
      </c>
      <c r="AK299" s="307">
        <f t="shared" si="206"/>
        <v>0</v>
      </c>
      <c r="AL299" s="307">
        <f t="shared" si="206"/>
        <v>0</v>
      </c>
      <c r="AM299" s="307">
        <f t="shared" si="206"/>
        <v>0</v>
      </c>
      <c r="AN299" s="307">
        <f t="shared" si="206"/>
        <v>0</v>
      </c>
      <c r="AO299" s="307">
        <f t="shared" si="206"/>
        <v>0</v>
      </c>
      <c r="AP299" s="307">
        <f t="shared" si="206"/>
        <v>0</v>
      </c>
      <c r="AQ299" s="307">
        <f t="shared" si="206"/>
        <v>0</v>
      </c>
      <c r="AR299" s="61">
        <f t="shared" si="206"/>
        <v>0</v>
      </c>
      <c r="AS299" s="307">
        <f t="shared" si="206"/>
        <v>0</v>
      </c>
      <c r="AT299" s="307">
        <f t="shared" si="206"/>
        <v>0</v>
      </c>
      <c r="AU299" s="307">
        <f t="shared" si="206"/>
        <v>0</v>
      </c>
      <c r="AV299" s="307">
        <f t="shared" si="206"/>
        <v>0</v>
      </c>
      <c r="AW299" s="307">
        <f t="shared" si="206"/>
        <v>0</v>
      </c>
      <c r="AX299" s="307">
        <f t="shared" si="206"/>
        <v>0</v>
      </c>
      <c r="AY299" s="307">
        <f t="shared" si="206"/>
        <v>0</v>
      </c>
      <c r="AZ299" s="307">
        <f t="shared" si="206"/>
        <v>0</v>
      </c>
      <c r="BA299" s="307">
        <f t="shared" si="206"/>
        <v>0</v>
      </c>
      <c r="BB299" s="307">
        <f t="shared" si="206"/>
        <v>0</v>
      </c>
      <c r="BC299" s="307">
        <f t="shared" si="206"/>
        <v>0</v>
      </c>
      <c r="BD299" s="307">
        <f t="shared" si="206"/>
        <v>0</v>
      </c>
      <c r="BE299" s="307">
        <f t="shared" si="206"/>
        <v>0</v>
      </c>
      <c r="BF299" s="307">
        <f t="shared" si="206"/>
        <v>0</v>
      </c>
      <c r="BG299" s="307">
        <f t="shared" si="206"/>
        <v>0</v>
      </c>
      <c r="BH299" s="307">
        <f t="shared" si="206"/>
        <v>0</v>
      </c>
      <c r="BI299" s="307">
        <f t="shared" si="206"/>
        <v>0</v>
      </c>
      <c r="BJ299" s="307">
        <f t="shared" si="206"/>
        <v>0</v>
      </c>
      <c r="BK299" s="307">
        <f t="shared" si="206"/>
        <v>0</v>
      </c>
      <c r="BL299" s="307">
        <f>IF(BL289&lt;0,MAX(-$C$10,200000*BL289),MIN(200000*BL289,$C$10)-IF(AND($D279&lt;$C$8*BL277,$D279&gt;0),$C$9,0))</f>
        <v>0</v>
      </c>
      <c r="BM299" s="307">
        <f>IF(BM289&lt;0,MAX(-$C$10,200000*BM289),MIN(200000*BM289,$C$10)-IF(AND($D279&lt;$C$8*BM277,$D279&gt;0),$C$9,0))</f>
        <v>0</v>
      </c>
      <c r="BN299" s="307">
        <f>IF(BN289&lt;0,MAX(-$C$10,200000*BN289),MIN(200000*BN289,$C$10)-IF(AND($D279&lt;$C$8*BN277,$D279&gt;0),$C$9,0))</f>
        <v>0</v>
      </c>
      <c r="BO299" s="12">
        <f>IF(D299=0,0,BO298)</f>
        <v>0</v>
      </c>
      <c r="BP299" s="43"/>
      <c r="BR299"/>
      <c r="BS299"/>
      <c r="BT299"/>
    </row>
    <row r="300" spans="2:72" ht="16.5">
      <c r="B300" s="11">
        <f t="shared" ref="B300:B306" si="207">1+B299</f>
        <v>3</v>
      </c>
      <c r="C300" s="302" t="s">
        <v>61</v>
      </c>
      <c r="D300" s="12">
        <f t="shared" ref="D300:AI300" si="208">IF(D290&lt;0,MAX(-$C$10,200000*D290),MIN(200000*D290,$C$10)-IF(AND($D280&lt;$C$8*D277,$D280&gt;0),$C$9,0))</f>
        <v>0</v>
      </c>
      <c r="E300" s="307">
        <f t="shared" si="208"/>
        <v>0</v>
      </c>
      <c r="F300" s="307">
        <f t="shared" si="208"/>
        <v>0</v>
      </c>
      <c r="G300" s="307">
        <f t="shared" si="208"/>
        <v>0</v>
      </c>
      <c r="H300" s="307">
        <f t="shared" si="208"/>
        <v>0</v>
      </c>
      <c r="I300" s="307">
        <f t="shared" si="208"/>
        <v>0</v>
      </c>
      <c r="J300" s="307">
        <f t="shared" si="208"/>
        <v>0</v>
      </c>
      <c r="K300" s="307">
        <f t="shared" si="208"/>
        <v>0</v>
      </c>
      <c r="L300" s="307">
        <f t="shared" si="208"/>
        <v>0</v>
      </c>
      <c r="M300" s="307">
        <f t="shared" si="208"/>
        <v>0</v>
      </c>
      <c r="N300" s="307">
        <f t="shared" si="208"/>
        <v>0</v>
      </c>
      <c r="O300" s="307">
        <f t="shared" si="208"/>
        <v>0</v>
      </c>
      <c r="P300" s="307">
        <f t="shared" si="208"/>
        <v>0</v>
      </c>
      <c r="Q300" s="307">
        <f t="shared" si="208"/>
        <v>0</v>
      </c>
      <c r="R300" s="307">
        <f t="shared" si="208"/>
        <v>0</v>
      </c>
      <c r="S300" s="307">
        <f t="shared" si="208"/>
        <v>0</v>
      </c>
      <c r="T300" s="307">
        <f t="shared" si="208"/>
        <v>0</v>
      </c>
      <c r="U300" s="307">
        <f t="shared" si="208"/>
        <v>0</v>
      </c>
      <c r="V300" s="307">
        <f t="shared" si="208"/>
        <v>0</v>
      </c>
      <c r="W300" s="307">
        <f t="shared" si="208"/>
        <v>0</v>
      </c>
      <c r="X300" s="307">
        <f t="shared" si="208"/>
        <v>0</v>
      </c>
      <c r="Y300" s="307">
        <f t="shared" si="208"/>
        <v>0</v>
      </c>
      <c r="Z300" s="307">
        <f t="shared" si="208"/>
        <v>0</v>
      </c>
      <c r="AA300" s="307">
        <f t="shared" si="208"/>
        <v>0</v>
      </c>
      <c r="AB300" s="307">
        <f t="shared" si="208"/>
        <v>0</v>
      </c>
      <c r="AC300" s="307">
        <f t="shared" si="208"/>
        <v>0</v>
      </c>
      <c r="AD300" s="307">
        <f t="shared" si="208"/>
        <v>0</v>
      </c>
      <c r="AE300" s="307">
        <f t="shared" si="208"/>
        <v>0</v>
      </c>
      <c r="AF300" s="307">
        <f t="shared" si="208"/>
        <v>0</v>
      </c>
      <c r="AG300" s="307">
        <f t="shared" si="208"/>
        <v>0</v>
      </c>
      <c r="AH300" s="307">
        <f t="shared" si="208"/>
        <v>0</v>
      </c>
      <c r="AI300" s="307">
        <f t="shared" si="208"/>
        <v>0</v>
      </c>
      <c r="AJ300" s="307">
        <f t="shared" ref="AJ300:BK300" si="209">IF(AJ290&lt;0,MAX(-$C$10,200000*AJ290),MIN(200000*AJ290,$C$10)-IF(AND($D280&lt;$C$8*AJ277,$D280&gt;0),$C$9,0))</f>
        <v>0</v>
      </c>
      <c r="AK300" s="307">
        <f t="shared" si="209"/>
        <v>0</v>
      </c>
      <c r="AL300" s="307">
        <f t="shared" si="209"/>
        <v>0</v>
      </c>
      <c r="AM300" s="307">
        <f t="shared" si="209"/>
        <v>0</v>
      </c>
      <c r="AN300" s="307">
        <f t="shared" si="209"/>
        <v>0</v>
      </c>
      <c r="AO300" s="307">
        <f t="shared" si="209"/>
        <v>0</v>
      </c>
      <c r="AP300" s="307">
        <f t="shared" si="209"/>
        <v>0</v>
      </c>
      <c r="AQ300" s="307">
        <f t="shared" si="209"/>
        <v>0</v>
      </c>
      <c r="AR300" s="61">
        <f t="shared" si="209"/>
        <v>0</v>
      </c>
      <c r="AS300" s="307">
        <f t="shared" si="209"/>
        <v>0</v>
      </c>
      <c r="AT300" s="307">
        <f t="shared" si="209"/>
        <v>0</v>
      </c>
      <c r="AU300" s="307">
        <f t="shared" si="209"/>
        <v>0</v>
      </c>
      <c r="AV300" s="307">
        <f t="shared" si="209"/>
        <v>0</v>
      </c>
      <c r="AW300" s="307">
        <f t="shared" si="209"/>
        <v>0</v>
      </c>
      <c r="AX300" s="307">
        <f t="shared" si="209"/>
        <v>0</v>
      </c>
      <c r="AY300" s="307">
        <f t="shared" si="209"/>
        <v>0</v>
      </c>
      <c r="AZ300" s="307">
        <f t="shared" si="209"/>
        <v>0</v>
      </c>
      <c r="BA300" s="307">
        <f t="shared" si="209"/>
        <v>0</v>
      </c>
      <c r="BB300" s="307">
        <f t="shared" si="209"/>
        <v>0</v>
      </c>
      <c r="BC300" s="307">
        <f t="shared" si="209"/>
        <v>0</v>
      </c>
      <c r="BD300" s="307">
        <f t="shared" si="209"/>
        <v>0</v>
      </c>
      <c r="BE300" s="307">
        <f t="shared" si="209"/>
        <v>0</v>
      </c>
      <c r="BF300" s="307">
        <f t="shared" si="209"/>
        <v>0</v>
      </c>
      <c r="BG300" s="307">
        <f t="shared" si="209"/>
        <v>0</v>
      </c>
      <c r="BH300" s="307">
        <f t="shared" si="209"/>
        <v>0</v>
      </c>
      <c r="BI300" s="307">
        <f t="shared" si="209"/>
        <v>0</v>
      </c>
      <c r="BJ300" s="307">
        <f t="shared" si="209"/>
        <v>0</v>
      </c>
      <c r="BK300" s="307">
        <f t="shared" si="209"/>
        <v>0</v>
      </c>
      <c r="BL300" s="307">
        <f>IF(BL290&lt;0,MAX(-$C$10,200000*BL290),MIN(200000*BL290,$C$10)-IF(AND($D280&lt;$C$8*BL277,$D280&gt;0),$C$9,0))</f>
        <v>0</v>
      </c>
      <c r="BM300" s="307">
        <f>IF(BM290&lt;0,MAX(-$C$10,200000*BM290),MIN(200000*BM290,$C$10)-IF(AND($D280&lt;$C$8*BM277,$D280&gt;0),$C$9,0))</f>
        <v>0</v>
      </c>
      <c r="BN300" s="307">
        <f>IF(BN290&lt;0,MAX(-$C$10,200000*BN290),MIN(200000*BN290,$C$10)-IF(AND($D280&lt;$C$8*BN277,$D280&gt;0),$C$9,0))</f>
        <v>0</v>
      </c>
      <c r="BO300" s="12">
        <f>IF(D300=0,0,BO298)</f>
        <v>0</v>
      </c>
      <c r="BP300" s="43"/>
      <c r="BR300"/>
      <c r="BS300"/>
      <c r="BT300"/>
    </row>
    <row r="301" spans="2:72" ht="16.5">
      <c r="B301" s="11">
        <f t="shared" si="207"/>
        <v>4</v>
      </c>
      <c r="C301" s="302" t="s">
        <v>61</v>
      </c>
      <c r="D301" s="12">
        <f t="shared" ref="D301:AI301" si="210">IF(D291&lt;0,MAX(-$C$10,200000*D291),MIN(200000*D291,$C$10)-IF(AND($D281&lt;$C$8*D277,$D281&gt;0),$C$9,0))</f>
        <v>0</v>
      </c>
      <c r="E301" s="307">
        <f t="shared" si="210"/>
        <v>0</v>
      </c>
      <c r="F301" s="307">
        <f t="shared" si="210"/>
        <v>0</v>
      </c>
      <c r="G301" s="307">
        <f t="shared" si="210"/>
        <v>0</v>
      </c>
      <c r="H301" s="307">
        <f t="shared" si="210"/>
        <v>0</v>
      </c>
      <c r="I301" s="307">
        <f t="shared" si="210"/>
        <v>0</v>
      </c>
      <c r="J301" s="307">
        <f t="shared" si="210"/>
        <v>0</v>
      </c>
      <c r="K301" s="307">
        <f t="shared" si="210"/>
        <v>0</v>
      </c>
      <c r="L301" s="307">
        <f t="shared" si="210"/>
        <v>0</v>
      </c>
      <c r="M301" s="307">
        <f t="shared" si="210"/>
        <v>0</v>
      </c>
      <c r="N301" s="307">
        <f t="shared" si="210"/>
        <v>0</v>
      </c>
      <c r="O301" s="307">
        <f t="shared" si="210"/>
        <v>0</v>
      </c>
      <c r="P301" s="307">
        <f t="shared" si="210"/>
        <v>0</v>
      </c>
      <c r="Q301" s="307">
        <f t="shared" si="210"/>
        <v>0</v>
      </c>
      <c r="R301" s="307">
        <f t="shared" si="210"/>
        <v>0</v>
      </c>
      <c r="S301" s="307">
        <f t="shared" si="210"/>
        <v>0</v>
      </c>
      <c r="T301" s="307">
        <f t="shared" si="210"/>
        <v>0</v>
      </c>
      <c r="U301" s="307">
        <f t="shared" si="210"/>
        <v>0</v>
      </c>
      <c r="V301" s="307">
        <f t="shared" si="210"/>
        <v>0</v>
      </c>
      <c r="W301" s="307">
        <f t="shared" si="210"/>
        <v>0</v>
      </c>
      <c r="X301" s="307">
        <f t="shared" si="210"/>
        <v>0</v>
      </c>
      <c r="Y301" s="307">
        <f t="shared" si="210"/>
        <v>0</v>
      </c>
      <c r="Z301" s="307">
        <f t="shared" si="210"/>
        <v>0</v>
      </c>
      <c r="AA301" s="307">
        <f t="shared" si="210"/>
        <v>0</v>
      </c>
      <c r="AB301" s="307">
        <f t="shared" si="210"/>
        <v>0</v>
      </c>
      <c r="AC301" s="307">
        <f t="shared" si="210"/>
        <v>0</v>
      </c>
      <c r="AD301" s="307">
        <f t="shared" si="210"/>
        <v>0</v>
      </c>
      <c r="AE301" s="307">
        <f t="shared" si="210"/>
        <v>0</v>
      </c>
      <c r="AF301" s="307">
        <f t="shared" si="210"/>
        <v>0</v>
      </c>
      <c r="AG301" s="307">
        <f t="shared" si="210"/>
        <v>0</v>
      </c>
      <c r="AH301" s="307">
        <f t="shared" si="210"/>
        <v>0</v>
      </c>
      <c r="AI301" s="307">
        <f t="shared" si="210"/>
        <v>0</v>
      </c>
      <c r="AJ301" s="307">
        <f t="shared" ref="AJ301:BK301" si="211">IF(AJ291&lt;0,MAX(-$C$10,200000*AJ291),MIN(200000*AJ291,$C$10)-IF(AND($D281&lt;$C$8*AJ277,$D281&gt;0),$C$9,0))</f>
        <v>0</v>
      </c>
      <c r="AK301" s="307">
        <f t="shared" si="211"/>
        <v>0</v>
      </c>
      <c r="AL301" s="307">
        <f t="shared" si="211"/>
        <v>0</v>
      </c>
      <c r="AM301" s="307">
        <f t="shared" si="211"/>
        <v>0</v>
      </c>
      <c r="AN301" s="307">
        <f t="shared" si="211"/>
        <v>0</v>
      </c>
      <c r="AO301" s="307">
        <f t="shared" si="211"/>
        <v>0</v>
      </c>
      <c r="AP301" s="307">
        <f t="shared" si="211"/>
        <v>0</v>
      </c>
      <c r="AQ301" s="307">
        <f t="shared" si="211"/>
        <v>0</v>
      </c>
      <c r="AR301" s="61">
        <f t="shared" si="211"/>
        <v>0</v>
      </c>
      <c r="AS301" s="307">
        <f t="shared" si="211"/>
        <v>0</v>
      </c>
      <c r="AT301" s="307">
        <f t="shared" si="211"/>
        <v>0</v>
      </c>
      <c r="AU301" s="307">
        <f t="shared" si="211"/>
        <v>0</v>
      </c>
      <c r="AV301" s="307">
        <f t="shared" si="211"/>
        <v>0</v>
      </c>
      <c r="AW301" s="307">
        <f t="shared" si="211"/>
        <v>0</v>
      </c>
      <c r="AX301" s="307">
        <f t="shared" si="211"/>
        <v>0</v>
      </c>
      <c r="AY301" s="307">
        <f t="shared" si="211"/>
        <v>0</v>
      </c>
      <c r="AZ301" s="307">
        <f t="shared" si="211"/>
        <v>0</v>
      </c>
      <c r="BA301" s="307">
        <f t="shared" si="211"/>
        <v>0</v>
      </c>
      <c r="BB301" s="307">
        <f t="shared" si="211"/>
        <v>0</v>
      </c>
      <c r="BC301" s="307">
        <f t="shared" si="211"/>
        <v>0</v>
      </c>
      <c r="BD301" s="307">
        <f t="shared" si="211"/>
        <v>0</v>
      </c>
      <c r="BE301" s="307">
        <f t="shared" si="211"/>
        <v>0</v>
      </c>
      <c r="BF301" s="307">
        <f t="shared" si="211"/>
        <v>0</v>
      </c>
      <c r="BG301" s="307">
        <f t="shared" si="211"/>
        <v>0</v>
      </c>
      <c r="BH301" s="307">
        <f t="shared" si="211"/>
        <v>0</v>
      </c>
      <c r="BI301" s="307">
        <f t="shared" si="211"/>
        <v>0</v>
      </c>
      <c r="BJ301" s="307">
        <f t="shared" si="211"/>
        <v>0</v>
      </c>
      <c r="BK301" s="307">
        <f t="shared" si="211"/>
        <v>0</v>
      </c>
      <c r="BL301" s="307">
        <f>IF(BL291&lt;0,MAX(-$C$10,200000*BL291),MIN(200000*BL291,$C$10)-IF(AND($D281&lt;$C$8*BL277,$D281&gt;0),$C$9,0))</f>
        <v>0</v>
      </c>
      <c r="BM301" s="307">
        <f>IF(BM291&lt;0,MAX(-$C$10,200000*BM291),MIN(200000*BM291,$C$10)-IF(AND($D281&lt;$C$8*BM277,$D281&gt;0),$C$9,0))</f>
        <v>0</v>
      </c>
      <c r="BN301" s="307">
        <f>IF(BN291&lt;0,MAX(-$C$10,200000*BN291),MIN(200000*BN291,$C$10)-IF(AND($D281&lt;$C$8*BN277,$D281&gt;0),$C$9,0))</f>
        <v>0</v>
      </c>
      <c r="BO301" s="12">
        <f>IF(D301=0,0,BO298)</f>
        <v>0</v>
      </c>
      <c r="BP301" s="43"/>
      <c r="BR301"/>
      <c r="BS301"/>
      <c r="BT301"/>
    </row>
    <row r="302" spans="2:72" ht="16.5">
      <c r="B302" s="11">
        <f t="shared" si="207"/>
        <v>5</v>
      </c>
      <c r="C302" s="302" t="s">
        <v>61</v>
      </c>
      <c r="D302" s="12">
        <f t="shared" ref="D302:AI302" si="212">IF(D292&lt;0,MAX(-$C$10,200000*D292),MIN(200000*D292,$C$10)-IF(AND($D282&lt;$C$8*D277,$D282&gt;0),$C$9,0))</f>
        <v>0</v>
      </c>
      <c r="E302" s="307">
        <f t="shared" si="212"/>
        <v>0</v>
      </c>
      <c r="F302" s="307">
        <f t="shared" si="212"/>
        <v>0</v>
      </c>
      <c r="G302" s="307">
        <f t="shared" si="212"/>
        <v>0</v>
      </c>
      <c r="H302" s="307">
        <f t="shared" si="212"/>
        <v>0</v>
      </c>
      <c r="I302" s="307">
        <f t="shared" si="212"/>
        <v>0</v>
      </c>
      <c r="J302" s="307">
        <f t="shared" si="212"/>
        <v>0</v>
      </c>
      <c r="K302" s="307">
        <f t="shared" si="212"/>
        <v>0</v>
      </c>
      <c r="L302" s="307">
        <f t="shared" si="212"/>
        <v>0</v>
      </c>
      <c r="M302" s="307">
        <f t="shared" si="212"/>
        <v>0</v>
      </c>
      <c r="N302" s="307">
        <f t="shared" si="212"/>
        <v>0</v>
      </c>
      <c r="O302" s="307">
        <f t="shared" si="212"/>
        <v>0</v>
      </c>
      <c r="P302" s="307">
        <f t="shared" si="212"/>
        <v>0</v>
      </c>
      <c r="Q302" s="307">
        <f t="shared" si="212"/>
        <v>0</v>
      </c>
      <c r="R302" s="307">
        <f t="shared" si="212"/>
        <v>0</v>
      </c>
      <c r="S302" s="307">
        <f t="shared" si="212"/>
        <v>0</v>
      </c>
      <c r="T302" s="307">
        <f t="shared" si="212"/>
        <v>0</v>
      </c>
      <c r="U302" s="307">
        <f t="shared" si="212"/>
        <v>0</v>
      </c>
      <c r="V302" s="307">
        <f t="shared" si="212"/>
        <v>0</v>
      </c>
      <c r="W302" s="307">
        <f t="shared" si="212"/>
        <v>0</v>
      </c>
      <c r="X302" s="307">
        <f t="shared" si="212"/>
        <v>0</v>
      </c>
      <c r="Y302" s="307">
        <f t="shared" si="212"/>
        <v>0</v>
      </c>
      <c r="Z302" s="307">
        <f t="shared" si="212"/>
        <v>0</v>
      </c>
      <c r="AA302" s="307">
        <f t="shared" si="212"/>
        <v>0</v>
      </c>
      <c r="AB302" s="307">
        <f t="shared" si="212"/>
        <v>0</v>
      </c>
      <c r="AC302" s="307">
        <f t="shared" si="212"/>
        <v>0</v>
      </c>
      <c r="AD302" s="307">
        <f t="shared" si="212"/>
        <v>0</v>
      </c>
      <c r="AE302" s="307">
        <f t="shared" si="212"/>
        <v>0</v>
      </c>
      <c r="AF302" s="307">
        <f t="shared" si="212"/>
        <v>0</v>
      </c>
      <c r="AG302" s="307">
        <f t="shared" si="212"/>
        <v>0</v>
      </c>
      <c r="AH302" s="307">
        <f t="shared" si="212"/>
        <v>0</v>
      </c>
      <c r="AI302" s="307">
        <f t="shared" si="212"/>
        <v>0</v>
      </c>
      <c r="AJ302" s="307">
        <f t="shared" ref="AJ302:BK302" si="213">IF(AJ292&lt;0,MAX(-$C$10,200000*AJ292),MIN(200000*AJ292,$C$10)-IF(AND($D282&lt;$C$8*AJ277,$D282&gt;0),$C$9,0))</f>
        <v>0</v>
      </c>
      <c r="AK302" s="307">
        <f t="shared" si="213"/>
        <v>0</v>
      </c>
      <c r="AL302" s="307">
        <f t="shared" si="213"/>
        <v>0</v>
      </c>
      <c r="AM302" s="307">
        <f t="shared" si="213"/>
        <v>0</v>
      </c>
      <c r="AN302" s="307">
        <f t="shared" si="213"/>
        <v>0</v>
      </c>
      <c r="AO302" s="307">
        <f t="shared" si="213"/>
        <v>0</v>
      </c>
      <c r="AP302" s="307">
        <f t="shared" si="213"/>
        <v>0</v>
      </c>
      <c r="AQ302" s="307">
        <f t="shared" si="213"/>
        <v>0</v>
      </c>
      <c r="AR302" s="61">
        <f t="shared" si="213"/>
        <v>0</v>
      </c>
      <c r="AS302" s="307">
        <f t="shared" si="213"/>
        <v>0</v>
      </c>
      <c r="AT302" s="307">
        <f t="shared" si="213"/>
        <v>0</v>
      </c>
      <c r="AU302" s="307">
        <f t="shared" si="213"/>
        <v>0</v>
      </c>
      <c r="AV302" s="307">
        <f t="shared" si="213"/>
        <v>0</v>
      </c>
      <c r="AW302" s="307">
        <f t="shared" si="213"/>
        <v>0</v>
      </c>
      <c r="AX302" s="307">
        <f t="shared" si="213"/>
        <v>0</v>
      </c>
      <c r="AY302" s="307">
        <f t="shared" si="213"/>
        <v>0</v>
      </c>
      <c r="AZ302" s="307">
        <f t="shared" si="213"/>
        <v>0</v>
      </c>
      <c r="BA302" s="307">
        <f t="shared" si="213"/>
        <v>0</v>
      </c>
      <c r="BB302" s="307">
        <f t="shared" si="213"/>
        <v>0</v>
      </c>
      <c r="BC302" s="307">
        <f t="shared" si="213"/>
        <v>0</v>
      </c>
      <c r="BD302" s="307">
        <f t="shared" si="213"/>
        <v>0</v>
      </c>
      <c r="BE302" s="307">
        <f t="shared" si="213"/>
        <v>0</v>
      </c>
      <c r="BF302" s="307">
        <f t="shared" si="213"/>
        <v>0</v>
      </c>
      <c r="BG302" s="307">
        <f t="shared" si="213"/>
        <v>0</v>
      </c>
      <c r="BH302" s="307">
        <f t="shared" si="213"/>
        <v>0</v>
      </c>
      <c r="BI302" s="307">
        <f t="shared" si="213"/>
        <v>0</v>
      </c>
      <c r="BJ302" s="307">
        <f t="shared" si="213"/>
        <v>0</v>
      </c>
      <c r="BK302" s="307">
        <f t="shared" si="213"/>
        <v>0</v>
      </c>
      <c r="BL302" s="307">
        <f>IF(BL292&lt;0,MAX(-$C$10,200000*BL292),MIN(200000*BL292,$C$10)-IF(AND($D282&lt;$C$8*BL277,$D282&gt;0),$C$9,0))</f>
        <v>0</v>
      </c>
      <c r="BM302" s="307">
        <f>IF(BM292&lt;0,MAX(-$C$10,200000*BM292),MIN(200000*BM292,$C$10)-IF(AND($D282&lt;$C$8*BM277,$D282&gt;0),$C$9,0))</f>
        <v>0</v>
      </c>
      <c r="BN302" s="307">
        <f>IF(BN292&lt;0,MAX(-$C$10,200000*BN292),MIN(200000*BN292,$C$10)-IF(AND($D282&lt;$C$8*BN277,$D282&gt;0),$C$9,0))</f>
        <v>0</v>
      </c>
      <c r="BO302" s="12">
        <f>IF(D302=0,0,BO298)</f>
        <v>0</v>
      </c>
      <c r="BP302" s="43"/>
      <c r="BR302"/>
      <c r="BS302"/>
      <c r="BT302"/>
    </row>
    <row r="303" spans="2:72" ht="16.5">
      <c r="B303" s="11">
        <f t="shared" si="207"/>
        <v>6</v>
      </c>
      <c r="C303" s="302" t="s">
        <v>61</v>
      </c>
      <c r="D303" s="12">
        <f t="shared" ref="D303:AI303" si="214">IF(D293&lt;0,MAX(-$C$10,200000*D293),MIN(200000*D293,$C$10)-IF(AND($D283&lt;$C$8*D277,$D283&gt;0),$C$9,0))</f>
        <v>0</v>
      </c>
      <c r="E303" s="307">
        <f t="shared" si="214"/>
        <v>0</v>
      </c>
      <c r="F303" s="307">
        <f t="shared" si="214"/>
        <v>0</v>
      </c>
      <c r="G303" s="307">
        <f t="shared" si="214"/>
        <v>0</v>
      </c>
      <c r="H303" s="307">
        <f t="shared" si="214"/>
        <v>0</v>
      </c>
      <c r="I303" s="307">
        <f t="shared" si="214"/>
        <v>0</v>
      </c>
      <c r="J303" s="307">
        <f t="shared" si="214"/>
        <v>0</v>
      </c>
      <c r="K303" s="307">
        <f t="shared" si="214"/>
        <v>0</v>
      </c>
      <c r="L303" s="307">
        <f t="shared" si="214"/>
        <v>0</v>
      </c>
      <c r="M303" s="307">
        <f t="shared" si="214"/>
        <v>0</v>
      </c>
      <c r="N303" s="307">
        <f t="shared" si="214"/>
        <v>0</v>
      </c>
      <c r="O303" s="307">
        <f t="shared" si="214"/>
        <v>0</v>
      </c>
      <c r="P303" s="307">
        <f t="shared" si="214"/>
        <v>0</v>
      </c>
      <c r="Q303" s="307">
        <f t="shared" si="214"/>
        <v>0</v>
      </c>
      <c r="R303" s="307">
        <f t="shared" si="214"/>
        <v>0</v>
      </c>
      <c r="S303" s="307">
        <f t="shared" si="214"/>
        <v>0</v>
      </c>
      <c r="T303" s="307">
        <f t="shared" si="214"/>
        <v>0</v>
      </c>
      <c r="U303" s="307">
        <f t="shared" si="214"/>
        <v>0</v>
      </c>
      <c r="V303" s="307">
        <f t="shared" si="214"/>
        <v>0</v>
      </c>
      <c r="W303" s="307">
        <f t="shared" si="214"/>
        <v>0</v>
      </c>
      <c r="X303" s="307">
        <f t="shared" si="214"/>
        <v>0</v>
      </c>
      <c r="Y303" s="307">
        <f t="shared" si="214"/>
        <v>0</v>
      </c>
      <c r="Z303" s="307">
        <f t="shared" si="214"/>
        <v>0</v>
      </c>
      <c r="AA303" s="307">
        <f t="shared" si="214"/>
        <v>0</v>
      </c>
      <c r="AB303" s="307">
        <f t="shared" si="214"/>
        <v>0</v>
      </c>
      <c r="AC303" s="307">
        <f t="shared" si="214"/>
        <v>0</v>
      </c>
      <c r="AD303" s="307">
        <f t="shared" si="214"/>
        <v>0</v>
      </c>
      <c r="AE303" s="307">
        <f t="shared" si="214"/>
        <v>0</v>
      </c>
      <c r="AF303" s="307">
        <f t="shared" si="214"/>
        <v>0</v>
      </c>
      <c r="AG303" s="307">
        <f t="shared" si="214"/>
        <v>0</v>
      </c>
      <c r="AH303" s="307">
        <f t="shared" si="214"/>
        <v>0</v>
      </c>
      <c r="AI303" s="307">
        <f t="shared" si="214"/>
        <v>0</v>
      </c>
      <c r="AJ303" s="307">
        <f t="shared" ref="AJ303:BK303" si="215">IF(AJ293&lt;0,MAX(-$C$10,200000*AJ293),MIN(200000*AJ293,$C$10)-IF(AND($D283&lt;$C$8*AJ277,$D283&gt;0),$C$9,0))</f>
        <v>0</v>
      </c>
      <c r="AK303" s="307">
        <f t="shared" si="215"/>
        <v>0</v>
      </c>
      <c r="AL303" s="307">
        <f t="shared" si="215"/>
        <v>0</v>
      </c>
      <c r="AM303" s="307">
        <f t="shared" si="215"/>
        <v>0</v>
      </c>
      <c r="AN303" s="307">
        <f t="shared" si="215"/>
        <v>0</v>
      </c>
      <c r="AO303" s="307">
        <f t="shared" si="215"/>
        <v>0</v>
      </c>
      <c r="AP303" s="307">
        <f t="shared" si="215"/>
        <v>0</v>
      </c>
      <c r="AQ303" s="307">
        <f t="shared" si="215"/>
        <v>0</v>
      </c>
      <c r="AR303" s="61">
        <f t="shared" si="215"/>
        <v>0</v>
      </c>
      <c r="AS303" s="307">
        <f t="shared" si="215"/>
        <v>0</v>
      </c>
      <c r="AT303" s="307">
        <f t="shared" si="215"/>
        <v>0</v>
      </c>
      <c r="AU303" s="307">
        <f t="shared" si="215"/>
        <v>0</v>
      </c>
      <c r="AV303" s="307">
        <f t="shared" si="215"/>
        <v>0</v>
      </c>
      <c r="AW303" s="307">
        <f t="shared" si="215"/>
        <v>0</v>
      </c>
      <c r="AX303" s="307">
        <f t="shared" si="215"/>
        <v>0</v>
      </c>
      <c r="AY303" s="307">
        <f t="shared" si="215"/>
        <v>0</v>
      </c>
      <c r="AZ303" s="307">
        <f t="shared" si="215"/>
        <v>0</v>
      </c>
      <c r="BA303" s="307">
        <f t="shared" si="215"/>
        <v>0</v>
      </c>
      <c r="BB303" s="307">
        <f t="shared" si="215"/>
        <v>0</v>
      </c>
      <c r="BC303" s="307">
        <f t="shared" si="215"/>
        <v>0</v>
      </c>
      <c r="BD303" s="307">
        <f t="shared" si="215"/>
        <v>0</v>
      </c>
      <c r="BE303" s="307">
        <f t="shared" si="215"/>
        <v>0</v>
      </c>
      <c r="BF303" s="307">
        <f t="shared" si="215"/>
        <v>0</v>
      </c>
      <c r="BG303" s="307">
        <f t="shared" si="215"/>
        <v>0</v>
      </c>
      <c r="BH303" s="307">
        <f t="shared" si="215"/>
        <v>0</v>
      </c>
      <c r="BI303" s="307">
        <f t="shared" si="215"/>
        <v>0</v>
      </c>
      <c r="BJ303" s="307">
        <f t="shared" si="215"/>
        <v>0</v>
      </c>
      <c r="BK303" s="307">
        <f t="shared" si="215"/>
        <v>0</v>
      </c>
      <c r="BL303" s="307">
        <f>IF(BL293&lt;0,MAX(-$C$10,200000*BL293),MIN(200000*BL293,$C$10)-IF(AND($D283&lt;$C$8*BL277,$D283&gt;0),$C$9,0))</f>
        <v>0</v>
      </c>
      <c r="BM303" s="307">
        <f>IF(BM293&lt;0,MAX(-$C$10,200000*BM293),MIN(200000*BM293,$C$10)-IF(AND($D283&lt;$C$8*BM277,$D283&gt;0),$C$9,0))</f>
        <v>0</v>
      </c>
      <c r="BN303" s="307">
        <f>IF(BN293&lt;0,MAX(-$C$10,200000*BN293),MIN(200000*BN293,$C$10)-IF(AND($D283&lt;$C$8*BN277,$D283&gt;0),$C$9,0))</f>
        <v>0</v>
      </c>
      <c r="BO303" s="12">
        <f>IF(D303=0,0,BO298)</f>
        <v>0</v>
      </c>
      <c r="BP303" s="43"/>
      <c r="BR303"/>
      <c r="BS303"/>
      <c r="BT303"/>
    </row>
    <row r="304" spans="2:72" ht="16.5">
      <c r="B304" s="11">
        <f t="shared" si="207"/>
        <v>7</v>
      </c>
      <c r="C304" s="302" t="s">
        <v>61</v>
      </c>
      <c r="D304" s="12">
        <f t="shared" ref="D304:AI304" si="216">IF(D294&lt;0,MAX(-$C$10,200000*D294),MIN(200000*D294,$C$10)-IF(AND($D284&lt;$C$8*D277,$D284&gt;0),$C$9,0))</f>
        <v>0</v>
      </c>
      <c r="E304" s="307">
        <f t="shared" si="216"/>
        <v>0</v>
      </c>
      <c r="F304" s="307">
        <f t="shared" si="216"/>
        <v>0</v>
      </c>
      <c r="G304" s="307">
        <f t="shared" si="216"/>
        <v>0</v>
      </c>
      <c r="H304" s="307">
        <f t="shared" si="216"/>
        <v>0</v>
      </c>
      <c r="I304" s="307">
        <f t="shared" si="216"/>
        <v>0</v>
      </c>
      <c r="J304" s="307">
        <f t="shared" si="216"/>
        <v>0</v>
      </c>
      <c r="K304" s="307">
        <f t="shared" si="216"/>
        <v>0</v>
      </c>
      <c r="L304" s="307">
        <f t="shared" si="216"/>
        <v>0</v>
      </c>
      <c r="M304" s="307">
        <f t="shared" si="216"/>
        <v>0</v>
      </c>
      <c r="N304" s="307">
        <f t="shared" si="216"/>
        <v>0</v>
      </c>
      <c r="O304" s="307">
        <f t="shared" si="216"/>
        <v>0</v>
      </c>
      <c r="P304" s="307">
        <f t="shared" si="216"/>
        <v>0</v>
      </c>
      <c r="Q304" s="307">
        <f t="shared" si="216"/>
        <v>0</v>
      </c>
      <c r="R304" s="307">
        <f t="shared" si="216"/>
        <v>0</v>
      </c>
      <c r="S304" s="307">
        <f t="shared" si="216"/>
        <v>0</v>
      </c>
      <c r="T304" s="307">
        <f t="shared" si="216"/>
        <v>0</v>
      </c>
      <c r="U304" s="307">
        <f t="shared" si="216"/>
        <v>0</v>
      </c>
      <c r="V304" s="307">
        <f t="shared" si="216"/>
        <v>0</v>
      </c>
      <c r="W304" s="307">
        <f t="shared" si="216"/>
        <v>0</v>
      </c>
      <c r="X304" s="307">
        <f t="shared" si="216"/>
        <v>0</v>
      </c>
      <c r="Y304" s="307">
        <f t="shared" si="216"/>
        <v>0</v>
      </c>
      <c r="Z304" s="307">
        <f t="shared" si="216"/>
        <v>0</v>
      </c>
      <c r="AA304" s="307">
        <f t="shared" si="216"/>
        <v>0</v>
      </c>
      <c r="AB304" s="307">
        <f t="shared" si="216"/>
        <v>0</v>
      </c>
      <c r="AC304" s="307">
        <f t="shared" si="216"/>
        <v>0</v>
      </c>
      <c r="AD304" s="307">
        <f t="shared" si="216"/>
        <v>0</v>
      </c>
      <c r="AE304" s="307">
        <f t="shared" si="216"/>
        <v>0</v>
      </c>
      <c r="AF304" s="307">
        <f t="shared" si="216"/>
        <v>0</v>
      </c>
      <c r="AG304" s="307">
        <f t="shared" si="216"/>
        <v>0</v>
      </c>
      <c r="AH304" s="307">
        <f t="shared" si="216"/>
        <v>0</v>
      </c>
      <c r="AI304" s="307">
        <f t="shared" si="216"/>
        <v>0</v>
      </c>
      <c r="AJ304" s="307">
        <f t="shared" ref="AJ304:BK304" si="217">IF(AJ294&lt;0,MAX(-$C$10,200000*AJ294),MIN(200000*AJ294,$C$10)-IF(AND($D284&lt;$C$8*AJ277,$D284&gt;0),$C$9,0))</f>
        <v>0</v>
      </c>
      <c r="AK304" s="307">
        <f t="shared" si="217"/>
        <v>0</v>
      </c>
      <c r="AL304" s="307">
        <f t="shared" si="217"/>
        <v>0</v>
      </c>
      <c r="AM304" s="307">
        <f t="shared" si="217"/>
        <v>0</v>
      </c>
      <c r="AN304" s="307">
        <f t="shared" si="217"/>
        <v>0</v>
      </c>
      <c r="AO304" s="307">
        <f t="shared" si="217"/>
        <v>0</v>
      </c>
      <c r="AP304" s="307">
        <f t="shared" si="217"/>
        <v>0</v>
      </c>
      <c r="AQ304" s="307">
        <f t="shared" si="217"/>
        <v>0</v>
      </c>
      <c r="AR304" s="61">
        <f t="shared" si="217"/>
        <v>0</v>
      </c>
      <c r="AS304" s="307">
        <f t="shared" si="217"/>
        <v>0</v>
      </c>
      <c r="AT304" s="307">
        <f t="shared" si="217"/>
        <v>0</v>
      </c>
      <c r="AU304" s="307">
        <f t="shared" si="217"/>
        <v>0</v>
      </c>
      <c r="AV304" s="307">
        <f t="shared" si="217"/>
        <v>0</v>
      </c>
      <c r="AW304" s="307">
        <f t="shared" si="217"/>
        <v>0</v>
      </c>
      <c r="AX304" s="307">
        <f t="shared" si="217"/>
        <v>0</v>
      </c>
      <c r="AY304" s="307">
        <f t="shared" si="217"/>
        <v>0</v>
      </c>
      <c r="AZ304" s="307">
        <f t="shared" si="217"/>
        <v>0</v>
      </c>
      <c r="BA304" s="307">
        <f t="shared" si="217"/>
        <v>0</v>
      </c>
      <c r="BB304" s="307">
        <f t="shared" si="217"/>
        <v>0</v>
      </c>
      <c r="BC304" s="307">
        <f t="shared" si="217"/>
        <v>0</v>
      </c>
      <c r="BD304" s="307">
        <f t="shared" si="217"/>
        <v>0</v>
      </c>
      <c r="BE304" s="307">
        <f t="shared" si="217"/>
        <v>0</v>
      </c>
      <c r="BF304" s="307">
        <f t="shared" si="217"/>
        <v>0</v>
      </c>
      <c r="BG304" s="307">
        <f t="shared" si="217"/>
        <v>0</v>
      </c>
      <c r="BH304" s="307">
        <f t="shared" si="217"/>
        <v>0</v>
      </c>
      <c r="BI304" s="307">
        <f t="shared" si="217"/>
        <v>0</v>
      </c>
      <c r="BJ304" s="307">
        <f t="shared" si="217"/>
        <v>0</v>
      </c>
      <c r="BK304" s="307">
        <f t="shared" si="217"/>
        <v>0</v>
      </c>
      <c r="BL304" s="307">
        <f>IF(BL294&lt;0,MAX(-$C$10,200000*BL294),MIN(200000*BL294,$C$10)-IF(AND($D284&lt;$C$8*BL277,$D284&gt;0),$C$9,0))</f>
        <v>0</v>
      </c>
      <c r="BM304" s="307">
        <f>IF(BM294&lt;0,MAX(-$C$10,200000*BM294),MIN(200000*BM294,$C$10)-IF(AND($D284&lt;$C$8*BM277,$D284&gt;0),$C$9,0))</f>
        <v>0</v>
      </c>
      <c r="BN304" s="307">
        <f>IF(BN294&lt;0,MAX(-$C$10,200000*BN294),MIN(200000*BN294,$C$10)-IF(AND($D284&lt;$C$8*BN277,$D284&gt;0),$C$9,0))</f>
        <v>0</v>
      </c>
      <c r="BO304" s="12">
        <f>IF(D304=0,0,BO298)</f>
        <v>0</v>
      </c>
      <c r="BP304" s="43"/>
      <c r="BR304"/>
      <c r="BS304"/>
      <c r="BT304"/>
    </row>
    <row r="305" spans="1:72" ht="16.5">
      <c r="B305" s="11">
        <f t="shared" si="207"/>
        <v>8</v>
      </c>
      <c r="C305" s="302" t="s">
        <v>61</v>
      </c>
      <c r="D305" s="12">
        <f t="shared" ref="D305:AI305" si="218">IF(D295&lt;0,MAX(-$C$10,200000*D295),MIN(200000*D295,$C$10)-IF(AND($D285&lt;$C$8*D277,$D285&gt;0),$C$9,0))</f>
        <v>0</v>
      </c>
      <c r="E305" s="307">
        <f t="shared" si="218"/>
        <v>0</v>
      </c>
      <c r="F305" s="307">
        <f t="shared" si="218"/>
        <v>0</v>
      </c>
      <c r="G305" s="307">
        <f t="shared" si="218"/>
        <v>0</v>
      </c>
      <c r="H305" s="307">
        <f t="shared" si="218"/>
        <v>0</v>
      </c>
      <c r="I305" s="307">
        <f t="shared" si="218"/>
        <v>0</v>
      </c>
      <c r="J305" s="307">
        <f t="shared" si="218"/>
        <v>0</v>
      </c>
      <c r="K305" s="307">
        <f t="shared" si="218"/>
        <v>0</v>
      </c>
      <c r="L305" s="307">
        <f t="shared" si="218"/>
        <v>0</v>
      </c>
      <c r="M305" s="307">
        <f t="shared" si="218"/>
        <v>0</v>
      </c>
      <c r="N305" s="307">
        <f t="shared" si="218"/>
        <v>0</v>
      </c>
      <c r="O305" s="307">
        <f t="shared" si="218"/>
        <v>0</v>
      </c>
      <c r="P305" s="307">
        <f t="shared" si="218"/>
        <v>0</v>
      </c>
      <c r="Q305" s="307">
        <f t="shared" si="218"/>
        <v>0</v>
      </c>
      <c r="R305" s="307">
        <f t="shared" si="218"/>
        <v>0</v>
      </c>
      <c r="S305" s="307">
        <f t="shared" si="218"/>
        <v>0</v>
      </c>
      <c r="T305" s="307">
        <f t="shared" si="218"/>
        <v>0</v>
      </c>
      <c r="U305" s="307">
        <f t="shared" si="218"/>
        <v>0</v>
      </c>
      <c r="V305" s="307">
        <f t="shared" si="218"/>
        <v>0</v>
      </c>
      <c r="W305" s="307">
        <f t="shared" si="218"/>
        <v>0</v>
      </c>
      <c r="X305" s="307">
        <f t="shared" si="218"/>
        <v>0</v>
      </c>
      <c r="Y305" s="307">
        <f t="shared" si="218"/>
        <v>0</v>
      </c>
      <c r="Z305" s="307">
        <f t="shared" si="218"/>
        <v>0</v>
      </c>
      <c r="AA305" s="307">
        <f t="shared" si="218"/>
        <v>0</v>
      </c>
      <c r="AB305" s="307">
        <f t="shared" si="218"/>
        <v>0</v>
      </c>
      <c r="AC305" s="307">
        <f t="shared" si="218"/>
        <v>0</v>
      </c>
      <c r="AD305" s="307">
        <f t="shared" si="218"/>
        <v>0</v>
      </c>
      <c r="AE305" s="307">
        <f t="shared" si="218"/>
        <v>0</v>
      </c>
      <c r="AF305" s="307">
        <f t="shared" si="218"/>
        <v>0</v>
      </c>
      <c r="AG305" s="307">
        <f t="shared" si="218"/>
        <v>0</v>
      </c>
      <c r="AH305" s="307">
        <f t="shared" si="218"/>
        <v>0</v>
      </c>
      <c r="AI305" s="307">
        <f t="shared" si="218"/>
        <v>0</v>
      </c>
      <c r="AJ305" s="307">
        <f t="shared" ref="AJ305:BK305" si="219">IF(AJ295&lt;0,MAX(-$C$10,200000*AJ295),MIN(200000*AJ295,$C$10)-IF(AND($D285&lt;$C$8*AJ277,$D285&gt;0),$C$9,0))</f>
        <v>0</v>
      </c>
      <c r="AK305" s="307">
        <f t="shared" si="219"/>
        <v>0</v>
      </c>
      <c r="AL305" s="307">
        <f t="shared" si="219"/>
        <v>0</v>
      </c>
      <c r="AM305" s="307">
        <f t="shared" si="219"/>
        <v>0</v>
      </c>
      <c r="AN305" s="307">
        <f t="shared" si="219"/>
        <v>0</v>
      </c>
      <c r="AO305" s="307">
        <f t="shared" si="219"/>
        <v>0</v>
      </c>
      <c r="AP305" s="307">
        <f t="shared" si="219"/>
        <v>0</v>
      </c>
      <c r="AQ305" s="307">
        <f t="shared" si="219"/>
        <v>0</v>
      </c>
      <c r="AR305" s="61">
        <f t="shared" si="219"/>
        <v>0</v>
      </c>
      <c r="AS305" s="307">
        <f t="shared" si="219"/>
        <v>0</v>
      </c>
      <c r="AT305" s="307">
        <f t="shared" si="219"/>
        <v>0</v>
      </c>
      <c r="AU305" s="307">
        <f t="shared" si="219"/>
        <v>0</v>
      </c>
      <c r="AV305" s="307">
        <f t="shared" si="219"/>
        <v>0</v>
      </c>
      <c r="AW305" s="307">
        <f t="shared" si="219"/>
        <v>0</v>
      </c>
      <c r="AX305" s="307">
        <f t="shared" si="219"/>
        <v>0</v>
      </c>
      <c r="AY305" s="307">
        <f t="shared" si="219"/>
        <v>0</v>
      </c>
      <c r="AZ305" s="307">
        <f t="shared" si="219"/>
        <v>0</v>
      </c>
      <c r="BA305" s="307">
        <f t="shared" si="219"/>
        <v>0</v>
      </c>
      <c r="BB305" s="307">
        <f t="shared" si="219"/>
        <v>0</v>
      </c>
      <c r="BC305" s="307">
        <f t="shared" si="219"/>
        <v>0</v>
      </c>
      <c r="BD305" s="307">
        <f t="shared" si="219"/>
        <v>0</v>
      </c>
      <c r="BE305" s="307">
        <f t="shared" si="219"/>
        <v>0</v>
      </c>
      <c r="BF305" s="307">
        <f t="shared" si="219"/>
        <v>0</v>
      </c>
      <c r="BG305" s="307">
        <f t="shared" si="219"/>
        <v>0</v>
      </c>
      <c r="BH305" s="307">
        <f t="shared" si="219"/>
        <v>0</v>
      </c>
      <c r="BI305" s="307">
        <f t="shared" si="219"/>
        <v>0</v>
      </c>
      <c r="BJ305" s="307">
        <f t="shared" si="219"/>
        <v>0</v>
      </c>
      <c r="BK305" s="307">
        <f t="shared" si="219"/>
        <v>0</v>
      </c>
      <c r="BL305" s="307">
        <f>IF(BL295&lt;0,MAX(-$C$10,200000*BL295),MIN(200000*BL295,$C$10)-IF(AND($D285&lt;$C$8*BL277,$D285&gt;0),$C$9,0))</f>
        <v>0</v>
      </c>
      <c r="BM305" s="307">
        <f>IF(BM295&lt;0,MAX(-$C$10,200000*BM295),MIN(200000*BM295,$C$10)-IF(AND($D285&lt;$C$8*BM277,$D285&gt;0),$C$9,0))</f>
        <v>0</v>
      </c>
      <c r="BN305" s="307">
        <f>IF(BN295&lt;0,MAX(-$C$10,200000*BN295),MIN(200000*BN295,$C$10)-IF(AND($D285&lt;$C$8*BN277,$D285&gt;0),$C$9,0))</f>
        <v>0</v>
      </c>
      <c r="BO305" s="12">
        <f>IF(D305=0,0,BO298)</f>
        <v>0</v>
      </c>
      <c r="BP305" s="43"/>
      <c r="BR305"/>
      <c r="BS305"/>
      <c r="BT305"/>
    </row>
    <row r="306" spans="1:72" ht="16.5">
      <c r="B306" s="11">
        <f t="shared" si="207"/>
        <v>9</v>
      </c>
      <c r="C306" s="302" t="s">
        <v>61</v>
      </c>
      <c r="D306" s="12">
        <f t="shared" ref="D306:AI306" si="220">IF(D296&lt;0,MAX(-$C$10,200000*D296),MIN(200000*D296,$C$10)-IF(AND($D286&lt;$C$8*D277,$D286&gt;0),$C$9,0))</f>
        <v>0</v>
      </c>
      <c r="E306" s="307">
        <f t="shared" si="220"/>
        <v>0</v>
      </c>
      <c r="F306" s="307">
        <f t="shared" si="220"/>
        <v>0</v>
      </c>
      <c r="G306" s="307">
        <f t="shared" si="220"/>
        <v>0</v>
      </c>
      <c r="H306" s="307">
        <f t="shared" si="220"/>
        <v>0</v>
      </c>
      <c r="I306" s="307">
        <f t="shared" si="220"/>
        <v>0</v>
      </c>
      <c r="J306" s="307">
        <f t="shared" si="220"/>
        <v>0</v>
      </c>
      <c r="K306" s="307">
        <f t="shared" si="220"/>
        <v>0</v>
      </c>
      <c r="L306" s="307">
        <f t="shared" si="220"/>
        <v>0</v>
      </c>
      <c r="M306" s="307">
        <f t="shared" si="220"/>
        <v>0</v>
      </c>
      <c r="N306" s="307">
        <f t="shared" si="220"/>
        <v>0</v>
      </c>
      <c r="O306" s="307">
        <f t="shared" si="220"/>
        <v>0</v>
      </c>
      <c r="P306" s="307">
        <f t="shared" si="220"/>
        <v>0</v>
      </c>
      <c r="Q306" s="307">
        <f t="shared" si="220"/>
        <v>0</v>
      </c>
      <c r="R306" s="307">
        <f t="shared" si="220"/>
        <v>0</v>
      </c>
      <c r="S306" s="307">
        <f t="shared" si="220"/>
        <v>0</v>
      </c>
      <c r="T306" s="307">
        <f t="shared" si="220"/>
        <v>0</v>
      </c>
      <c r="U306" s="307">
        <f t="shared" si="220"/>
        <v>0</v>
      </c>
      <c r="V306" s="307">
        <f t="shared" si="220"/>
        <v>0</v>
      </c>
      <c r="W306" s="307">
        <f t="shared" si="220"/>
        <v>0</v>
      </c>
      <c r="X306" s="307">
        <f t="shared" si="220"/>
        <v>0</v>
      </c>
      <c r="Y306" s="307">
        <f t="shared" si="220"/>
        <v>0</v>
      </c>
      <c r="Z306" s="307">
        <f t="shared" si="220"/>
        <v>0</v>
      </c>
      <c r="AA306" s="307">
        <f t="shared" si="220"/>
        <v>0</v>
      </c>
      <c r="AB306" s="307">
        <f t="shared" si="220"/>
        <v>0</v>
      </c>
      <c r="AC306" s="307">
        <f t="shared" si="220"/>
        <v>0</v>
      </c>
      <c r="AD306" s="307">
        <f t="shared" si="220"/>
        <v>0</v>
      </c>
      <c r="AE306" s="307">
        <f t="shared" si="220"/>
        <v>0</v>
      </c>
      <c r="AF306" s="307">
        <f t="shared" si="220"/>
        <v>0</v>
      </c>
      <c r="AG306" s="307">
        <f t="shared" si="220"/>
        <v>0</v>
      </c>
      <c r="AH306" s="307">
        <f t="shared" si="220"/>
        <v>0</v>
      </c>
      <c r="AI306" s="307">
        <f t="shared" si="220"/>
        <v>0</v>
      </c>
      <c r="AJ306" s="307">
        <f t="shared" ref="AJ306:BK306" si="221">IF(AJ296&lt;0,MAX(-$C$10,200000*AJ296),MIN(200000*AJ296,$C$10)-IF(AND($D286&lt;$C$8*AJ277,$D286&gt;0),$C$9,0))</f>
        <v>0</v>
      </c>
      <c r="AK306" s="307">
        <f t="shared" si="221"/>
        <v>0</v>
      </c>
      <c r="AL306" s="307">
        <f t="shared" si="221"/>
        <v>0</v>
      </c>
      <c r="AM306" s="307">
        <f t="shared" si="221"/>
        <v>0</v>
      </c>
      <c r="AN306" s="307">
        <f t="shared" si="221"/>
        <v>0</v>
      </c>
      <c r="AO306" s="307">
        <f t="shared" si="221"/>
        <v>0</v>
      </c>
      <c r="AP306" s="307">
        <f t="shared" si="221"/>
        <v>0</v>
      </c>
      <c r="AQ306" s="307">
        <f t="shared" si="221"/>
        <v>0</v>
      </c>
      <c r="AR306" s="61">
        <f t="shared" si="221"/>
        <v>0</v>
      </c>
      <c r="AS306" s="307">
        <f t="shared" si="221"/>
        <v>0</v>
      </c>
      <c r="AT306" s="307">
        <f t="shared" si="221"/>
        <v>0</v>
      </c>
      <c r="AU306" s="307">
        <f t="shared" si="221"/>
        <v>0</v>
      </c>
      <c r="AV306" s="307">
        <f t="shared" si="221"/>
        <v>0</v>
      </c>
      <c r="AW306" s="307">
        <f t="shared" si="221"/>
        <v>0</v>
      </c>
      <c r="AX306" s="307">
        <f t="shared" si="221"/>
        <v>0</v>
      </c>
      <c r="AY306" s="307">
        <f t="shared" si="221"/>
        <v>0</v>
      </c>
      <c r="AZ306" s="307">
        <f t="shared" si="221"/>
        <v>0</v>
      </c>
      <c r="BA306" s="307">
        <f t="shared" si="221"/>
        <v>0</v>
      </c>
      <c r="BB306" s="307">
        <f t="shared" si="221"/>
        <v>0</v>
      </c>
      <c r="BC306" s="307">
        <f t="shared" si="221"/>
        <v>0</v>
      </c>
      <c r="BD306" s="307">
        <f t="shared" si="221"/>
        <v>0</v>
      </c>
      <c r="BE306" s="307">
        <f t="shared" si="221"/>
        <v>0</v>
      </c>
      <c r="BF306" s="307">
        <f t="shared" si="221"/>
        <v>0</v>
      </c>
      <c r="BG306" s="307">
        <f t="shared" si="221"/>
        <v>0</v>
      </c>
      <c r="BH306" s="307">
        <f t="shared" si="221"/>
        <v>0</v>
      </c>
      <c r="BI306" s="307">
        <f t="shared" si="221"/>
        <v>0</v>
      </c>
      <c r="BJ306" s="307">
        <f t="shared" si="221"/>
        <v>0</v>
      </c>
      <c r="BK306" s="307">
        <f t="shared" si="221"/>
        <v>0</v>
      </c>
      <c r="BL306" s="307">
        <f>IF(BL296&lt;0,MAX(-$C$10,200000*BL296),MIN(200000*BL296,$C$10)-IF(AND($D286&lt;$C$8*BL277,$D286&gt;0),$C$9,0))</f>
        <v>0</v>
      </c>
      <c r="BM306" s="307">
        <f>IF(BM296&lt;0,MAX(-$C$10,200000*BM296),MIN(200000*BM296,$C$10)-IF(AND($D286&lt;$C$8*BM277,$D286&gt;0),$C$9,0))</f>
        <v>0</v>
      </c>
      <c r="BN306" s="307">
        <f>IF(BN296&lt;0,MAX(-$C$10,200000*BN296),MIN(200000*BN296,$C$10)-IF(AND($D286&lt;$C$8*BN277,$D286&gt;0),$C$9,0))</f>
        <v>0</v>
      </c>
      <c r="BO306" s="12">
        <f>IF(D306=0,0,BO298)</f>
        <v>0</v>
      </c>
      <c r="BP306" s="43"/>
      <c r="BR306"/>
      <c r="BS306"/>
      <c r="BT306"/>
    </row>
    <row r="307" spans="1:72" ht="16.5">
      <c r="B307" s="294" t="s">
        <v>62</v>
      </c>
      <c r="C307" s="302" t="s">
        <v>63</v>
      </c>
      <c r="D307" s="12">
        <f t="shared" ref="D307:BJ307" si="222">IF(D297&lt;0,MAX(-$C$10,200000*D297),MIN(200000*D297,$C$10)-IF(AND($F274&lt;$C$8*D277,$D287&gt;0),$C$9,0))</f>
        <v>-434.78260869565219</v>
      </c>
      <c r="E307" s="307">
        <f t="shared" si="222"/>
        <v>-434.78260869565219</v>
      </c>
      <c r="F307" s="307">
        <f t="shared" si="222"/>
        <v>-434.78260869565219</v>
      </c>
      <c r="G307" s="307">
        <f t="shared" si="222"/>
        <v>-434.78260869565219</v>
      </c>
      <c r="H307" s="307">
        <f t="shared" si="222"/>
        <v>-434.78260869565219</v>
      </c>
      <c r="I307" s="307">
        <f t="shared" si="222"/>
        <v>-434.78260869565219</v>
      </c>
      <c r="J307" s="307">
        <f t="shared" si="222"/>
        <v>-434.78260869565219</v>
      </c>
      <c r="K307" s="307">
        <f t="shared" si="222"/>
        <v>-434.78260869565219</v>
      </c>
      <c r="L307" s="307">
        <f t="shared" si="222"/>
        <v>-434.78260869565219</v>
      </c>
      <c r="M307" s="307">
        <f t="shared" si="222"/>
        <v>-434.78260869565219</v>
      </c>
      <c r="N307" s="307">
        <f t="shared" si="222"/>
        <v>-434.78260869565219</v>
      </c>
      <c r="O307" s="307">
        <f t="shared" si="222"/>
        <v>-434.78260869565219</v>
      </c>
      <c r="P307" s="307">
        <f t="shared" si="222"/>
        <v>-434.78260869565219</v>
      </c>
      <c r="Q307" s="307">
        <f t="shared" si="222"/>
        <v>-434.78260869565219</v>
      </c>
      <c r="R307" s="307">
        <f t="shared" si="222"/>
        <v>-434.78260869565219</v>
      </c>
      <c r="S307" s="307">
        <f t="shared" si="222"/>
        <v>-434.78260869565219</v>
      </c>
      <c r="T307" s="307">
        <f t="shared" si="222"/>
        <v>-434.78260869565219</v>
      </c>
      <c r="U307" s="307">
        <f t="shared" si="222"/>
        <v>-434.78260869565219</v>
      </c>
      <c r="V307" s="307">
        <f t="shared" si="222"/>
        <v>-434.78260869565219</v>
      </c>
      <c r="W307" s="307">
        <f t="shared" si="222"/>
        <v>-434.78260869565219</v>
      </c>
      <c r="X307" s="307">
        <f t="shared" si="222"/>
        <v>-434.78260869565219</v>
      </c>
      <c r="Y307" s="307">
        <f t="shared" si="222"/>
        <v>-434.78260869565219</v>
      </c>
      <c r="Z307" s="307">
        <f t="shared" si="222"/>
        <v>-434.78260869565219</v>
      </c>
      <c r="AA307" s="307">
        <f t="shared" si="222"/>
        <v>-434.78260869565219</v>
      </c>
      <c r="AB307" s="307">
        <f t="shared" si="222"/>
        <v>-434.78260869565219</v>
      </c>
      <c r="AC307" s="307">
        <f t="shared" si="222"/>
        <v>-434.78260869565219</v>
      </c>
      <c r="AD307" s="307">
        <f t="shared" si="222"/>
        <v>-434.78260869565219</v>
      </c>
      <c r="AE307" s="307">
        <f t="shared" si="222"/>
        <v>-434.78260869565219</v>
      </c>
      <c r="AF307" s="307">
        <f t="shared" si="222"/>
        <v>-434.78260869565219</v>
      </c>
      <c r="AG307" s="307">
        <f t="shared" si="222"/>
        <v>-434.78260869565219</v>
      </c>
      <c r="AH307" s="307">
        <f t="shared" si="222"/>
        <v>-434.78260869565219</v>
      </c>
      <c r="AI307" s="307">
        <f t="shared" si="222"/>
        <v>-434.78260869565219</v>
      </c>
      <c r="AJ307" s="307">
        <f t="shared" si="222"/>
        <v>-434.78260869565219</v>
      </c>
      <c r="AK307" s="307">
        <f t="shared" si="222"/>
        <v>-434.78260869565219</v>
      </c>
      <c r="AL307" s="307">
        <f t="shared" si="222"/>
        <v>-434.78260869565219</v>
      </c>
      <c r="AM307" s="307">
        <f t="shared" si="222"/>
        <v>-434.78260869565219</v>
      </c>
      <c r="AN307" s="307">
        <f t="shared" si="222"/>
        <v>-434.78260869565219</v>
      </c>
      <c r="AO307" s="307">
        <f t="shared" si="222"/>
        <v>-434.78260869565219</v>
      </c>
      <c r="AP307" s="307">
        <f t="shared" si="222"/>
        <v>-434.78260869565219</v>
      </c>
      <c r="AQ307" s="307">
        <f t="shared" si="222"/>
        <v>-434.78260869565219</v>
      </c>
      <c r="AR307" s="61">
        <f t="shared" si="222"/>
        <v>-434.78260869565219</v>
      </c>
      <c r="AS307" s="307">
        <f t="shared" si="222"/>
        <v>-357.24830838630317</v>
      </c>
      <c r="AT307" s="307">
        <f t="shared" si="222"/>
        <v>-289.6314936449715</v>
      </c>
      <c r="AU307" s="307">
        <f t="shared" si="222"/>
        <v>-230.14371329498312</v>
      </c>
      <c r="AV307" s="307">
        <f t="shared" si="222"/>
        <v>-177.40215541690304</v>
      </c>
      <c r="AW307" s="307">
        <f t="shared" si="222"/>
        <v>-130.32081447154181</v>
      </c>
      <c r="AX307" s="307">
        <f t="shared" si="222"/>
        <v>-88.034913734546933</v>
      </c>
      <c r="AY307" s="307">
        <f t="shared" si="222"/>
        <v>-49.847302341364077</v>
      </c>
      <c r="AZ307" s="307">
        <f t="shared" si="222"/>
        <v>-15.189717350429953</v>
      </c>
      <c r="BA307" s="307">
        <f t="shared" si="222"/>
        <v>16.405686086764423</v>
      </c>
      <c r="BB307" s="307">
        <f t="shared" si="222"/>
        <v>45.327577450482529</v>
      </c>
      <c r="BC307" s="307">
        <f t="shared" si="222"/>
        <v>71.901519970764639</v>
      </c>
      <c r="BD307" s="307">
        <f t="shared" si="222"/>
        <v>96.40227881688827</v>
      </c>
      <c r="BE307" s="307">
        <f t="shared" si="222"/>
        <v>116.75259630257058</v>
      </c>
      <c r="BF307" s="307">
        <f t="shared" si="222"/>
        <v>110.08201844652798</v>
      </c>
      <c r="BG307" s="307">
        <f t="shared" si="222"/>
        <v>124.02489531839619</v>
      </c>
      <c r="BH307" s="307">
        <f t="shared" si="222"/>
        <v>136.28603603603611</v>
      </c>
      <c r="BI307" s="307">
        <f t="shared" si="222"/>
        <v>147.15240136299562</v>
      </c>
      <c r="BJ307" s="307">
        <f t="shared" si="222"/>
        <v>156.84917871968807</v>
      </c>
      <c r="BK307" s="307">
        <f>IF(BK297&lt;0,MAX(-$C$10,200000*BK297),MIN(200000*BK297,$C$10)-IF(AND($F274&lt;$C$8*BK277,$D287&gt;0),$C$9,0))</f>
        <v>165.55555555555557</v>
      </c>
      <c r="BL307" s="307">
        <f>IF(BL297&lt;0,MAX(-$C$10,200000*BL297),MIN(200000*BL297,$C$10)-IF(AND($F274&lt;$C$8*BL277,$D287&gt;0),$C$9,0))</f>
        <v>236.33333333333334</v>
      </c>
      <c r="BM307" s="307">
        <f>IF(BM297&lt;0,MAX(-$C$10,200000*BM297),MIN(200000*BM297,$C$10)-IF(AND($F274&lt;$C$8*BM277,$D287&gt;0),$C$9,0))</f>
        <v>264.02898550724632</v>
      </c>
      <c r="BN307" s="307">
        <f>IF(BN297&lt;0,MAX(-$C$10,200000*BN297),MIN(200000*BN297,$C$10)-IF(AND($F274&lt;$C$8*BN277,$D287&gt;0),$C$9,0))</f>
        <v>278.79999999999995</v>
      </c>
      <c r="BO307" s="12">
        <f>BO298</f>
        <v>327.33333333333331</v>
      </c>
      <c r="BR307"/>
      <c r="BS307"/>
      <c r="BT307"/>
    </row>
    <row r="308" spans="1:72" ht="16.5">
      <c r="B308" s="290" t="s">
        <v>64</v>
      </c>
      <c r="C308" s="298" t="s">
        <v>65</v>
      </c>
      <c r="D308" s="3">
        <f>D298*$I274*MAIN!$C$16/MAIN!$Q$1</f>
        <v>-349672.92144303798</v>
      </c>
      <c r="E308" s="13">
        <f>E298*$I274*MAIN!$C$16/MAIN!$Q$1</f>
        <v>-349672.92144303798</v>
      </c>
      <c r="F308" s="13">
        <f>F298*$I274*MAIN!$C$16/MAIN!$Q$1</f>
        <v>-276023.31079222949</v>
      </c>
      <c r="G308" s="13">
        <f>G298*$I274*MAIN!$C$16/MAIN!$Q$1</f>
        <v>-194745.21687156934</v>
      </c>
      <c r="H308" s="13">
        <f>H298*$I274*MAIN!$C$16/MAIN!$Q$1</f>
        <v>-127823.98351528152</v>
      </c>
      <c r="I308" s="13">
        <f>I298*$I274*MAIN!$C$16/MAIN!$Q$1</f>
        <v>-71764.343746921819</v>
      </c>
      <c r="J308" s="13">
        <f>J298*$I274*MAIN!$C$16/MAIN!$Q$1</f>
        <v>-24120.459867997342</v>
      </c>
      <c r="K308" s="13">
        <f>K298*$I274*MAIN!$C$16/MAIN!$Q$1</f>
        <v>16870.432290602435</v>
      </c>
      <c r="L308" s="13">
        <f>L298*$I274*MAIN!$C$16/MAIN!$Q$1</f>
        <v>52510.921577262125</v>
      </c>
      <c r="M308" s="13">
        <f>M298*$I274*MAIN!$C$16/MAIN!$Q$1</f>
        <v>83784.384630542248</v>
      </c>
      <c r="N308" s="13">
        <f>N298*$I274*MAIN!$C$16/MAIN!$Q$1</f>
        <v>111447.12367566697</v>
      </c>
      <c r="O308" s="13">
        <f>O298*$I274*MAIN!$C$16/MAIN!$Q$1</f>
        <v>117860.71740565171</v>
      </c>
      <c r="P308" s="13">
        <f>P298*$I274*MAIN!$C$16/MAIN!$Q$1</f>
        <v>139953.20519888765</v>
      </c>
      <c r="Q308" s="13">
        <f>Q298*$I274*MAIN!$C$16/MAIN!$Q$1</f>
        <v>159871.5077511853</v>
      </c>
      <c r="R308" s="13">
        <f>R298*$I274*MAIN!$C$16/MAIN!$Q$1</f>
        <v>177921.52456833047</v>
      </c>
      <c r="S308" s="13">
        <f>S298*$I274*MAIN!$C$16/MAIN!$Q$1</f>
        <v>194354.34070422614</v>
      </c>
      <c r="T308" s="13">
        <f>T298*$I274*MAIN!$C$16/MAIN!$Q$1</f>
        <v>209377.97814862549</v>
      </c>
      <c r="U308" s="13">
        <f>U298*$I274*MAIN!$C$16/MAIN!$Q$1</f>
        <v>223166.24832707018</v>
      </c>
      <c r="V308" s="13">
        <f>V298*$I274*MAIN!$C$16/MAIN!$Q$1</f>
        <v>235865.50706279051</v>
      </c>
      <c r="W308" s="13">
        <f>W298*$I274*MAIN!$C$16/MAIN!$Q$1</f>
        <v>247599.86980250888</v>
      </c>
      <c r="X308" s="13">
        <f>X298*$I274*MAIN!$C$16/MAIN!$Q$1</f>
        <v>258475.28158451681</v>
      </c>
      <c r="Y308" s="13">
        <f>Y298*$I274*MAIN!$C$16/MAIN!$Q$1</f>
        <v>268582.72480283666</v>
      </c>
      <c r="Z308" s="13">
        <f>Z298*$I274*MAIN!$C$16/MAIN!$Q$1</f>
        <v>278000.77059638238</v>
      </c>
      <c r="AA308" s="13">
        <f>AA298*$I274*MAIN!$C$16/MAIN!$Q$1</f>
        <v>286797.62538816791</v>
      </c>
      <c r="AB308" s="13">
        <f>AB298*$I274*MAIN!$C$16/MAIN!$Q$1</f>
        <v>295032.78539904108</v>
      </c>
      <c r="AC308" s="13">
        <f>AC298*$I274*MAIN!$C$16/MAIN!$Q$1</f>
        <v>302758.38403576653</v>
      </c>
      <c r="AD308" s="13">
        <f>AD298*$I274*MAIN!$C$16/MAIN!$Q$1</f>
        <v>310020.2966707283</v>
      </c>
      <c r="AE308" s="13">
        <f>AE298*$I274*MAIN!$C$16/MAIN!$Q$1</f>
        <v>316859.05229264329</v>
      </c>
      <c r="AF308" s="13">
        <f>AF298*$I274*MAIN!$C$16/MAIN!$Q$1</f>
        <v>323310.59030137846</v>
      </c>
      <c r="AG308" s="13">
        <f>AG298*$I274*MAIN!$C$16/MAIN!$Q$1</f>
        <v>329406.89229035418</v>
      </c>
      <c r="AH308" s="13">
        <f>AH298*$I274*MAIN!$C$16/MAIN!$Q$1</f>
        <v>331443.30647180753</v>
      </c>
      <c r="AI308" s="13">
        <f>AI298*$I274*MAIN!$C$16/MAIN!$Q$1</f>
        <v>331443.30647180753</v>
      </c>
      <c r="AJ308" s="13">
        <f>AJ298*$I274*MAIN!$C$16/MAIN!$Q$1</f>
        <v>331443.30647180753</v>
      </c>
      <c r="AK308" s="13">
        <f>AK298*$I274*MAIN!$C$16/MAIN!$Q$1</f>
        <v>331443.30647180753</v>
      </c>
      <c r="AL308" s="13">
        <f>AL298*$I274*MAIN!$C$16/MAIN!$Q$1</f>
        <v>331443.30647180753</v>
      </c>
      <c r="AM308" s="13">
        <f>AM298*$I274*MAIN!$C$16/MAIN!$Q$1</f>
        <v>331443.30647180753</v>
      </c>
      <c r="AN308" s="13">
        <f>AN298*$I274*MAIN!$C$16/MAIN!$Q$1</f>
        <v>331443.30647180753</v>
      </c>
      <c r="AO308" s="13">
        <f>AO298*$I274*MAIN!$C$16/MAIN!$Q$1</f>
        <v>331443.30647180753</v>
      </c>
      <c r="AP308" s="13">
        <f>AP298*$I274*MAIN!$C$16/MAIN!$Q$1</f>
        <v>331443.30647180753</v>
      </c>
      <c r="AQ308" s="13">
        <f>AQ298*$I274*MAIN!$C$16/MAIN!$Q$1</f>
        <v>331443.30647180753</v>
      </c>
      <c r="AR308" s="56">
        <f>AR298*$I274*MAIN!$C$16/MAIN!$Q$1</f>
        <v>331443.30647180753</v>
      </c>
      <c r="AS308" s="13">
        <f>AS298*$I274*MAIN!$C$16/MAIN!$Q$1</f>
        <v>331443.30647180753</v>
      </c>
      <c r="AT308" s="13">
        <f>AT298*$I274*MAIN!$C$16/MAIN!$Q$1</f>
        <v>331443.30647180753</v>
      </c>
      <c r="AU308" s="13">
        <f>AU298*$I274*MAIN!$C$16/MAIN!$Q$1</f>
        <v>331443.30647180753</v>
      </c>
      <c r="AV308" s="13">
        <f>AV298*$I274*MAIN!$C$16/MAIN!$Q$1</f>
        <v>331443.30647180753</v>
      </c>
      <c r="AW308" s="13">
        <f>AW298*$I274*MAIN!$C$16/MAIN!$Q$1</f>
        <v>331443.30647180753</v>
      </c>
      <c r="AX308" s="13">
        <f>AX298*$I274*MAIN!$C$16/MAIN!$Q$1</f>
        <v>331443.30647180753</v>
      </c>
      <c r="AY308" s="13">
        <f>AY298*$I274*MAIN!$C$16/MAIN!$Q$1</f>
        <v>331443.30647180753</v>
      </c>
      <c r="AZ308" s="13">
        <f>AZ298*$I274*MAIN!$C$16/MAIN!$Q$1</f>
        <v>331443.30647180753</v>
      </c>
      <c r="BA308" s="13">
        <f>BA298*$I274*MAIN!$C$16/MAIN!$Q$1</f>
        <v>331443.30647180753</v>
      </c>
      <c r="BB308" s="13">
        <f>BB298*$I274*MAIN!$C$16/MAIN!$Q$1</f>
        <v>331443.30647180753</v>
      </c>
      <c r="BC308" s="13">
        <f>BC298*$I274*MAIN!$C$16/MAIN!$Q$1</f>
        <v>331443.30647180753</v>
      </c>
      <c r="BD308" s="13">
        <f>BD298*$I274*MAIN!$C$16/MAIN!$Q$1</f>
        <v>331443.30647180753</v>
      </c>
      <c r="BE308" s="13">
        <f>BE298*$I274*MAIN!$C$16/MAIN!$Q$1</f>
        <v>331443.30647180753</v>
      </c>
      <c r="BF308" s="13">
        <f>BF298*$I274*MAIN!$C$16/MAIN!$Q$1</f>
        <v>331443.30647180753</v>
      </c>
      <c r="BG308" s="13">
        <f>BG298*$I274*MAIN!$C$16/MAIN!$Q$1</f>
        <v>331443.30647180753</v>
      </c>
      <c r="BH308" s="13">
        <f>BH298*$I274*MAIN!$C$16/MAIN!$Q$1</f>
        <v>331443.30647180753</v>
      </c>
      <c r="BI308" s="13">
        <f>BI298*$I274*MAIN!$C$16/MAIN!$Q$1</f>
        <v>331443.30647180753</v>
      </c>
      <c r="BJ308" s="13">
        <f>BJ298*$I274*MAIN!$C$16/MAIN!$Q$1</f>
        <v>331443.30647180753</v>
      </c>
      <c r="BK308" s="13">
        <f>BK298*$I274*MAIN!$C$16/MAIN!$Q$1</f>
        <v>331443.30647180753</v>
      </c>
      <c r="BL308" s="13">
        <f>BL298*$I274*MAIN!$C$16/MAIN!$Q$1</f>
        <v>331443.30647180753</v>
      </c>
      <c r="BM308" s="13">
        <f>BM298*$I274*MAIN!$C$16/MAIN!$Q$1</f>
        <v>314169.46415252145</v>
      </c>
      <c r="BN308" s="13">
        <f>BN298*$I274*MAIN!$C$16/MAIN!$Q$1</f>
        <v>302289.90943469666</v>
      </c>
      <c r="BO308" s="3">
        <f>BO298*$I274*MAIN!$C$16/MAIN!$Q$1</f>
        <v>263257.08679041517</v>
      </c>
      <c r="BR308"/>
      <c r="BS308"/>
      <c r="BT308"/>
    </row>
    <row r="309" spans="1:72" ht="16.5">
      <c r="B309" s="14">
        <v>2</v>
      </c>
      <c r="C309" s="298" t="s">
        <v>66</v>
      </c>
      <c r="D309" s="3">
        <f>D299*$I274*2/MAIN!$Q$1</f>
        <v>0</v>
      </c>
      <c r="E309" s="13">
        <f>E299*$I274*2/MAIN!$Q$1</f>
        <v>0</v>
      </c>
      <c r="F309" s="13">
        <f>F299*$I274*2/MAIN!$Q$1</f>
        <v>0</v>
      </c>
      <c r="G309" s="13">
        <f>G299*$I274*2/MAIN!$Q$1</f>
        <v>0</v>
      </c>
      <c r="H309" s="13">
        <f>H299*$I274*2/MAIN!$Q$1</f>
        <v>0</v>
      </c>
      <c r="I309" s="13">
        <f>I299*$I274*2/MAIN!$Q$1</f>
        <v>0</v>
      </c>
      <c r="J309" s="13">
        <f>J299*$I274*2/MAIN!$Q$1</f>
        <v>0</v>
      </c>
      <c r="K309" s="13">
        <f>K299*$I274*2/MAIN!$Q$1</f>
        <v>0</v>
      </c>
      <c r="L309" s="13">
        <f>L299*$I274*2/MAIN!$Q$1</f>
        <v>0</v>
      </c>
      <c r="M309" s="13">
        <f>M299*$I274*2/MAIN!$Q$1</f>
        <v>0</v>
      </c>
      <c r="N309" s="13">
        <f>N299*$I274*2/MAIN!$Q$1</f>
        <v>0</v>
      </c>
      <c r="O309" s="13">
        <f>O299*$I274*2/MAIN!$Q$1</f>
        <v>0</v>
      </c>
      <c r="P309" s="13">
        <f>P299*$I274*2/MAIN!$Q$1</f>
        <v>0</v>
      </c>
      <c r="Q309" s="13">
        <f>Q299*$I274*2/MAIN!$Q$1</f>
        <v>0</v>
      </c>
      <c r="R309" s="13">
        <f>R299*$I274*2/MAIN!$Q$1</f>
        <v>0</v>
      </c>
      <c r="S309" s="13">
        <f>S299*$I274*2/MAIN!$Q$1</f>
        <v>0</v>
      </c>
      <c r="T309" s="13">
        <f>T299*$I274*2/MAIN!$Q$1</f>
        <v>0</v>
      </c>
      <c r="U309" s="13">
        <f>U299*$I274*2/MAIN!$Q$1</f>
        <v>0</v>
      </c>
      <c r="V309" s="13">
        <f>V299*$I274*2/MAIN!$Q$1</f>
        <v>0</v>
      </c>
      <c r="W309" s="13">
        <f>W299*$I274*2/MAIN!$Q$1</f>
        <v>0</v>
      </c>
      <c r="X309" s="13">
        <f>X299*$I274*2/MAIN!$Q$1</f>
        <v>0</v>
      </c>
      <c r="Y309" s="13">
        <f>Y299*$I274*2/MAIN!$Q$1</f>
        <v>0</v>
      </c>
      <c r="Z309" s="13">
        <f>Z299*$I274*2/MAIN!$Q$1</f>
        <v>0</v>
      </c>
      <c r="AA309" s="13">
        <f>AA299*$I274*2/MAIN!$Q$1</f>
        <v>0</v>
      </c>
      <c r="AB309" s="13">
        <f>AB299*$I274*2/MAIN!$Q$1</f>
        <v>0</v>
      </c>
      <c r="AC309" s="13">
        <f>AC299*$I274*2/MAIN!$Q$1</f>
        <v>0</v>
      </c>
      <c r="AD309" s="13">
        <f>AD299*$I274*2/MAIN!$Q$1</f>
        <v>0</v>
      </c>
      <c r="AE309" s="13">
        <f>AE299*$I274*2/MAIN!$Q$1</f>
        <v>0</v>
      </c>
      <c r="AF309" s="13">
        <f>AF299*$I274*2/MAIN!$Q$1</f>
        <v>0</v>
      </c>
      <c r="AG309" s="13">
        <f>AG299*$I274*2/MAIN!$Q$1</f>
        <v>0</v>
      </c>
      <c r="AH309" s="13">
        <f>AH299*$I274*2/MAIN!$Q$1</f>
        <v>0</v>
      </c>
      <c r="AI309" s="13">
        <f>AI299*$I274*2/MAIN!$Q$1</f>
        <v>0</v>
      </c>
      <c r="AJ309" s="13">
        <f>AJ299*$I274*2/MAIN!$Q$1</f>
        <v>0</v>
      </c>
      <c r="AK309" s="13">
        <f>AK299*$I274*2/MAIN!$Q$1</f>
        <v>0</v>
      </c>
      <c r="AL309" s="13">
        <f>AL299*$I274*2/MAIN!$Q$1</f>
        <v>0</v>
      </c>
      <c r="AM309" s="13">
        <f>AM299*$I274*2/MAIN!$Q$1</f>
        <v>0</v>
      </c>
      <c r="AN309" s="13">
        <f>AN299*$I274*2/MAIN!$Q$1</f>
        <v>0</v>
      </c>
      <c r="AO309" s="13">
        <f>AO299*$I274*2/MAIN!$Q$1</f>
        <v>0</v>
      </c>
      <c r="AP309" s="13">
        <f>AP299*$I274*2/MAIN!$Q$1</f>
        <v>0</v>
      </c>
      <c r="AQ309" s="13">
        <f>AQ299*$I274*2/MAIN!$Q$1</f>
        <v>0</v>
      </c>
      <c r="AR309" s="56">
        <f>AR299*$I274*2/MAIN!$Q$1</f>
        <v>0</v>
      </c>
      <c r="AS309" s="13">
        <f>AS299*$I274*2/MAIN!$Q$1</f>
        <v>0</v>
      </c>
      <c r="AT309" s="13">
        <f>AT299*$I274*2/MAIN!$Q$1</f>
        <v>0</v>
      </c>
      <c r="AU309" s="13">
        <f>AU299*$I274*2/MAIN!$Q$1</f>
        <v>0</v>
      </c>
      <c r="AV309" s="13">
        <f>AV299*$I274*2/MAIN!$Q$1</f>
        <v>0</v>
      </c>
      <c r="AW309" s="13">
        <f>AW299*$I274*2/MAIN!$Q$1</f>
        <v>0</v>
      </c>
      <c r="AX309" s="13">
        <f>AX299*$I274*2/MAIN!$Q$1</f>
        <v>0</v>
      </c>
      <c r="AY309" s="13">
        <f>AY299*$I274*2/MAIN!$Q$1</f>
        <v>0</v>
      </c>
      <c r="AZ309" s="13">
        <f>AZ299*$I274*2/MAIN!$Q$1</f>
        <v>0</v>
      </c>
      <c r="BA309" s="13">
        <f>BA299*$I274*2/MAIN!$Q$1</f>
        <v>0</v>
      </c>
      <c r="BB309" s="13">
        <f>BB299*$I274*2/MAIN!$Q$1</f>
        <v>0</v>
      </c>
      <c r="BC309" s="13">
        <f>BC299*$I274*2/MAIN!$Q$1</f>
        <v>0</v>
      </c>
      <c r="BD309" s="13">
        <f>BD299*$I274*2/MAIN!$Q$1</f>
        <v>0</v>
      </c>
      <c r="BE309" s="13">
        <f>BE299*$I274*2/MAIN!$Q$1</f>
        <v>0</v>
      </c>
      <c r="BF309" s="13">
        <f>BF299*$I274*2/MAIN!$Q$1</f>
        <v>0</v>
      </c>
      <c r="BG309" s="13">
        <f>BG299*$I274*2/MAIN!$Q$1</f>
        <v>0</v>
      </c>
      <c r="BH309" s="13">
        <f>BH299*$I274*2/MAIN!$Q$1</f>
        <v>0</v>
      </c>
      <c r="BI309" s="13">
        <f>BI299*$I274*2/MAIN!$Q$1</f>
        <v>0</v>
      </c>
      <c r="BJ309" s="13">
        <f>BJ299*$I274*2/MAIN!$Q$1</f>
        <v>0</v>
      </c>
      <c r="BK309" s="13">
        <f>BK299*$I274*2/MAIN!$Q$1</f>
        <v>0</v>
      </c>
      <c r="BL309" s="13">
        <f>BL299*$I274*2/MAIN!$Q$1</f>
        <v>0</v>
      </c>
      <c r="BM309" s="13">
        <f>BM299*$I274*2/MAIN!$Q$1</f>
        <v>0</v>
      </c>
      <c r="BN309" s="13">
        <f>BN299*$I274*2/MAIN!$Q$1</f>
        <v>0</v>
      </c>
      <c r="BO309" s="3">
        <f>BO299*$I274*2/MAIN!$Q$1</f>
        <v>0</v>
      </c>
      <c r="BP309" s="43"/>
      <c r="BR309"/>
      <c r="BS309"/>
      <c r="BT309"/>
    </row>
    <row r="310" spans="1:72" ht="16.5">
      <c r="B310" s="14">
        <f t="shared" ref="B310:B316" si="223">1+B309</f>
        <v>3</v>
      </c>
      <c r="C310" s="298" t="s">
        <v>66</v>
      </c>
      <c r="D310" s="3">
        <f>D300*$I274*2/MAIN!$Q$1</f>
        <v>0</v>
      </c>
      <c r="E310" s="13">
        <f>E300*$I274*2/MAIN!$Q$1</f>
        <v>0</v>
      </c>
      <c r="F310" s="13">
        <f>F300*$I274*2/MAIN!$Q$1</f>
        <v>0</v>
      </c>
      <c r="G310" s="13">
        <f>G300*$I274*2/MAIN!$Q$1</f>
        <v>0</v>
      </c>
      <c r="H310" s="13">
        <f>H300*$I274*2/MAIN!$Q$1</f>
        <v>0</v>
      </c>
      <c r="I310" s="13">
        <f>I300*$I274*2/MAIN!$Q$1</f>
        <v>0</v>
      </c>
      <c r="J310" s="13">
        <f>J300*$I274*2/MAIN!$Q$1</f>
        <v>0</v>
      </c>
      <c r="K310" s="13">
        <f>K300*$I274*2/MAIN!$Q$1</f>
        <v>0</v>
      </c>
      <c r="L310" s="13">
        <f>L300*$I274*2/MAIN!$Q$1</f>
        <v>0</v>
      </c>
      <c r="M310" s="13">
        <f>M300*$I274*2/MAIN!$Q$1</f>
        <v>0</v>
      </c>
      <c r="N310" s="13">
        <f>N300*$I274*2/MAIN!$Q$1</f>
        <v>0</v>
      </c>
      <c r="O310" s="13">
        <f>O300*$I274*2/MAIN!$Q$1</f>
        <v>0</v>
      </c>
      <c r="P310" s="13">
        <f>P300*$I274*2/MAIN!$Q$1</f>
        <v>0</v>
      </c>
      <c r="Q310" s="13">
        <f>Q300*$I274*2/MAIN!$Q$1</f>
        <v>0</v>
      </c>
      <c r="R310" s="13">
        <f>R300*$I274*2/MAIN!$Q$1</f>
        <v>0</v>
      </c>
      <c r="S310" s="13">
        <f>S300*$I274*2/MAIN!$Q$1</f>
        <v>0</v>
      </c>
      <c r="T310" s="13">
        <f>T300*$I274*2/MAIN!$Q$1</f>
        <v>0</v>
      </c>
      <c r="U310" s="13">
        <f>U300*$I274*2/MAIN!$Q$1</f>
        <v>0</v>
      </c>
      <c r="V310" s="13">
        <f>V300*$I274*2/MAIN!$Q$1</f>
        <v>0</v>
      </c>
      <c r="W310" s="13">
        <f>W300*$I274*2/MAIN!$Q$1</f>
        <v>0</v>
      </c>
      <c r="X310" s="13">
        <f>X300*$I274*2/MAIN!$Q$1</f>
        <v>0</v>
      </c>
      <c r="Y310" s="13">
        <f>Y300*$I274*2/MAIN!$Q$1</f>
        <v>0</v>
      </c>
      <c r="Z310" s="13">
        <f>Z300*$I274*2/MAIN!$Q$1</f>
        <v>0</v>
      </c>
      <c r="AA310" s="13">
        <f>AA300*$I274*2/MAIN!$Q$1</f>
        <v>0</v>
      </c>
      <c r="AB310" s="13">
        <f>AB300*$I274*2/MAIN!$Q$1</f>
        <v>0</v>
      </c>
      <c r="AC310" s="13">
        <f>AC300*$I274*2/MAIN!$Q$1</f>
        <v>0</v>
      </c>
      <c r="AD310" s="13">
        <f>AD300*$I274*2/MAIN!$Q$1</f>
        <v>0</v>
      </c>
      <c r="AE310" s="13">
        <f>AE300*$I274*2/MAIN!$Q$1</f>
        <v>0</v>
      </c>
      <c r="AF310" s="13">
        <f>AF300*$I274*2/MAIN!$Q$1</f>
        <v>0</v>
      </c>
      <c r="AG310" s="13">
        <f>AG300*$I274*2/MAIN!$Q$1</f>
        <v>0</v>
      </c>
      <c r="AH310" s="13">
        <f>AH300*$I274*2/MAIN!$Q$1</f>
        <v>0</v>
      </c>
      <c r="AI310" s="13">
        <f>AI300*$I274*2/MAIN!$Q$1</f>
        <v>0</v>
      </c>
      <c r="AJ310" s="13">
        <f>AJ300*$I274*2/MAIN!$Q$1</f>
        <v>0</v>
      </c>
      <c r="AK310" s="13">
        <f>AK300*$I274*2/MAIN!$Q$1</f>
        <v>0</v>
      </c>
      <c r="AL310" s="13">
        <f>AL300*$I274*2/MAIN!$Q$1</f>
        <v>0</v>
      </c>
      <c r="AM310" s="13">
        <f>AM300*$I274*2/MAIN!$Q$1</f>
        <v>0</v>
      </c>
      <c r="AN310" s="13">
        <f>AN300*$I274*2/MAIN!$Q$1</f>
        <v>0</v>
      </c>
      <c r="AO310" s="13">
        <f>AO300*$I274*2/MAIN!$Q$1</f>
        <v>0</v>
      </c>
      <c r="AP310" s="13">
        <f>AP300*$I274*2/MAIN!$Q$1</f>
        <v>0</v>
      </c>
      <c r="AQ310" s="13">
        <f>AQ300*$I274*2/MAIN!$Q$1</f>
        <v>0</v>
      </c>
      <c r="AR310" s="59">
        <f>AR300*$I274*2/MAIN!$Q$1</f>
        <v>0</v>
      </c>
      <c r="AS310" s="13">
        <f>AS300*$I274*2/MAIN!$Q$1</f>
        <v>0</v>
      </c>
      <c r="AT310" s="13">
        <f>AT300*$I274*2/MAIN!$Q$1</f>
        <v>0</v>
      </c>
      <c r="AU310" s="13">
        <f>AU300*$I274*2/MAIN!$Q$1</f>
        <v>0</v>
      </c>
      <c r="AV310" s="13">
        <f>AV300*$I274*2/MAIN!$Q$1</f>
        <v>0</v>
      </c>
      <c r="AW310" s="13">
        <f>AW300*$I274*2/MAIN!$Q$1</f>
        <v>0</v>
      </c>
      <c r="AX310" s="13">
        <f>AX300*$I274*2/MAIN!$Q$1</f>
        <v>0</v>
      </c>
      <c r="AY310" s="13">
        <f>AY300*$I274*2/MAIN!$Q$1</f>
        <v>0</v>
      </c>
      <c r="AZ310" s="13">
        <f>AZ300*$I274*2/MAIN!$Q$1</f>
        <v>0</v>
      </c>
      <c r="BA310" s="13">
        <f>BA300*$I274*2/MAIN!$Q$1</f>
        <v>0</v>
      </c>
      <c r="BB310" s="13">
        <f>BB300*$I274*2/MAIN!$Q$1</f>
        <v>0</v>
      </c>
      <c r="BC310" s="13">
        <f>BC300*$I274*2/MAIN!$Q$1</f>
        <v>0</v>
      </c>
      <c r="BD310" s="13">
        <f>BD300*$I274*2/MAIN!$Q$1</f>
        <v>0</v>
      </c>
      <c r="BE310" s="13">
        <f>BE300*$I274*2/MAIN!$Q$1</f>
        <v>0</v>
      </c>
      <c r="BF310" s="13">
        <f>BF300*$I274*2/MAIN!$Q$1</f>
        <v>0</v>
      </c>
      <c r="BG310" s="13">
        <f>BG300*$I274*2/MAIN!$Q$1</f>
        <v>0</v>
      </c>
      <c r="BH310" s="13">
        <f>BH300*$I274*2/MAIN!$Q$1</f>
        <v>0</v>
      </c>
      <c r="BI310" s="13">
        <f>BI300*$I274*2/MAIN!$Q$1</f>
        <v>0</v>
      </c>
      <c r="BJ310" s="13">
        <f>BJ300*$I274*2/MAIN!$Q$1</f>
        <v>0</v>
      </c>
      <c r="BK310" s="13">
        <f>BK300*$I274*2/MAIN!$Q$1</f>
        <v>0</v>
      </c>
      <c r="BL310" s="13">
        <f>BL300*$I274*2/MAIN!$Q$1</f>
        <v>0</v>
      </c>
      <c r="BM310" s="13">
        <f>BM300*$I274*2/MAIN!$Q$1</f>
        <v>0</v>
      </c>
      <c r="BN310" s="13">
        <f>BN300*$I274*2/MAIN!$Q$1</f>
        <v>0</v>
      </c>
      <c r="BO310" s="3">
        <f>BO300*$I274*2/MAIN!$Q$1</f>
        <v>0</v>
      </c>
      <c r="BP310" s="43"/>
      <c r="BR310"/>
      <c r="BS310"/>
      <c r="BT310"/>
    </row>
    <row r="311" spans="1:72" ht="16.5">
      <c r="B311" s="14">
        <f t="shared" si="223"/>
        <v>4</v>
      </c>
      <c r="C311" s="298" t="s">
        <v>66</v>
      </c>
      <c r="D311" s="3">
        <f>D301*$I274*2/MAIN!$Q$1</f>
        <v>0</v>
      </c>
      <c r="E311" s="13">
        <f>E301*$I274*2/MAIN!$Q$1</f>
        <v>0</v>
      </c>
      <c r="F311" s="13">
        <f>F301*$I274*2/MAIN!$Q$1</f>
        <v>0</v>
      </c>
      <c r="G311" s="13">
        <f>G301*$I274*2/MAIN!$Q$1</f>
        <v>0</v>
      </c>
      <c r="H311" s="13">
        <f>H301*$I274*2/MAIN!$Q$1</f>
        <v>0</v>
      </c>
      <c r="I311" s="13">
        <f>I301*$I274*2/MAIN!$Q$1</f>
        <v>0</v>
      </c>
      <c r="J311" s="13">
        <f>J301*$I274*2/MAIN!$Q$1</f>
        <v>0</v>
      </c>
      <c r="K311" s="13">
        <f>K301*$I274*2/MAIN!$Q$1</f>
        <v>0</v>
      </c>
      <c r="L311" s="13">
        <f>L301*$I274*2/MAIN!$Q$1</f>
        <v>0</v>
      </c>
      <c r="M311" s="13">
        <f>M301*$I274*2/MAIN!$Q$1</f>
        <v>0</v>
      </c>
      <c r="N311" s="13">
        <f>N301*$I274*2/MAIN!$Q$1</f>
        <v>0</v>
      </c>
      <c r="O311" s="13">
        <f>O301*$I274*2/MAIN!$Q$1</f>
        <v>0</v>
      </c>
      <c r="P311" s="13">
        <f>P301*$I274*2/MAIN!$Q$1</f>
        <v>0</v>
      </c>
      <c r="Q311" s="13">
        <f>Q301*$I274*2/MAIN!$Q$1</f>
        <v>0</v>
      </c>
      <c r="R311" s="13">
        <f>R301*$I274*2/MAIN!$Q$1</f>
        <v>0</v>
      </c>
      <c r="S311" s="13">
        <f>S301*$I274*2/MAIN!$Q$1</f>
        <v>0</v>
      </c>
      <c r="T311" s="13">
        <f>T301*$I274*2/MAIN!$Q$1</f>
        <v>0</v>
      </c>
      <c r="U311" s="13">
        <f>U301*$I274*2/MAIN!$Q$1</f>
        <v>0</v>
      </c>
      <c r="V311" s="13">
        <f>V301*$I274*2/MAIN!$Q$1</f>
        <v>0</v>
      </c>
      <c r="W311" s="13">
        <f>W301*$I274*2/MAIN!$Q$1</f>
        <v>0</v>
      </c>
      <c r="X311" s="13">
        <f>X301*$I274*2/MAIN!$Q$1</f>
        <v>0</v>
      </c>
      <c r="Y311" s="13">
        <f>Y301*$I274*2/MAIN!$Q$1</f>
        <v>0</v>
      </c>
      <c r="Z311" s="13">
        <f>Z301*$I274*2/MAIN!$Q$1</f>
        <v>0</v>
      </c>
      <c r="AA311" s="13">
        <f>AA301*$I274*2/MAIN!$Q$1</f>
        <v>0</v>
      </c>
      <c r="AB311" s="13">
        <f>AB301*$I274*2/MAIN!$Q$1</f>
        <v>0</v>
      </c>
      <c r="AC311" s="13">
        <f>AC301*$I274*2/MAIN!$Q$1</f>
        <v>0</v>
      </c>
      <c r="AD311" s="13">
        <f>AD301*$I274*2/MAIN!$Q$1</f>
        <v>0</v>
      </c>
      <c r="AE311" s="13">
        <f>AE301*$I274*2/MAIN!$Q$1</f>
        <v>0</v>
      </c>
      <c r="AF311" s="13">
        <f>AF301*$I274*2/MAIN!$Q$1</f>
        <v>0</v>
      </c>
      <c r="AG311" s="13">
        <f>AG301*$I274*2/MAIN!$Q$1</f>
        <v>0</v>
      </c>
      <c r="AH311" s="13">
        <f>AH301*$I274*2/MAIN!$Q$1</f>
        <v>0</v>
      </c>
      <c r="AI311" s="13">
        <f>AI301*$I274*2/MAIN!$Q$1</f>
        <v>0</v>
      </c>
      <c r="AJ311" s="13">
        <f>AJ301*$I274*2/MAIN!$Q$1</f>
        <v>0</v>
      </c>
      <c r="AK311" s="13">
        <f>AK301*$I274*2/MAIN!$Q$1</f>
        <v>0</v>
      </c>
      <c r="AL311" s="13">
        <f>AL301*$I274*2/MAIN!$Q$1</f>
        <v>0</v>
      </c>
      <c r="AM311" s="13">
        <f>AM301*$I274*2/MAIN!$Q$1</f>
        <v>0</v>
      </c>
      <c r="AN311" s="13">
        <f>AN301*$I274*2/MAIN!$Q$1</f>
        <v>0</v>
      </c>
      <c r="AO311" s="13">
        <f>AO301*$I274*2/MAIN!$Q$1</f>
        <v>0</v>
      </c>
      <c r="AP311" s="13">
        <f>AP301*$I274*2/MAIN!$Q$1</f>
        <v>0</v>
      </c>
      <c r="AQ311" s="13">
        <f>AQ301*$I274*2/MAIN!$Q$1</f>
        <v>0</v>
      </c>
      <c r="AR311" s="59">
        <f>AR301*$I274*2/MAIN!$Q$1</f>
        <v>0</v>
      </c>
      <c r="AS311" s="13">
        <f>AS301*$I274*2/MAIN!$Q$1</f>
        <v>0</v>
      </c>
      <c r="AT311" s="13">
        <f>AT301*$I274*2/MAIN!$Q$1</f>
        <v>0</v>
      </c>
      <c r="AU311" s="13">
        <f>AU301*$I274*2/MAIN!$Q$1</f>
        <v>0</v>
      </c>
      <c r="AV311" s="13">
        <f>AV301*$I274*2/MAIN!$Q$1</f>
        <v>0</v>
      </c>
      <c r="AW311" s="13">
        <f>AW301*$I274*2/MAIN!$Q$1</f>
        <v>0</v>
      </c>
      <c r="AX311" s="13">
        <f>AX301*$I274*2/MAIN!$Q$1</f>
        <v>0</v>
      </c>
      <c r="AY311" s="13">
        <f>AY301*$I274*2/MAIN!$Q$1</f>
        <v>0</v>
      </c>
      <c r="AZ311" s="13">
        <f>AZ301*$I274*2/MAIN!$Q$1</f>
        <v>0</v>
      </c>
      <c r="BA311" s="13">
        <f>BA301*$I274*2/MAIN!$Q$1</f>
        <v>0</v>
      </c>
      <c r="BB311" s="13">
        <f>BB301*$I274*2/MAIN!$Q$1</f>
        <v>0</v>
      </c>
      <c r="BC311" s="13">
        <f>BC301*$I274*2/MAIN!$Q$1</f>
        <v>0</v>
      </c>
      <c r="BD311" s="13">
        <f>BD301*$I274*2/MAIN!$Q$1</f>
        <v>0</v>
      </c>
      <c r="BE311" s="13">
        <f>BE301*$I274*2/MAIN!$Q$1</f>
        <v>0</v>
      </c>
      <c r="BF311" s="13">
        <f>BF301*$I274*2/MAIN!$Q$1</f>
        <v>0</v>
      </c>
      <c r="BG311" s="13">
        <f>BG301*$I274*2/MAIN!$Q$1</f>
        <v>0</v>
      </c>
      <c r="BH311" s="13">
        <f>BH301*$I274*2/MAIN!$Q$1</f>
        <v>0</v>
      </c>
      <c r="BI311" s="13">
        <f>BI301*$I274*2/MAIN!$Q$1</f>
        <v>0</v>
      </c>
      <c r="BJ311" s="13">
        <f>BJ301*$I274*2/MAIN!$Q$1</f>
        <v>0</v>
      </c>
      <c r="BK311" s="13">
        <f>BK301*$I274*2/MAIN!$Q$1</f>
        <v>0</v>
      </c>
      <c r="BL311" s="13">
        <f>BL301*$I274*2/MAIN!$Q$1</f>
        <v>0</v>
      </c>
      <c r="BM311" s="13">
        <f>BM301*$I274*2/MAIN!$Q$1</f>
        <v>0</v>
      </c>
      <c r="BN311" s="13">
        <f>BN301*$I274*2/MAIN!$Q$1</f>
        <v>0</v>
      </c>
      <c r="BO311" s="3">
        <f>BO301*$I274*2/MAIN!$Q$1</f>
        <v>0</v>
      </c>
      <c r="BP311" s="43"/>
      <c r="BR311"/>
      <c r="BS311"/>
      <c r="BT311"/>
    </row>
    <row r="312" spans="1:72" ht="16.5">
      <c r="B312" s="14">
        <f t="shared" si="223"/>
        <v>5</v>
      </c>
      <c r="C312" s="298" t="s">
        <v>66</v>
      </c>
      <c r="D312" s="3">
        <f>D302*$I274*2/MAIN!$Q$1</f>
        <v>0</v>
      </c>
      <c r="E312" s="13">
        <f>E302*$I274*2/MAIN!$Q$1</f>
        <v>0</v>
      </c>
      <c r="F312" s="13">
        <f>F302*$I274*2/MAIN!$Q$1</f>
        <v>0</v>
      </c>
      <c r="G312" s="13">
        <f>G302*$I274*2/MAIN!$Q$1</f>
        <v>0</v>
      </c>
      <c r="H312" s="13">
        <f>H302*$I274*2/MAIN!$Q$1</f>
        <v>0</v>
      </c>
      <c r="I312" s="13">
        <f>I302*$I274*2/MAIN!$Q$1</f>
        <v>0</v>
      </c>
      <c r="J312" s="13">
        <f>J302*$I274*2/MAIN!$Q$1</f>
        <v>0</v>
      </c>
      <c r="K312" s="13">
        <f>K302*$I274*2/MAIN!$Q$1</f>
        <v>0</v>
      </c>
      <c r="L312" s="13">
        <f>L302*$I274*2/MAIN!$Q$1</f>
        <v>0</v>
      </c>
      <c r="M312" s="13">
        <f>M302*$I274*2/MAIN!$Q$1</f>
        <v>0</v>
      </c>
      <c r="N312" s="13">
        <f>N302*$I274*2/MAIN!$Q$1</f>
        <v>0</v>
      </c>
      <c r="O312" s="13">
        <f>O302*$I274*2/MAIN!$Q$1</f>
        <v>0</v>
      </c>
      <c r="P312" s="13">
        <f>P302*$I274*2/MAIN!$Q$1</f>
        <v>0</v>
      </c>
      <c r="Q312" s="13">
        <f>Q302*$I274*2/MAIN!$Q$1</f>
        <v>0</v>
      </c>
      <c r="R312" s="13">
        <f>R302*$I274*2/MAIN!$Q$1</f>
        <v>0</v>
      </c>
      <c r="S312" s="13">
        <f>S302*$I274*2/MAIN!$Q$1</f>
        <v>0</v>
      </c>
      <c r="T312" s="13">
        <f>T302*$I274*2/MAIN!$Q$1</f>
        <v>0</v>
      </c>
      <c r="U312" s="13">
        <f>U302*$I274*2/MAIN!$Q$1</f>
        <v>0</v>
      </c>
      <c r="V312" s="13">
        <f>V302*$I274*2/MAIN!$Q$1</f>
        <v>0</v>
      </c>
      <c r="W312" s="13">
        <f>W302*$I274*2/MAIN!$Q$1</f>
        <v>0</v>
      </c>
      <c r="X312" s="13">
        <f>X302*$I274*2/MAIN!$Q$1</f>
        <v>0</v>
      </c>
      <c r="Y312" s="13">
        <f>Y302*$I274*2/MAIN!$Q$1</f>
        <v>0</v>
      </c>
      <c r="Z312" s="13">
        <f>Z302*$I274*2/MAIN!$Q$1</f>
        <v>0</v>
      </c>
      <c r="AA312" s="13">
        <f>AA302*$I274*2/MAIN!$Q$1</f>
        <v>0</v>
      </c>
      <c r="AB312" s="13">
        <f>AB302*$I274*2/MAIN!$Q$1</f>
        <v>0</v>
      </c>
      <c r="AC312" s="13">
        <f>AC302*$I274*2/MAIN!$Q$1</f>
        <v>0</v>
      </c>
      <c r="AD312" s="13">
        <f>AD302*$I274*2/MAIN!$Q$1</f>
        <v>0</v>
      </c>
      <c r="AE312" s="13">
        <f>AE302*$I274*2/MAIN!$Q$1</f>
        <v>0</v>
      </c>
      <c r="AF312" s="13">
        <f>AF302*$I274*2/MAIN!$Q$1</f>
        <v>0</v>
      </c>
      <c r="AG312" s="13">
        <f>AG302*$I274*2/MAIN!$Q$1</f>
        <v>0</v>
      </c>
      <c r="AH312" s="13">
        <f>AH302*$I274*2/MAIN!$Q$1</f>
        <v>0</v>
      </c>
      <c r="AI312" s="13">
        <f>AI302*$I274*2/MAIN!$Q$1</f>
        <v>0</v>
      </c>
      <c r="AJ312" s="13">
        <f>AJ302*$I274*2/MAIN!$Q$1</f>
        <v>0</v>
      </c>
      <c r="AK312" s="13">
        <f>AK302*$I274*2/MAIN!$Q$1</f>
        <v>0</v>
      </c>
      <c r="AL312" s="13">
        <f>AL302*$I274*2/MAIN!$Q$1</f>
        <v>0</v>
      </c>
      <c r="AM312" s="13">
        <f>AM302*$I274*2/MAIN!$Q$1</f>
        <v>0</v>
      </c>
      <c r="AN312" s="13">
        <f>AN302*$I274*2/MAIN!$Q$1</f>
        <v>0</v>
      </c>
      <c r="AO312" s="13">
        <f>AO302*$I274*2/MAIN!$Q$1</f>
        <v>0</v>
      </c>
      <c r="AP312" s="13">
        <f>AP302*$I274*2/MAIN!$Q$1</f>
        <v>0</v>
      </c>
      <c r="AQ312" s="13">
        <f>AQ302*$I274*2/MAIN!$Q$1</f>
        <v>0</v>
      </c>
      <c r="AR312" s="59">
        <f>AR302*$I274*2/MAIN!$Q$1</f>
        <v>0</v>
      </c>
      <c r="AS312" s="13">
        <f>AS302*$I274*2/MAIN!$Q$1</f>
        <v>0</v>
      </c>
      <c r="AT312" s="13">
        <f>AT302*$I274*2/MAIN!$Q$1</f>
        <v>0</v>
      </c>
      <c r="AU312" s="13">
        <f>AU302*$I274*2/MAIN!$Q$1</f>
        <v>0</v>
      </c>
      <c r="AV312" s="13">
        <f>AV302*$I274*2/MAIN!$Q$1</f>
        <v>0</v>
      </c>
      <c r="AW312" s="13">
        <f>AW302*$I274*2/MAIN!$Q$1</f>
        <v>0</v>
      </c>
      <c r="AX312" s="13">
        <f>AX302*$I274*2/MAIN!$Q$1</f>
        <v>0</v>
      </c>
      <c r="AY312" s="13">
        <f>AY302*$I274*2/MAIN!$Q$1</f>
        <v>0</v>
      </c>
      <c r="AZ312" s="13">
        <f>AZ302*$I274*2/MAIN!$Q$1</f>
        <v>0</v>
      </c>
      <c r="BA312" s="13">
        <f>BA302*$I274*2/MAIN!$Q$1</f>
        <v>0</v>
      </c>
      <c r="BB312" s="13">
        <f>BB302*$I274*2/MAIN!$Q$1</f>
        <v>0</v>
      </c>
      <c r="BC312" s="13">
        <f>BC302*$I274*2/MAIN!$Q$1</f>
        <v>0</v>
      </c>
      <c r="BD312" s="13">
        <f>BD302*$I274*2/MAIN!$Q$1</f>
        <v>0</v>
      </c>
      <c r="BE312" s="13">
        <f>BE302*$I274*2/MAIN!$Q$1</f>
        <v>0</v>
      </c>
      <c r="BF312" s="13">
        <f>BF302*$I274*2/MAIN!$Q$1</f>
        <v>0</v>
      </c>
      <c r="BG312" s="13">
        <f>BG302*$I274*2/MAIN!$Q$1</f>
        <v>0</v>
      </c>
      <c r="BH312" s="13">
        <f>BH302*$I274*2/MAIN!$Q$1</f>
        <v>0</v>
      </c>
      <c r="BI312" s="13">
        <f>BI302*$I274*2/MAIN!$Q$1</f>
        <v>0</v>
      </c>
      <c r="BJ312" s="13">
        <f>BJ302*$I274*2/MAIN!$Q$1</f>
        <v>0</v>
      </c>
      <c r="BK312" s="13">
        <f>BK302*$I274*2/MAIN!$Q$1</f>
        <v>0</v>
      </c>
      <c r="BL312" s="13">
        <f>BL302*$I274*2/MAIN!$Q$1</f>
        <v>0</v>
      </c>
      <c r="BM312" s="13">
        <f>BM302*$I274*2/MAIN!$Q$1</f>
        <v>0</v>
      </c>
      <c r="BN312" s="13">
        <f>BN302*$I274*2/MAIN!$Q$1</f>
        <v>0</v>
      </c>
      <c r="BO312" s="3">
        <f>BO302*$I274*2/MAIN!$Q$1</f>
        <v>0</v>
      </c>
      <c r="BP312" s="43"/>
      <c r="BR312"/>
      <c r="BS312"/>
      <c r="BT312"/>
    </row>
    <row r="313" spans="1:72" ht="16.5">
      <c r="B313" s="14">
        <f t="shared" si="223"/>
        <v>6</v>
      </c>
      <c r="C313" s="298" t="s">
        <v>66</v>
      </c>
      <c r="D313" s="3">
        <f>D303*$I274*2/MAIN!$Q$1</f>
        <v>0</v>
      </c>
      <c r="E313" s="13">
        <f>E303*$I274*2/MAIN!$Q$1</f>
        <v>0</v>
      </c>
      <c r="F313" s="13">
        <f>F303*$I274*2/MAIN!$Q$1</f>
        <v>0</v>
      </c>
      <c r="G313" s="13">
        <f>G303*$I274*2/MAIN!$Q$1</f>
        <v>0</v>
      </c>
      <c r="H313" s="13">
        <f>H303*$I274*2/MAIN!$Q$1</f>
        <v>0</v>
      </c>
      <c r="I313" s="13">
        <f>I303*$I274*2/MAIN!$Q$1</f>
        <v>0</v>
      </c>
      <c r="J313" s="13">
        <f>J303*$I274*2/MAIN!$Q$1</f>
        <v>0</v>
      </c>
      <c r="K313" s="13">
        <f>K303*$I274*2/MAIN!$Q$1</f>
        <v>0</v>
      </c>
      <c r="L313" s="13">
        <f>L303*$I274*2/MAIN!$Q$1</f>
        <v>0</v>
      </c>
      <c r="M313" s="13">
        <f>M303*$I274*2/MAIN!$Q$1</f>
        <v>0</v>
      </c>
      <c r="N313" s="13">
        <f>N303*$I274*2/MAIN!$Q$1</f>
        <v>0</v>
      </c>
      <c r="O313" s="13">
        <f>O303*$I274*2/MAIN!$Q$1</f>
        <v>0</v>
      </c>
      <c r="P313" s="13">
        <f>P303*$I274*2/MAIN!$Q$1</f>
        <v>0</v>
      </c>
      <c r="Q313" s="13">
        <f>Q303*$I274*2/MAIN!$Q$1</f>
        <v>0</v>
      </c>
      <c r="R313" s="13">
        <f>R303*$I274*2/MAIN!$Q$1</f>
        <v>0</v>
      </c>
      <c r="S313" s="13">
        <f>S303*$I274*2/MAIN!$Q$1</f>
        <v>0</v>
      </c>
      <c r="T313" s="13">
        <f>T303*$I274*2/MAIN!$Q$1</f>
        <v>0</v>
      </c>
      <c r="U313" s="13">
        <f>U303*$I274*2/MAIN!$Q$1</f>
        <v>0</v>
      </c>
      <c r="V313" s="13">
        <f>V303*$I274*2/MAIN!$Q$1</f>
        <v>0</v>
      </c>
      <c r="W313" s="13">
        <f>W303*$I274*2/MAIN!$Q$1</f>
        <v>0</v>
      </c>
      <c r="X313" s="13">
        <f>X303*$I274*2/MAIN!$Q$1</f>
        <v>0</v>
      </c>
      <c r="Y313" s="13">
        <f>Y303*$I274*2/MAIN!$Q$1</f>
        <v>0</v>
      </c>
      <c r="Z313" s="13">
        <f>Z303*$I274*2/MAIN!$Q$1</f>
        <v>0</v>
      </c>
      <c r="AA313" s="13">
        <f>AA303*$I274*2/MAIN!$Q$1</f>
        <v>0</v>
      </c>
      <c r="AB313" s="13">
        <f>AB303*$I274*2/MAIN!$Q$1</f>
        <v>0</v>
      </c>
      <c r="AC313" s="13">
        <f>AC303*$I274*2/MAIN!$Q$1</f>
        <v>0</v>
      </c>
      <c r="AD313" s="13">
        <f>AD303*$I274*2/MAIN!$Q$1</f>
        <v>0</v>
      </c>
      <c r="AE313" s="13">
        <f>AE303*$I274*2/MAIN!$Q$1</f>
        <v>0</v>
      </c>
      <c r="AF313" s="13">
        <f>AF303*$I274*2/MAIN!$Q$1</f>
        <v>0</v>
      </c>
      <c r="AG313" s="13">
        <f>AG303*$I274*2/MAIN!$Q$1</f>
        <v>0</v>
      </c>
      <c r="AH313" s="13">
        <f>AH303*$I274*2/MAIN!$Q$1</f>
        <v>0</v>
      </c>
      <c r="AI313" s="13">
        <f>AI303*$I274*2/MAIN!$Q$1</f>
        <v>0</v>
      </c>
      <c r="AJ313" s="13">
        <f>AJ303*$I274*2/MAIN!$Q$1</f>
        <v>0</v>
      </c>
      <c r="AK313" s="13">
        <f>AK303*$I274*2/MAIN!$Q$1</f>
        <v>0</v>
      </c>
      <c r="AL313" s="13">
        <f>AL303*$I274*2/MAIN!$Q$1</f>
        <v>0</v>
      </c>
      <c r="AM313" s="13">
        <f>AM303*$I274*2/MAIN!$Q$1</f>
        <v>0</v>
      </c>
      <c r="AN313" s="13">
        <f>AN303*$I274*2/MAIN!$Q$1</f>
        <v>0</v>
      </c>
      <c r="AO313" s="13">
        <f>AO303*$I274*2/MAIN!$Q$1</f>
        <v>0</v>
      </c>
      <c r="AP313" s="13">
        <f>AP303*$I274*2/MAIN!$Q$1</f>
        <v>0</v>
      </c>
      <c r="AQ313" s="13">
        <f>AQ303*$I274*2/MAIN!$Q$1</f>
        <v>0</v>
      </c>
      <c r="AR313" s="59">
        <f>AR303*$I274*2/MAIN!$Q$1</f>
        <v>0</v>
      </c>
      <c r="AS313" s="13">
        <f>AS303*$I274*2/MAIN!$Q$1</f>
        <v>0</v>
      </c>
      <c r="AT313" s="13">
        <f>AT303*$I274*2/MAIN!$Q$1</f>
        <v>0</v>
      </c>
      <c r="AU313" s="13">
        <f>AU303*$I274*2/MAIN!$Q$1</f>
        <v>0</v>
      </c>
      <c r="AV313" s="13">
        <f>AV303*$I274*2/MAIN!$Q$1</f>
        <v>0</v>
      </c>
      <c r="AW313" s="13">
        <f>AW303*$I274*2/MAIN!$Q$1</f>
        <v>0</v>
      </c>
      <c r="AX313" s="13">
        <f>AX303*$I274*2/MAIN!$Q$1</f>
        <v>0</v>
      </c>
      <c r="AY313" s="13">
        <f>AY303*$I274*2/MAIN!$Q$1</f>
        <v>0</v>
      </c>
      <c r="AZ313" s="13">
        <f>AZ303*$I274*2/MAIN!$Q$1</f>
        <v>0</v>
      </c>
      <c r="BA313" s="13">
        <f>BA303*$I274*2/MAIN!$Q$1</f>
        <v>0</v>
      </c>
      <c r="BB313" s="13">
        <f>BB303*$I274*2/MAIN!$Q$1</f>
        <v>0</v>
      </c>
      <c r="BC313" s="13">
        <f>BC303*$I274*2/MAIN!$Q$1</f>
        <v>0</v>
      </c>
      <c r="BD313" s="13">
        <f>BD303*$I274*2/MAIN!$Q$1</f>
        <v>0</v>
      </c>
      <c r="BE313" s="13">
        <f>BE303*$I274*2/MAIN!$Q$1</f>
        <v>0</v>
      </c>
      <c r="BF313" s="13">
        <f>BF303*$I274*2/MAIN!$Q$1</f>
        <v>0</v>
      </c>
      <c r="BG313" s="13">
        <f>BG303*$I274*2/MAIN!$Q$1</f>
        <v>0</v>
      </c>
      <c r="BH313" s="13">
        <f>BH303*$I274*2/MAIN!$Q$1</f>
        <v>0</v>
      </c>
      <c r="BI313" s="13">
        <f>BI303*$I274*2/MAIN!$Q$1</f>
        <v>0</v>
      </c>
      <c r="BJ313" s="13">
        <f>BJ303*$I274*2/MAIN!$Q$1</f>
        <v>0</v>
      </c>
      <c r="BK313" s="13">
        <f>BK303*$I274*2/MAIN!$Q$1</f>
        <v>0</v>
      </c>
      <c r="BL313" s="13">
        <f>BL303*$I274*2/MAIN!$Q$1</f>
        <v>0</v>
      </c>
      <c r="BM313" s="13">
        <f>BM303*$I274*2/MAIN!$Q$1</f>
        <v>0</v>
      </c>
      <c r="BN313" s="13">
        <f>BN303*$I274*2/MAIN!$Q$1</f>
        <v>0</v>
      </c>
      <c r="BO313" s="3">
        <f>BO303*$I274*2/MAIN!$Q$1</f>
        <v>0</v>
      </c>
      <c r="BP313" s="43"/>
      <c r="BR313"/>
      <c r="BS313"/>
      <c r="BT313"/>
    </row>
    <row r="314" spans="1:72" ht="16.5">
      <c r="B314" s="14">
        <f t="shared" si="223"/>
        <v>7</v>
      </c>
      <c r="C314" s="298" t="s">
        <v>66</v>
      </c>
      <c r="D314" s="3">
        <f>D304*$I274*2/MAIN!$Q$1</f>
        <v>0</v>
      </c>
      <c r="E314" s="13">
        <f>E304*$I274*2/MAIN!$Q$1</f>
        <v>0</v>
      </c>
      <c r="F314" s="13">
        <f>F304*$I274*2/MAIN!$Q$1</f>
        <v>0</v>
      </c>
      <c r="G314" s="13">
        <f>G304*$I274*2/MAIN!$Q$1</f>
        <v>0</v>
      </c>
      <c r="H314" s="13">
        <f>H304*$I274*2/MAIN!$Q$1</f>
        <v>0</v>
      </c>
      <c r="I314" s="13">
        <f>I304*$I274*2/MAIN!$Q$1</f>
        <v>0</v>
      </c>
      <c r="J314" s="13">
        <f>J304*$I274*2/MAIN!$Q$1</f>
        <v>0</v>
      </c>
      <c r="K314" s="13">
        <f>K304*$I274*2/MAIN!$Q$1</f>
        <v>0</v>
      </c>
      <c r="L314" s="13">
        <f>L304*$I274*2/MAIN!$Q$1</f>
        <v>0</v>
      </c>
      <c r="M314" s="13">
        <f>M304*$I274*2/MAIN!$Q$1</f>
        <v>0</v>
      </c>
      <c r="N314" s="13">
        <f>N304*$I274*2/MAIN!$Q$1</f>
        <v>0</v>
      </c>
      <c r="O314" s="13">
        <f>O304*$I274*2/MAIN!$Q$1</f>
        <v>0</v>
      </c>
      <c r="P314" s="13">
        <f>P304*$I274*2/MAIN!$Q$1</f>
        <v>0</v>
      </c>
      <c r="Q314" s="13">
        <f>Q304*$I274*2/MAIN!$Q$1</f>
        <v>0</v>
      </c>
      <c r="R314" s="13">
        <f>R304*$I274*2/MAIN!$Q$1</f>
        <v>0</v>
      </c>
      <c r="S314" s="13">
        <f>S304*$I274*2/MAIN!$Q$1</f>
        <v>0</v>
      </c>
      <c r="T314" s="13">
        <f>T304*$I274*2/MAIN!$Q$1</f>
        <v>0</v>
      </c>
      <c r="U314" s="13">
        <f>U304*$I274*2/MAIN!$Q$1</f>
        <v>0</v>
      </c>
      <c r="V314" s="13">
        <f>V304*$I274*2/MAIN!$Q$1</f>
        <v>0</v>
      </c>
      <c r="W314" s="13">
        <f>W304*$I274*2/MAIN!$Q$1</f>
        <v>0</v>
      </c>
      <c r="X314" s="13">
        <f>X304*$I274*2/MAIN!$Q$1</f>
        <v>0</v>
      </c>
      <c r="Y314" s="13">
        <f>Y304*$I274*2/MAIN!$Q$1</f>
        <v>0</v>
      </c>
      <c r="Z314" s="13">
        <f>Z304*$I274*2/MAIN!$Q$1</f>
        <v>0</v>
      </c>
      <c r="AA314" s="13">
        <f>AA304*$I274*2/MAIN!$Q$1</f>
        <v>0</v>
      </c>
      <c r="AB314" s="13">
        <f>AB304*$I274*2/MAIN!$Q$1</f>
        <v>0</v>
      </c>
      <c r="AC314" s="13">
        <f>AC304*$I274*2/MAIN!$Q$1</f>
        <v>0</v>
      </c>
      <c r="AD314" s="13">
        <f>AD304*$I274*2/MAIN!$Q$1</f>
        <v>0</v>
      </c>
      <c r="AE314" s="13">
        <f>AE304*$I274*2/MAIN!$Q$1</f>
        <v>0</v>
      </c>
      <c r="AF314" s="13">
        <f>AF304*$I274*2/MAIN!$Q$1</f>
        <v>0</v>
      </c>
      <c r="AG314" s="13">
        <f>AG304*$I274*2/MAIN!$Q$1</f>
        <v>0</v>
      </c>
      <c r="AH314" s="13">
        <f>AH304*$I274*2/MAIN!$Q$1</f>
        <v>0</v>
      </c>
      <c r="AI314" s="13">
        <f>AI304*$I274*2/MAIN!$Q$1</f>
        <v>0</v>
      </c>
      <c r="AJ314" s="13">
        <f>AJ304*$I274*2/MAIN!$Q$1</f>
        <v>0</v>
      </c>
      <c r="AK314" s="13">
        <f>AK304*$I274*2/MAIN!$Q$1</f>
        <v>0</v>
      </c>
      <c r="AL314" s="13">
        <f>AL304*$I274*2/MAIN!$Q$1</f>
        <v>0</v>
      </c>
      <c r="AM314" s="13">
        <f>AM304*$I274*2/MAIN!$Q$1</f>
        <v>0</v>
      </c>
      <c r="AN314" s="13">
        <f>AN304*$I274*2/MAIN!$Q$1</f>
        <v>0</v>
      </c>
      <c r="AO314" s="13">
        <f>AO304*$I274*2/MAIN!$Q$1</f>
        <v>0</v>
      </c>
      <c r="AP314" s="13">
        <f>AP304*$I274*2/MAIN!$Q$1</f>
        <v>0</v>
      </c>
      <c r="AQ314" s="13">
        <f>AQ304*$I274*2/MAIN!$Q$1</f>
        <v>0</v>
      </c>
      <c r="AR314" s="59">
        <f>AR304*$I274*2/MAIN!$Q$1</f>
        <v>0</v>
      </c>
      <c r="AS314" s="13">
        <f>AS304*$I274*2/MAIN!$Q$1</f>
        <v>0</v>
      </c>
      <c r="AT314" s="13">
        <f>AT304*$I274*2/MAIN!$Q$1</f>
        <v>0</v>
      </c>
      <c r="AU314" s="13">
        <f>AU304*$I274*2/MAIN!$Q$1</f>
        <v>0</v>
      </c>
      <c r="AV314" s="13">
        <f>AV304*$I274*2/MAIN!$Q$1</f>
        <v>0</v>
      </c>
      <c r="AW314" s="13">
        <f>AW304*$I274*2/MAIN!$Q$1</f>
        <v>0</v>
      </c>
      <c r="AX314" s="13">
        <f>AX304*$I274*2/MAIN!$Q$1</f>
        <v>0</v>
      </c>
      <c r="AY314" s="13">
        <f>AY304*$I274*2/MAIN!$Q$1</f>
        <v>0</v>
      </c>
      <c r="AZ314" s="13">
        <f>AZ304*$I274*2/MAIN!$Q$1</f>
        <v>0</v>
      </c>
      <c r="BA314" s="13">
        <f>BA304*$I274*2/MAIN!$Q$1</f>
        <v>0</v>
      </c>
      <c r="BB314" s="13">
        <f>BB304*$I274*2/MAIN!$Q$1</f>
        <v>0</v>
      </c>
      <c r="BC314" s="13">
        <f>BC304*$I274*2/MAIN!$Q$1</f>
        <v>0</v>
      </c>
      <c r="BD314" s="13">
        <f>BD304*$I274*2/MAIN!$Q$1</f>
        <v>0</v>
      </c>
      <c r="BE314" s="13">
        <f>BE304*$I274*2/MAIN!$Q$1</f>
        <v>0</v>
      </c>
      <c r="BF314" s="13">
        <f>BF304*$I274*2/MAIN!$Q$1</f>
        <v>0</v>
      </c>
      <c r="BG314" s="13">
        <f>BG304*$I274*2/MAIN!$Q$1</f>
        <v>0</v>
      </c>
      <c r="BH314" s="13">
        <f>BH304*$I274*2/MAIN!$Q$1</f>
        <v>0</v>
      </c>
      <c r="BI314" s="13">
        <f>BI304*$I274*2/MAIN!$Q$1</f>
        <v>0</v>
      </c>
      <c r="BJ314" s="13">
        <f>BJ304*$I274*2/MAIN!$Q$1</f>
        <v>0</v>
      </c>
      <c r="BK314" s="13">
        <f>BK304*$I274*2/MAIN!$Q$1</f>
        <v>0</v>
      </c>
      <c r="BL314" s="13">
        <f>BL304*$I274*2/MAIN!$Q$1</f>
        <v>0</v>
      </c>
      <c r="BM314" s="13">
        <f>BM304*$I274*2/MAIN!$Q$1</f>
        <v>0</v>
      </c>
      <c r="BN314" s="13">
        <f>BN304*$I274*2/MAIN!$Q$1</f>
        <v>0</v>
      </c>
      <c r="BO314" s="3">
        <f>BO304*$I274*2/MAIN!$Q$1</f>
        <v>0</v>
      </c>
      <c r="BP314" s="43"/>
      <c r="BR314"/>
      <c r="BS314"/>
      <c r="BT314"/>
    </row>
    <row r="315" spans="1:72" ht="16.5">
      <c r="B315" s="14">
        <f t="shared" si="223"/>
        <v>8</v>
      </c>
      <c r="C315" s="298" t="s">
        <v>66</v>
      </c>
      <c r="D315" s="3">
        <f>D305*$I274*2/MAIN!$Q$1</f>
        <v>0</v>
      </c>
      <c r="E315" s="13">
        <f>E305*$I274*2/MAIN!$Q$1</f>
        <v>0</v>
      </c>
      <c r="F315" s="13">
        <f>F305*$I274*2/MAIN!$Q$1</f>
        <v>0</v>
      </c>
      <c r="G315" s="13">
        <f>G305*$I274*2/MAIN!$Q$1</f>
        <v>0</v>
      </c>
      <c r="H315" s="13">
        <f>H305*$I274*2/MAIN!$Q$1</f>
        <v>0</v>
      </c>
      <c r="I315" s="13">
        <f>I305*$I274*2/MAIN!$Q$1</f>
        <v>0</v>
      </c>
      <c r="J315" s="13">
        <f>J305*$I274*2/MAIN!$Q$1</f>
        <v>0</v>
      </c>
      <c r="K315" s="13">
        <f>K305*$I274*2/MAIN!$Q$1</f>
        <v>0</v>
      </c>
      <c r="L315" s="13">
        <f>L305*$I274*2/MAIN!$Q$1</f>
        <v>0</v>
      </c>
      <c r="M315" s="13">
        <f>M305*$I274*2/MAIN!$Q$1</f>
        <v>0</v>
      </c>
      <c r="N315" s="13">
        <f>N305*$I274*2/MAIN!$Q$1</f>
        <v>0</v>
      </c>
      <c r="O315" s="13">
        <f>O305*$I274*2/MAIN!$Q$1</f>
        <v>0</v>
      </c>
      <c r="P315" s="13">
        <f>P305*$I274*2/MAIN!$Q$1</f>
        <v>0</v>
      </c>
      <c r="Q315" s="13">
        <f>Q305*$I274*2/MAIN!$Q$1</f>
        <v>0</v>
      </c>
      <c r="R315" s="13">
        <f>R305*$I274*2/MAIN!$Q$1</f>
        <v>0</v>
      </c>
      <c r="S315" s="13">
        <f>S305*$I274*2/MAIN!$Q$1</f>
        <v>0</v>
      </c>
      <c r="T315" s="13">
        <f>T305*$I274*2/MAIN!$Q$1</f>
        <v>0</v>
      </c>
      <c r="U315" s="13">
        <f>U305*$I274*2/MAIN!$Q$1</f>
        <v>0</v>
      </c>
      <c r="V315" s="13">
        <f>V305*$I274*2/MAIN!$Q$1</f>
        <v>0</v>
      </c>
      <c r="W315" s="13">
        <f>W305*$I274*2/MAIN!$Q$1</f>
        <v>0</v>
      </c>
      <c r="X315" s="13">
        <f>X305*$I274*2/MAIN!$Q$1</f>
        <v>0</v>
      </c>
      <c r="Y315" s="13">
        <f>Y305*$I274*2/MAIN!$Q$1</f>
        <v>0</v>
      </c>
      <c r="Z315" s="13">
        <f>Z305*$I274*2/MAIN!$Q$1</f>
        <v>0</v>
      </c>
      <c r="AA315" s="13">
        <f>AA305*$I274*2/MAIN!$Q$1</f>
        <v>0</v>
      </c>
      <c r="AB315" s="13">
        <f>AB305*$I274*2/MAIN!$Q$1</f>
        <v>0</v>
      </c>
      <c r="AC315" s="13">
        <f>AC305*$I274*2/MAIN!$Q$1</f>
        <v>0</v>
      </c>
      <c r="AD315" s="13">
        <f>AD305*$I274*2/MAIN!$Q$1</f>
        <v>0</v>
      </c>
      <c r="AE315" s="13">
        <f>AE305*$I274*2/MAIN!$Q$1</f>
        <v>0</v>
      </c>
      <c r="AF315" s="13">
        <f>AF305*$I274*2/MAIN!$Q$1</f>
        <v>0</v>
      </c>
      <c r="AG315" s="13">
        <f>AG305*$I274*2/MAIN!$Q$1</f>
        <v>0</v>
      </c>
      <c r="AH315" s="13">
        <f>AH305*$I274*2/MAIN!$Q$1</f>
        <v>0</v>
      </c>
      <c r="AI315" s="13">
        <f>AI305*$I274*2/MAIN!$Q$1</f>
        <v>0</v>
      </c>
      <c r="AJ315" s="13">
        <f>AJ305*$I274*2/MAIN!$Q$1</f>
        <v>0</v>
      </c>
      <c r="AK315" s="13">
        <f>AK305*$I274*2/MAIN!$Q$1</f>
        <v>0</v>
      </c>
      <c r="AL315" s="13">
        <f>AL305*$I274*2/MAIN!$Q$1</f>
        <v>0</v>
      </c>
      <c r="AM315" s="13">
        <f>AM305*$I274*2/MAIN!$Q$1</f>
        <v>0</v>
      </c>
      <c r="AN315" s="13">
        <f>AN305*$I274*2/MAIN!$Q$1</f>
        <v>0</v>
      </c>
      <c r="AO315" s="13">
        <f>AO305*$I274*2/MAIN!$Q$1</f>
        <v>0</v>
      </c>
      <c r="AP315" s="13">
        <f>AP305*$I274*2/MAIN!$Q$1</f>
        <v>0</v>
      </c>
      <c r="AQ315" s="13">
        <f>AQ305*$I274*2/MAIN!$Q$1</f>
        <v>0</v>
      </c>
      <c r="AR315" s="59">
        <f>AR305*$I274*2/MAIN!$Q$1</f>
        <v>0</v>
      </c>
      <c r="AS315" s="13">
        <f>AS305*$I274*2/MAIN!$Q$1</f>
        <v>0</v>
      </c>
      <c r="AT315" s="13">
        <f>AT305*$I274*2/MAIN!$Q$1</f>
        <v>0</v>
      </c>
      <c r="AU315" s="13">
        <f>AU305*$I274*2/MAIN!$Q$1</f>
        <v>0</v>
      </c>
      <c r="AV315" s="13">
        <f>AV305*$I274*2/MAIN!$Q$1</f>
        <v>0</v>
      </c>
      <c r="AW315" s="13">
        <f>AW305*$I274*2/MAIN!$Q$1</f>
        <v>0</v>
      </c>
      <c r="AX315" s="13">
        <f>AX305*$I274*2/MAIN!$Q$1</f>
        <v>0</v>
      </c>
      <c r="AY315" s="13">
        <f>AY305*$I274*2/MAIN!$Q$1</f>
        <v>0</v>
      </c>
      <c r="AZ315" s="13">
        <f>AZ305*$I274*2/MAIN!$Q$1</f>
        <v>0</v>
      </c>
      <c r="BA315" s="13">
        <f>BA305*$I274*2/MAIN!$Q$1</f>
        <v>0</v>
      </c>
      <c r="BB315" s="13">
        <f>BB305*$I274*2/MAIN!$Q$1</f>
        <v>0</v>
      </c>
      <c r="BC315" s="13">
        <f>BC305*$I274*2/MAIN!$Q$1</f>
        <v>0</v>
      </c>
      <c r="BD315" s="13">
        <f>BD305*$I274*2/MAIN!$Q$1</f>
        <v>0</v>
      </c>
      <c r="BE315" s="13">
        <f>BE305*$I274*2/MAIN!$Q$1</f>
        <v>0</v>
      </c>
      <c r="BF315" s="13">
        <f>BF305*$I274*2/MAIN!$Q$1</f>
        <v>0</v>
      </c>
      <c r="BG315" s="13">
        <f>BG305*$I274*2/MAIN!$Q$1</f>
        <v>0</v>
      </c>
      <c r="BH315" s="13">
        <f>BH305*$I274*2/MAIN!$Q$1</f>
        <v>0</v>
      </c>
      <c r="BI315" s="13">
        <f>BI305*$I274*2/MAIN!$Q$1</f>
        <v>0</v>
      </c>
      <c r="BJ315" s="13">
        <f>BJ305*$I274*2/MAIN!$Q$1</f>
        <v>0</v>
      </c>
      <c r="BK315" s="13">
        <f>BK305*$I274*2/MAIN!$Q$1</f>
        <v>0</v>
      </c>
      <c r="BL315" s="13">
        <f>BL305*$I274*2/MAIN!$Q$1</f>
        <v>0</v>
      </c>
      <c r="BM315" s="13">
        <f>BM305*$I274*2/MAIN!$Q$1</f>
        <v>0</v>
      </c>
      <c r="BN315" s="13">
        <f>BN305*$I274*2/MAIN!$Q$1</f>
        <v>0</v>
      </c>
      <c r="BO315" s="3">
        <f>BO305*$I274*2/MAIN!$Q$1</f>
        <v>0</v>
      </c>
      <c r="BP315" s="43"/>
      <c r="BR315"/>
      <c r="BS315"/>
      <c r="BT315"/>
    </row>
    <row r="316" spans="1:72" ht="16.5">
      <c r="B316" s="14">
        <f t="shared" si="223"/>
        <v>9</v>
      </c>
      <c r="C316" s="298" t="s">
        <v>66</v>
      </c>
      <c r="D316" s="3">
        <f>D306*$I274*2/MAIN!$Q$1</f>
        <v>0</v>
      </c>
      <c r="E316" s="13">
        <f>E306*$I274*2/MAIN!$Q$1</f>
        <v>0</v>
      </c>
      <c r="F316" s="13">
        <f>F306*$I274*2/MAIN!$Q$1</f>
        <v>0</v>
      </c>
      <c r="G316" s="13">
        <f>G306*$I274*2/MAIN!$Q$1</f>
        <v>0</v>
      </c>
      <c r="H316" s="13">
        <f>H306*$I274*2/MAIN!$Q$1</f>
        <v>0</v>
      </c>
      <c r="I316" s="13">
        <f>I306*$I274*2/MAIN!$Q$1</f>
        <v>0</v>
      </c>
      <c r="J316" s="13">
        <f>J306*$I274*2/MAIN!$Q$1</f>
        <v>0</v>
      </c>
      <c r="K316" s="13">
        <f>K306*$I274*2/MAIN!$Q$1</f>
        <v>0</v>
      </c>
      <c r="L316" s="13">
        <f>L306*$I274*2/MAIN!$Q$1</f>
        <v>0</v>
      </c>
      <c r="M316" s="13">
        <f>M306*$I274*2/MAIN!$Q$1</f>
        <v>0</v>
      </c>
      <c r="N316" s="13">
        <f>N306*$I274*2/MAIN!$Q$1</f>
        <v>0</v>
      </c>
      <c r="O316" s="13">
        <f>O306*$I274*2/MAIN!$Q$1</f>
        <v>0</v>
      </c>
      <c r="P316" s="13">
        <f>P306*$I274*2/MAIN!$Q$1</f>
        <v>0</v>
      </c>
      <c r="Q316" s="13">
        <f>Q306*$I274*2/MAIN!$Q$1</f>
        <v>0</v>
      </c>
      <c r="R316" s="13">
        <f>R306*$I274*2/MAIN!$Q$1</f>
        <v>0</v>
      </c>
      <c r="S316" s="13">
        <f>S306*$I274*2/MAIN!$Q$1</f>
        <v>0</v>
      </c>
      <c r="T316" s="13">
        <f>T306*$I274*2/MAIN!$Q$1</f>
        <v>0</v>
      </c>
      <c r="U316" s="13">
        <f>U306*$I274*2/MAIN!$Q$1</f>
        <v>0</v>
      </c>
      <c r="V316" s="13">
        <f>V306*$I274*2/MAIN!$Q$1</f>
        <v>0</v>
      </c>
      <c r="W316" s="13">
        <f>W306*$I274*2/MAIN!$Q$1</f>
        <v>0</v>
      </c>
      <c r="X316" s="13">
        <f>X306*$I274*2/MAIN!$Q$1</f>
        <v>0</v>
      </c>
      <c r="Y316" s="13">
        <f>Y306*$I274*2/MAIN!$Q$1</f>
        <v>0</v>
      </c>
      <c r="Z316" s="13">
        <f>Z306*$I274*2/MAIN!$Q$1</f>
        <v>0</v>
      </c>
      <c r="AA316" s="13">
        <f>AA306*$I274*2/MAIN!$Q$1</f>
        <v>0</v>
      </c>
      <c r="AB316" s="13">
        <f>AB306*$I274*2/MAIN!$Q$1</f>
        <v>0</v>
      </c>
      <c r="AC316" s="13">
        <f>AC306*$I274*2/MAIN!$Q$1</f>
        <v>0</v>
      </c>
      <c r="AD316" s="13">
        <f>AD306*$I274*2/MAIN!$Q$1</f>
        <v>0</v>
      </c>
      <c r="AE316" s="13">
        <f>AE306*$I274*2/MAIN!$Q$1</f>
        <v>0</v>
      </c>
      <c r="AF316" s="13">
        <f>AF306*$I274*2/MAIN!$Q$1</f>
        <v>0</v>
      </c>
      <c r="AG316" s="13">
        <f>AG306*$I274*2/MAIN!$Q$1</f>
        <v>0</v>
      </c>
      <c r="AH316" s="13">
        <f>AH306*$I274*2/MAIN!$Q$1</f>
        <v>0</v>
      </c>
      <c r="AI316" s="13">
        <f>AI306*$I274*2/MAIN!$Q$1</f>
        <v>0</v>
      </c>
      <c r="AJ316" s="13">
        <f>AJ306*$I274*2/MAIN!$Q$1</f>
        <v>0</v>
      </c>
      <c r="AK316" s="13">
        <f>AK306*$I274*2/MAIN!$Q$1</f>
        <v>0</v>
      </c>
      <c r="AL316" s="13">
        <f>AL306*$I274*2/MAIN!$Q$1</f>
        <v>0</v>
      </c>
      <c r="AM316" s="13">
        <f>AM306*$I274*2/MAIN!$Q$1</f>
        <v>0</v>
      </c>
      <c r="AN316" s="13">
        <f>AN306*$I274*2/MAIN!$Q$1</f>
        <v>0</v>
      </c>
      <c r="AO316" s="13">
        <f>AO306*$I274*2/MAIN!$Q$1</f>
        <v>0</v>
      </c>
      <c r="AP316" s="13">
        <f>AP306*$I274*2/MAIN!$Q$1</f>
        <v>0</v>
      </c>
      <c r="AQ316" s="13">
        <f>AQ306*$I274*2/MAIN!$Q$1</f>
        <v>0</v>
      </c>
      <c r="AR316" s="59">
        <f>AR306*$I274*2/MAIN!$Q$1</f>
        <v>0</v>
      </c>
      <c r="AS316" s="13">
        <f>AS306*$I274*2/MAIN!$Q$1</f>
        <v>0</v>
      </c>
      <c r="AT316" s="13">
        <f>AT306*$I274*2/MAIN!$Q$1</f>
        <v>0</v>
      </c>
      <c r="AU316" s="13">
        <f>AU306*$I274*2/MAIN!$Q$1</f>
        <v>0</v>
      </c>
      <c r="AV316" s="13">
        <f>AV306*$I274*2/MAIN!$Q$1</f>
        <v>0</v>
      </c>
      <c r="AW316" s="13">
        <f>AW306*$I274*2/MAIN!$Q$1</f>
        <v>0</v>
      </c>
      <c r="AX316" s="13">
        <f>AX306*$I274*2/MAIN!$Q$1</f>
        <v>0</v>
      </c>
      <c r="AY316" s="13">
        <f>AY306*$I274*2/MAIN!$Q$1</f>
        <v>0</v>
      </c>
      <c r="AZ316" s="13">
        <f>AZ306*$I274*2/MAIN!$Q$1</f>
        <v>0</v>
      </c>
      <c r="BA316" s="13">
        <f>BA306*$I274*2/MAIN!$Q$1</f>
        <v>0</v>
      </c>
      <c r="BB316" s="13">
        <f>BB306*$I274*2/MAIN!$Q$1</f>
        <v>0</v>
      </c>
      <c r="BC316" s="13">
        <f>BC306*$I274*2/MAIN!$Q$1</f>
        <v>0</v>
      </c>
      <c r="BD316" s="13">
        <f>BD306*$I274*2/MAIN!$Q$1</f>
        <v>0</v>
      </c>
      <c r="BE316" s="13">
        <f>BE306*$I274*2/MAIN!$Q$1</f>
        <v>0</v>
      </c>
      <c r="BF316" s="13">
        <f>BF306*$I274*2/MAIN!$Q$1</f>
        <v>0</v>
      </c>
      <c r="BG316" s="13">
        <f>BG306*$I274*2/MAIN!$Q$1</f>
        <v>0</v>
      </c>
      <c r="BH316" s="13">
        <f>BH306*$I274*2/MAIN!$Q$1</f>
        <v>0</v>
      </c>
      <c r="BI316" s="13">
        <f>BI306*$I274*2/MAIN!$Q$1</f>
        <v>0</v>
      </c>
      <c r="BJ316" s="13">
        <f>BJ306*$I274*2/MAIN!$Q$1</f>
        <v>0</v>
      </c>
      <c r="BK316" s="13">
        <f>BK306*$I274*2/MAIN!$Q$1</f>
        <v>0</v>
      </c>
      <c r="BL316" s="13">
        <f>BL306*$I274*2/MAIN!$Q$1</f>
        <v>0</v>
      </c>
      <c r="BM316" s="13">
        <f>BM306*$I274*2/MAIN!$Q$1</f>
        <v>0</v>
      </c>
      <c r="BN316" s="13">
        <f>BN306*$I274*2/MAIN!$Q$1</f>
        <v>0</v>
      </c>
      <c r="BO316" s="3">
        <f>BO306*$I274*2/MAIN!$Q$1</f>
        <v>0</v>
      </c>
      <c r="BP316" s="43"/>
      <c r="BR316"/>
      <c r="BS316"/>
      <c r="BT316"/>
    </row>
    <row r="317" spans="1:72" ht="16.5">
      <c r="B317" s="290" t="s">
        <v>67</v>
      </c>
      <c r="C317" s="298" t="s">
        <v>68</v>
      </c>
      <c r="D317" s="3">
        <f>D307*$I274*MAIN!$C$16/MAIN!$Q$1</f>
        <v>-349672.92144303798</v>
      </c>
      <c r="E317" s="13">
        <f>E307*$I274*MAIN!$C$16/MAIN!$Q$1</f>
        <v>-349672.92144303798</v>
      </c>
      <c r="F317" s="13">
        <f>F307*$I274*MAIN!$C$16/MAIN!$Q$1</f>
        <v>-349672.92144303798</v>
      </c>
      <c r="G317" s="13">
        <f>G307*$I274*MAIN!$C$16/MAIN!$Q$1</f>
        <v>-349672.92144303798</v>
      </c>
      <c r="H317" s="13">
        <f>H307*$I274*MAIN!$C$16/MAIN!$Q$1</f>
        <v>-349672.92144303798</v>
      </c>
      <c r="I317" s="13">
        <f>I307*$I274*MAIN!$C$16/MAIN!$Q$1</f>
        <v>-349672.92144303798</v>
      </c>
      <c r="J317" s="13">
        <f>J307*$I274*MAIN!$C$16/MAIN!$Q$1</f>
        <v>-349672.92144303798</v>
      </c>
      <c r="K317" s="13">
        <f>K307*$I274*MAIN!$C$16/MAIN!$Q$1</f>
        <v>-349672.92144303798</v>
      </c>
      <c r="L317" s="13">
        <f>L307*$I274*MAIN!$C$16/MAIN!$Q$1</f>
        <v>-349672.92144303798</v>
      </c>
      <c r="M317" s="13">
        <f>M307*$I274*MAIN!$C$16/MAIN!$Q$1</f>
        <v>-349672.92144303798</v>
      </c>
      <c r="N317" s="13">
        <f>N307*$I274*MAIN!$C$16/MAIN!$Q$1</f>
        <v>-349672.92144303798</v>
      </c>
      <c r="O317" s="13">
        <f>O307*$I274*MAIN!$C$16/MAIN!$Q$1</f>
        <v>-349672.92144303798</v>
      </c>
      <c r="P317" s="13">
        <f>P307*$I274*MAIN!$C$16/MAIN!$Q$1</f>
        <v>-349672.92144303798</v>
      </c>
      <c r="Q317" s="13">
        <f>Q307*$I274*MAIN!$C$16/MAIN!$Q$1</f>
        <v>-349672.92144303798</v>
      </c>
      <c r="R317" s="13">
        <f>R307*$I274*MAIN!$C$16/MAIN!$Q$1</f>
        <v>-349672.92144303798</v>
      </c>
      <c r="S317" s="13">
        <f>S307*$I274*MAIN!$C$16/MAIN!$Q$1</f>
        <v>-349672.92144303798</v>
      </c>
      <c r="T317" s="13">
        <f>T307*$I274*MAIN!$C$16/MAIN!$Q$1</f>
        <v>-349672.92144303798</v>
      </c>
      <c r="U317" s="13">
        <f>U307*$I274*MAIN!$C$16/MAIN!$Q$1</f>
        <v>-349672.92144303798</v>
      </c>
      <c r="V317" s="13">
        <f>V307*$I274*MAIN!$C$16/MAIN!$Q$1</f>
        <v>-349672.92144303798</v>
      </c>
      <c r="W317" s="13">
        <f>W307*$I274*MAIN!$C$16/MAIN!$Q$1</f>
        <v>-349672.92144303798</v>
      </c>
      <c r="X317" s="13">
        <f>X307*$I274*MAIN!$C$16/MAIN!$Q$1</f>
        <v>-349672.92144303798</v>
      </c>
      <c r="Y317" s="13">
        <f>Y307*$I274*MAIN!$C$16/MAIN!$Q$1</f>
        <v>-349672.92144303798</v>
      </c>
      <c r="Z317" s="13">
        <f>Z307*$I274*MAIN!$C$16/MAIN!$Q$1</f>
        <v>-349672.92144303798</v>
      </c>
      <c r="AA317" s="13">
        <f>AA307*$I274*MAIN!$C$16/MAIN!$Q$1</f>
        <v>-349672.92144303798</v>
      </c>
      <c r="AB317" s="13">
        <f>AB307*$I274*MAIN!$C$16/MAIN!$Q$1</f>
        <v>-349672.92144303798</v>
      </c>
      <c r="AC317" s="13">
        <f>AC307*$I274*MAIN!$C$16/MAIN!$Q$1</f>
        <v>-349672.92144303798</v>
      </c>
      <c r="AD317" s="13">
        <f>AD307*$I274*MAIN!$C$16/MAIN!$Q$1</f>
        <v>-349672.92144303798</v>
      </c>
      <c r="AE317" s="13">
        <f>AE307*$I274*MAIN!$C$16/MAIN!$Q$1</f>
        <v>-349672.92144303798</v>
      </c>
      <c r="AF317" s="13">
        <f>AF307*$I274*MAIN!$C$16/MAIN!$Q$1</f>
        <v>-349672.92144303798</v>
      </c>
      <c r="AG317" s="13">
        <f>AG307*$I274*MAIN!$C$16/MAIN!$Q$1</f>
        <v>-349672.92144303798</v>
      </c>
      <c r="AH317" s="13">
        <f>AH307*$I274*MAIN!$C$16/MAIN!$Q$1</f>
        <v>-349672.92144303798</v>
      </c>
      <c r="AI317" s="13">
        <f>AI307*$I274*MAIN!$C$16/MAIN!$Q$1</f>
        <v>-349672.92144303798</v>
      </c>
      <c r="AJ317" s="13">
        <f>AJ307*$I274*MAIN!$C$16/MAIN!$Q$1</f>
        <v>-349672.92144303798</v>
      </c>
      <c r="AK317" s="13">
        <f>AK307*$I274*MAIN!$C$16/MAIN!$Q$1</f>
        <v>-349672.92144303798</v>
      </c>
      <c r="AL317" s="13">
        <f>AL307*$I274*MAIN!$C$16/MAIN!$Q$1</f>
        <v>-349672.92144303798</v>
      </c>
      <c r="AM317" s="13">
        <f>AM307*$I274*MAIN!$C$16/MAIN!$Q$1</f>
        <v>-349672.92144303798</v>
      </c>
      <c r="AN317" s="13">
        <f>AN307*$I274*MAIN!$C$16/MAIN!$Q$1</f>
        <v>-349672.92144303798</v>
      </c>
      <c r="AO317" s="13">
        <f>AO307*$I274*MAIN!$C$16/MAIN!$Q$1</f>
        <v>-349672.92144303798</v>
      </c>
      <c r="AP317" s="13">
        <f>AP307*$I274*MAIN!$C$16/MAIN!$Q$1</f>
        <v>-349672.92144303798</v>
      </c>
      <c r="AQ317" s="13">
        <f>AQ307*$I274*MAIN!$C$16/MAIN!$Q$1</f>
        <v>-349672.92144303798</v>
      </c>
      <c r="AR317" s="59">
        <f>AR307*$I274*MAIN!$C$16/MAIN!$Q$1</f>
        <v>-349672.92144303798</v>
      </c>
      <c r="AS317" s="13">
        <f>AS307*$I274*MAIN!$C$16/MAIN!$Q$1</f>
        <v>-287316.13725025055</v>
      </c>
      <c r="AT317" s="13">
        <f>AT307*$I274*MAIN!$C$16/MAIN!$Q$1</f>
        <v>-232935.46820692008</v>
      </c>
      <c r="AU317" s="13">
        <f>AU307*$I274*MAIN!$C$16/MAIN!$Q$1</f>
        <v>-185092.55653309307</v>
      </c>
      <c r="AV317" s="13">
        <f>AV307*$I274*MAIN!$C$16/MAIN!$Q$1</f>
        <v>-142675.2788963168</v>
      </c>
      <c r="AW317" s="13">
        <f>AW307*$I274*MAIN!$C$16/MAIN!$Q$1</f>
        <v>-104810.21781853036</v>
      </c>
      <c r="AX317" s="13">
        <f>AX307*$I274*MAIN!$C$16/MAIN!$Q$1</f>
        <v>-70801.878591453162</v>
      </c>
      <c r="AY317" s="13">
        <f>AY307*$I274*MAIN!$C$16/MAIN!$Q$1</f>
        <v>-40089.579222246073</v>
      </c>
      <c r="AZ317" s="13">
        <f>AZ307*$I274*MAIN!$C$16/MAIN!$Q$1</f>
        <v>-12216.295536183339</v>
      </c>
      <c r="BA317" s="13">
        <f>BA307*$I274*MAIN!$C$16/MAIN!$Q$1</f>
        <v>13194.235619143528</v>
      </c>
      <c r="BB317" s="13">
        <f>BB307*$I274*MAIN!$C$16/MAIN!$Q$1</f>
        <v>36454.600786805328</v>
      </c>
      <c r="BC317" s="13">
        <f>BC307*$I274*MAIN!$C$16/MAIN!$Q$1</f>
        <v>57826.633452056078</v>
      </c>
      <c r="BD317" s="13">
        <f>BD307*$I274*MAIN!$C$16/MAIN!$Q$1</f>
        <v>77531.312875635515</v>
      </c>
      <c r="BE317" s="13">
        <f>BE307*$I274*MAIN!$C$16/MAIN!$Q$1</f>
        <v>93898.009300912818</v>
      </c>
      <c r="BF317" s="13">
        <f>BF307*$I274*MAIN!$C$16/MAIN!$Q$1</f>
        <v>88533.212273650817</v>
      </c>
      <c r="BG317" s="13">
        <f>BG307*$I274*MAIN!$C$16/MAIN!$Q$1</f>
        <v>99746.739198596275</v>
      </c>
      <c r="BH317" s="13">
        <f>BH307*$I274*MAIN!$C$16/MAIN!$Q$1</f>
        <v>109607.73365700735</v>
      </c>
      <c r="BI317" s="13">
        <f>BI307*$I274*MAIN!$C$16/MAIN!$Q$1</f>
        <v>118346.98318850146</v>
      </c>
      <c r="BJ317" s="13">
        <f>BJ307*$I274*MAIN!$C$16/MAIN!$Q$1</f>
        <v>126145.59426236535</v>
      </c>
      <c r="BK317" s="13">
        <f>BK307*$I274*MAIN!$C$16/MAIN!$Q$1</f>
        <v>133147.67797614346</v>
      </c>
      <c r="BL317" s="13">
        <f>BL307*$I274*MAIN!$C$16/MAIN!$Q$1</f>
        <v>190070.54433238733</v>
      </c>
      <c r="BM317" s="13">
        <f>BM307*$I274*MAIN!$C$16/MAIN!$Q$1</f>
        <v>212344.70942830879</v>
      </c>
      <c r="BN317" s="13">
        <f>BN307*$I274*MAIN!$C$16/MAIN!$Q$1</f>
        <v>224224.26414613362</v>
      </c>
      <c r="BO317" s="3">
        <f>BO307*$I274*MAIN!$C$16/MAIN!$Q$1</f>
        <v>263257.08679041517</v>
      </c>
      <c r="BR317"/>
      <c r="BS317"/>
      <c r="BT317"/>
    </row>
    <row r="318" spans="1:72" ht="16.5">
      <c r="B318" s="290" t="s">
        <v>69</v>
      </c>
      <c r="C318" s="298" t="s">
        <v>70</v>
      </c>
      <c r="D318" s="3">
        <f>MAX($F274-$C$8/2*D277,$F274-MAIN!$C$14/2)</f>
        <v>244.30220518127851</v>
      </c>
      <c r="E318" s="304">
        <f>MAX($F274-$C$8/2*E277,$F274-MAIN!$C$14/2)</f>
        <v>242.9778301283749</v>
      </c>
      <c r="F318" s="304">
        <f>MAX($F274-$C$8/2*F277,$F274-MAIN!$C$14/2)</f>
        <v>241.6534550754713</v>
      </c>
      <c r="G318" s="304">
        <f>MAX($F274-$C$8/2*G277,$F274-MAIN!$C$14/2)</f>
        <v>240.32908002256767</v>
      </c>
      <c r="H318" s="304">
        <f>MAX($F274-$C$8/2*H277,$F274-MAIN!$C$14/2)</f>
        <v>239.00470496966406</v>
      </c>
      <c r="I318" s="304">
        <f>MAX($F274-$C$8/2*I277,$F274-MAIN!$C$14/2)</f>
        <v>237.68032991676046</v>
      </c>
      <c r="J318" s="304">
        <f>MAX($F274-$C$8/2*J277,$F274-MAIN!$C$14/2)</f>
        <v>236.35595486385685</v>
      </c>
      <c r="K318" s="304">
        <f>MAX($F274-$C$8/2*K277,$F274-MAIN!$C$14/2)</f>
        <v>235.03157981095325</v>
      </c>
      <c r="L318" s="304">
        <f>MAX($F274-$C$8/2*L277,$F274-MAIN!$C$14/2)</f>
        <v>233.70720475804961</v>
      </c>
      <c r="M318" s="304">
        <f>MAX($F274-$C$8/2*M277,$F274-MAIN!$C$14/2)</f>
        <v>232.38282970514601</v>
      </c>
      <c r="N318" s="304">
        <f>MAX($F274-$C$8/2*N277,$F274-MAIN!$C$14/2)</f>
        <v>231.0584546522424</v>
      </c>
      <c r="O318" s="304">
        <f>MAX($F274-$C$8/2*O277,$F274-MAIN!$C$14/2)</f>
        <v>229.7340795993388</v>
      </c>
      <c r="P318" s="304">
        <f>MAX($F274-$C$8/2*P277,$F274-MAIN!$C$14/2)</f>
        <v>228.40970454643519</v>
      </c>
      <c r="Q318" s="304">
        <f>MAX($F274-$C$8/2*Q277,$F274-MAIN!$C$14/2)</f>
        <v>227.08532949353156</v>
      </c>
      <c r="R318" s="304">
        <f>MAX($F274-$C$8/2*R277,$F274-MAIN!$C$14/2)</f>
        <v>225.76095444062796</v>
      </c>
      <c r="S318" s="304">
        <f>MAX($F274-$C$8/2*S277,$F274-MAIN!$C$14/2)</f>
        <v>224.43657938772435</v>
      </c>
      <c r="T318" s="304">
        <f>MAX($F274-$C$8/2*T277,$F274-MAIN!$C$14/2)</f>
        <v>223.11220433482075</v>
      </c>
      <c r="U318" s="304">
        <f>MAX($F274-$C$8/2*U277,$F274-MAIN!$C$14/2)</f>
        <v>221.78782928191714</v>
      </c>
      <c r="V318" s="304">
        <f>MAX($F274-$C$8/2*V277,$F274-MAIN!$C$14/2)</f>
        <v>220.46345422901351</v>
      </c>
      <c r="W318" s="304">
        <f>MAX($F274-$C$8/2*W277,$F274-MAIN!$C$14/2)</f>
        <v>219.1390791761099</v>
      </c>
      <c r="X318" s="304">
        <f>MAX($F274-$C$8/2*X277,$F274-MAIN!$C$14/2)</f>
        <v>217.8147041232063</v>
      </c>
      <c r="Y318" s="304">
        <f>MAX($F274-$C$8/2*Y277,$F274-MAIN!$C$14/2)</f>
        <v>216.49032907030269</v>
      </c>
      <c r="Z318" s="304">
        <f>MAX($F274-$C$8/2*Z277,$F274-MAIN!$C$14/2)</f>
        <v>215.16595401739909</v>
      </c>
      <c r="AA318" s="304">
        <f>MAX($F274-$C$8/2*AA277,$F274-MAIN!$C$14/2)</f>
        <v>213.84157896449545</v>
      </c>
      <c r="AB318" s="304">
        <f>MAX($F274-$C$8/2*AB277,$F274-MAIN!$C$14/2)</f>
        <v>212.51720391159185</v>
      </c>
      <c r="AC318" s="304">
        <f>MAX($F274-$C$8/2*AC277,$F274-MAIN!$C$14/2)</f>
        <v>211.19282885868824</v>
      </c>
      <c r="AD318" s="304">
        <f>MAX($F274-$C$8/2*AD277,$F274-MAIN!$C$14/2)</f>
        <v>209.86845380578464</v>
      </c>
      <c r="AE318" s="304">
        <f>MAX($F274-$C$8/2*AE277,$F274-MAIN!$C$14/2)</f>
        <v>208.54407875288103</v>
      </c>
      <c r="AF318" s="304">
        <f>MAX($F274-$C$8/2*AF277,$F274-MAIN!$C$14/2)</f>
        <v>207.2197036999774</v>
      </c>
      <c r="AG318" s="304">
        <f>MAX($F274-$C$8/2*AG277,$F274-MAIN!$C$14/2)</f>
        <v>205.8953286470738</v>
      </c>
      <c r="AH318" s="304">
        <f>MAX($F274-$C$8/2*AH277,$F274-MAIN!$C$14/2)</f>
        <v>204.57095359417019</v>
      </c>
      <c r="AI318" s="304">
        <f>MAX($F274-$C$8/2*AI277,$F274-MAIN!$C$14/2)</f>
        <v>203.24657854126659</v>
      </c>
      <c r="AJ318" s="304">
        <f>MAX($F274-$C$8/2*AJ277,$F274-MAIN!$C$14/2)</f>
        <v>201.92220348836298</v>
      </c>
      <c r="AK318" s="304">
        <f>MAX($F274-$C$8/2*AK277,$F274-MAIN!$C$14/2)</f>
        <v>200.59782843545935</v>
      </c>
      <c r="AL318" s="304">
        <f>MAX($F274-$C$8/2*AL277,$F274-MAIN!$C$14/2)</f>
        <v>199.27345338255574</v>
      </c>
      <c r="AM318" s="304">
        <f>MAX($F274-$C$8/2*AM277,$F274-MAIN!$C$14/2)</f>
        <v>197.94907832965214</v>
      </c>
      <c r="AN318" s="304">
        <f>MAX($F274-$C$8/2*AN277,$F274-MAIN!$C$14/2)</f>
        <v>196.62470327674853</v>
      </c>
      <c r="AO318" s="304">
        <f>MAX($F274-$C$8/2*AO277,$F274-MAIN!$C$14/2)</f>
        <v>195.30032822384493</v>
      </c>
      <c r="AP318" s="304">
        <f>MAX($F274-$C$8/2*AP277,$F274-MAIN!$C$14/2)</f>
        <v>193.9759531709413</v>
      </c>
      <c r="AQ318" s="304">
        <f>MAX($F274-$C$8/2*AQ277,$F274-MAIN!$C$14/2)</f>
        <v>192.65157811803769</v>
      </c>
      <c r="AR318" s="56">
        <f>MAX($F274-$C$8/2*AR277,$F274-MAIN!$C$14/2)</f>
        <v>191.32720306513411</v>
      </c>
      <c r="AS318" s="304">
        <f>MAX($F274-$C$8/2*AS277,$F274-MAIN!$C$14/2)</f>
        <v>186.73103448275862</v>
      </c>
      <c r="AT318" s="304">
        <f>MAX($F274-$C$8/2*AT277,$F274-MAIN!$C$14/2)</f>
        <v>182.13486590038315</v>
      </c>
      <c r="AU318" s="304">
        <f>MAX($F274-$C$8/2*AU277,$F274-MAIN!$C$14/2)</f>
        <v>177.53869731800768</v>
      </c>
      <c r="AV318" s="304">
        <f>MAX($F274-$C$8/2*AV277,$F274-MAIN!$C$14/2)</f>
        <v>172.94252873563218</v>
      </c>
      <c r="AW318" s="304">
        <f>MAX($F274-$C$8/2*AW277,$F274-MAIN!$C$14/2)</f>
        <v>168.34636015325668</v>
      </c>
      <c r="AX318" s="304">
        <f>MAX($F274-$C$8/2*AX277,$F274-MAIN!$C$14/2)</f>
        <v>163.75019157088121</v>
      </c>
      <c r="AY318" s="304">
        <f>MAX($F274-$C$8/2*AY277,$F274-MAIN!$C$14/2)</f>
        <v>159.15402298850574</v>
      </c>
      <c r="AZ318" s="304">
        <f>MAX($F274-$C$8/2*AZ277,$F274-MAIN!$C$14/2)</f>
        <v>154.55785440613028</v>
      </c>
      <c r="BA318" s="304">
        <f>MAX($F274-$C$8/2*BA277,$F274-MAIN!$C$14/2)</f>
        <v>149.96168582375478</v>
      </c>
      <c r="BB318" s="304">
        <f>MAX($F274-$C$8/2*BB277,$F274-MAIN!$C$14/2)</f>
        <v>145.36551724137928</v>
      </c>
      <c r="BC318" s="304">
        <f>MAX($F274-$C$8/2*BC277,$F274-MAIN!$C$14/2)</f>
        <v>140.76934865900381</v>
      </c>
      <c r="BD318" s="304">
        <f>MAX($F274-$C$8/2*BD277,$F274-MAIN!$C$14/2)</f>
        <v>136.17318007662834</v>
      </c>
      <c r="BE318" s="304">
        <f>MAX($F274-$C$8/2*BE277,$F274-MAIN!$C$14/2)</f>
        <v>131.57701149425287</v>
      </c>
      <c r="BF318" s="304">
        <f>MAX($F274-$C$8/2*BF277,$F274-MAIN!$C$14/2)</f>
        <v>126.98084291187737</v>
      </c>
      <c r="BG318" s="304">
        <f>MAX($F274-$C$8/2*BG277,$F274-MAIN!$C$14/2)</f>
        <v>122.38467432950191</v>
      </c>
      <c r="BH318" s="304">
        <f>MAX($F274-$C$8/2*BH277,$F274-MAIN!$C$14/2)</f>
        <v>117.78850574712641</v>
      </c>
      <c r="BI318" s="304">
        <f>MAX($F274-$C$8/2*BI277,$F274-MAIN!$C$14/2)</f>
        <v>113.19233716475094</v>
      </c>
      <c r="BJ318" s="304">
        <f>MAX($F274-$C$8/2*BJ277,$F274-MAIN!$C$14/2)</f>
        <v>108.59616858237544</v>
      </c>
      <c r="BK318" s="304">
        <f>MAX($F274-$C$8/2*BK277,$F274-MAIN!$C$14/2)</f>
        <v>104</v>
      </c>
      <c r="BL318" s="304">
        <f>MAX($F274-$C$8/2*BL277,$F274-MAIN!$C$14/2)</f>
        <v>104</v>
      </c>
      <c r="BM318" s="304">
        <f>MAX($F274-$C$8/2*BM277,$F274-MAIN!$C$14/2)</f>
        <v>104</v>
      </c>
      <c r="BN318" s="304">
        <f>MAX($F274-$C$8/2*BN277,$F274-MAIN!$C$14/2)</f>
        <v>104</v>
      </c>
      <c r="BO318" s="3">
        <f>$F274-MAIN!$C$14/2</f>
        <v>104</v>
      </c>
      <c r="BR318"/>
      <c r="BS318"/>
      <c r="BT318"/>
    </row>
    <row r="319" spans="1:72" ht="16.5">
      <c r="A319" s="227">
        <f>IF(I274=0,0,1)</f>
        <v>1</v>
      </c>
      <c r="B319" s="295" t="s">
        <v>31</v>
      </c>
      <c r="C319" s="298" t="s">
        <v>71</v>
      </c>
      <c r="D319" s="3">
        <f>$A319*(D278+SUM(D308:D317))/1000</f>
        <v>-171.78580474762688</v>
      </c>
      <c r="E319" s="304">
        <f t="shared" ref="E319:BO319" si="224">$A319*(E278+SUM(E308:E317))/1000</f>
        <v>-99.739801869670401</v>
      </c>
      <c r="F319" s="304">
        <f t="shared" si="224"/>
        <v>45.955811659094529</v>
      </c>
      <c r="G319" s="304">
        <f t="shared" si="224"/>
        <v>199.27990845771112</v>
      </c>
      <c r="H319" s="304">
        <f t="shared" si="224"/>
        <v>338.24714469195544</v>
      </c>
      <c r="I319" s="304">
        <f t="shared" si="224"/>
        <v>466.35278733827141</v>
      </c>
      <c r="J319" s="304">
        <f t="shared" si="224"/>
        <v>586.04267409515239</v>
      </c>
      <c r="K319" s="304">
        <f t="shared" si="224"/>
        <v>699.07956913170847</v>
      </c>
      <c r="L319" s="304">
        <f t="shared" si="224"/>
        <v>806.76606129632466</v>
      </c>
      <c r="M319" s="304">
        <f t="shared" si="224"/>
        <v>910.08552722756144</v>
      </c>
      <c r="N319" s="304">
        <f t="shared" si="224"/>
        <v>1009.7942691506422</v>
      </c>
      <c r="O319" s="304">
        <f t="shared" si="224"/>
        <v>1088.2538657585835</v>
      </c>
      <c r="P319" s="304">
        <f t="shared" si="224"/>
        <v>1182.3923564297756</v>
      </c>
      <c r="Q319" s="304">
        <f t="shared" si="224"/>
        <v>1274.3566618600298</v>
      </c>
      <c r="R319" s="304">
        <f t="shared" si="224"/>
        <v>1364.4526815551319</v>
      </c>
      <c r="S319" s="304">
        <f t="shared" si="224"/>
        <v>1452.9315005689837</v>
      </c>
      <c r="T319" s="304">
        <f t="shared" si="224"/>
        <v>1540.0011408913394</v>
      </c>
      <c r="U319" s="304">
        <f t="shared" si="224"/>
        <v>1625.8354139477406</v>
      </c>
      <c r="V319" s="304">
        <f t="shared" si="224"/>
        <v>1710.5806755614174</v>
      </c>
      <c r="W319" s="304">
        <f t="shared" si="224"/>
        <v>1794.3610411790917</v>
      </c>
      <c r="X319" s="304">
        <f t="shared" si="224"/>
        <v>1877.2824558390564</v>
      </c>
      <c r="Y319" s="304">
        <f t="shared" si="224"/>
        <v>1959.4359019353324</v>
      </c>
      <c r="Z319" s="304">
        <f t="shared" si="224"/>
        <v>2040.8999506068351</v>
      </c>
      <c r="AA319" s="304">
        <f t="shared" si="224"/>
        <v>2121.7428082765769</v>
      </c>
      <c r="AB319" s="304">
        <f t="shared" si="224"/>
        <v>2202.0239711654067</v>
      </c>
      <c r="AC319" s="304">
        <f t="shared" si="224"/>
        <v>2281.7955726800883</v>
      </c>
      <c r="AD319" s="304">
        <f t="shared" si="224"/>
        <v>2361.1034881930063</v>
      </c>
      <c r="AE319" s="304">
        <f t="shared" si="224"/>
        <v>2439.9882466928784</v>
      </c>
      <c r="AF319" s="304">
        <f t="shared" si="224"/>
        <v>2518.4857875795697</v>
      </c>
      <c r="AG319" s="304">
        <f t="shared" si="224"/>
        <v>2596.6280924465018</v>
      </c>
      <c r="AH319" s="304">
        <f t="shared" si="224"/>
        <v>2670.7105095059114</v>
      </c>
      <c r="AI319" s="304">
        <f t="shared" si="224"/>
        <v>2742.7565123838681</v>
      </c>
      <c r="AJ319" s="304">
        <f t="shared" si="224"/>
        <v>2814.8025152618243</v>
      </c>
      <c r="AK319" s="304">
        <f t="shared" si="224"/>
        <v>2886.8485181397809</v>
      </c>
      <c r="AL319" s="304">
        <f t="shared" si="224"/>
        <v>2958.8945210177371</v>
      </c>
      <c r="AM319" s="304">
        <f t="shared" si="224"/>
        <v>3030.9405238956938</v>
      </c>
      <c r="AN319" s="304">
        <f t="shared" si="224"/>
        <v>3102.98652677365</v>
      </c>
      <c r="AO319" s="304">
        <f t="shared" si="224"/>
        <v>3175.0325296516066</v>
      </c>
      <c r="AP319" s="304">
        <f t="shared" si="224"/>
        <v>3247.0785325295628</v>
      </c>
      <c r="AQ319" s="304">
        <f t="shared" si="224"/>
        <v>3319.1245354075199</v>
      </c>
      <c r="AR319" s="61">
        <f t="shared" si="224"/>
        <v>3391.1705382854748</v>
      </c>
      <c r="AS319" s="304">
        <f t="shared" si="224"/>
        <v>3703.5588933594868</v>
      </c>
      <c r="AT319" s="304">
        <f t="shared" si="224"/>
        <v>4007.9711332840443</v>
      </c>
      <c r="AU319" s="304">
        <f t="shared" si="224"/>
        <v>4305.8456158390973</v>
      </c>
      <c r="AV319" s="304">
        <f t="shared" si="224"/>
        <v>4598.2944643571009</v>
      </c>
      <c r="AW319" s="304">
        <f t="shared" si="224"/>
        <v>4886.1910963161145</v>
      </c>
      <c r="AX319" s="304">
        <f t="shared" si="224"/>
        <v>5170.2310064244166</v>
      </c>
      <c r="AY319" s="304">
        <f t="shared" si="224"/>
        <v>5450.9748766748498</v>
      </c>
      <c r="AZ319" s="304">
        <f t="shared" si="224"/>
        <v>5728.8797312421384</v>
      </c>
      <c r="BA319" s="304">
        <f t="shared" si="224"/>
        <v>6004.321833278691</v>
      </c>
      <c r="BB319" s="304">
        <f t="shared" si="224"/>
        <v>6277.6137693275787</v>
      </c>
      <c r="BC319" s="304">
        <f t="shared" si="224"/>
        <v>6549.0173728740565</v>
      </c>
      <c r="BD319" s="304">
        <f t="shared" si="224"/>
        <v>6818.7536231788608</v>
      </c>
      <c r="BE319" s="304">
        <f t="shared" si="224"/>
        <v>7085.1518904853656</v>
      </c>
      <c r="BF319" s="304">
        <f t="shared" si="224"/>
        <v>7329.8186643393292</v>
      </c>
      <c r="BG319" s="304">
        <f t="shared" si="224"/>
        <v>7591.0637621455007</v>
      </c>
      <c r="BH319" s="304">
        <f t="shared" si="224"/>
        <v>7850.9563274851398</v>
      </c>
      <c r="BI319" s="304">
        <f t="shared" si="224"/>
        <v>8109.7271478978582</v>
      </c>
      <c r="BJ319" s="304">
        <f t="shared" si="224"/>
        <v>8367.5573298529507</v>
      </c>
      <c r="BK319" s="304">
        <f t="shared" si="224"/>
        <v>8624.5909844479502</v>
      </c>
      <c r="BL319" s="304">
        <f>$A319*(BL278+SUM(BL308:BL317))/1000</f>
        <v>8681.5138508041946</v>
      </c>
      <c r="BM319" s="304">
        <f>$A319*(BM278+SUM(BM308:BM317))/1000</f>
        <v>8686.5141735808302</v>
      </c>
      <c r="BN319" s="304">
        <f>$A319*(BN278+SUM(BN308:BN317))/1000</f>
        <v>8686.5141735808302</v>
      </c>
      <c r="BO319" s="3">
        <f t="shared" si="224"/>
        <v>8686.5141735808302</v>
      </c>
      <c r="BR319"/>
      <c r="BS319"/>
      <c r="BT319"/>
    </row>
    <row r="320" spans="1:72" ht="16.5">
      <c r="B320" s="295" t="s">
        <v>72</v>
      </c>
      <c r="C320" s="298" t="s">
        <v>73</v>
      </c>
      <c r="D320" s="3">
        <f>$A319*IF(D319+E319=0,0,IF(D319=0,2*E320-F320,(D278*D318+D308*($F274-$C274)+D309*($F274-$D279)+D310*($F274-$D280)+D311*($F274-$D281)+D312*($F274-$D282)+D313*($F274-$D283)+D314*($F274-$D284)+D315*($F274-$D285)+D316*($F274-$D286))/1000000-D319*($F274-MAIN!$C$14/2)/1000))</f>
        <v>74.017836716343794</v>
      </c>
      <c r="E320" s="304">
        <f>$A319*IF(E319+F319=0,0,IF(E319=0,2*F320-G320,(E278*E318+E308*($F274-$C274)+E309*($F274-$D279)+E310*($F274-$D280)+E311*($F274-$D281)+E312*($F274-$D282)+E313*($F274-$D283)+E314*($F274-$D284)+E315*($F274-$D285)+E316*($F274-$D286))/1000000-E319*($F274-MAIN!$C$14/2)/1000))</f>
        <v>83.331946512325416</v>
      </c>
      <c r="F320" s="304">
        <f>$A319*IF(F319+G319=0,0,IF(F319=0,2*G320-H320,(F278*F318+F308*($F274-$C274)+F309*($F274-$D279)+F310*($F274-$D280)+F311*($F274-$D281)+F312*($F274-$D282)+F313*($F274-$D283)+F314*($F274-$D284)+F315*($F274-$D285)+F316*($F274-$D286))/1000000-F319*($F274-MAIN!$C$14/2)/1000))</f>
        <v>100.11478395824513</v>
      </c>
      <c r="G320" s="304">
        <f>$A319*IF(G319+H319=0,0,IF(G319=0,2*H320-I320,(G278*G318+G308*($F274-$C274)+G309*($F274-$D279)+G310*($F274-$D280)+G311*($F274-$D281)+G312*($F274-$D282)+G313*($F274-$D283)+G314*($F274-$D284)+G315*($F274-$D285)+G316*($F274-$D286))/1000000-G319*($F274-MAIN!$C$14/2)/1000))</f>
        <v>117.50015180648339</v>
      </c>
      <c r="H320" s="304">
        <f>$A319*IF(H319+I319=0,0,IF(H319=0,2*I320-J320,(H278*H318+H308*($F274-$C274)+H309*($F274-$D279)+H310*($F274-$D280)+H311*($F274-$D281)+H312*($F274-$D282)+H313*($F274-$D283)+H314*($F274-$D284)+H315*($F274-$D285)+H316*($F274-$D286))/1000000-H319*($F274-MAIN!$C$14/2)/1000))</f>
        <v>133.20157429828103</v>
      </c>
      <c r="I320" s="304">
        <f>$A319*IF(I319+J319=0,0,IF(I319=0,2*J320-K320,(I278*I318+I308*($F274-$C274)+I309*($F274-$D279)+I310*($F274-$D280)+I311*($F274-$D281)+I312*($F274-$D282)+I313*($F274-$D283)+I314*($F274-$D284)+I315*($F274-$D285)+I316*($F274-$D286))/1000000-I319*($F274-MAIN!$C$14/2)/1000))</f>
        <v>147.58255919918813</v>
      </c>
      <c r="J320" s="304">
        <f>$A319*IF(J319+K319=0,0,IF(J319=0,2*K320-L320,(J278*J318+J308*($F274-$C274)+J309*($F274-$D279)+J310*($F274-$D280)+J311*($F274-$D281)+J312*($F274-$D282)+J313*($F274-$D283)+J314*($F274-$D284)+J315*($F274-$D285)+J316*($F274-$D286))/1000000-J319*($F274-MAIN!$C$14/2)/1000))</f>
        <v>160.89747362984804</v>
      </c>
      <c r="K320" s="304">
        <f>$A319*IF(K319+L319=0,0,IF(K319=0,2*L320-M320,(K278*K318+K308*($F274-$C274)+K309*($F274-$D279)+K310*($F274-$D280)+K311*($F274-$D281)+K312*($F274-$D282)+K313*($F274-$D283)+K314*($F274-$D284)+K315*($F274-$D285)+K316*($F274-$D286))/1000000-K319*($F274-MAIN!$C$14/2)/1000))</f>
        <v>173.32964506384815</v>
      </c>
      <c r="L320" s="304">
        <f>$A319*IF(L319+M319=0,0,IF(L319=0,2*M320-N320,(L278*L318+L308*($F274-$C274)+L309*($F274-$D279)+L310*($F274-$D280)+L311*($F274-$D281)+L312*($F274-$D282)+L313*($F274-$D283)+L314*($F274-$D284)+L315*($F274-$D285)+L316*($F274-$D286))/1000000-L319*($F274-MAIN!$C$14/2)/1000))</f>
        <v>185.01454274142054</v>
      </c>
      <c r="M320" s="304">
        <f>$A319*IF(M319+N319=0,0,IF(M319=0,2*N320-O320,(M278*M318+M308*($F274-$C274)+M309*($F274-$D279)+M310*($F274-$D280)+M311*($F274-$D281)+M312*($F274-$D282)+M313*($F274-$D283)+M314*($F274-$D284)+M315*($F274-$D285)+M316*($F274-$D286))/1000000-M319*($F274-MAIN!$C$14/2)/1000))</f>
        <v>196.05443783297545</v>
      </c>
      <c r="N320" s="304">
        <f>$A319*IF(N319+O319=0,0,IF(N319=0,2*O320-P320,(N278*N318+N308*($F274-$C274)+N309*($F274-$D279)+N310*($F274-$D280)+N311*($F274-$D281)+N312*($F274-$D282)+N313*($F274-$D283)+N314*($F274-$D284)+N315*($F274-$D285)+N316*($F274-$D286))/1000000-N319*($F274-MAIN!$C$14/2)/1000))</f>
        <v>206.52798576993621</v>
      </c>
      <c r="O320" s="304">
        <f>$A319*IF(O319+P319=0,0,IF(O319=0,2*P320-Q320,(O278*O318+O308*($F274-$C274)+O309*($F274-$D279)+O310*($F274-$D280)+O311*($F274-$D281)+O312*($F274-$D282)+O313*($F274-$D283)+O314*($F274-$D284)+O315*($F274-$D285)+O316*($F274-$D286))/1000000-O319*($F274-MAIN!$C$14/2)/1000))</f>
        <v>214.6007907363765</v>
      </c>
      <c r="P320" s="304">
        <f>$A319*IF(P319+Q319=0,0,IF(P319=0,2*Q320-R320,(P278*P318+P308*($F274-$C274)+P309*($F274-$D279)+P310*($F274-$D280)+P311*($F274-$D281)+P312*($F274-$D282)+P313*($F274-$D283)+P314*($F274-$D284)+P315*($F274-$D285)+P316*($F274-$D286))/1000000-P319*($F274-MAIN!$C$14/2)/1000))</f>
        <v>224.11336882764897</v>
      </c>
      <c r="Q320" s="304">
        <f>$A319*IF(Q319+R319=0,0,IF(Q319=0,2*R320-S320,(Q278*Q318+Q308*($F274-$C274)+Q309*($F274-$D279)+Q310*($F274-$D280)+Q311*($F274-$D281)+Q312*($F274-$D282)+Q313*($F274-$D283)+Q314*($F274-$D284)+Q315*($F274-$D285)+Q316*($F274-$D286))/1000000-Q319*($F274-MAIN!$C$14/2)/1000))</f>
        <v>233.20899979611772</v>
      </c>
      <c r="R320" s="304">
        <f>$A319*IF(R319+S319=0,0,IF(R319=0,2*S320-T320,(R278*R318+R308*($F274-$C274)+R309*($F274-$D279)+R310*($F274-$D280)+R311*($F274-$D281)+R312*($F274-$D282)+R313*($F274-$D283)+R314*($F274-$D284)+R315*($F274-$D285)+R316*($F274-$D286))/1000000-R319*($F274-MAIN!$C$14/2)/1000))</f>
        <v>241.91949719038485</v>
      </c>
      <c r="S320" s="304">
        <f>$A319*IF(S319+T319=0,0,IF(S319=0,2*T320-U320,(S278*S318+S308*($F274-$C274)+S309*($F274-$D279)+S310*($F274-$D280)+S311*($F274-$D281)+S312*($F274-$D282)+S313*($F274-$D283)+S314*($F274-$D284)+S315*($F274-$D285)+S316*($F274-$D286))/1000000-S319*($F274-MAIN!$C$14/2)/1000))</f>
        <v>250.27097385605592</v>
      </c>
      <c r="T320" s="304">
        <f>$A319*IF(T319+U319=0,0,IF(T319=0,2*U320-V320,(T278*T318+T308*($F274-$C274)+T309*($F274-$D279)+T310*($F274-$D280)+T311*($F274-$D281)+T312*($F274-$D282)+T313*($F274-$D283)+T314*($F274-$D284)+T315*($F274-$D285)+T316*($F274-$D286))/1000000-T319*($F274-MAIN!$C$14/2)/1000))</f>
        <v>258.28506408006547</v>
      </c>
      <c r="U320" s="304">
        <f>$A319*IF(U319+V319=0,0,IF(U319=0,2*V320-W320,(U278*U318+U308*($F274-$C274)+U309*($F274-$D279)+U310*($F274-$D280)+U311*($F274-$D281)+U312*($F274-$D282)+U313*($F274-$D283)+U314*($F274-$D284)+U315*($F274-$D285)+U316*($F274-$D286))/1000000-U319*($F274-MAIN!$C$14/2)/1000))</f>
        <v>265.97984425066966</v>
      </c>
      <c r="V320" s="304">
        <f>$A319*IF(V319+W319=0,0,IF(V319=0,2*W320-X320,(V278*V318+V308*($F274-$C274)+V309*($F274-$D279)+V310*($F274-$D280)+V311*($F274-$D281)+V312*($F274-$D282)+V313*($F274-$D283)+V314*($F274-$D284)+V315*($F274-$D285)+V316*($F274-$D286))/1000000-V319*($F274-MAIN!$C$14/2)/1000))</f>
        <v>273.37053537348459</v>
      </c>
      <c r="W320" s="304">
        <f>$A319*IF(W319+X319=0,0,IF(W319=0,2*X320-Y320,(W278*W318+W308*($F274-$C274)+W309*($F274-$D279)+W310*($F274-$D280)+W311*($F274-$D281)+W312*($F274-$D282)+W313*($F274-$D283)+W314*($F274-$D284)+W315*($F274-$D285)+W316*($F274-$D286))/1000000-W319*($F274-MAIN!$C$14/2)/1000))</f>
        <v>280.47004545496941</v>
      </c>
      <c r="X320" s="304">
        <f>$A319*IF(X319+Y319=0,0,IF(X319=0,2*Y320-Z320,(X278*X318+X308*($F274-$C274)+X309*($F274-$D279)+X310*($F274-$D280)+X311*($F274-$D281)+X312*($F274-$D282)+X313*($F274-$D283)+X314*($F274-$D284)+X315*($F274-$D285)+X316*($F274-$D286))/1000000-X319*($F274-MAIN!$C$14/2)/1000))</f>
        <v>287.28939277910627</v>
      </c>
      <c r="Y320" s="304">
        <f>$A319*IF(Y319+Z319=0,0,IF(Y319=0,2*Z320-AA320,(Y278*Y318+Y308*($F274-$C274)+Y309*($F274-$D279)+Y310*($F274-$D280)+Y311*($F274-$D281)+Y312*($F274-$D282)+Y313*($F274-$D283)+Y314*($F274-$D284)+Y315*($F274-$D285)+Y316*($F274-$D286))/1000000-Y319*($F274-MAIN!$C$14/2)/1000))</f>
        <v>293.83803951487369</v>
      </c>
      <c r="Z320" s="304">
        <f>$A319*IF(Z319+AA319=0,0,IF(Z319=0,2*AA320-AB320,(Z278*Z318+Z308*($F274-$C274)+Z309*($F274-$D279)+Z310*($F274-$D280)+Z311*($F274-$D281)+Z312*($F274-$D282)+Z313*($F274-$D283)+Z314*($F274-$D284)+Z315*($F274-$D285)+Z316*($F274-$D286))/1000000-Z319*($F274-MAIN!$C$14/2)/1000))</f>
        <v>300.12415706071863</v>
      </c>
      <c r="AA320" s="304">
        <f>$A319*IF(AA319+AB319=0,0,IF(AA319=0,2*AB320-AC320,(AA278*AA318+AA308*($F274-$C274)+AA309*($F274-$D279)+AA310*($F274-$D280)+AA311*($F274-$D281)+AA312*($F274-$D282)+AA313*($F274-$D283)+AA314*($F274-$D284)+AA315*($F274-$D285)+AA316*($F274-$D286))/1000000-AA319*($F274-MAIN!$C$14/2)/1000))</f>
        <v>306.15483888463427</v>
      </c>
      <c r="AB320" s="304">
        <f>$A319*IF(AB319+AC319=0,0,IF(AB319=0,2*AC320-AD320,(AB278*AB318+AB308*($F274-$C274)+AB309*($F274-$D279)+AB310*($F274-$D280)+AB311*($F274-$D281)+AB312*($F274-$D282)+AB313*($F274-$D283)+AB314*($F274-$D284)+AB315*($F274-$D285)+AB316*($F274-$D286))/1000000-AB319*($F274-MAIN!$C$14/2)/1000))</f>
        <v>311.93627259358942</v>
      </c>
      <c r="AC320" s="304">
        <f>$A319*IF(AC319+AD319=0,0,IF(AC319=0,2*AD320-AE320,(AC278*AC318+AC308*($F274-$C274)+AC309*($F274-$D279)+AC310*($F274-$D280)+AC311*($F274-$D281)+AC312*($F274-$D282)+AC313*($F274-$D283)+AC314*($F274-$D284)+AC315*($F274-$D285)+AC316*($F274-$D286))/1000000-AC319*($F274-MAIN!$C$14/2)/1000))</f>
        <v>317.47388006188714</v>
      </c>
      <c r="AD320" s="304">
        <f>$A319*IF(AD319+AE319=0,0,IF(AD319=0,2*AE320-AF320,(AD278*AD318+AD308*($F274-$C274)+AD309*($F274-$D279)+AD310*($F274-$D280)+AD311*($F274-$D281)+AD312*($F274-$D282)+AD313*($F274-$D283)+AD314*($F274-$D284)+AD315*($F274-$D285)+AD316*($F274-$D286))/1000000-AD319*($F274-MAIN!$C$14/2)/1000))</f>
        <v>322.77243232825526</v>
      </c>
      <c r="AE320" s="304">
        <f>$A319*IF(AE319+AF319=0,0,IF(AE319=0,2*AF320-AG320,(AE278*AE318+AE308*($F274-$C274)+AE309*($F274-$D279)+AE310*($F274-$D280)+AE311*($F274-$D281)+AE312*($F274-$D282)+AE313*($F274-$D283)+AE314*($F274-$D284)+AE315*($F274-$D285)+AE316*($F274-$D286))/1000000-AE319*($F274-MAIN!$C$14/2)/1000))</f>
        <v>327.83614440752081</v>
      </c>
      <c r="AF320" s="304">
        <f>$A319*IF(AF319+AG319=0,0,IF(AF319=0,2*AG320-AH320,(AF278*AF318+AF308*($F274-$C274)+AF309*($F274-$D279)+AF310*($F274-$D280)+AF311*($F274-$D281)+AF312*($F274-$D282)+AF313*($F274-$D283)+AF314*($F274-$D284)+AF315*($F274-$D285)+AF316*($F274-$D286))/1000000-AF319*($F274-MAIN!$C$14/2)/1000))</f>
        <v>332.6687539972695</v>
      </c>
      <c r="AG320" s="304">
        <f>$A319*IF(AG319+AH319=0,0,IF(AG319=0,2*AH320-AI320,(AG278*AG318+AG308*($F274-$C274)+AG309*($F274-$D279)+AG310*($F274-$D280)+AG311*($F274-$D281)+AG312*($F274-$D282)+AG313*($F274-$D283)+AG314*($F274-$D284)+AG315*($F274-$D285)+AG316*($F274-$D286))/1000000-AG319*($F274-MAIN!$C$14/2)/1000))</f>
        <v>337.27358718321739</v>
      </c>
      <c r="AH320" s="304">
        <f>$A319*IF(AH319+AI319=0,0,IF(AH319=0,2*AI320-AJ320,(AH278*AH318+AH308*($F274-$C274)+AH309*($F274-$D279)+AH310*($F274-$D280)+AH311*($F274-$D281)+AH312*($F274-$D282)+AH313*($F274-$D283)+AH314*($F274-$D284)+AH315*($F274-$D285)+AH316*($F274-$D286))/1000000-AH319*($F274-MAIN!$C$14/2)/1000))</f>
        <v>341.2653601794367</v>
      </c>
      <c r="AI320" s="304">
        <f>$A319*IF(AI319+AJ319=0,0,IF(AI319=0,2*AJ320-AK320,(AI278*AI318+AI308*($F274-$C274)+AI309*($F274-$D279)+AI310*($F274-$D280)+AI311*($F274-$D281)+AI312*($F274-$D282)+AI313*($F274-$D283)+AI314*($F274-$D284)+AI315*($F274-$D285)+AI316*($F274-$D286))/1000000-AI319*($F274-MAIN!$C$14/2)/1000))</f>
        <v>344.85451424303909</v>
      </c>
      <c r="AJ320" s="304">
        <f>$A319*IF(AJ319+AK319=0,0,IF(AJ319=0,2*AK320-AL320,(AJ278*AJ318+AJ308*($F274-$C274)+AJ309*($F274-$D279)+AJ310*($F274-$D280)+AJ311*($F274-$D281)+AJ312*($F274-$D282)+AJ313*($F274-$D283)+AJ314*($F274-$D284)+AJ315*($F274-$D285)+AJ316*($F274-$D286))/1000000-AJ319*($F274-MAIN!$C$14/2)/1000))</f>
        <v>348.25283644889538</v>
      </c>
      <c r="AK320" s="304">
        <f>$A319*IF(AK319+AL319=0,0,IF(AK319=0,2*AL320-AM320,(AK278*AK318+AK308*($F274-$C274)+AK309*($F274-$D279)+AK310*($F274-$D280)+AK311*($F274-$D281)+AK312*($F274-$D282)+AK313*($F274-$D283)+AK314*($F274-$D284)+AK315*($F274-$D285)+AK316*($F274-$D286))/1000000-AK319*($F274-MAIN!$C$14/2)/1000))</f>
        <v>351.46032679700579</v>
      </c>
      <c r="AL320" s="304">
        <f>$A319*IF(AL319+AM319=0,0,IF(AL319=0,2*AM320-AN320,(AL278*AL318+AL308*($F274-$C274)+AL309*($F274-$D279)+AL310*($F274-$D280)+AL311*($F274-$D281)+AL312*($F274-$D282)+AL313*($F274-$D283)+AL314*($F274-$D284)+AL315*($F274-$D285)+AL316*($F274-$D286))/1000000-AL319*($F274-MAIN!$C$14/2)/1000))</f>
        <v>354.47698528737033</v>
      </c>
      <c r="AM320" s="304">
        <f>$A319*IF(AM319+AN319=0,0,IF(AM319=0,2*AN320-AO320,(AM278*AM318+AM308*($F274-$C274)+AM309*($F274-$D279)+AM310*($F274-$D280)+AM311*($F274-$D281)+AM312*($F274-$D282)+AM313*($F274-$D283)+AM314*($F274-$D284)+AM315*($F274-$D285)+AM316*($F274-$D286))/1000000-AM319*($F274-MAIN!$C$14/2)/1000))</f>
        <v>357.30281191998887</v>
      </c>
      <c r="AN320" s="304">
        <f>$A319*IF(AN319+AO319=0,0,IF(AN319=0,2*AO320-AP320,(AN278*AN318+AN308*($F274-$C274)+AN309*($F274-$D279)+AN310*($F274-$D280)+AN311*($F274-$D281)+AN312*($F274-$D282)+AN313*($F274-$D283)+AN314*($F274-$D284)+AN315*($F274-$D285)+AN316*($F274-$D286))/1000000-AN319*($F274-MAIN!$C$14/2)/1000))</f>
        <v>359.93780669486142</v>
      </c>
      <c r="AO320" s="304">
        <f>$A319*IF(AO319+AP319=0,0,IF(AO319=0,2*AP320-AQ320,(AO278*AO318+AO308*($F274-$C274)+AO309*($F274-$D279)+AO310*($F274-$D280)+AO311*($F274-$D281)+AO312*($F274-$D282)+AO313*($F274-$D283)+AO314*($F274-$D284)+AO315*($F274-$D285)+AO316*($F274-$D286))/1000000-AO319*($F274-MAIN!$C$14/2)/1000))</f>
        <v>362.38196961198776</v>
      </c>
      <c r="AP320" s="304">
        <f>$A319*IF(AP319+AQ319=0,0,IF(AP319=0,2*AQ320-AR320,(AP278*AP318+AP308*($F274-$C274)+AP309*($F274-$D279)+AP310*($F274-$D280)+AP311*($F274-$D281)+AP312*($F274-$D282)+AP313*($F274-$D283)+AP314*($F274-$D284)+AP315*($F274-$D285)+AP316*($F274-$D286))/1000000-AP319*($F274-MAIN!$C$14/2)/1000))</f>
        <v>364.63530067136838</v>
      </c>
      <c r="AQ320" s="304">
        <f>$A319*IF(AQ319+AR319=0,0,IF(AQ319=0,2*AR320-AS320,(AQ278*AQ318+AQ308*($F274-$C274)+AQ309*($F274-$D279)+AQ310*($F274-$D280)+AQ311*($F274-$D281)+AQ312*($F274-$D282)+AQ313*($F274-$D283)+AQ314*($F274-$D284)+AQ315*($F274-$D285)+AQ316*($F274-$D286))/1000000-AQ319*($F274-MAIN!$C$14/2)/1000))</f>
        <v>366.69779987300291</v>
      </c>
      <c r="AR320" s="56">
        <f>$A319*IF(AR319+AS319=0,0,IF(AR319=0,2*AS320-AT320,(AR278*AR318+AR308*($F274-$C274)+AR309*($F274-$D279)+AR310*($F274-$D280)+AR311*($F274-$D281)+AR312*($F274-$D282)+AR313*($F274-$D283)+AR314*($F274-$D284)+AR315*($F274-$D285)+AR316*($F274-$D286))/1000000-AR319*($F274-MAIN!$C$14/2)/1000))</f>
        <v>368.56946721689155</v>
      </c>
      <c r="AS320" s="304">
        <f>$A319*IF(AS319+AT319=0,0,IF(AS319=0,2*AT320-AU320,(AS278*AS318+AS308*($F274-$C274)+AS309*($F274-$D279)+AS310*($F274-$D280)+AS311*($F274-$D281)+AS312*($F274-$D282)+AS313*($F274-$D283)+AS314*($F274-$D284)+AS315*($F274-$D285)+AS316*($F274-$D286))/1000000-AS319*($F274-MAIN!$C$14/2)/1000))</f>
        <v>367.09955430404995</v>
      </c>
      <c r="AT320" s="304">
        <f>$A319*IF(AT319+AU319=0,0,IF(AT319=0,2*AU320-AV320,(AT278*AT318+AT308*($F274-$C274)+AT309*($F274-$D279)+AT310*($F274-$D280)+AT311*($F274-$D281)+AT312*($F274-$D282)+AT313*($F274-$D283)+AT314*($F274-$D284)+AT315*($F274-$D285)+AT316*($F274-$D286))/1000000-AT319*($F274-MAIN!$C$14/2)/1000))</f>
        <v>364.16078286537964</v>
      </c>
      <c r="AU320" s="304">
        <f>$A319*IF(AU319+AV319=0,0,IF(AU319=0,2*AV320-AW320,(AU278*AU318+AU308*($F274-$C274)+AU309*($F274-$D279)+AU310*($F274-$D280)+AU311*($F274-$D281)+AU312*($F274-$D282)+AU313*($F274-$D283)+AU314*($F274-$D284)+AU315*($F274-$D285)+AU316*($F274-$D286))/1000000-AU319*($F274-MAIN!$C$14/2)/1000))</f>
        <v>359.60356369176498</v>
      </c>
      <c r="AV320" s="304">
        <f>$A319*IF(AV319+AW319=0,0,IF(AV319=0,2*AW320-AX320,(AV278*AV318+AV308*($F274-$C274)+AV309*($F274-$D279)+AV310*($F274-$D280)+AV311*($F274-$D281)+AV312*($F274-$D282)+AV313*($F274-$D283)+AV314*($F274-$D284)+AV315*($F274-$D285)+AV316*($F274-$D286))/1000000-AV319*($F274-MAIN!$C$14/2)/1000))</f>
        <v>353.31223595663067</v>
      </c>
      <c r="AW320" s="304">
        <f>$A319*IF(AW319+AX319=0,0,IF(AW319=0,2*AX320-AY320,(AW278*AW318+AW308*($F274-$C274)+AW309*($F274-$D279)+AW310*($F274-$D280)+AW311*($F274-$D281)+AW312*($F274-$D282)+AW313*($F274-$D283)+AW314*($F274-$D284)+AW315*($F274-$D285)+AW316*($F274-$D286))/1000000-AW319*($F274-MAIN!$C$14/2)/1000))</f>
        <v>345.19596424225909</v>
      </c>
      <c r="AX320" s="304">
        <f>$A319*IF(AX319+AY319=0,0,IF(AX319=0,2*AY320-AZ320,(AX278*AX318+AX308*($F274-$C274)+AX309*($F274-$D279)+AX310*($F274-$D280)+AX311*($F274-$D281)+AX312*($F274-$D282)+AX313*($F274-$D283)+AX314*($F274-$D284)+AX315*($F274-$D285)+AX316*($F274-$D286))/1000000-AX319*($F274-MAIN!$C$14/2)/1000))</f>
        <v>335.18241709898882</v>
      </c>
      <c r="AY320" s="304">
        <f>$A319*IF(AY319+AZ319=0,0,IF(AY319=0,2*AZ320-BA320,(AY278*AY318+AY308*($F274-$C274)+AY309*($F274-$D279)+AY310*($F274-$D280)+AY311*($F274-$D281)+AY312*($F274-$D282)+AY313*($F274-$D283)+AY314*($F274-$D284)+AY315*($F274-$D285)+AY316*($F274-$D286))/1000000-AY319*($F274-MAIN!$C$14/2)/1000))</f>
        <v>323.21328359956431</v>
      </c>
      <c r="AZ320" s="304">
        <f>$A319*IF(AZ319+BA319=0,0,IF(AZ319=0,2*BA320-BB320,(AZ278*AZ318+AZ308*($F274-$C274)+AZ309*($F274-$D279)+AZ310*($F274-$D280)+AZ311*($F274-$D281)+AZ312*($F274-$D282)+AZ313*($F274-$D283)+AZ314*($F274-$D284)+AZ315*($F274-$D285)+AZ316*($F274-$D286))/1000000-AZ319*($F274-MAIN!$C$14/2)/1000))</f>
        <v>309.24103322981432</v>
      </c>
      <c r="BA320" s="304">
        <f>$A319*IF(BA319+BB319=0,0,IF(BA319=0,2*BB320-BC320,(BA278*BA318+BA308*($F274-$C274)+BA309*($F274-$D279)+BA310*($F274-$D280)+BA311*($F274-$D281)+BA312*($F274-$D282)+BA313*($F274-$D283)+BA314*($F274-$D284)+BA315*($F274-$D285)+BA316*($F274-$D286))/1000000-BA319*($F274-MAIN!$C$14/2)/1000))</f>
        <v>293.22653462188828</v>
      </c>
      <c r="BB320" s="304">
        <f>$A319*IF(BB319+BC319=0,0,IF(BB319=0,2*BC320-BD320,(BB278*BB318+BB308*($F274-$C274)+BB309*($F274-$D279)+BB310*($F274-$D280)+BB311*($F274-$D281)+BB312*($F274-$D282)+BB313*($F274-$D283)+BB314*($F274-$D284)+BB315*($F274-$D285)+BB316*($F274-$D286))/1000000-BB319*($F274-MAIN!$C$14/2)/1000))</f>
        <v>275.13727877530664</v>
      </c>
      <c r="BC320" s="304">
        <f>$A319*IF(BC319+BD319=0,0,IF(BC319=0,2*BD320-BE320,(BC278*BC318+BC308*($F274-$C274)+BC309*($F274-$D279)+BC310*($F274-$D280)+BC311*($F274-$D281)+BC312*($F274-$D282)+BC313*($F274-$D283)+BC314*($F274-$D284)+BC315*($F274-$D285)+BC316*($F274-$D286))/1000000-BC319*($F274-MAIN!$C$14/2)/1000))</f>
        <v>254.94603500760354</v>
      </c>
      <c r="BD320" s="304">
        <f>$A319*IF(BD319+BE319=0,0,IF(BD319=0,2*BE320-BF320,(BD278*BD318+BD308*($F274-$C274)+BD309*($F274-$D279)+BD310*($F274-$D280)+BD311*($F274-$D281)+BD312*($F274-$D282)+BD313*($F274-$D283)+BD314*($F274-$D284)+BD315*($F274-$D285)+BD316*($F274-$D286))/1000000-BD319*($F274-MAIN!$C$14/2)/1000))</f>
        <v>232.62982147566163</v>
      </c>
      <c r="BE320" s="304">
        <f>$A319*IF(BE319+BF319=0,0,IF(BE319=0,2*BF320-BG320,(BE278*BE318+BE308*($F274-$C274)+BE309*($F274-$D279)+BE310*($F274-$D280)+BE311*($F274-$D281)+BE312*($F274-$D282)+BE313*($F274-$D283)+BE314*($F274-$D284)+BE315*($F274-$D285)+BE316*($F274-$D286))/1000000-BE319*($F274-MAIN!$C$14/2)/1000))</f>
        <v>208.36238367417047</v>
      </c>
      <c r="BF320" s="304">
        <f>$A319*IF(BF319+BG319=0,0,IF(BF319=0,2*BG320-BH320,(BF278*BF318+BF308*($F274-$C274)+BF309*($F274-$D279)+BF310*($F274-$D280)+BF311*($F274-$D281)+BF312*($F274-$D282)+BF313*($F274-$D283)+BF314*($F274-$D284)+BF315*($F274-$D285)+BF316*($F274-$D286))/1000000-BF319*($F274-MAIN!$C$14/2)/1000))</f>
        <v>184.0566466903706</v>
      </c>
      <c r="BG320" s="304">
        <f>$A319*IF(BG319+BH319=0,0,IF(BG319=0,2*BH320-BI320,(BG278*BG318+BG308*($F274-$C274)+BG309*($F274-$D279)+BG310*($F274-$D280)+BG311*($F274-$D281)+BG312*($F274-$D282)+BG313*($F274-$D283)+BG314*($F274-$D284)+BG315*($F274-$D285)+BG316*($F274-$D286))/1000000-BG319*($F274-MAIN!$C$14/2)/1000))</f>
        <v>155.72838951416895</v>
      </c>
      <c r="BH320" s="304">
        <f>$A319*IF(BH319+BI319=0,0,IF(BH319=0,2*BI320-BJ320,(BH278*BH318+BH308*($F274-$C274)+BH309*($F274-$D279)+BH310*($F274-$D280)+BH311*($F274-$D281)+BH312*($F274-$D282)+BH313*($F274-$D283)+BH314*($F274-$D284)+BH315*($F274-$D285)+BH316*($F274-$D286))/1000000-BH319*($F274-MAIN!$C$14/2)/1000))</f>
        <v>125.2424212131142</v>
      </c>
      <c r="BI320" s="304">
        <f>$A319*IF(BI319+BJ319=0,0,IF(BI319=0,2*BJ320-BK320,(BI278*BI318+BI308*($F274-$C274)+BI309*($F274-$D279)+BI310*($F274-$D280)+BI311*($F274-$D281)+BI312*($F274-$D282)+BI313*($F274-$D283)+BI314*($F274-$D284)+BI315*($F274-$D285)+BI316*($F274-$D286))/1000000-BI319*($F274-MAIN!$C$14/2)/1000))</f>
        <v>92.574739883086409</v>
      </c>
      <c r="BJ320" s="304">
        <f>$A319*IF(BJ319+BK319=0,0,IF(BJ319=0,2*BK320-BO320,(BJ278*BJ318+BJ308*($F274-$C274)+BJ309*($F274-$D279)+BJ310*($F274-$D280)+BJ311*($F274-$D281)+BJ312*($F274-$D282)+BJ313*($F274-$D283)+BJ314*($F274-$D284)+BJ315*($F274-$D285)+BJ316*($F274-$D286))/1000000-BJ319*($F274-MAIN!$C$14/2)/1000))</f>
        <v>57.706510451279087</v>
      </c>
      <c r="BK320" s="304">
        <f>$A319*IF(BK319+BO319=0,0,IF(BK319=0,2*BO320-BP320,(BK278*BK318+BK308*($F274-$C274)+BK309*($F274-$D279)+BK310*($F274-$D280)+BK311*($F274-$D281)+BK312*($F274-$D282)+BK313*($F274-$D283)+BK314*($F274-$D284)+BK315*($F274-$D285)+BK316*($F274-$D286))/1000000-BK319*($F274-MAIN!$C$14/2)/1000))</f>
        <v>20.622745363549143</v>
      </c>
      <c r="BL320" s="304">
        <f>$A319*IF(BL319+BP319=0,0,IF(BL319=0,2*BP320-BQ320,(BL278*BL318+BL308*($F274-$C274)+BL309*($F274-$D279)+BL310*($F274-$D280)+BL311*($F274-$D281)+BL312*($F274-$D282)+BL313*($F274-$D283)+BL314*($F274-$D284)+BL315*($F274-$D285)+BL316*($F274-$D286))/1000000-BL319*($F274-MAIN!$C$14/2)/1000))</f>
        <v>14.702767262499719</v>
      </c>
      <c r="BM320" s="304">
        <f>$A319*IF(BM319+BQ319=0,0,IF(BM319=0,2*BQ320-BR320,(BM278*BM318+BM308*($F274-$C274)+BM309*($F274-$D279)+BM310*($F274-$D280)+BM311*($F274-$D281)+BM312*($F274-$D282)+BM313*($F274-$D283)+BM314*($F274-$D284)+BM315*($F274-$D285)+BM316*($F274-$D286))/1000000-BM319*($F274-MAIN!$C$14/2)/1000))</f>
        <v>10.589774491317939</v>
      </c>
      <c r="BN320" s="304">
        <f>$A319*IF(BN319+BR319=0,0,IF(BN319=0,2*BR320-BS320,(BN278*BN318+BN308*($F274-$C274)+BN309*($F274-$D279)+BN310*($F274-$D280)+BN311*($F274-$D281)+BN312*($F274-$D282)+BN313*($F274-$D283)+BN314*($F274-$D284)+BN315*($F274-$D285)+BN316*($F274-$D286))/1000000-BN319*($F274-MAIN!$C$14/2)/1000))</f>
        <v>8.118827110010443</v>
      </c>
      <c r="BO320" s="3">
        <v>0</v>
      </c>
      <c r="BR320"/>
      <c r="BS320"/>
      <c r="BT320"/>
    </row>
    <row r="321" spans="2:72" ht="16.5">
      <c r="B321" s="296" t="s">
        <v>74</v>
      </c>
      <c r="C321" s="303" t="s">
        <v>75</v>
      </c>
      <c r="D321" s="15"/>
      <c r="E321" s="308"/>
      <c r="F321" s="308"/>
      <c r="G321" s="308"/>
      <c r="H321" s="308"/>
      <c r="I321" s="308"/>
      <c r="J321" s="308"/>
      <c r="K321" s="308"/>
      <c r="L321" s="308"/>
      <c r="M321" s="308"/>
      <c r="N321" s="308"/>
      <c r="O321" s="308"/>
      <c r="P321" s="308"/>
      <c r="Q321" s="308"/>
      <c r="R321" s="308"/>
      <c r="S321" s="308"/>
      <c r="T321" s="308"/>
      <c r="U321" s="308"/>
      <c r="V321" s="308"/>
      <c r="W321" s="308"/>
      <c r="X321" s="308"/>
      <c r="Y321" s="308"/>
      <c r="Z321" s="308"/>
      <c r="AA321" s="308"/>
      <c r="AB321" s="308"/>
      <c r="AC321" s="308"/>
      <c r="AD321" s="308"/>
      <c r="AE321" s="309"/>
      <c r="AF321" s="308"/>
      <c r="AG321" s="308"/>
      <c r="AH321" s="308"/>
      <c r="AI321" s="308"/>
      <c r="AJ321" s="308" t="str">
        <f>FIXED(MAIN!$Q$1,0)&amp;MAIN!R$1&amp;FIXED(B273,0)</f>
        <v>8H16</v>
      </c>
      <c r="AK321" s="308"/>
      <c r="AL321" s="308"/>
      <c r="AM321" s="308"/>
      <c r="AN321" s="308"/>
      <c r="AO321" s="308"/>
      <c r="AP321" s="308"/>
      <c r="AQ321" s="308"/>
      <c r="AR321" s="60"/>
      <c r="AS321" s="308"/>
      <c r="AT321" s="308"/>
      <c r="AU321" s="308"/>
      <c r="AV321" s="308"/>
      <c r="AW321" s="308"/>
      <c r="AX321" s="308"/>
      <c r="AY321" s="308"/>
      <c r="AZ321" s="308"/>
      <c r="BA321" s="308"/>
      <c r="BB321" s="308"/>
      <c r="BC321" s="308"/>
      <c r="BD321" s="308"/>
      <c r="BE321" s="308"/>
      <c r="BF321" s="308"/>
      <c r="BG321" s="308"/>
      <c r="BH321" s="308"/>
      <c r="BI321" s="308"/>
      <c r="BJ321" s="308"/>
      <c r="BK321" s="308"/>
      <c r="BL321" s="621"/>
      <c r="BM321" s="621"/>
      <c r="BN321" s="621"/>
      <c r="BO321" s="15"/>
      <c r="BR321"/>
      <c r="BS321"/>
      <c r="BT321"/>
    </row>
    <row r="322" spans="2:72">
      <c r="B322" s="64"/>
      <c r="C322" s="65" t="s">
        <v>135</v>
      </c>
      <c r="D322" s="66">
        <f t="shared" ref="D322:BJ323" si="225">E319-D319</f>
        <v>72.046002877956482</v>
      </c>
      <c r="E322" s="66">
        <f t="shared" si="225"/>
        <v>145.69561352876494</v>
      </c>
      <c r="F322" s="66">
        <f t="shared" si="225"/>
        <v>153.32409679861658</v>
      </c>
      <c r="G322" s="66">
        <f t="shared" si="225"/>
        <v>138.96723623424433</v>
      </c>
      <c r="H322" s="66">
        <f t="shared" si="225"/>
        <v>128.10564264631597</v>
      </c>
      <c r="I322" s="66">
        <f t="shared" si="225"/>
        <v>119.68988675688098</v>
      </c>
      <c r="J322" s="66">
        <f t="shared" si="225"/>
        <v>113.03689503655607</v>
      </c>
      <c r="K322" s="66">
        <f t="shared" si="225"/>
        <v>107.6864921646162</v>
      </c>
      <c r="L322" s="66">
        <f t="shared" si="225"/>
        <v>103.31946593123678</v>
      </c>
      <c r="M322" s="66">
        <f t="shared" si="225"/>
        <v>99.708741923080765</v>
      </c>
      <c r="N322" s="66">
        <f t="shared" si="225"/>
        <v>78.459596607941307</v>
      </c>
      <c r="O322" s="66">
        <f t="shared" si="225"/>
        <v>94.13849067119213</v>
      </c>
      <c r="P322" s="66">
        <f t="shared" si="225"/>
        <v>91.964305430254171</v>
      </c>
      <c r="Q322" s="66">
        <f t="shared" si="225"/>
        <v>90.096019695102086</v>
      </c>
      <c r="R322" s="66">
        <f t="shared" si="225"/>
        <v>88.478819013851762</v>
      </c>
      <c r="S322" s="66">
        <f t="shared" si="225"/>
        <v>87.069640322355781</v>
      </c>
      <c r="T322" s="66">
        <f t="shared" si="225"/>
        <v>85.834273056401116</v>
      </c>
      <c r="U322" s="66">
        <f t="shared" si="225"/>
        <v>84.745261613676803</v>
      </c>
      <c r="V322" s="66">
        <f t="shared" si="225"/>
        <v>83.780365617674306</v>
      </c>
      <c r="W322" s="66">
        <f t="shared" si="225"/>
        <v>82.921414659964739</v>
      </c>
      <c r="X322" s="66">
        <f t="shared" si="225"/>
        <v>82.153446096275957</v>
      </c>
      <c r="Y322" s="66">
        <f t="shared" si="225"/>
        <v>81.464048671502724</v>
      </c>
      <c r="Z322" s="66">
        <f t="shared" si="225"/>
        <v>80.842857669741761</v>
      </c>
      <c r="AA322" s="66">
        <f t="shared" si="225"/>
        <v>80.28116288882984</v>
      </c>
      <c r="AB322" s="66">
        <f t="shared" si="225"/>
        <v>79.771601514681606</v>
      </c>
      <c r="AC322" s="66">
        <f t="shared" si="225"/>
        <v>79.307915512918044</v>
      </c>
      <c r="AD322" s="66">
        <f t="shared" si="225"/>
        <v>78.884758499872078</v>
      </c>
      <c r="AE322" s="66">
        <f t="shared" si="225"/>
        <v>78.49754088669124</v>
      </c>
      <c r="AF322" s="66">
        <f t="shared" si="225"/>
        <v>78.142304866932136</v>
      </c>
      <c r="AG322" s="66">
        <f t="shared" si="225"/>
        <v>74.082417059409636</v>
      </c>
      <c r="AH322" s="66">
        <f t="shared" si="225"/>
        <v>72.046002877956653</v>
      </c>
      <c r="AI322" s="66">
        <f t="shared" si="225"/>
        <v>72.046002877956198</v>
      </c>
      <c r="AJ322" s="66">
        <f t="shared" si="225"/>
        <v>72.046002877956653</v>
      </c>
      <c r="AK322" s="66">
        <f t="shared" si="225"/>
        <v>72.046002877956198</v>
      </c>
      <c r="AL322" s="66">
        <f t="shared" si="225"/>
        <v>72.046002877956653</v>
      </c>
      <c r="AM322" s="66">
        <f t="shared" si="225"/>
        <v>72.046002877956198</v>
      </c>
      <c r="AN322" s="66">
        <f t="shared" si="225"/>
        <v>72.046002877956653</v>
      </c>
      <c r="AO322" s="66">
        <f t="shared" si="225"/>
        <v>72.046002877956198</v>
      </c>
      <c r="AP322" s="66">
        <f t="shared" si="225"/>
        <v>72.046002877957108</v>
      </c>
      <c r="AQ322" s="66">
        <f t="shared" si="225"/>
        <v>72.046002877954834</v>
      </c>
      <c r="AR322" s="66">
        <f t="shared" si="225"/>
        <v>312.388355074012</v>
      </c>
      <c r="AS322" s="66">
        <f t="shared" si="225"/>
        <v>304.41223992455753</v>
      </c>
      <c r="AT322" s="66">
        <f t="shared" si="225"/>
        <v>297.87448255505296</v>
      </c>
      <c r="AU322" s="66">
        <f t="shared" si="225"/>
        <v>292.44884851800362</v>
      </c>
      <c r="AV322" s="66">
        <f t="shared" si="225"/>
        <v>287.89663195901358</v>
      </c>
      <c r="AW322" s="66">
        <f t="shared" si="225"/>
        <v>284.03991010830214</v>
      </c>
      <c r="AX322" s="66">
        <f t="shared" si="225"/>
        <v>280.74387025043325</v>
      </c>
      <c r="AY322" s="66">
        <f t="shared" si="225"/>
        <v>277.90485456728857</v>
      </c>
      <c r="AZ322" s="66">
        <f t="shared" si="225"/>
        <v>275.44210203655257</v>
      </c>
      <c r="BA322" s="66">
        <f t="shared" si="225"/>
        <v>273.29193604888769</v>
      </c>
      <c r="BB322" s="66">
        <f t="shared" si="225"/>
        <v>271.40360354647783</v>
      </c>
      <c r="BC322" s="66">
        <f t="shared" si="225"/>
        <v>269.73625030480434</v>
      </c>
      <c r="BD322" s="66">
        <f t="shared" si="225"/>
        <v>266.39826730650475</v>
      </c>
      <c r="BE322" s="66">
        <f t="shared" si="225"/>
        <v>244.6667738539636</v>
      </c>
      <c r="BF322" s="66">
        <f t="shared" si="225"/>
        <v>261.24509780617154</v>
      </c>
      <c r="BG322" s="66">
        <f t="shared" si="225"/>
        <v>259.89256533963908</v>
      </c>
      <c r="BH322" s="66">
        <f t="shared" si="225"/>
        <v>258.77082041271842</v>
      </c>
      <c r="BI322" s="66">
        <f t="shared" si="225"/>
        <v>257.83018195509248</v>
      </c>
      <c r="BJ322" s="66">
        <f t="shared" si="225"/>
        <v>257.03365459499946</v>
      </c>
      <c r="BK322" s="66">
        <f t="shared" ref="BK322:BN323" si="226">BL319-BK319</f>
        <v>56.922866356244413</v>
      </c>
      <c r="BL322" s="66">
        <f t="shared" si="226"/>
        <v>5.0003227766355849</v>
      </c>
      <c r="BM322" s="66">
        <f t="shared" si="226"/>
        <v>0</v>
      </c>
      <c r="BN322" s="66">
        <f t="shared" si="226"/>
        <v>0</v>
      </c>
      <c r="BO322" s="65">
        <v>0</v>
      </c>
      <c r="BR322"/>
      <c r="BS322"/>
      <c r="BT322"/>
    </row>
    <row r="323" spans="2:72">
      <c r="B323" s="64"/>
      <c r="C323" s="65" t="s">
        <v>136</v>
      </c>
      <c r="D323" s="66">
        <f t="shared" si="225"/>
        <v>9.3141097959816221</v>
      </c>
      <c r="E323" s="66">
        <f t="shared" si="225"/>
        <v>16.782837445919711</v>
      </c>
      <c r="F323" s="66">
        <f t="shared" si="225"/>
        <v>17.385367848238261</v>
      </c>
      <c r="G323" s="66">
        <f t="shared" si="225"/>
        <v>15.701422491797643</v>
      </c>
      <c r="H323" s="66">
        <f t="shared" si="225"/>
        <v>14.380984900907094</v>
      </c>
      <c r="I323" s="66">
        <f t="shared" si="225"/>
        <v>13.314914430659911</v>
      </c>
      <c r="J323" s="66">
        <f t="shared" si="225"/>
        <v>12.432171434000111</v>
      </c>
      <c r="K323" s="66">
        <f t="shared" si="225"/>
        <v>11.684897677572394</v>
      </c>
      <c r="L323" s="66">
        <f t="shared" si="225"/>
        <v>11.039895091554911</v>
      </c>
      <c r="M323" s="66">
        <f t="shared" si="225"/>
        <v>10.473547936960756</v>
      </c>
      <c r="N323" s="66">
        <f t="shared" si="225"/>
        <v>8.0728049664402874</v>
      </c>
      <c r="O323" s="66">
        <f t="shared" si="225"/>
        <v>9.5125780912724736</v>
      </c>
      <c r="P323" s="66">
        <f t="shared" si="225"/>
        <v>9.095630968468754</v>
      </c>
      <c r="Q323" s="66">
        <f t="shared" si="225"/>
        <v>8.7104973942671222</v>
      </c>
      <c r="R323" s="66">
        <f t="shared" si="225"/>
        <v>8.3514766656710719</v>
      </c>
      <c r="S323" s="66">
        <f t="shared" si="225"/>
        <v>8.01409022400955</v>
      </c>
      <c r="T323" s="66">
        <f t="shared" si="225"/>
        <v>7.6947801706041901</v>
      </c>
      <c r="U323" s="66">
        <f t="shared" si="225"/>
        <v>7.3906911228149283</v>
      </c>
      <c r="V323" s="66">
        <f t="shared" si="225"/>
        <v>7.0995100814848229</v>
      </c>
      <c r="W323" s="66">
        <f t="shared" si="225"/>
        <v>6.8193473241368565</v>
      </c>
      <c r="X323" s="66">
        <f t="shared" si="225"/>
        <v>6.5486467357674201</v>
      </c>
      <c r="Y323" s="66">
        <f t="shared" si="225"/>
        <v>6.2861175458449452</v>
      </c>
      <c r="Z323" s="66">
        <f t="shared" si="225"/>
        <v>6.0306818239156428</v>
      </c>
      <c r="AA323" s="66">
        <f t="shared" si="225"/>
        <v>5.7814337089551486</v>
      </c>
      <c r="AB323" s="66">
        <f t="shared" si="225"/>
        <v>5.5376074682977219</v>
      </c>
      <c r="AC323" s="66">
        <f t="shared" si="225"/>
        <v>5.2985522663681195</v>
      </c>
      <c r="AD323" s="66">
        <f t="shared" si="225"/>
        <v>5.0637120792655423</v>
      </c>
      <c r="AE323" s="66">
        <f t="shared" si="225"/>
        <v>4.8326095897486994</v>
      </c>
      <c r="AF323" s="66">
        <f t="shared" si="225"/>
        <v>4.6048331859478822</v>
      </c>
      <c r="AG323" s="66">
        <f t="shared" si="225"/>
        <v>3.9917729962193107</v>
      </c>
      <c r="AH323" s="66">
        <f t="shared" si="225"/>
        <v>3.5891540636023933</v>
      </c>
      <c r="AI323" s="66">
        <f t="shared" si="225"/>
        <v>3.3983222058562887</v>
      </c>
      <c r="AJ323" s="66">
        <f t="shared" si="225"/>
        <v>3.2074903481104116</v>
      </c>
      <c r="AK323" s="66">
        <f t="shared" si="225"/>
        <v>3.0166584903645344</v>
      </c>
      <c r="AL323" s="66">
        <f t="shared" si="225"/>
        <v>2.8258266326185435</v>
      </c>
      <c r="AM323" s="66">
        <f t="shared" si="225"/>
        <v>2.6349947748725526</v>
      </c>
      <c r="AN323" s="66">
        <f t="shared" si="225"/>
        <v>2.4441629171263344</v>
      </c>
      <c r="AO323" s="66">
        <f t="shared" si="225"/>
        <v>2.2533310593806277</v>
      </c>
      <c r="AP323" s="66">
        <f t="shared" si="225"/>
        <v>2.0624992016345232</v>
      </c>
      <c r="AQ323" s="66">
        <f t="shared" si="225"/>
        <v>1.871667343888646</v>
      </c>
      <c r="AR323" s="66">
        <f t="shared" si="225"/>
        <v>-1.4699129128416075</v>
      </c>
      <c r="AS323" s="66">
        <f t="shared" si="225"/>
        <v>-2.938771438670301</v>
      </c>
      <c r="AT323" s="66">
        <f t="shared" si="225"/>
        <v>-4.5572191736146692</v>
      </c>
      <c r="AU323" s="66">
        <f t="shared" si="225"/>
        <v>-6.2913277351343027</v>
      </c>
      <c r="AV323" s="66">
        <f t="shared" si="225"/>
        <v>-8.1162717143715781</v>
      </c>
      <c r="AW323" s="66">
        <f t="shared" si="225"/>
        <v>-10.013547143270273</v>
      </c>
      <c r="AX323" s="66">
        <f t="shared" si="225"/>
        <v>-11.969133499424515</v>
      </c>
      <c r="AY323" s="66">
        <f t="shared" si="225"/>
        <v>-13.972250369749986</v>
      </c>
      <c r="AZ323" s="66">
        <f t="shared" si="225"/>
        <v>-16.014498607926043</v>
      </c>
      <c r="BA323" s="66">
        <f t="shared" si="225"/>
        <v>-18.089255846581636</v>
      </c>
      <c r="BB323" s="66">
        <f t="shared" si="225"/>
        <v>-20.191243767703099</v>
      </c>
      <c r="BC323" s="66">
        <f t="shared" si="225"/>
        <v>-22.316213531941912</v>
      </c>
      <c r="BD323" s="66">
        <f t="shared" si="225"/>
        <v>-24.267437801491155</v>
      </c>
      <c r="BE323" s="66">
        <f t="shared" si="225"/>
        <v>-24.305736983799875</v>
      </c>
      <c r="BF323" s="66">
        <f t="shared" si="225"/>
        <v>-28.328257176201646</v>
      </c>
      <c r="BG323" s="66">
        <f t="shared" si="225"/>
        <v>-30.485968301054754</v>
      </c>
      <c r="BH323" s="66">
        <f t="shared" si="225"/>
        <v>-32.66768133002779</v>
      </c>
      <c r="BI323" s="66">
        <f t="shared" si="225"/>
        <v>-34.868229431807322</v>
      </c>
      <c r="BJ323" s="66">
        <f t="shared" si="225"/>
        <v>-37.083765087729944</v>
      </c>
      <c r="BK323" s="66">
        <f t="shared" si="226"/>
        <v>-5.9199781010494235</v>
      </c>
      <c r="BL323" s="66">
        <f t="shared" si="226"/>
        <v>-4.11299277118178</v>
      </c>
      <c r="BM323" s="66">
        <f t="shared" si="226"/>
        <v>-2.4709473813074965</v>
      </c>
      <c r="BN323" s="66">
        <f t="shared" si="226"/>
        <v>-8.118827110010443</v>
      </c>
      <c r="BO323" s="65">
        <v>0</v>
      </c>
      <c r="BR323"/>
      <c r="BS323"/>
      <c r="BT323"/>
    </row>
    <row r="324" spans="2:72">
      <c r="B324" s="47"/>
      <c r="C324" s="43"/>
      <c r="D324" s="47"/>
      <c r="E324" s="47"/>
      <c r="F324" s="47"/>
      <c r="G324" s="47"/>
      <c r="H324" s="47"/>
      <c r="I324" s="47"/>
      <c r="J324" s="43"/>
      <c r="K324" s="43"/>
      <c r="L324" s="43"/>
      <c r="M324" s="43"/>
      <c r="N324" s="43"/>
      <c r="O324" s="43"/>
      <c r="Z324" s="43"/>
      <c r="AA324" s="43"/>
      <c r="AB324" s="43"/>
      <c r="AC324" s="43"/>
      <c r="AD324" s="43"/>
      <c r="AE324" s="43"/>
      <c r="AF324" s="43"/>
      <c r="AG324" s="43"/>
      <c r="AH324" s="43"/>
      <c r="AI324" s="43"/>
    </row>
    <row r="325" spans="2:72">
      <c r="C325" s="43"/>
      <c r="F325" s="43"/>
      <c r="G325" s="43"/>
      <c r="H325" s="43"/>
      <c r="I325" s="43"/>
      <c r="J325" s="43"/>
      <c r="K325" s="43"/>
      <c r="L325" s="43"/>
      <c r="M325" s="43"/>
      <c r="N325" s="43"/>
      <c r="O325" s="43"/>
      <c r="P325" s="43"/>
      <c r="Q325"/>
      <c r="Z325" s="41"/>
      <c r="AA325" s="43"/>
      <c r="AB325" s="43"/>
      <c r="AC325" s="43"/>
      <c r="AD325" s="43"/>
      <c r="AE325" s="43"/>
      <c r="AF325" s="43"/>
      <c r="AG325" s="43"/>
      <c r="AH325" s="43"/>
      <c r="AI325" s="43"/>
      <c r="AJ325" s="43"/>
    </row>
    <row r="326" spans="2:72">
      <c r="C326" s="43"/>
      <c r="F326" s="43"/>
      <c r="G326" s="43"/>
      <c r="H326" s="43"/>
      <c r="I326" s="43"/>
      <c r="J326" s="43"/>
      <c r="K326" s="43"/>
      <c r="L326" s="43"/>
      <c r="M326" s="43"/>
      <c r="N326" s="43"/>
      <c r="O326" s="43"/>
      <c r="P326" s="43"/>
      <c r="Q326"/>
      <c r="Z326" s="41"/>
      <c r="AA326" s="43"/>
      <c r="AB326" s="43"/>
      <c r="AC326" s="43"/>
      <c r="AD326" s="43"/>
      <c r="AE326" s="43"/>
      <c r="AF326" s="43"/>
      <c r="AG326" s="43"/>
      <c r="AH326" s="43"/>
      <c r="AI326" s="43"/>
      <c r="AJ326" s="43"/>
    </row>
    <row r="327" spans="2:72">
      <c r="C327" s="43"/>
      <c r="D327" s="43"/>
      <c r="F327" s="41"/>
      <c r="G327" s="43"/>
      <c r="H327" s="43"/>
      <c r="I327" s="43"/>
      <c r="J327" s="43"/>
      <c r="K327" s="43"/>
      <c r="L327" s="43"/>
      <c r="M327" s="43"/>
      <c r="N327" s="43"/>
      <c r="O327" s="43"/>
      <c r="P327" s="43"/>
      <c r="Q327"/>
      <c r="Z327" s="41"/>
      <c r="AA327" s="43"/>
      <c r="AB327" s="43"/>
      <c r="AC327" s="43"/>
      <c r="AD327" s="43"/>
      <c r="AE327" s="43"/>
      <c r="AF327" s="43"/>
      <c r="AG327" s="43"/>
      <c r="AH327" s="43"/>
      <c r="AI327" s="43"/>
      <c r="AJ327" s="43"/>
    </row>
    <row r="328" spans="2:72">
      <c r="C328" s="43"/>
      <c r="D328" s="43"/>
      <c r="F328" s="41"/>
      <c r="G328" s="43"/>
      <c r="H328" s="43"/>
      <c r="I328" s="43"/>
      <c r="J328" s="43"/>
      <c r="K328" s="43"/>
      <c r="L328" s="43"/>
      <c r="M328" s="43"/>
      <c r="N328" s="43"/>
      <c r="O328" s="43"/>
      <c r="P328" s="43"/>
      <c r="Q328"/>
      <c r="Z328" s="41"/>
      <c r="AA328" s="43"/>
      <c r="AB328" s="43"/>
      <c r="AC328" s="43"/>
      <c r="AD328" s="43"/>
      <c r="AE328" s="43"/>
      <c r="AF328" s="43"/>
      <c r="AG328" s="43"/>
      <c r="AH328" s="43"/>
      <c r="AI328" s="43"/>
      <c r="AJ328" s="43"/>
    </row>
    <row r="329" spans="2:72">
      <c r="C329" s="43"/>
      <c r="F329" s="43"/>
      <c r="G329" s="43"/>
      <c r="H329" s="43"/>
      <c r="I329" s="43"/>
      <c r="J329" s="43"/>
      <c r="K329" s="43"/>
      <c r="L329" s="43"/>
      <c r="M329" s="43"/>
      <c r="N329" s="43"/>
      <c r="O329" s="43"/>
      <c r="Q329"/>
      <c r="Z329" s="43"/>
      <c r="AA329" s="43"/>
      <c r="AB329" s="43"/>
      <c r="AC329" s="43"/>
      <c r="AD329" s="43"/>
      <c r="AE329" s="43"/>
      <c r="AF329" s="43"/>
      <c r="AG329" s="43"/>
      <c r="AH329" s="43"/>
      <c r="AI329" s="43"/>
    </row>
    <row r="330" spans="2:72">
      <c r="C330" s="43"/>
      <c r="F330" s="43"/>
      <c r="G330" s="43"/>
      <c r="H330" s="43"/>
      <c r="I330" s="43"/>
      <c r="J330" s="43"/>
      <c r="K330" s="43"/>
      <c r="L330" s="43"/>
      <c r="M330" s="43"/>
      <c r="N330" s="43"/>
      <c r="O330" s="43"/>
      <c r="Q330"/>
      <c r="Z330" s="43"/>
      <c r="AA330" s="43"/>
      <c r="AB330" s="43"/>
      <c r="AC330" s="43"/>
      <c r="AD330" s="43"/>
      <c r="AE330" s="43"/>
      <c r="AF330" s="43"/>
      <c r="AG330" s="43"/>
      <c r="AH330" s="43"/>
      <c r="AI330" s="43"/>
    </row>
    <row r="331" spans="2:72">
      <c r="C331" s="43"/>
      <c r="F331" s="43"/>
      <c r="G331" s="43"/>
      <c r="H331" s="43"/>
      <c r="I331" s="43"/>
      <c r="J331" s="43"/>
      <c r="K331" s="43"/>
      <c r="L331" s="43"/>
      <c r="M331" s="43"/>
      <c r="N331" s="43"/>
      <c r="O331" s="43"/>
      <c r="Q331"/>
      <c r="Z331" s="43"/>
      <c r="AA331" s="43"/>
      <c r="AB331" s="43"/>
      <c r="AC331" s="43"/>
      <c r="AD331" s="43"/>
      <c r="AE331" s="43"/>
      <c r="AF331" s="43"/>
      <c r="AG331" s="43"/>
      <c r="AH331" s="43"/>
      <c r="AI331" s="43"/>
    </row>
    <row r="332" spans="2:72">
      <c r="C332" s="43"/>
      <c r="F332" s="43"/>
      <c r="G332" s="43"/>
      <c r="H332" s="43"/>
      <c r="I332" s="43"/>
      <c r="J332" s="43"/>
      <c r="K332" s="43"/>
      <c r="L332" s="43"/>
      <c r="M332" s="43"/>
      <c r="N332" s="43"/>
      <c r="O332" s="43"/>
      <c r="Q332"/>
      <c r="Z332" s="43"/>
      <c r="AA332" s="43"/>
      <c r="AB332" s="43"/>
      <c r="AC332" s="43"/>
      <c r="AD332" s="43"/>
      <c r="AE332" s="43"/>
      <c r="AF332" s="43"/>
      <c r="AG332" s="43"/>
      <c r="AH332" s="43"/>
      <c r="AI332" s="43"/>
    </row>
    <row r="333" spans="2:72">
      <c r="C333" s="43"/>
      <c r="F333" s="43"/>
      <c r="G333" s="43"/>
      <c r="H333" s="43"/>
      <c r="I333" s="43"/>
      <c r="J333" s="43"/>
      <c r="K333" s="43"/>
      <c r="L333" s="43"/>
      <c r="M333" s="43"/>
      <c r="N333" s="43"/>
      <c r="O333" s="43"/>
      <c r="Q333"/>
      <c r="Z333" s="43"/>
      <c r="AA333" s="43"/>
      <c r="AB333" s="43"/>
      <c r="AC333" s="43"/>
      <c r="AD333" s="43"/>
      <c r="AE333" s="43"/>
      <c r="AF333" s="43"/>
      <c r="AG333" s="43"/>
      <c r="AH333" s="43"/>
      <c r="AI333" s="43"/>
    </row>
    <row r="334" spans="2:72">
      <c r="C334" s="43"/>
      <c r="F334" s="43"/>
      <c r="G334" s="43"/>
      <c r="H334" s="43"/>
      <c r="I334" s="43"/>
      <c r="J334" s="43"/>
      <c r="K334" s="43"/>
      <c r="L334" s="43"/>
      <c r="M334" s="43"/>
      <c r="N334" s="43"/>
      <c r="O334" s="43"/>
      <c r="Q334"/>
      <c r="Z334" s="43"/>
      <c r="AA334" s="43"/>
      <c r="AB334" s="43"/>
      <c r="AC334" s="43"/>
      <c r="AD334" s="43"/>
      <c r="AE334" s="43"/>
      <c r="AF334" s="43"/>
      <c r="AG334" s="43"/>
      <c r="AH334" s="43"/>
      <c r="AI334" s="43"/>
    </row>
    <row r="335" spans="2:72">
      <c r="C335" s="43"/>
      <c r="F335" s="43"/>
      <c r="G335" s="43"/>
      <c r="H335" s="43"/>
      <c r="I335" s="43"/>
      <c r="J335" s="43"/>
      <c r="K335" s="43"/>
      <c r="L335" s="43"/>
      <c r="M335" s="43"/>
      <c r="N335" s="43"/>
      <c r="O335" s="43"/>
      <c r="Q335"/>
      <c r="Z335" s="43"/>
      <c r="AA335" s="43"/>
      <c r="AB335" s="43"/>
      <c r="AC335" s="43"/>
      <c r="AD335" s="43"/>
      <c r="AE335" s="43"/>
      <c r="AF335" s="43"/>
      <c r="AG335" s="43"/>
      <c r="AH335" s="43"/>
      <c r="AI335" s="43"/>
    </row>
    <row r="336" spans="2:72">
      <c r="Q336"/>
    </row>
    <row r="337" spans="1:72">
      <c r="Q337"/>
    </row>
    <row r="338" spans="1:72">
      <c r="Q338"/>
    </row>
    <row r="339" spans="1:72">
      <c r="Q339"/>
    </row>
    <row r="340" spans="1:72">
      <c r="Q340"/>
    </row>
    <row r="341" spans="1:72">
      <c r="Q341"/>
    </row>
    <row r="342" spans="1:72">
      <c r="Q342"/>
    </row>
    <row r="343" spans="1:72">
      <c r="Q343"/>
      <c r="R343"/>
      <c r="S343"/>
      <c r="T343"/>
      <c r="U343"/>
      <c r="V343"/>
      <c r="W343"/>
      <c r="X343"/>
      <c r="Y343"/>
      <c r="Z343" s="1"/>
      <c r="AA343" s="1"/>
      <c r="AB343" s="1"/>
      <c r="AC343" s="1"/>
      <c r="AD343" s="1"/>
      <c r="AE343" s="1"/>
      <c r="AF343" s="1"/>
      <c r="AG343" s="1"/>
      <c r="AH343" s="1"/>
      <c r="AI343" s="1"/>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row>
    <row r="344" spans="1:72">
      <c r="Q344"/>
      <c r="R344"/>
      <c r="S344"/>
      <c r="T344"/>
      <c r="U344"/>
      <c r="V344"/>
      <c r="W344"/>
      <c r="X344"/>
      <c r="Y344"/>
      <c r="Z344" s="1"/>
      <c r="AA344" s="1"/>
      <c r="AB344" s="1"/>
      <c r="AC344" s="1"/>
      <c r="AD344" s="1"/>
      <c r="AE344" s="1"/>
      <c r="AF344" s="1"/>
      <c r="AG344" s="1"/>
      <c r="AH344" s="1"/>
      <c r="AI344" s="1"/>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row>
    <row r="345" spans="1:72">
      <c r="Q345"/>
      <c r="R345"/>
      <c r="S345"/>
      <c r="T345"/>
      <c r="U345"/>
      <c r="V345"/>
      <c r="W345"/>
      <c r="X345"/>
      <c r="Y345"/>
      <c r="Z345" s="1"/>
      <c r="AA345" s="1"/>
      <c r="AB345" s="1"/>
      <c r="AC345" s="1"/>
      <c r="AD345" s="1"/>
      <c r="AE345" s="1"/>
      <c r="AF345" s="1"/>
      <c r="AG345" s="1"/>
      <c r="AH345" s="1"/>
      <c r="AI345" s="1"/>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row>
    <row r="346" spans="1:72">
      <c r="Q346"/>
      <c r="R346"/>
      <c r="S346"/>
      <c r="T346"/>
      <c r="U346"/>
      <c r="V346"/>
      <c r="W346"/>
      <c r="X346"/>
      <c r="Y346"/>
      <c r="Z346" s="1"/>
      <c r="AA346" s="1"/>
      <c r="AB346" s="1"/>
      <c r="AC346" s="1"/>
      <c r="AD346" s="1"/>
      <c r="AE346" s="1"/>
      <c r="AF346" s="1"/>
      <c r="AG346" s="1"/>
      <c r="AH346" s="1"/>
      <c r="AI346" s="1"/>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row>
    <row r="347" spans="1:72">
      <c r="Q347"/>
      <c r="R347"/>
      <c r="S347"/>
      <c r="T347"/>
      <c r="U347"/>
      <c r="V347"/>
      <c r="W347"/>
      <c r="X347"/>
      <c r="Y347"/>
      <c r="Z347" s="1"/>
      <c r="AA347" s="1"/>
      <c r="AB347" s="1"/>
      <c r="AC347" s="1"/>
      <c r="AD347" s="1"/>
      <c r="AE347" s="1"/>
      <c r="AF347" s="1"/>
      <c r="AG347" s="1"/>
      <c r="AH347" s="1"/>
      <c r="AI347" s="1"/>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row>
    <row r="348" spans="1:72">
      <c r="Q348"/>
      <c r="R348"/>
      <c r="S348"/>
      <c r="T348"/>
      <c r="U348"/>
      <c r="V348"/>
      <c r="W348"/>
      <c r="X348"/>
      <c r="Y348"/>
      <c r="Z348" s="1"/>
      <c r="AA348" s="1"/>
      <c r="AB348" s="1"/>
      <c r="AC348" s="1"/>
      <c r="AD348" s="1"/>
      <c r="AE348" s="1"/>
      <c r="AF348" s="1"/>
      <c r="AG348" s="1"/>
      <c r="AH348" s="1"/>
      <c r="AI348" s="1"/>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row>
    <row r="349" spans="1:72">
      <c r="Q349"/>
      <c r="R349"/>
      <c r="S349"/>
      <c r="T349"/>
      <c r="U349"/>
      <c r="V349"/>
      <c r="W349"/>
      <c r="X349"/>
      <c r="Y349"/>
      <c r="Z349" s="1"/>
      <c r="AA349" s="1"/>
      <c r="AB349" s="1"/>
      <c r="AC349" s="1"/>
      <c r="AD349" s="1"/>
      <c r="AE349" s="1"/>
      <c r="AF349" s="1"/>
      <c r="AG349" s="1"/>
      <c r="AH349" s="1"/>
      <c r="AI349" s="1"/>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row>
    <row r="350" spans="1:72">
      <c r="Q350"/>
      <c r="R350"/>
      <c r="S350"/>
      <c r="T350"/>
      <c r="U350"/>
      <c r="V350"/>
      <c r="W350"/>
      <c r="X350"/>
      <c r="Y350"/>
      <c r="Z350" s="1"/>
      <c r="AA350" s="1"/>
      <c r="AB350" s="1"/>
      <c r="AC350" s="1"/>
      <c r="AD350" s="1"/>
      <c r="AE350" s="1"/>
      <c r="AF350" s="1"/>
      <c r="AG350" s="1"/>
      <c r="AH350" s="1"/>
      <c r="AI350" s="1"/>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row>
    <row r="351" spans="1:72">
      <c r="Q351"/>
      <c r="R351"/>
      <c r="S351"/>
      <c r="T351"/>
      <c r="U351"/>
      <c r="V351"/>
      <c r="W351"/>
      <c r="X351"/>
      <c r="Y351"/>
      <c r="Z351" s="1"/>
      <c r="AA351" s="1"/>
      <c r="AB351" s="1"/>
      <c r="AC351" s="1"/>
      <c r="AD351" s="1"/>
      <c r="AE351" s="1"/>
      <c r="AF351" s="1"/>
      <c r="AG351" s="1"/>
      <c r="AH351" s="1"/>
      <c r="AI351" s="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row>
    <row r="352" spans="1:72">
      <c r="A352"/>
      <c r="B352"/>
      <c r="C352" s="1"/>
      <c r="D352"/>
      <c r="E352"/>
      <c r="F352" s="1"/>
      <c r="G352" s="1"/>
      <c r="H352" s="1"/>
      <c r="I352" s="1"/>
      <c r="J352" s="1"/>
      <c r="K352" s="1"/>
      <c r="L352" s="1"/>
      <c r="M352" s="1"/>
      <c r="N352" s="1"/>
      <c r="O352" s="1"/>
      <c r="P352"/>
      <c r="Q352"/>
      <c r="R352"/>
      <c r="S352"/>
      <c r="T352"/>
      <c r="U352"/>
      <c r="V352"/>
      <c r="W352"/>
      <c r="X352"/>
      <c r="Y352"/>
      <c r="Z352" s="1"/>
      <c r="AA352" s="1"/>
      <c r="AB352" s="1"/>
      <c r="AC352" s="1"/>
      <c r="AD352" s="1"/>
      <c r="AE352" s="1"/>
      <c r="AF352" s="1"/>
      <c r="AG352" s="1"/>
      <c r="AH352" s="1"/>
      <c r="AI352" s="1"/>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row>
    <row r="353" spans="1:72">
      <c r="A353"/>
      <c r="B353"/>
      <c r="C353" s="1"/>
      <c r="D353"/>
      <c r="E353"/>
      <c r="F353" s="1"/>
      <c r="G353" s="1"/>
      <c r="H353" s="1"/>
      <c r="I353" s="1"/>
      <c r="J353" s="1"/>
      <c r="K353" s="1"/>
      <c r="L353" s="1"/>
      <c r="M353" s="1"/>
      <c r="N353" s="1"/>
      <c r="O353" s="1"/>
      <c r="P353"/>
      <c r="Q353"/>
      <c r="R353"/>
      <c r="S353"/>
      <c r="T353"/>
      <c r="U353"/>
      <c r="V353"/>
      <c r="W353"/>
      <c r="X353"/>
      <c r="Y353"/>
      <c r="Z353" s="1"/>
      <c r="AA353" s="1"/>
      <c r="AB353" s="1"/>
      <c r="AC353" s="1"/>
      <c r="AD353" s="1"/>
      <c r="AE353" s="1"/>
      <c r="AF353" s="1"/>
      <c r="AG353" s="1"/>
      <c r="AH353" s="1"/>
      <c r="AI353" s="1"/>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row>
    <row r="354" spans="1:72">
      <c r="A354"/>
      <c r="B354"/>
      <c r="C354" s="1"/>
      <c r="D354"/>
      <c r="E354"/>
      <c r="F354" s="1"/>
      <c r="G354" s="1"/>
      <c r="H354" s="1"/>
      <c r="I354" s="1"/>
      <c r="J354" s="1"/>
      <c r="K354" s="1"/>
      <c r="L354" s="1"/>
      <c r="M354" s="1"/>
      <c r="N354" s="1"/>
      <c r="O354" s="1"/>
      <c r="P354"/>
      <c r="Q354"/>
      <c r="R354"/>
      <c r="S354"/>
      <c r="T354"/>
      <c r="U354"/>
      <c r="V354"/>
      <c r="W354"/>
      <c r="X354"/>
      <c r="Y354"/>
      <c r="Z354" s="1"/>
      <c r="AA354" s="1"/>
      <c r="AB354" s="1"/>
      <c r="AC354" s="1"/>
      <c r="AD354" s="1"/>
      <c r="AE354" s="1"/>
      <c r="AF354" s="1"/>
      <c r="AG354" s="1"/>
      <c r="AH354" s="1"/>
      <c r="AI354" s="1"/>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row>
    <row r="355" spans="1:72">
      <c r="A355"/>
      <c r="B355"/>
      <c r="C355" s="1"/>
      <c r="D355"/>
      <c r="E355"/>
      <c r="F355" s="1"/>
      <c r="G355" s="1"/>
      <c r="H355" s="1"/>
      <c r="I355" s="1"/>
      <c r="J355" s="1"/>
      <c r="K355" s="1"/>
      <c r="L355" s="1"/>
      <c r="M355" s="1"/>
      <c r="N355" s="1"/>
      <c r="O355" s="1"/>
      <c r="P355"/>
      <c r="Q355"/>
      <c r="R355"/>
      <c r="S355"/>
      <c r="T355"/>
      <c r="U355"/>
      <c r="V355"/>
      <c r="W355"/>
      <c r="X355"/>
      <c r="Y355"/>
      <c r="Z355" s="1"/>
      <c r="AA355" s="1"/>
      <c r="AB355" s="1"/>
      <c r="AC355" s="1"/>
      <c r="AD355" s="1"/>
      <c r="AE355" s="1"/>
      <c r="AF355" s="1"/>
      <c r="AG355" s="1"/>
      <c r="AH355" s="1"/>
      <c r="AI355" s="1"/>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row>
    <row r="356" spans="1:72">
      <c r="A356"/>
      <c r="B356"/>
      <c r="C356" s="1"/>
      <c r="D356"/>
      <c r="E356"/>
      <c r="F356" s="1"/>
      <c r="G356" s="1"/>
      <c r="H356" s="1"/>
      <c r="I356" s="1"/>
      <c r="J356" s="1"/>
      <c r="K356" s="1"/>
      <c r="L356" s="1"/>
      <c r="M356" s="1"/>
      <c r="N356" s="1"/>
      <c r="O356" s="1"/>
      <c r="P356"/>
      <c r="Q356"/>
      <c r="R356"/>
      <c r="S356"/>
      <c r="T356"/>
      <c r="U356"/>
      <c r="V356"/>
      <c r="W356"/>
      <c r="X356"/>
      <c r="Y356"/>
      <c r="Z356" s="1"/>
      <c r="AA356" s="1"/>
      <c r="AB356" s="1"/>
      <c r="AC356" s="1"/>
      <c r="AD356" s="1"/>
      <c r="AE356" s="1"/>
      <c r="AF356" s="1"/>
      <c r="AG356" s="1"/>
      <c r="AH356" s="1"/>
      <c r="AI356" s="1"/>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row>
    <row r="357" spans="1:72">
      <c r="A357"/>
      <c r="B357"/>
      <c r="C357" s="1"/>
      <c r="D357"/>
      <c r="E357"/>
      <c r="F357" s="1"/>
      <c r="G357" s="1"/>
      <c r="H357" s="1"/>
      <c r="I357" s="1"/>
      <c r="J357" s="1"/>
      <c r="K357" s="1"/>
      <c r="L357" s="1"/>
      <c r="M357" s="1"/>
      <c r="N357" s="1"/>
      <c r="O357" s="1"/>
      <c r="P357"/>
      <c r="Q357"/>
      <c r="R357"/>
      <c r="S357"/>
      <c r="T357"/>
      <c r="U357"/>
      <c r="V357"/>
      <c r="W357"/>
      <c r="X357"/>
      <c r="Y357"/>
      <c r="Z357" s="1"/>
      <c r="AA357" s="1"/>
      <c r="AB357" s="1"/>
      <c r="AC357" s="1"/>
      <c r="AD357" s="1"/>
      <c r="AE357" s="1"/>
      <c r="AF357" s="1"/>
      <c r="AG357" s="1"/>
      <c r="AH357" s="1"/>
      <c r="AI357" s="1"/>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row>
    <row r="358" spans="1:72">
      <c r="A358"/>
      <c r="B358"/>
      <c r="C358" s="1"/>
      <c r="D358"/>
      <c r="E358"/>
      <c r="F358" s="1"/>
      <c r="G358" s="1"/>
      <c r="H358" s="1"/>
      <c r="I358" s="1"/>
      <c r="J358" s="1"/>
      <c r="K358" s="1"/>
      <c r="L358" s="1"/>
      <c r="M358" s="1"/>
      <c r="N358" s="1"/>
      <c r="O358" s="1"/>
      <c r="P358"/>
      <c r="Q358"/>
      <c r="R358"/>
      <c r="S358"/>
      <c r="T358"/>
      <c r="U358"/>
      <c r="V358"/>
      <c r="W358"/>
      <c r="X358"/>
      <c r="Y358"/>
      <c r="Z358" s="1"/>
      <c r="AA358" s="1"/>
      <c r="AB358" s="1"/>
      <c r="AC358" s="1"/>
      <c r="AD358" s="1"/>
      <c r="AE358" s="1"/>
      <c r="AF358" s="1"/>
      <c r="AG358" s="1"/>
      <c r="AH358" s="1"/>
      <c r="AI358" s="1"/>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row>
    <row r="359" spans="1:72">
      <c r="A359"/>
      <c r="B359"/>
      <c r="C359" s="1"/>
      <c r="D359"/>
      <c r="E359"/>
      <c r="F359" s="1"/>
      <c r="G359" s="1"/>
      <c r="H359" s="1"/>
      <c r="I359" s="1"/>
      <c r="J359" s="1"/>
      <c r="K359" s="1"/>
      <c r="L359" s="1"/>
      <c r="M359" s="1"/>
      <c r="N359" s="1"/>
      <c r="O359" s="1"/>
      <c r="P359"/>
      <c r="Q359"/>
      <c r="R359"/>
      <c r="S359"/>
      <c r="T359"/>
      <c r="U359"/>
      <c r="V359"/>
      <c r="W359"/>
      <c r="X359"/>
      <c r="Y359"/>
      <c r="Z359" s="1"/>
      <c r="AA359" s="1"/>
      <c r="AB359" s="1"/>
      <c r="AC359" s="1"/>
      <c r="AD359" s="1"/>
      <c r="AE359" s="1"/>
      <c r="AF359" s="1"/>
      <c r="AG359" s="1"/>
      <c r="AH359" s="1"/>
      <c r="AI359" s="1"/>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row>
    <row r="360" spans="1:72">
      <c r="A360"/>
      <c r="B360"/>
      <c r="C360" s="1"/>
      <c r="D360"/>
      <c r="E360"/>
      <c r="F360" s="1"/>
      <c r="G360" s="1"/>
      <c r="H360" s="1"/>
      <c r="I360" s="1"/>
      <c r="J360" s="1"/>
      <c r="K360" s="1"/>
      <c r="L360" s="1"/>
      <c r="M360" s="1"/>
      <c r="N360" s="1"/>
      <c r="O360" s="1"/>
      <c r="P360"/>
      <c r="Q360"/>
      <c r="R360"/>
      <c r="S360"/>
      <c r="T360"/>
      <c r="U360"/>
      <c r="V360"/>
      <c r="W360"/>
      <c r="X360"/>
      <c r="Y360"/>
      <c r="Z360" s="1"/>
      <c r="AA360" s="1"/>
      <c r="AB360" s="1"/>
      <c r="AC360" s="1"/>
      <c r="AD360" s="1"/>
      <c r="AE360" s="1"/>
      <c r="AF360" s="1"/>
      <c r="AG360" s="1"/>
      <c r="AH360" s="1"/>
      <c r="AI360" s="1"/>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row>
    <row r="361" spans="1:72">
      <c r="A361"/>
      <c r="B361"/>
      <c r="C361" s="1"/>
      <c r="D361"/>
      <c r="E361"/>
      <c r="F361" s="1"/>
      <c r="G361" s="1"/>
      <c r="H361" s="1"/>
      <c r="I361" s="1"/>
      <c r="J361" s="1"/>
      <c r="K361" s="1"/>
      <c r="L361" s="1"/>
      <c r="M361" s="1"/>
      <c r="N361" s="1"/>
      <c r="O361" s="1"/>
      <c r="P361"/>
      <c r="Q361"/>
      <c r="R361"/>
      <c r="S361"/>
      <c r="T361"/>
      <c r="U361"/>
      <c r="V361"/>
      <c r="W361"/>
      <c r="X361"/>
      <c r="Y361"/>
      <c r="Z361" s="1"/>
      <c r="AA361" s="1"/>
      <c r="AB361" s="1"/>
      <c r="AC361" s="1"/>
      <c r="AD361" s="1"/>
      <c r="AE361" s="1"/>
      <c r="AF361" s="1"/>
      <c r="AG361" s="1"/>
      <c r="AH361" s="1"/>
      <c r="AI361" s="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row>
    <row r="362" spans="1:72">
      <c r="A362"/>
      <c r="B362"/>
      <c r="C362" s="1"/>
      <c r="D362"/>
      <c r="E362"/>
      <c r="F362" s="1"/>
      <c r="G362" s="1"/>
      <c r="H362" s="1"/>
      <c r="I362" s="1"/>
      <c r="J362" s="1"/>
      <c r="K362" s="1"/>
      <c r="L362" s="1"/>
      <c r="M362" s="1"/>
      <c r="N362" s="1"/>
      <c r="O362" s="1"/>
      <c r="P362"/>
      <c r="Q362"/>
      <c r="R362"/>
      <c r="S362"/>
      <c r="T362"/>
      <c r="U362"/>
      <c r="V362"/>
      <c r="W362"/>
      <c r="X362"/>
      <c r="Y362"/>
      <c r="Z362" s="1"/>
      <c r="AA362" s="1"/>
      <c r="AB362" s="1"/>
      <c r="AC362" s="1"/>
      <c r="AD362" s="1"/>
      <c r="AE362" s="1"/>
      <c r="AF362" s="1"/>
      <c r="AG362" s="1"/>
      <c r="AH362" s="1"/>
      <c r="AI362" s="1"/>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row>
    <row r="363" spans="1:72">
      <c r="A363"/>
      <c r="B363"/>
      <c r="C363" s="1"/>
      <c r="D363"/>
      <c r="E363"/>
      <c r="F363" s="1"/>
      <c r="G363" s="1"/>
      <c r="H363" s="1"/>
      <c r="I363" s="1"/>
      <c r="J363" s="1"/>
      <c r="K363" s="1"/>
      <c r="L363" s="1"/>
      <c r="M363" s="1"/>
      <c r="N363" s="1"/>
      <c r="O363" s="1"/>
      <c r="P363"/>
      <c r="Q363"/>
      <c r="R363"/>
      <c r="S363"/>
      <c r="T363"/>
      <c r="U363"/>
      <c r="V363"/>
      <c r="W363"/>
      <c r="X363"/>
      <c r="Y363"/>
      <c r="Z363" s="1"/>
      <c r="AA363" s="1"/>
      <c r="AB363" s="1"/>
      <c r="AC363" s="1"/>
      <c r="AD363" s="1"/>
      <c r="AE363" s="1"/>
      <c r="AF363" s="1"/>
      <c r="AG363" s="1"/>
      <c r="AH363" s="1"/>
      <c r="AI363" s="1"/>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row>
    <row r="364" spans="1:72">
      <c r="A364"/>
      <c r="B364"/>
      <c r="C364" s="1"/>
      <c r="D364"/>
      <c r="E364"/>
      <c r="F364" s="1"/>
      <c r="G364" s="1"/>
      <c r="H364" s="1"/>
      <c r="I364" s="1"/>
      <c r="J364" s="1"/>
      <c r="K364" s="1"/>
      <c r="L364" s="1"/>
      <c r="M364" s="1"/>
      <c r="N364" s="1"/>
      <c r="O364" s="1"/>
      <c r="P364"/>
      <c r="Q364"/>
      <c r="R364"/>
      <c r="S364"/>
      <c r="T364"/>
      <c r="U364"/>
      <c r="V364"/>
      <c r="W364"/>
      <c r="X364"/>
      <c r="Y364"/>
      <c r="Z364" s="1"/>
      <c r="AA364" s="1"/>
      <c r="AB364" s="1"/>
      <c r="AC364" s="1"/>
      <c r="AD364" s="1"/>
      <c r="AE364" s="1"/>
      <c r="AF364" s="1"/>
      <c r="AG364" s="1"/>
      <c r="AH364" s="1"/>
      <c r="AI364" s="1"/>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row>
    <row r="365" spans="1:72">
      <c r="A365"/>
      <c r="B365"/>
      <c r="C365" s="1"/>
      <c r="D365"/>
      <c r="E365"/>
      <c r="F365" s="1"/>
      <c r="G365" s="1"/>
      <c r="H365" s="1"/>
      <c r="I365" s="1"/>
      <c r="J365" s="1"/>
      <c r="K365" s="1"/>
      <c r="L365" s="1"/>
      <c r="M365" s="1"/>
      <c r="N365" s="1"/>
      <c r="O365" s="1"/>
      <c r="P365"/>
      <c r="Q365"/>
      <c r="R365"/>
      <c r="S365"/>
      <c r="T365"/>
      <c r="U365"/>
      <c r="V365"/>
      <c r="W365"/>
      <c r="X365"/>
      <c r="Y365"/>
      <c r="Z365" s="1"/>
      <c r="AA365" s="1"/>
      <c r="AB365" s="1"/>
      <c r="AC365" s="1"/>
      <c r="AD365" s="1"/>
      <c r="AE365" s="1"/>
      <c r="AF365" s="1"/>
      <c r="AG365" s="1"/>
      <c r="AH365" s="1"/>
      <c r="AI365" s="1"/>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row>
  </sheetData>
  <customSheetViews>
    <customSheetView guid="{065FF312-67E2-4E5F-894A-2CE2F41260A3}" scale="75">
      <rowBreaks count="1" manualBreakCount="1">
        <brk id="165" max="16383" man="1"/>
      </rowBreaks>
      <colBreaks count="1" manualBreakCount="1">
        <brk id="34" max="1048575" man="1"/>
      </colBreaks>
      <pageMargins left="0.62992125984251968" right="0.39370078740157483" top="0.47244094488188981" bottom="0.47244094488188981" header="0" footer="0"/>
      <printOptions horizontalCentered="1"/>
      <pageSetup paperSize="9" scale="27" fitToWidth="2" fitToHeight="2" orientation="portrait" horizontalDpi="300" verticalDpi="300" r:id="rId1"/>
      <headerFooter alignWithMargins="0"/>
    </customSheetView>
  </customSheetViews>
  <mergeCells count="3">
    <mergeCell ref="BJ5:BK5"/>
    <mergeCell ref="AE5:AF5"/>
    <mergeCell ref="AV3:BA4"/>
  </mergeCells>
  <phoneticPr fontId="0" type="noConversion"/>
  <printOptions horizontalCentered="1"/>
  <pageMargins left="0.62992125984251968" right="0.39370078740157483" top="0.47244094488188981" bottom="0.47244094488188981" header="0" footer="0"/>
  <pageSetup paperSize="9" scale="27" fitToWidth="2" fitToHeight="2" orientation="portrait" horizontalDpi="300" verticalDpi="300" r:id="rId2"/>
  <headerFooter alignWithMargins="0"/>
  <rowBreaks count="1" manualBreakCount="1">
    <brk id="165" max="16383" man="1"/>
  </rowBreaks>
  <colBreaks count="1" manualBreakCount="1">
    <brk id="34" max="1048575" man="1"/>
  </colBreaks>
  <drawing r:id="rId3"/>
  <picture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pageSetUpPr fitToPage="1"/>
  </sheetPr>
  <dimension ref="A1:AR63"/>
  <sheetViews>
    <sheetView zoomScale="75" zoomScaleNormal="75" workbookViewId="0"/>
  </sheetViews>
  <sheetFormatPr defaultColWidth="9.28515625" defaultRowHeight="15"/>
  <cols>
    <col min="1" max="1" width="3.5703125" style="54" customWidth="1"/>
    <col min="2" max="2" width="15.42578125" style="54" customWidth="1"/>
    <col min="3" max="3" width="18.42578125" style="2" bestFit="1" customWidth="1"/>
    <col min="4" max="4" width="10.42578125" style="2" bestFit="1" customWidth="1"/>
    <col min="5" max="5" width="9.5703125" style="2" customWidth="1"/>
    <col min="6" max="7" width="9.7109375" style="2" customWidth="1"/>
    <col min="8" max="10" width="9.28515625" style="2"/>
    <col min="11" max="11" width="9.7109375" style="54" customWidth="1"/>
    <col min="12" max="12" width="69.7109375" style="54" customWidth="1"/>
    <col min="13" max="13" width="11.28515625" style="54" bestFit="1" customWidth="1"/>
    <col min="14" max="15" width="15.42578125" style="54" customWidth="1"/>
    <col min="16" max="19" width="9.7109375" style="54" customWidth="1"/>
    <col min="20" max="26" width="9.28515625" style="54"/>
    <col min="27" max="27" width="9.5703125" style="54" customWidth="1"/>
    <col min="28" max="28" width="12.7109375" style="54" bestFit="1" customWidth="1"/>
    <col min="29" max="29" width="13" style="54" customWidth="1"/>
    <col min="30" max="30" width="10.5703125" style="54" customWidth="1"/>
    <col min="31" max="31" width="17.28515625" style="54" customWidth="1"/>
    <col min="32" max="32" width="12.42578125" style="54" customWidth="1"/>
    <col min="33" max="33" width="18.28515625" style="54" customWidth="1"/>
    <col min="34" max="38" width="9.28515625" style="54"/>
    <col min="39" max="39" width="13.5703125" style="54" customWidth="1"/>
    <col min="40" max="40" width="9.28515625" style="54"/>
    <col min="41" max="41" width="11.42578125" style="54" customWidth="1"/>
    <col min="42" max="42" width="15.28515625" style="54" customWidth="1"/>
    <col min="43" max="43" width="16.7109375" style="54" customWidth="1"/>
    <col min="44" max="16384" width="9.28515625" style="54"/>
  </cols>
  <sheetData>
    <row r="1" spans="1:31" ht="15.75" thickBot="1">
      <c r="A1" s="43"/>
      <c r="B1" s="43"/>
      <c r="C1" s="47"/>
      <c r="D1" s="47"/>
      <c r="E1" s="47"/>
      <c r="F1" s="47"/>
      <c r="G1" s="47"/>
      <c r="H1" s="47"/>
      <c r="I1" s="47"/>
      <c r="J1" s="47"/>
      <c r="K1" s="43"/>
      <c r="L1" s="43"/>
    </row>
    <row r="2" spans="1:31" ht="18.75">
      <c r="A2" s="43"/>
      <c r="B2" s="74" t="s">
        <v>1</v>
      </c>
      <c r="C2" s="174" t="str">
        <f>MAIN!C2</f>
        <v>Spreadsheets to  EC2</v>
      </c>
      <c r="D2" s="235"/>
      <c r="E2" s="236"/>
      <c r="F2" s="237"/>
      <c r="G2" s="237"/>
      <c r="H2" s="237"/>
      <c r="I2" s="237"/>
      <c r="J2" s="237"/>
      <c r="K2" s="238"/>
      <c r="L2" s="43"/>
      <c r="V2" s="815" t="s">
        <v>712</v>
      </c>
    </row>
    <row r="3" spans="1:31" ht="18">
      <c r="A3" s="43"/>
      <c r="B3" s="75" t="s">
        <v>6</v>
      </c>
      <c r="C3" s="175" t="str">
        <f>MAIN!C4</f>
        <v>Column D2</v>
      </c>
      <c r="D3" s="231"/>
      <c r="E3" s="232"/>
      <c r="F3" s="233"/>
      <c r="G3" s="233"/>
      <c r="H3" s="233"/>
      <c r="I3" s="233"/>
      <c r="J3" s="233"/>
      <c r="K3" s="239"/>
      <c r="L3" s="43"/>
      <c r="V3" s="54" t="s">
        <v>660</v>
      </c>
    </row>
    <row r="4" spans="1:31" ht="28.5" customHeight="1">
      <c r="A4" s="43"/>
      <c r="B4" s="117"/>
      <c r="C4" s="1290" t="str">
        <f>MAIN!C5</f>
        <v>SYMMETRICALLY REINFORCED RECTANGULAR COLUMN DESIGN, BENT ABOUT TWO AXES TO EN 1992-1 : 2004</v>
      </c>
      <c r="D4" s="1291"/>
      <c r="E4" s="1291"/>
      <c r="F4" s="1291"/>
      <c r="G4" s="1291"/>
      <c r="H4" s="1291"/>
      <c r="I4" s="233"/>
      <c r="J4" s="233"/>
      <c r="K4" s="239"/>
      <c r="L4" s="43"/>
    </row>
    <row r="5" spans="1:31" ht="17.25" thickBot="1">
      <c r="A5" s="43"/>
      <c r="B5" s="143"/>
      <c r="C5" s="144" t="str">
        <f ca="1">CHARTS!C6</f>
        <v>Originated from TCC53.xls  v4.45                     © 2000-19 TCC</v>
      </c>
      <c r="D5" s="240"/>
      <c r="E5" s="241"/>
      <c r="F5" s="242"/>
      <c r="G5" s="242"/>
      <c r="H5" s="242"/>
      <c r="I5" s="242"/>
      <c r="J5" s="242"/>
      <c r="K5" s="243"/>
      <c r="L5" s="43"/>
      <c r="V5" s="54" t="s">
        <v>661</v>
      </c>
      <c r="AB5" s="54" t="s">
        <v>663</v>
      </c>
    </row>
    <row r="6" spans="1:31" ht="16.5" thickBot="1">
      <c r="A6" s="43"/>
      <c r="B6" s="43"/>
      <c r="C6" s="47"/>
      <c r="D6" s="47"/>
      <c r="E6" s="47"/>
      <c r="F6" s="47"/>
      <c r="G6" s="47"/>
      <c r="H6" s="47"/>
      <c r="I6" s="47"/>
      <c r="J6" s="47"/>
      <c r="K6" s="43"/>
      <c r="L6" s="43"/>
      <c r="V6" s="54" t="s">
        <v>662</v>
      </c>
      <c r="AB6" s="54" t="s">
        <v>664</v>
      </c>
    </row>
    <row r="7" spans="1:31" ht="21">
      <c r="A7" s="43"/>
      <c r="B7" s="327" t="s">
        <v>254</v>
      </c>
      <c r="C7" s="328"/>
      <c r="D7" s="328"/>
      <c r="E7" s="328"/>
      <c r="F7" s="328"/>
      <c r="G7" s="329"/>
      <c r="H7" s="330"/>
      <c r="I7" s="331"/>
      <c r="J7" s="332"/>
      <c r="K7" s="333"/>
      <c r="L7" s="47"/>
      <c r="N7" s="1045" t="s">
        <v>801</v>
      </c>
      <c r="V7" s="54" t="s">
        <v>665</v>
      </c>
      <c r="AA7" s="54" t="s">
        <v>713</v>
      </c>
      <c r="AB7" s="54" t="s">
        <v>693</v>
      </c>
      <c r="AD7" s="54" t="s">
        <v>714</v>
      </c>
      <c r="AE7" s="54" t="s">
        <v>694</v>
      </c>
    </row>
    <row r="8" spans="1:31" ht="19.5">
      <c r="A8" s="43"/>
      <c r="B8" s="334" t="s">
        <v>716</v>
      </c>
      <c r="C8" s="273"/>
      <c r="D8" s="273"/>
      <c r="E8" s="273"/>
      <c r="F8" s="273"/>
      <c r="G8" s="273"/>
      <c r="H8" s="261"/>
      <c r="I8" s="349" t="s">
        <v>180</v>
      </c>
      <c r="J8" s="350">
        <f>MAIN!C21-MAX(MAIN!I21:I22)</f>
        <v>2775</v>
      </c>
      <c r="K8" s="336"/>
      <c r="L8" s="830"/>
      <c r="N8" s="1045" t="s">
        <v>680</v>
      </c>
      <c r="V8" s="54" t="s">
        <v>700</v>
      </c>
      <c r="AA8" s="54" t="s">
        <v>713</v>
      </c>
      <c r="AB8" s="54" t="s">
        <v>701</v>
      </c>
      <c r="AD8" s="54" t="s">
        <v>714</v>
      </c>
      <c r="AE8" s="54" t="s">
        <v>702</v>
      </c>
    </row>
    <row r="9" spans="1:31" ht="19.5">
      <c r="A9" s="43"/>
      <c r="B9" s="1292" t="s">
        <v>889</v>
      </c>
      <c r="C9" s="1293"/>
      <c r="D9" s="1294" t="s">
        <v>697</v>
      </c>
      <c r="E9" s="1295"/>
      <c r="F9" s="1294" t="s">
        <v>124</v>
      </c>
      <c r="G9" s="1295"/>
      <c r="H9" s="1287" t="s">
        <v>804</v>
      </c>
      <c r="I9" s="1288"/>
      <c r="J9" s="1289"/>
      <c r="K9" s="336"/>
      <c r="L9" s="830" t="s">
        <v>885</v>
      </c>
      <c r="M9" s="45" t="s">
        <v>789</v>
      </c>
      <c r="N9" s="435" t="s">
        <v>790</v>
      </c>
      <c r="V9" s="54" t="s">
        <v>703</v>
      </c>
      <c r="AD9" s="54" t="s">
        <v>704</v>
      </c>
    </row>
    <row r="10" spans="1:31" ht="19.5">
      <c r="A10" s="43"/>
      <c r="B10" s="993" t="s">
        <v>99</v>
      </c>
      <c r="C10" s="999">
        <f>IF(MAIN!J21=0,0.000001,MAIN!H21*MAIN!I21^3/12/MAIN!J21*MAIN!I29)/1000*IF(AND(MAIN!D21="Y",MAIN!K21="F"),4,3)</f>
        <v>237304.6875</v>
      </c>
      <c r="D10" s="361" t="s">
        <v>23</v>
      </c>
      <c r="E10" s="1043">
        <f>IF(MAIN!V25="F",MAX(0.1,C14*IF(           MAIN!I30="Y",2,1)/(C10+C11)),10000000000)</f>
        <v>4.1001001001001001</v>
      </c>
      <c r="F10" s="362" t="s">
        <v>125</v>
      </c>
      <c r="G10" s="318">
        <f>0.5*MAIN!C27*SQRT((1+E10/(0.45+E10))*(1+E11/(0.45+E11)))</f>
        <v>2580.9032211772956</v>
      </c>
      <c r="H10" s="361" t="s">
        <v>23</v>
      </c>
      <c r="I10" s="1283">
        <f>N10</f>
        <v>2.4389648437500001E-2</v>
      </c>
      <c r="J10" s="1284"/>
      <c r="K10" s="337" t="s">
        <v>146</v>
      </c>
      <c r="L10" s="830" t="s">
        <v>886</v>
      </c>
      <c r="M10" s="43">
        <f>1/E10</f>
        <v>0.243896484375</v>
      </c>
      <c r="N10" s="2">
        <f>M10/10</f>
        <v>2.4389648437500001E-2</v>
      </c>
      <c r="V10" s="54" t="s">
        <v>705</v>
      </c>
      <c r="AD10" s="54" t="s">
        <v>706</v>
      </c>
    </row>
    <row r="11" spans="1:31" ht="18">
      <c r="A11" s="43"/>
      <c r="B11" s="994" t="s">
        <v>100</v>
      </c>
      <c r="C11" s="1000">
        <f>IF(MAIN!J22=0,0.000001,MAIN!H22*MAIN!I22^3/12/MAIN!J22*MAIN!I29)/1000*IF(AND(MAIN!D21="Y",MAIN!K22="F"),4,3)</f>
        <v>237304.6875</v>
      </c>
      <c r="D11" s="265" t="s">
        <v>123</v>
      </c>
      <c r="E11" s="997">
        <f>IF(MAIN!W25="F",MAX(0.1,C14*    IF(MAIN!K30="Y",   2,1)/(C12+C13)),10000000000)</f>
        <v>2.05005005005005</v>
      </c>
      <c r="F11" s="363" t="s">
        <v>126</v>
      </c>
      <c r="G11" s="261">
        <f>MAIN!C27*MAX(SQRT(1+10*E10*E11/(E10+E11)),(1+E10/(1+E10))*(1+E11/(1+E11)))</f>
        <v>10627.561782668894</v>
      </c>
      <c r="H11" s="1049" t="s">
        <v>123</v>
      </c>
      <c r="I11" s="1285">
        <f>N11</f>
        <v>4.8779296875000003E-2</v>
      </c>
      <c r="J11" s="1286"/>
      <c r="K11" s="337" t="s">
        <v>147</v>
      </c>
      <c r="L11" s="142" t="s">
        <v>735</v>
      </c>
      <c r="M11" s="43">
        <f>1/E11</f>
        <v>0.48779296875</v>
      </c>
      <c r="N11" s="2">
        <f>M11/10</f>
        <v>4.8779296875000003E-2</v>
      </c>
    </row>
    <row r="12" spans="1:31" ht="19.5">
      <c r="A12" s="43"/>
      <c r="B12" s="995" t="s">
        <v>106</v>
      </c>
      <c r="C12" s="1001">
        <f>IF(MAIN!J25=0,0.000001,MAIN!H25*MAIN!I25^3/12/MAIN!J25*MAIN!I29)/1000*IF(AND(MAIN!D21="Y",MAIN!K25="F"),4,3)</f>
        <v>237304.6875</v>
      </c>
      <c r="D12" s="261"/>
      <c r="E12" s="261"/>
      <c r="F12" s="265" t="s">
        <v>129</v>
      </c>
      <c r="G12" s="998">
        <f>IF(MAIN!D$22="Y",G10,G11)</f>
        <v>2580.9032211772956</v>
      </c>
      <c r="H12" s="261"/>
      <c r="I12" s="261"/>
      <c r="J12" s="261"/>
      <c r="K12" s="336"/>
      <c r="L12" s="142" t="s">
        <v>736</v>
      </c>
      <c r="V12" s="54" t="s">
        <v>707</v>
      </c>
      <c r="AD12" s="54" t="s">
        <v>711</v>
      </c>
    </row>
    <row r="13" spans="1:31" ht="18.75" thickBot="1">
      <c r="A13" s="43"/>
      <c r="B13" s="995" t="s">
        <v>103</v>
      </c>
      <c r="C13" s="1001">
        <f>IF(MAIN!J26=0,0.000001,MAIN!H26*MAIN!I26^3/12/MAIN!J26*MAIN!I29)/1000*IF(AND(MAIN!D21="Y",MAIN!K26="F"),4,3)</f>
        <v>237304.6875</v>
      </c>
      <c r="D13" s="261"/>
      <c r="E13" s="261"/>
      <c r="F13" s="322"/>
      <c r="G13" s="261"/>
      <c r="H13" s="261"/>
      <c r="I13" s="261"/>
      <c r="J13" s="261"/>
      <c r="K13" s="336"/>
      <c r="L13" s="142"/>
      <c r="V13" s="54" t="s">
        <v>708</v>
      </c>
      <c r="AD13" s="54" t="s">
        <v>720</v>
      </c>
    </row>
    <row r="14" spans="1:31" ht="18.75" thickBot="1">
      <c r="A14" s="43"/>
      <c r="B14" s="996" t="s">
        <v>181</v>
      </c>
      <c r="C14" s="1002">
        <f>MAIN!C13*MAIN!C14^3/12/J8</f>
        <v>972972.97297297302</v>
      </c>
      <c r="D14" s="261"/>
      <c r="E14" s="261"/>
      <c r="F14" s="261"/>
      <c r="G14" s="261"/>
      <c r="H14" s="263"/>
      <c r="I14" s="339"/>
      <c r="J14" s="261"/>
      <c r="K14" s="336"/>
      <c r="L14" s="142"/>
    </row>
    <row r="15" spans="1:31" ht="18">
      <c r="A15" s="43"/>
      <c r="B15" s="338"/>
      <c r="C15" s="264"/>
      <c r="D15" s="261"/>
      <c r="E15" s="261"/>
      <c r="F15" s="261"/>
      <c r="G15" s="261"/>
      <c r="H15" s="263"/>
      <c r="I15" s="339"/>
      <c r="J15" s="261"/>
      <c r="K15" s="336"/>
      <c r="L15" s="142"/>
      <c r="V15" s="54" t="s">
        <v>710</v>
      </c>
      <c r="Y15" s="435" t="str">
        <f>AD10</f>
        <v>Lb / ( (3 to 4) E Ib )</v>
      </c>
      <c r="Z15" s="818" t="s">
        <v>709</v>
      </c>
      <c r="AA15" s="54" t="str">
        <f>AD13</f>
        <v>Lc /  E Ic)</v>
      </c>
    </row>
    <row r="16" spans="1:31" ht="21.75">
      <c r="A16" s="43"/>
      <c r="B16" s="334" t="s">
        <v>127</v>
      </c>
      <c r="C16" s="335"/>
      <c r="D16" s="314" t="s">
        <v>128</v>
      </c>
      <c r="E16" s="315" t="s">
        <v>486</v>
      </c>
      <c r="F16" s="316" t="s">
        <v>488</v>
      </c>
      <c r="G16" s="316" t="s">
        <v>224</v>
      </c>
      <c r="H16" s="316" t="s">
        <v>225</v>
      </c>
      <c r="I16" s="316" t="s">
        <v>222</v>
      </c>
      <c r="J16" s="316" t="s">
        <v>223</v>
      </c>
      <c r="K16" s="340" t="s">
        <v>226</v>
      </c>
      <c r="L16" s="652" t="s">
        <v>477</v>
      </c>
      <c r="Y16" s="435" t="str">
        <f>Y15</f>
        <v>Lb / ( (3 to 4) E Ib )</v>
      </c>
      <c r="Z16" s="818" t="s">
        <v>115</v>
      </c>
      <c r="AA16" s="54" t="s">
        <v>711</v>
      </c>
    </row>
    <row r="17" spans="1:44" ht="18">
      <c r="A17" s="43"/>
      <c r="B17" s="341" t="str">
        <f>MAIN!Q1&amp;MAIN!R1</f>
        <v>8H</v>
      </c>
      <c r="C17" s="342">
        <f>MAIN!C33</f>
        <v>40</v>
      </c>
      <c r="D17" s="317">
        <f>MAIN!C$13*MAIN!C$14</f>
        <v>360000</v>
      </c>
      <c r="E17" s="661">
        <f>MAIN!C$13*MAIN!C$14^3/12</f>
        <v>2700000000</v>
      </c>
      <c r="F17" s="319">
        <f t="shared" ref="F17:F22" si="0">SQRT(E17/D17)</f>
        <v>86.602540378443862</v>
      </c>
      <c r="G17" s="320">
        <f>G12/F17</f>
        <v>29.801703389981679</v>
      </c>
      <c r="H17" s="321">
        <f>MAX(0.05,PI()/4*C17^2*MAIN!Q$1*Ycal!C$10/Ycal!C$9/MAIN!C$13/MAIN!C$14)</f>
        <v>0.53565092132818293</v>
      </c>
      <c r="I17" s="321">
        <f t="shared" ref="I17:I22" si="1">1+H17</f>
        <v>1.535650921328183</v>
      </c>
      <c r="J17" s="318">
        <f>Zcal!AR59/Cases!L$7*1000</f>
        <v>0.36944405593647289</v>
      </c>
      <c r="K17" s="343">
        <f>20*(1/(1+0.2*Cases!T$16))*SQRT(1+2*H17)</f>
        <v>23.175552455409445</v>
      </c>
      <c r="L17" s="43"/>
      <c r="O17" s="54">
        <f>C22</f>
        <v>16</v>
      </c>
      <c r="P17" s="460">
        <f>F22</f>
        <v>86.602540378443862</v>
      </c>
      <c r="Q17" s="54">
        <f>G22</f>
        <v>29.801703389981679</v>
      </c>
      <c r="R17" s="461">
        <f>H22</f>
        <v>8.5704147412509271E-2</v>
      </c>
      <c r="S17" s="54">
        <f>J22</f>
        <v>0.41558462478988661</v>
      </c>
    </row>
    <row r="18" spans="1:44" ht="18">
      <c r="A18" s="43"/>
      <c r="B18" s="341" t="str">
        <f>B17</f>
        <v>8H</v>
      </c>
      <c r="C18" s="342">
        <f>MAIN!C34</f>
        <v>32</v>
      </c>
      <c r="D18" s="290">
        <f t="shared" ref="D18:E22" si="2">D17</f>
        <v>360000</v>
      </c>
      <c r="E18" s="662">
        <f t="shared" si="2"/>
        <v>2700000000</v>
      </c>
      <c r="F18" s="322">
        <f t="shared" si="0"/>
        <v>86.602540378443862</v>
      </c>
      <c r="G18" s="323">
        <f>G12/F18</f>
        <v>29.801703389981679</v>
      </c>
      <c r="H18" s="324">
        <f>MAX(0.05,PI()/4*C18^2*MAIN!Q$1*Ycal!C$10/Ycal!C$9/MAIN!C$13/MAIN!C$14)</f>
        <v>0.34281658965003708</v>
      </c>
      <c r="I18" s="324">
        <f t="shared" si="1"/>
        <v>1.342816589650037</v>
      </c>
      <c r="J18" s="261">
        <f>Zcal!AR111/Cases!L$7*1000</f>
        <v>0.39572291806120663</v>
      </c>
      <c r="K18" s="344">
        <f>20*(1/(1+0.2*Cases!T$16))*SQRT(1+2*H18)</f>
        <v>20.906914125935433</v>
      </c>
      <c r="L18" s="820"/>
      <c r="O18" s="54">
        <f>C21</f>
        <v>16</v>
      </c>
      <c r="P18" s="460">
        <f>F21</f>
        <v>86.602540378443862</v>
      </c>
      <c r="Q18" s="54">
        <f>G21</f>
        <v>29.801703389981679</v>
      </c>
      <c r="R18" s="461">
        <f>H21</f>
        <v>8.5704147412509271E-2</v>
      </c>
      <c r="S18" s="54">
        <f>J21</f>
        <v>0.41558462478988661</v>
      </c>
      <c r="V18" s="818"/>
      <c r="Y18" s="435"/>
      <c r="Z18" s="818"/>
    </row>
    <row r="19" spans="1:44" ht="18">
      <c r="A19" s="43"/>
      <c r="B19" s="341" t="str">
        <f>B18</f>
        <v>8H</v>
      </c>
      <c r="C19" s="342">
        <f>MAIN!C35</f>
        <v>25</v>
      </c>
      <c r="D19" s="290">
        <f t="shared" si="2"/>
        <v>360000</v>
      </c>
      <c r="E19" s="662">
        <f t="shared" si="2"/>
        <v>2700000000</v>
      </c>
      <c r="F19" s="322">
        <f t="shared" si="0"/>
        <v>86.602540378443862</v>
      </c>
      <c r="G19" s="323">
        <f>G12/F19</f>
        <v>29.801703389981679</v>
      </c>
      <c r="H19" s="324">
        <f>MAX(0.05,PI()/4*C19^2*MAIN!Q$1*Ycal!C$10/Ycal!C$9/MAIN!C$13/MAIN!C$14)</f>
        <v>0.20923864114382146</v>
      </c>
      <c r="I19" s="324">
        <f t="shared" si="1"/>
        <v>1.2092386411438214</v>
      </c>
      <c r="J19" s="261">
        <f>Zcal!AR163/Cases!L$7*1000</f>
        <v>0.40496219346938234</v>
      </c>
      <c r="K19" s="344">
        <f>20*(1/(1+0.2*Cases!T$16))*SQRT(1+2*H19)</f>
        <v>19.178718828446353</v>
      </c>
      <c r="L19" s="820"/>
      <c r="O19" s="54">
        <f>C20</f>
        <v>20</v>
      </c>
      <c r="P19" s="460">
        <f>F20</f>
        <v>86.602540378443862</v>
      </c>
      <c r="Q19" s="54">
        <f>G20</f>
        <v>29.801703389981679</v>
      </c>
      <c r="R19" s="461">
        <f>H20</f>
        <v>0.13391273033204573</v>
      </c>
      <c r="S19" s="54">
        <f>J20</f>
        <v>0.41103807712819529</v>
      </c>
      <c r="V19" s="818"/>
      <c r="Y19" s="435"/>
      <c r="Z19" s="818"/>
      <c r="AB19" s="816"/>
    </row>
    <row r="20" spans="1:44" ht="18">
      <c r="A20" s="43"/>
      <c r="B20" s="341" t="str">
        <f>B19</f>
        <v>8H</v>
      </c>
      <c r="C20" s="342">
        <f>MAIN!C36</f>
        <v>20</v>
      </c>
      <c r="D20" s="290">
        <f t="shared" si="2"/>
        <v>360000</v>
      </c>
      <c r="E20" s="662">
        <f t="shared" si="2"/>
        <v>2700000000</v>
      </c>
      <c r="F20" s="322">
        <f t="shared" si="0"/>
        <v>86.602540378443862</v>
      </c>
      <c r="G20" s="323">
        <f>G12/F20</f>
        <v>29.801703389981679</v>
      </c>
      <c r="H20" s="324">
        <f>MAX(0.05,PI()/4*C20^2*MAIN!Q$1*Ycal!C$10/Ycal!C$9/MAIN!C$13/MAIN!C$14)</f>
        <v>0.13391273033204573</v>
      </c>
      <c r="I20" s="324">
        <f t="shared" si="1"/>
        <v>1.1339127303320458</v>
      </c>
      <c r="J20" s="261">
        <f>Zcal!AR215/Cases!L$7*1000</f>
        <v>0.41103807712819529</v>
      </c>
      <c r="K20" s="344">
        <f>20*(1/(1+0.2*Cases!T$16))*SQRT(1+2*H20)</f>
        <v>18.131683700446189</v>
      </c>
      <c r="L20" s="43"/>
      <c r="O20" s="54">
        <f>C19</f>
        <v>25</v>
      </c>
      <c r="P20" s="460">
        <f>F19</f>
        <v>86.602540378443862</v>
      </c>
      <c r="Q20" s="54">
        <f>G19</f>
        <v>29.801703389981679</v>
      </c>
      <c r="R20" s="461">
        <f>H19</f>
        <v>0.20923864114382146</v>
      </c>
      <c r="S20" s="54">
        <f>J19</f>
        <v>0.40496219346938234</v>
      </c>
      <c r="AG20" s="54" t="s">
        <v>687</v>
      </c>
      <c r="AH20" s="54" t="s">
        <v>689</v>
      </c>
    </row>
    <row r="21" spans="1:44" ht="18">
      <c r="A21" s="43"/>
      <c r="B21" s="341" t="str">
        <f>B20</f>
        <v>8H</v>
      </c>
      <c r="C21" s="342">
        <f>MAIN!C37</f>
        <v>16</v>
      </c>
      <c r="D21" s="290">
        <f t="shared" si="2"/>
        <v>360000</v>
      </c>
      <c r="E21" s="662">
        <f t="shared" si="2"/>
        <v>2700000000</v>
      </c>
      <c r="F21" s="322">
        <f t="shared" si="0"/>
        <v>86.602540378443862</v>
      </c>
      <c r="G21" s="323">
        <f>G12/F21</f>
        <v>29.801703389981679</v>
      </c>
      <c r="H21" s="324">
        <f>MAX(0.05,PI()/4*C21^2*MAIN!Q$1*Ycal!C$10/Ycal!C$9/MAIN!C$13/MAIN!C$14)</f>
        <v>8.5704147412509271E-2</v>
      </c>
      <c r="I21" s="324">
        <f t="shared" si="1"/>
        <v>1.0857041474125093</v>
      </c>
      <c r="J21" s="261">
        <f>Zcal!AR267/Cases!L$7*1000</f>
        <v>0.41558462478988661</v>
      </c>
      <c r="K21" s="344">
        <f>20*(1/(1+0.2*Cases!T$16))*SQRT(1+2*H21)</f>
        <v>17.428601793516801</v>
      </c>
      <c r="L21" s="43"/>
      <c r="O21" s="54">
        <f>C18</f>
        <v>32</v>
      </c>
      <c r="P21" s="460">
        <f>F18</f>
        <v>86.602540378443862</v>
      </c>
      <c r="Q21" s="54">
        <f>G18</f>
        <v>29.801703389981679</v>
      </c>
      <c r="R21" s="461">
        <f>H18</f>
        <v>0.34281658965003708</v>
      </c>
      <c r="S21" s="54">
        <f>J18</f>
        <v>0.39572291806120663</v>
      </c>
      <c r="V21" s="54" t="s">
        <v>682</v>
      </c>
      <c r="X21" s="54" t="s">
        <v>671</v>
      </c>
      <c r="Y21" s="54" t="s">
        <v>672</v>
      </c>
      <c r="Z21" s="54" t="s">
        <v>673</v>
      </c>
      <c r="AA21" s="54" t="s">
        <v>676</v>
      </c>
      <c r="AC21" s="54" t="s">
        <v>674</v>
      </c>
      <c r="AD21" s="54" t="s">
        <v>677</v>
      </c>
      <c r="AE21" s="54" t="s">
        <v>679</v>
      </c>
      <c r="AF21" s="54" t="s">
        <v>682</v>
      </c>
      <c r="AG21" s="54" t="s">
        <v>688</v>
      </c>
      <c r="AH21" s="54" t="s">
        <v>671</v>
      </c>
      <c r="AI21" s="54" t="s">
        <v>672</v>
      </c>
      <c r="AJ21" s="54" t="s">
        <v>673</v>
      </c>
      <c r="AK21" s="54" t="s">
        <v>676</v>
      </c>
      <c r="AM21" s="54" t="s">
        <v>674</v>
      </c>
    </row>
    <row r="22" spans="1:44" ht="18">
      <c r="A22" s="43"/>
      <c r="B22" s="341" t="str">
        <f>B21</f>
        <v>8H</v>
      </c>
      <c r="C22" s="342">
        <f>MAIN!C38</f>
        <v>16</v>
      </c>
      <c r="D22" s="296">
        <f t="shared" si="2"/>
        <v>360000</v>
      </c>
      <c r="E22" s="663">
        <f t="shared" si="2"/>
        <v>2700000000</v>
      </c>
      <c r="F22" s="266">
        <f t="shared" si="0"/>
        <v>86.602540378443862</v>
      </c>
      <c r="G22" s="326">
        <f>G12/F22</f>
        <v>29.801703389981679</v>
      </c>
      <c r="H22" s="269">
        <f>MAX(0.05,PI()/4*C22^2*MAIN!Q$1*Ycal!C$10/Ycal!C$9/MAIN!C$13/MAIN!C$14)</f>
        <v>8.5704147412509271E-2</v>
      </c>
      <c r="I22" s="269">
        <f t="shared" si="1"/>
        <v>1.0857041474125093</v>
      </c>
      <c r="J22" s="325">
        <f>Zcal!AR319/Cases!L$7*1000</f>
        <v>0.41558462478988661</v>
      </c>
      <c r="K22" s="345">
        <f>20*(1/(1+0.2*Cases!T$16))*SQRT(1+2*H22)</f>
        <v>17.428601793516801</v>
      </c>
      <c r="L22" s="43"/>
      <c r="O22" s="54">
        <f>C17</f>
        <v>40</v>
      </c>
      <c r="P22" s="460">
        <f>F17</f>
        <v>86.602540378443862</v>
      </c>
      <c r="Q22" s="54">
        <f>G17</f>
        <v>29.801703389981679</v>
      </c>
      <c r="R22" s="461">
        <f>H17</f>
        <v>0.53565092132818293</v>
      </c>
      <c r="S22" s="54">
        <f>J17</f>
        <v>0.36944405593647289</v>
      </c>
      <c r="V22" s="54" t="s">
        <v>683</v>
      </c>
      <c r="X22" s="2" t="s">
        <v>273</v>
      </c>
      <c r="Y22" s="2" t="s">
        <v>667</v>
      </c>
      <c r="Z22" s="2" t="s">
        <v>668</v>
      </c>
      <c r="AB22" s="2" t="s">
        <v>669</v>
      </c>
      <c r="AC22" s="2" t="s">
        <v>670</v>
      </c>
      <c r="AF22" s="54" t="s">
        <v>680</v>
      </c>
      <c r="AG22" s="54" t="s">
        <v>666</v>
      </c>
      <c r="AH22" s="54" t="s">
        <v>273</v>
      </c>
      <c r="AI22" s="54" t="s">
        <v>667</v>
      </c>
      <c r="AJ22" s="54" t="s">
        <v>686</v>
      </c>
      <c r="AL22" s="2" t="s">
        <v>669</v>
      </c>
      <c r="AM22" s="2" t="s">
        <v>670</v>
      </c>
      <c r="AN22" s="54" t="s">
        <v>677</v>
      </c>
      <c r="AO22" s="54" t="s">
        <v>690</v>
      </c>
      <c r="AP22" s="54" t="s">
        <v>692</v>
      </c>
      <c r="AQ22" s="54" t="s">
        <v>122</v>
      </c>
      <c r="AR22" s="54" t="s">
        <v>696</v>
      </c>
    </row>
    <row r="23" spans="1:44">
      <c r="A23" s="43"/>
      <c r="B23" s="346"/>
      <c r="C23" s="347"/>
      <c r="D23" s="261"/>
      <c r="E23" s="261"/>
      <c r="F23" s="322"/>
      <c r="G23" s="323"/>
      <c r="H23" s="324"/>
      <c r="I23" s="324"/>
      <c r="J23" s="324"/>
      <c r="K23" s="344"/>
      <c r="L23" s="821"/>
      <c r="AC23" s="54" t="s">
        <v>675</v>
      </c>
      <c r="AD23" s="54" t="s">
        <v>678</v>
      </c>
      <c r="AF23" s="54" t="s">
        <v>681</v>
      </c>
      <c r="AG23" s="54" t="s">
        <v>695</v>
      </c>
      <c r="AM23" s="54" t="s">
        <v>675</v>
      </c>
      <c r="AN23" s="54" t="s">
        <v>678</v>
      </c>
      <c r="AO23" s="54" t="s">
        <v>691</v>
      </c>
      <c r="AR23" s="54" t="s">
        <v>125</v>
      </c>
    </row>
    <row r="24" spans="1:44" ht="21">
      <c r="A24" s="43"/>
      <c r="B24" s="348" t="s">
        <v>282</v>
      </c>
      <c r="C24" s="261"/>
      <c r="D24" s="261"/>
      <c r="E24" s="261"/>
      <c r="F24" s="322"/>
      <c r="G24" s="261"/>
      <c r="H24" s="261"/>
      <c r="I24" s="261"/>
      <c r="J24" s="261"/>
      <c r="K24" s="336"/>
      <c r="L24" s="43"/>
      <c r="N24" s="1045" t="s">
        <v>801</v>
      </c>
    </row>
    <row r="25" spans="1:44" ht="18.75">
      <c r="A25" s="43"/>
      <c r="B25" s="334" t="s">
        <v>716</v>
      </c>
      <c r="C25" s="360"/>
      <c r="D25" s="273"/>
      <c r="E25" s="273"/>
      <c r="F25" s="273"/>
      <c r="G25" s="273"/>
      <c r="H25" s="261"/>
      <c r="I25" s="349" t="s">
        <v>180</v>
      </c>
      <c r="J25" s="350">
        <f>MAIN!C22-MAX(MAIN!I23:I24)</f>
        <v>2775</v>
      </c>
      <c r="K25" s="336"/>
      <c r="L25" s="43"/>
      <c r="N25" s="1045" t="s">
        <v>680</v>
      </c>
      <c r="V25" s="54" t="s">
        <v>99</v>
      </c>
      <c r="X25" s="54">
        <f>MAIN!H21</f>
        <v>1000</v>
      </c>
      <c r="Y25" s="54">
        <f>MAIN!I21</f>
        <v>225</v>
      </c>
      <c r="Z25" s="54">
        <f>MAIN!J21*1000</f>
        <v>8000</v>
      </c>
      <c r="AA25" s="54" t="str">
        <f>MAIN!K21</f>
        <v>F</v>
      </c>
      <c r="AB25" s="817">
        <f>MAIN!I29</f>
        <v>0.5</v>
      </c>
      <c r="AC25" s="54">
        <f>AB25*X25*Y25*Y25*Y25/12</f>
        <v>474609375</v>
      </c>
      <c r="AD25" s="54">
        <v>1</v>
      </c>
      <c r="AE25" s="54">
        <f>IF(AA25="F",4,3)*AD25*AC25/Z25</f>
        <v>237304.6875</v>
      </c>
    </row>
    <row r="26" spans="1:44" ht="18.75">
      <c r="A26" s="43"/>
      <c r="B26" s="1292" t="s">
        <v>894</v>
      </c>
      <c r="C26" s="1293"/>
      <c r="D26" s="1294" t="s">
        <v>697</v>
      </c>
      <c r="E26" s="1295"/>
      <c r="F26" s="1294" t="s">
        <v>124</v>
      </c>
      <c r="G26" s="1295"/>
      <c r="H26" s="1287" t="s">
        <v>804</v>
      </c>
      <c r="I26" s="1288"/>
      <c r="J26" s="1289"/>
      <c r="K26" s="336"/>
      <c r="M26" s="45" t="s">
        <v>789</v>
      </c>
      <c r="N26" s="435" t="s">
        <v>790</v>
      </c>
      <c r="V26" s="54" t="s">
        <v>100</v>
      </c>
      <c r="X26" s="54">
        <f>MAIN!H22</f>
        <v>1000</v>
      </c>
      <c r="Y26" s="54">
        <f>MAIN!I22</f>
        <v>225</v>
      </c>
      <c r="Z26" s="54">
        <f>MAIN!J22*1000</f>
        <v>8000</v>
      </c>
      <c r="AA26" s="54" t="str">
        <f>MAIN!K22</f>
        <v>F</v>
      </c>
      <c r="AB26" s="817">
        <f>AB25</f>
        <v>0.5</v>
      </c>
      <c r="AC26" s="54">
        <f>AB26*X26*Y26*Y26*Y26/12</f>
        <v>474609375</v>
      </c>
      <c r="AD26" s="54">
        <v>1</v>
      </c>
      <c r="AE26" s="54">
        <f>IF(AA26="F",4,3)*AD26*AC26/Z26</f>
        <v>237304.6875</v>
      </c>
      <c r="AF26" s="54">
        <f>AE25+AE26</f>
        <v>474609.375</v>
      </c>
      <c r="AG26" s="54">
        <f>1/AF26</f>
        <v>2.1069958847736627E-6</v>
      </c>
      <c r="AH26" s="54">
        <f>MAIN!C13</f>
        <v>1200</v>
      </c>
      <c r="AI26" s="54">
        <f>MAIN!C14</f>
        <v>300</v>
      </c>
      <c r="AJ26" s="54">
        <f>J8</f>
        <v>2775</v>
      </c>
      <c r="AK26" s="54" t="s">
        <v>501</v>
      </c>
      <c r="AL26" s="817">
        <v>1</v>
      </c>
      <c r="AM26" s="819">
        <f>AL26*AH26*AI26*AI26*AI26/12</f>
        <v>2700000000</v>
      </c>
      <c r="AN26" s="54">
        <v>1</v>
      </c>
      <c r="AO26" s="54">
        <f>AM26*AN26</f>
        <v>2700000000</v>
      </c>
      <c r="AP26" s="819">
        <f>AO26/AJ26</f>
        <v>972972.97297297302</v>
      </c>
      <c r="AQ26" s="54">
        <f>AG26*AP26</f>
        <v>2.0500500500500505</v>
      </c>
    </row>
    <row r="27" spans="1:44" ht="16.5">
      <c r="A27" s="43"/>
      <c r="B27" s="993" t="s">
        <v>101</v>
      </c>
      <c r="C27" s="999">
        <f>IF(MAIN!J23=0,0.000001,MAIN!H23*MAIN!I23^3/12/MAIN!J23*MAIN!I29)/1000*IF(AND(MAIN!D22="Y",MAIN!K23="F"),4,3)</f>
        <v>237304.6875</v>
      </c>
      <c r="D27" s="361" t="s">
        <v>23</v>
      </c>
      <c r="E27" s="1043">
        <f>IF(MAIN!V26="F",MAX(0.1,C31*IF(MAIN!I30="Y",2,1)/(C27+C28)),10000000000)</f>
        <v>65.601601601601601</v>
      </c>
      <c r="F27" s="362" t="s">
        <v>125</v>
      </c>
      <c r="G27" s="279">
        <f>0.5*MAIN!C26*SQRT((1+E27/(0.45+E27))*(1+E28/(0.45+E28)))</f>
        <v>2760.8807731879187</v>
      </c>
      <c r="H27" s="361" t="s">
        <v>23</v>
      </c>
      <c r="I27" s="1283">
        <f>N27</f>
        <v>1.5243530273437501E-3</v>
      </c>
      <c r="J27" s="1284"/>
      <c r="K27" s="337" t="s">
        <v>146</v>
      </c>
      <c r="M27" s="43">
        <f>1/E27</f>
        <v>1.52435302734375E-2</v>
      </c>
      <c r="N27" s="2">
        <f>M27/10</f>
        <v>1.5243530273437501E-3</v>
      </c>
      <c r="AB27" s="817"/>
      <c r="AM27" s="819"/>
      <c r="AP27" s="819"/>
    </row>
    <row r="28" spans="1:44" ht="16.5">
      <c r="A28" s="43"/>
      <c r="B28" s="994" t="s">
        <v>102</v>
      </c>
      <c r="C28" s="1000">
        <f>IF(MAIN!J24=0,0.000001,MAIN!H24*MAIN!I24^3/12/MAIN!J24*MAIN!I29)/1000*IF(AND(MAIN!D22="Y",MAIN!K24="F"),4,3)</f>
        <v>237304.6875</v>
      </c>
      <c r="D28" s="265" t="s">
        <v>123</v>
      </c>
      <c r="E28" s="997">
        <f>IF(MAIN!W26="F",MAX(0.1,C31*IF(MAIN!K30="Y",2,1)/(C29+C30)),10000000000)</f>
        <v>32.800800800800801</v>
      </c>
      <c r="F28" s="363" t="s">
        <v>126</v>
      </c>
      <c r="G28" s="280">
        <f>MAIN!C26*MAX(SQRT(1+10*E27*E28/(E27+E28)),(1+E27/(1+E27))*(1+E28/(1+E28)))</f>
        <v>41129.207822557328</v>
      </c>
      <c r="H28" s="1049" t="s">
        <v>123</v>
      </c>
      <c r="I28" s="1285">
        <f>N28</f>
        <v>3.0487060546875002E-3</v>
      </c>
      <c r="J28" s="1286"/>
      <c r="K28" s="337" t="s">
        <v>147</v>
      </c>
      <c r="M28" s="43">
        <f>1/E28</f>
        <v>3.0487060546875E-2</v>
      </c>
      <c r="N28" s="2">
        <f>M28/10</f>
        <v>3.0487060546875002E-3</v>
      </c>
      <c r="AB28" s="817"/>
      <c r="AM28" s="819"/>
      <c r="AP28" s="819"/>
      <c r="AR28" s="54">
        <f>0.5*AJ26*   (  (1+(AQ26/(0.45+AQ26)))   *    (1+(AQ30/(0.45+AQ30))) )    ^0.5</f>
        <v>2525.254999899902</v>
      </c>
    </row>
    <row r="29" spans="1:44" ht="19.5">
      <c r="A29" s="43"/>
      <c r="B29" s="995" t="s">
        <v>104</v>
      </c>
      <c r="C29" s="1001">
        <f>IF(MAIN!J27=0,0.000001,MAIN!H27*MAIN!I27^3/12/MAIN!J27*MAIN!I29)/1000*IF(AND(MAIN!D22="Y",MAIN!K27="F"),4,3)</f>
        <v>237304.6875</v>
      </c>
      <c r="D29" s="261"/>
      <c r="E29" s="261"/>
      <c r="F29" s="265" t="s">
        <v>129</v>
      </c>
      <c r="G29" s="998">
        <f>IF(MAIN!D$21="Y",G27,G28)</f>
        <v>2760.8807731879187</v>
      </c>
      <c r="H29" s="261"/>
      <c r="I29" s="261"/>
      <c r="J29" s="261"/>
      <c r="K29" s="336"/>
      <c r="L29" s="43"/>
      <c r="V29" s="54" t="s">
        <v>699</v>
      </c>
      <c r="X29" s="54">
        <f>MAIN!H25</f>
        <v>1000</v>
      </c>
      <c r="Y29" s="54">
        <f>MAIN!I25</f>
        <v>225</v>
      </c>
      <c r="Z29" s="54">
        <f>MAIN!J25*1000</f>
        <v>8000</v>
      </c>
      <c r="AA29" s="54" t="str">
        <f>MAIN!K25</f>
        <v>F</v>
      </c>
      <c r="AB29" s="817">
        <f>MAIN!I29</f>
        <v>0.5</v>
      </c>
      <c r="AC29" s="54">
        <f>AB29*X29*Y29*Y29*Y29/12</f>
        <v>474609375</v>
      </c>
      <c r="AD29" s="54">
        <v>1</v>
      </c>
      <c r="AE29" s="54">
        <f>(IF(X29=0,0.000000001,AD29*AC29/Z29))*IF(AA29="F",4,3)</f>
        <v>237304.6875</v>
      </c>
      <c r="AM29" s="819"/>
      <c r="AP29" s="819"/>
    </row>
    <row r="30" spans="1:44" ht="15.75" thickBot="1">
      <c r="A30" s="43"/>
      <c r="B30" s="995" t="s">
        <v>105</v>
      </c>
      <c r="C30" s="1001">
        <f>IF(MAIN!J28=0,0.000001,MAIN!H28*MAIN!I28^3/12/MAIN!J28*MAIN!I29)/1000*IF(AND(MAIN!D22="Y",MAIN!K28="F"),4,3)</f>
        <v>237304.6875</v>
      </c>
      <c r="D30" s="261"/>
      <c r="E30" s="261"/>
      <c r="F30" s="322"/>
      <c r="G30" s="261"/>
      <c r="H30" s="261"/>
      <c r="I30" s="261"/>
      <c r="J30" s="261"/>
      <c r="K30" s="336"/>
      <c r="L30" s="43"/>
      <c r="V30" s="54" t="s">
        <v>698</v>
      </c>
      <c r="X30" s="54">
        <f>MAIN!H26</f>
        <v>1000</v>
      </c>
      <c r="Y30" s="54">
        <f>MAIN!I26</f>
        <v>225</v>
      </c>
      <c r="Z30" s="54">
        <f>MAIN!J26*1000</f>
        <v>8000</v>
      </c>
      <c r="AA30" s="54" t="str">
        <f>MAIN!K26</f>
        <v>F</v>
      </c>
      <c r="AB30" s="817">
        <f>AB29</f>
        <v>0.5</v>
      </c>
      <c r="AC30" s="54">
        <f>AB30*X30*Y30*Y30*Y30/12</f>
        <v>474609375</v>
      </c>
      <c r="AD30" s="54">
        <v>1</v>
      </c>
      <c r="AE30" s="54">
        <f>(IF(X30=0,0.000000001,AD30*AC30/Z30))*IF(AA30="F",4,3)</f>
        <v>237304.6875</v>
      </c>
      <c r="AF30" s="54">
        <f>AE29+AE30</f>
        <v>474609.375</v>
      </c>
      <c r="AG30" s="54">
        <f>IF(AF30=0, 100000000000000,1/AF30)</f>
        <v>2.1069958847736627E-6</v>
      </c>
      <c r="AH30" s="54">
        <f t="shared" ref="AH30:AM30" si="3">AH26</f>
        <v>1200</v>
      </c>
      <c r="AI30" s="54">
        <f t="shared" si="3"/>
        <v>300</v>
      </c>
      <c r="AJ30" s="54">
        <f t="shared" si="3"/>
        <v>2775</v>
      </c>
      <c r="AK30" s="54" t="str">
        <f t="shared" si="3"/>
        <v>F</v>
      </c>
      <c r="AL30" s="817">
        <f t="shared" si="3"/>
        <v>1</v>
      </c>
      <c r="AM30" s="819">
        <f t="shared" si="3"/>
        <v>2700000000</v>
      </c>
      <c r="AN30" s="54">
        <v>1</v>
      </c>
      <c r="AO30" s="54">
        <f>AO26</f>
        <v>2700000000</v>
      </c>
      <c r="AP30" s="819">
        <f>AP26</f>
        <v>972972.97297297302</v>
      </c>
      <c r="AQ30" s="54">
        <f>AP30/AF30</f>
        <v>2.05005005005005</v>
      </c>
    </row>
    <row r="31" spans="1:44" ht="15.75" thickBot="1">
      <c r="A31" s="43"/>
      <c r="B31" s="996" t="s">
        <v>181</v>
      </c>
      <c r="C31" s="1002">
        <f>MAIN!C14*MAIN!C13^3/12/J25</f>
        <v>15567567.567567568</v>
      </c>
      <c r="D31" s="261"/>
      <c r="E31" s="261"/>
      <c r="F31" s="322"/>
      <c r="G31" s="261"/>
      <c r="H31" s="261"/>
      <c r="I31" s="261"/>
      <c r="J31" s="261"/>
      <c r="K31" s="336"/>
      <c r="L31" s="43"/>
      <c r="AM31" s="819"/>
    </row>
    <row r="32" spans="1:44">
      <c r="A32" s="43"/>
      <c r="B32" s="338"/>
      <c r="C32" s="264"/>
      <c r="D32" s="261"/>
      <c r="E32" s="261"/>
      <c r="F32" s="322"/>
      <c r="G32" s="261"/>
      <c r="H32" s="261"/>
      <c r="I32" s="261"/>
      <c r="J32" s="261"/>
      <c r="K32" s="336"/>
      <c r="L32" s="43"/>
    </row>
    <row r="33" spans="1:19" ht="21.75">
      <c r="A33" s="43"/>
      <c r="B33" s="334" t="s">
        <v>127</v>
      </c>
      <c r="C33" s="335"/>
      <c r="D33" s="314" t="s">
        <v>128</v>
      </c>
      <c r="E33" s="315" t="s">
        <v>486</v>
      </c>
      <c r="F33" s="316" t="s">
        <v>488</v>
      </c>
      <c r="G33" s="316" t="s">
        <v>224</v>
      </c>
      <c r="H33" s="316" t="s">
        <v>225</v>
      </c>
      <c r="I33" s="316" t="s">
        <v>222</v>
      </c>
      <c r="J33" s="316" t="s">
        <v>223</v>
      </c>
      <c r="K33" s="340" t="s">
        <v>226</v>
      </c>
      <c r="L33" s="652" t="s">
        <v>477</v>
      </c>
    </row>
    <row r="34" spans="1:19" ht="18">
      <c r="A34" s="43"/>
      <c r="B34" s="341" t="str">
        <f>B17</f>
        <v>8H</v>
      </c>
      <c r="C34" s="342">
        <f>C17</f>
        <v>40</v>
      </c>
      <c r="D34" s="317">
        <f>D17</f>
        <v>360000</v>
      </c>
      <c r="E34" s="661">
        <f>MAIN!C$14*MAIN!C$13^3/12</f>
        <v>43200000000</v>
      </c>
      <c r="F34" s="319">
        <f t="shared" ref="F34:F39" si="4">SQRT(E34/D34)</f>
        <v>346.41016151377545</v>
      </c>
      <c r="G34" s="320">
        <f>G29/F34</f>
        <v>7.9699762880025355</v>
      </c>
      <c r="H34" s="321">
        <f t="shared" ref="H34:H39" si="5">H17</f>
        <v>0.53565092132818293</v>
      </c>
      <c r="I34" s="321">
        <f t="shared" ref="I34:I39" si="6">1+H34</f>
        <v>1.535650921328183</v>
      </c>
      <c r="J34" s="318">
        <f>Ycal!AR59/Cases!L$7*1000</f>
        <v>0.51814101169843174</v>
      </c>
      <c r="K34" s="343">
        <f t="shared" ref="K34:K39" si="7">K17</f>
        <v>23.175552455409445</v>
      </c>
      <c r="L34" s="43"/>
      <c r="O34" s="54">
        <f>C39</f>
        <v>16</v>
      </c>
      <c r="P34" s="460">
        <f>F39</f>
        <v>346.41016151377545</v>
      </c>
      <c r="Q34" s="54">
        <f>G39</f>
        <v>7.9699762880025355</v>
      </c>
      <c r="R34" s="461">
        <f>H39</f>
        <v>8.5704147412509271E-2</v>
      </c>
      <c r="S34" s="54">
        <f>J39</f>
        <v>0.48317634035469481</v>
      </c>
    </row>
    <row r="35" spans="1:19" ht="18">
      <c r="A35" s="43"/>
      <c r="B35" s="341" t="str">
        <f>B34</f>
        <v>8H</v>
      </c>
      <c r="C35" s="342">
        <f t="shared" ref="C35:D39" si="8">C18</f>
        <v>32</v>
      </c>
      <c r="D35" s="290">
        <f t="shared" si="8"/>
        <v>360000</v>
      </c>
      <c r="E35" s="662">
        <f>E34</f>
        <v>43200000000</v>
      </c>
      <c r="F35" s="322">
        <f t="shared" si="4"/>
        <v>346.41016151377545</v>
      </c>
      <c r="G35" s="323">
        <f>G29/F35</f>
        <v>7.9699762880025355</v>
      </c>
      <c r="H35" s="324">
        <f t="shared" si="5"/>
        <v>0.34281658965003708</v>
      </c>
      <c r="I35" s="324">
        <f t="shared" si="6"/>
        <v>1.342816589650037</v>
      </c>
      <c r="J35" s="261">
        <f>Ycal!AR111/Cases!L$7*1000</f>
        <v>0.50408287364471238</v>
      </c>
      <c r="K35" s="344">
        <f t="shared" si="7"/>
        <v>20.906914125935433</v>
      </c>
      <c r="L35" s="43"/>
      <c r="O35" s="54">
        <f>C38</f>
        <v>16</v>
      </c>
      <c r="P35" s="460">
        <f>F38</f>
        <v>346.41016151377545</v>
      </c>
      <c r="Q35" s="54">
        <f>G38</f>
        <v>7.9699762880025355</v>
      </c>
      <c r="R35" s="461">
        <f>H38</f>
        <v>8.5704147412509271E-2</v>
      </c>
      <c r="S35" s="54">
        <f>J38</f>
        <v>0.48317634035469481</v>
      </c>
    </row>
    <row r="36" spans="1:19" ht="18">
      <c r="A36" s="43"/>
      <c r="B36" s="341" t="str">
        <f>B35</f>
        <v>8H</v>
      </c>
      <c r="C36" s="342">
        <f t="shared" si="8"/>
        <v>25</v>
      </c>
      <c r="D36" s="290">
        <f t="shared" si="8"/>
        <v>360000</v>
      </c>
      <c r="E36" s="662">
        <f>E35</f>
        <v>43200000000</v>
      </c>
      <c r="F36" s="322">
        <f t="shared" si="4"/>
        <v>346.41016151377545</v>
      </c>
      <c r="G36" s="323">
        <f>G29/F36</f>
        <v>7.9699762880025355</v>
      </c>
      <c r="H36" s="324">
        <f t="shared" si="5"/>
        <v>0.20923864114382146</v>
      </c>
      <c r="I36" s="324">
        <f t="shared" si="6"/>
        <v>1.2092386411438214</v>
      </c>
      <c r="J36" s="261">
        <f>Ycal!AR163/Cases!L$7*1000</f>
        <v>0.49317579105129783</v>
      </c>
      <c r="K36" s="344">
        <f t="shared" si="7"/>
        <v>19.178718828446353</v>
      </c>
      <c r="L36" s="43"/>
      <c r="O36" s="54">
        <f>C37</f>
        <v>20</v>
      </c>
      <c r="P36" s="460">
        <f>F37</f>
        <v>346.41016151377545</v>
      </c>
      <c r="Q36" s="54">
        <f>G37</f>
        <v>7.9699762880025355</v>
      </c>
      <c r="R36" s="461">
        <f>H37</f>
        <v>0.13391273033204573</v>
      </c>
      <c r="S36" s="54">
        <f>J37</f>
        <v>0.48703740695252745</v>
      </c>
    </row>
    <row r="37" spans="1:19" ht="18">
      <c r="A37" s="43"/>
      <c r="B37" s="341" t="str">
        <f>B36</f>
        <v>8H</v>
      </c>
      <c r="C37" s="342">
        <f t="shared" si="8"/>
        <v>20</v>
      </c>
      <c r="D37" s="290">
        <f t="shared" si="8"/>
        <v>360000</v>
      </c>
      <c r="E37" s="662">
        <f>E36</f>
        <v>43200000000</v>
      </c>
      <c r="F37" s="322">
        <f t="shared" si="4"/>
        <v>346.41016151377545</v>
      </c>
      <c r="G37" s="323">
        <f>G29/F37</f>
        <v>7.9699762880025355</v>
      </c>
      <c r="H37" s="324">
        <f t="shared" si="5"/>
        <v>0.13391273033204573</v>
      </c>
      <c r="I37" s="324">
        <f t="shared" si="6"/>
        <v>1.1339127303320458</v>
      </c>
      <c r="J37" s="261">
        <f>Ycal!AR215/Cases!L$7*1000</f>
        <v>0.48703740695252745</v>
      </c>
      <c r="K37" s="344">
        <f t="shared" si="7"/>
        <v>18.131683700446189</v>
      </c>
      <c r="L37" s="43"/>
      <c r="O37" s="54">
        <f>C36</f>
        <v>25</v>
      </c>
      <c r="P37" s="460">
        <f>F36</f>
        <v>346.41016151377545</v>
      </c>
      <c r="Q37" s="54">
        <f>G36</f>
        <v>7.9699762880025355</v>
      </c>
      <c r="R37" s="461">
        <f>H36</f>
        <v>0.20923864114382146</v>
      </c>
      <c r="S37" s="54">
        <f>J36</f>
        <v>0.49317579105129783</v>
      </c>
    </row>
    <row r="38" spans="1:19" ht="18">
      <c r="A38" s="43"/>
      <c r="B38" s="341" t="str">
        <f>B37</f>
        <v>8H</v>
      </c>
      <c r="C38" s="342">
        <f t="shared" si="8"/>
        <v>16</v>
      </c>
      <c r="D38" s="290">
        <f t="shared" si="8"/>
        <v>360000</v>
      </c>
      <c r="E38" s="662">
        <f>E37</f>
        <v>43200000000</v>
      </c>
      <c r="F38" s="322">
        <f t="shared" si="4"/>
        <v>346.41016151377545</v>
      </c>
      <c r="G38" s="323">
        <f>G29/F38</f>
        <v>7.9699762880025355</v>
      </c>
      <c r="H38" s="324">
        <f t="shared" si="5"/>
        <v>8.5704147412509271E-2</v>
      </c>
      <c r="I38" s="324">
        <f t="shared" si="6"/>
        <v>1.0857041474125093</v>
      </c>
      <c r="J38" s="261">
        <f>Ycal!AR267/Cases!L$7*1000</f>
        <v>0.48317634035469481</v>
      </c>
      <c r="K38" s="344">
        <f t="shared" si="7"/>
        <v>17.428601793516801</v>
      </c>
      <c r="L38" s="43"/>
      <c r="O38" s="54">
        <f>C35</f>
        <v>32</v>
      </c>
      <c r="P38" s="460">
        <f>F35</f>
        <v>346.41016151377545</v>
      </c>
      <c r="Q38" s="54">
        <f>G35</f>
        <v>7.9699762880025355</v>
      </c>
      <c r="R38" s="461">
        <f>H35</f>
        <v>0.34281658965003708</v>
      </c>
      <c r="S38" s="54">
        <f>J35</f>
        <v>0.50408287364471238</v>
      </c>
    </row>
    <row r="39" spans="1:19" ht="18.75" thickBot="1">
      <c r="A39" s="43"/>
      <c r="B39" s="351" t="str">
        <f>B38</f>
        <v>8H</v>
      </c>
      <c r="C39" s="352">
        <f t="shared" si="8"/>
        <v>16</v>
      </c>
      <c r="D39" s="353">
        <f t="shared" si="8"/>
        <v>360000</v>
      </c>
      <c r="E39" s="664">
        <f>E38</f>
        <v>43200000000</v>
      </c>
      <c r="F39" s="355">
        <f t="shared" si="4"/>
        <v>346.41016151377545</v>
      </c>
      <c r="G39" s="356">
        <f>G29/F39</f>
        <v>7.9699762880025355</v>
      </c>
      <c r="H39" s="357">
        <f t="shared" si="5"/>
        <v>8.5704147412509271E-2</v>
      </c>
      <c r="I39" s="357">
        <f t="shared" si="6"/>
        <v>1.0857041474125093</v>
      </c>
      <c r="J39" s="354">
        <f>Ycal!AR319/Cases!L$7*1000</f>
        <v>0.48317634035469481</v>
      </c>
      <c r="K39" s="358">
        <f t="shared" si="7"/>
        <v>17.428601793516801</v>
      </c>
      <c r="L39" s="43"/>
      <c r="O39" s="54">
        <f>C34</f>
        <v>40</v>
      </c>
      <c r="P39" s="460">
        <f>F34</f>
        <v>346.41016151377545</v>
      </c>
      <c r="Q39" s="54">
        <f>G34</f>
        <v>7.9699762880025355</v>
      </c>
      <c r="R39" s="461">
        <f>H34</f>
        <v>0.53565092132818293</v>
      </c>
      <c r="S39" s="54">
        <f>J34</f>
        <v>0.51814101169843174</v>
      </c>
    </row>
    <row r="40" spans="1:19">
      <c r="A40" s="43"/>
      <c r="B40" s="43"/>
      <c r="C40" s="47"/>
      <c r="D40" s="47"/>
      <c r="E40" s="47"/>
      <c r="F40" s="47"/>
      <c r="G40" s="47"/>
      <c r="H40" s="47"/>
      <c r="I40" s="47"/>
      <c r="J40" s="47"/>
      <c r="K40" s="43"/>
      <c r="L40" s="43"/>
    </row>
    <row r="42" spans="1:19">
      <c r="G42" s="432"/>
    </row>
    <row r="43" spans="1:19">
      <c r="G43" s="432"/>
      <c r="K43" s="2"/>
    </row>
    <row r="45" spans="1:19">
      <c r="P45" s="460"/>
      <c r="R45" s="461"/>
    </row>
    <row r="48" spans="1:19" ht="15.75">
      <c r="D48" s="775"/>
    </row>
    <row r="49" spans="3:3" ht="18">
      <c r="C49" s="777" t="s">
        <v>586</v>
      </c>
    </row>
    <row r="51" spans="3:3" ht="18">
      <c r="C51" s="777" t="s">
        <v>582</v>
      </c>
    </row>
    <row r="53" spans="3:3" ht="18">
      <c r="C53" s="777" t="s">
        <v>581</v>
      </c>
    </row>
    <row r="55" spans="3:3" ht="18.75">
      <c r="C55" s="777" t="s">
        <v>583</v>
      </c>
    </row>
    <row r="57" spans="3:3" ht="18.75">
      <c r="C57" s="777" t="s">
        <v>584</v>
      </c>
    </row>
    <row r="59" spans="3:3" ht="18.75">
      <c r="C59" s="777" t="s">
        <v>585</v>
      </c>
    </row>
    <row r="61" spans="3:3" ht="18.75">
      <c r="C61" s="777" t="s">
        <v>587</v>
      </c>
    </row>
    <row r="63" spans="3:3" ht="18.75">
      <c r="C63" s="777" t="s">
        <v>588</v>
      </c>
    </row>
  </sheetData>
  <customSheetViews>
    <customSheetView guid="{065FF312-67E2-4E5F-894A-2CE2F41260A3}" scale="75" fitToPage="1">
      <pageMargins left="0.23622047244094491" right="0.23622047244094491" top="0.23622047244094491" bottom="0.23622047244094491" header="0" footer="0"/>
      <printOptions horizontalCentered="1"/>
      <pageSetup paperSize="9" scale="92" orientation="portrait" horizontalDpi="4294967295" verticalDpi="4294967295" r:id="rId1"/>
      <headerFooter alignWithMargins="0"/>
    </customSheetView>
  </customSheetViews>
  <mergeCells count="13">
    <mergeCell ref="C4:H4"/>
    <mergeCell ref="B26:C26"/>
    <mergeCell ref="D26:E26"/>
    <mergeCell ref="F26:G26"/>
    <mergeCell ref="B9:C9"/>
    <mergeCell ref="D9:E9"/>
    <mergeCell ref="F9:G9"/>
    <mergeCell ref="H26:J26"/>
    <mergeCell ref="I27:J27"/>
    <mergeCell ref="I28:J28"/>
    <mergeCell ref="H9:J9"/>
    <mergeCell ref="I10:J10"/>
    <mergeCell ref="I11:J11"/>
  </mergeCells>
  <phoneticPr fontId="0" type="noConversion"/>
  <printOptions horizontalCentered="1"/>
  <pageMargins left="0.23622047244094491" right="0.23622047244094491" top="0.23622047244094491" bottom="0.23622047244094491" header="0" footer="0"/>
  <pageSetup paperSize="9" scale="92" orientation="portrait" horizontalDpi="4294967295" verticalDpi="4294967295" r:id="rId2"/>
  <headerFooter alignWithMargins="0"/>
  <drawing r:id="rId3"/>
  <legacyDrawing r:id="rId4"/>
  <picture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B1:DM78"/>
  <sheetViews>
    <sheetView topLeftCell="A19" zoomScale="75" zoomScaleNormal="75" workbookViewId="0"/>
  </sheetViews>
  <sheetFormatPr defaultColWidth="9.28515625" defaultRowHeight="12.75"/>
  <cols>
    <col min="1" max="1" width="3.5703125" style="41" customWidth="1"/>
    <col min="2" max="2" width="12" style="41" bestFit="1" customWidth="1"/>
    <col min="3" max="3" width="13.28515625" style="41" bestFit="1" customWidth="1"/>
    <col min="4" max="5" width="9.42578125" style="41" bestFit="1" customWidth="1"/>
    <col min="6" max="6" width="10.42578125" style="41" bestFit="1" customWidth="1"/>
    <col min="7" max="7" width="9.42578125" style="41" customWidth="1"/>
    <col min="8" max="9" width="15.5703125" style="41" customWidth="1"/>
    <col min="10" max="10" width="8.5703125" style="41" customWidth="1"/>
    <col min="11" max="11" width="8.7109375" style="41" customWidth="1"/>
    <col min="12" max="12" width="8.5703125" style="41" customWidth="1"/>
    <col min="13" max="14" width="9.42578125" style="41" customWidth="1"/>
    <col min="15" max="15" width="8.7109375" style="41" bestFit="1" customWidth="1"/>
    <col min="16" max="16" width="8.7109375" style="41" customWidth="1"/>
    <col min="17" max="17" width="11.5703125" style="41" customWidth="1"/>
    <col min="18" max="19" width="15.5703125" style="41" customWidth="1"/>
    <col min="20" max="20" width="12.5703125" style="41" customWidth="1"/>
    <col min="21" max="21" width="7.5703125" style="41" customWidth="1"/>
    <col min="22" max="22" width="9.5703125" style="41" bestFit="1" customWidth="1"/>
    <col min="23" max="25" width="9.5703125" style="41" customWidth="1"/>
    <col min="26" max="26" width="9.28515625" style="41"/>
    <col min="27" max="27" width="9.42578125" style="41" bestFit="1" customWidth="1"/>
    <col min="28" max="28" width="9.42578125" style="41" customWidth="1"/>
    <col min="29" max="31" width="9.42578125" style="41" bestFit="1" customWidth="1"/>
    <col min="32" max="34" width="9.28515625" style="41"/>
    <col min="35" max="35" width="3.5703125" style="41" customWidth="1"/>
    <col min="36" max="37" width="9.28515625" style="41"/>
    <col min="38" max="38" width="10" style="41" bestFit="1" customWidth="1"/>
    <col min="39" max="39" width="9.5703125" style="41" bestFit="1" customWidth="1"/>
    <col min="40" max="84" width="9.28515625" style="41"/>
    <col min="85" max="89" width="15.7109375" style="41" customWidth="1"/>
    <col min="90" max="107" width="9.28515625" style="41"/>
    <col min="108" max="108" width="12.140625" style="41" customWidth="1"/>
    <col min="109" max="109" width="11.42578125" style="41" customWidth="1"/>
    <col min="110" max="111" width="9.28515625" style="41"/>
    <col min="112" max="112" width="10.28515625" style="41" customWidth="1"/>
    <col min="113" max="113" width="9.28515625" style="41"/>
    <col min="114" max="114" width="14.7109375" style="41" customWidth="1"/>
    <col min="115" max="115" width="12.28515625" style="41" customWidth="1"/>
    <col min="116" max="116" width="12.140625" style="41" customWidth="1"/>
    <col min="117" max="117" width="14.28515625" style="41" customWidth="1"/>
    <col min="118" max="16384" width="9.28515625" style="41"/>
  </cols>
  <sheetData>
    <row r="1" spans="2:117" ht="13.5" thickBot="1"/>
    <row r="2" spans="2:117" ht="10.35" customHeight="1">
      <c r="B2" s="74" t="s">
        <v>1</v>
      </c>
      <c r="C2" s="174" t="str">
        <f>MAIN!C2</f>
        <v>Spreadsheets to  EC2</v>
      </c>
      <c r="D2" s="235"/>
      <c r="E2" s="236"/>
      <c r="F2" s="237"/>
      <c r="G2" s="382"/>
      <c r="H2" s="236"/>
      <c r="I2" s="236"/>
      <c r="J2" s="236"/>
      <c r="K2" s="236"/>
      <c r="L2" s="236"/>
      <c r="M2" s="236"/>
      <c r="N2" s="236"/>
      <c r="O2" s="236"/>
      <c r="P2" s="236"/>
      <c r="Q2" s="236"/>
      <c r="R2" s="236"/>
      <c r="S2" s="383"/>
      <c r="T2" s="34"/>
      <c r="U2" s="34"/>
      <c r="V2" s="34"/>
      <c r="W2" s="34"/>
      <c r="X2" s="34"/>
      <c r="Y2" s="34"/>
      <c r="Z2" s="63"/>
      <c r="AA2" s="535"/>
      <c r="AB2" s="535"/>
      <c r="AC2" s="535"/>
      <c r="AD2" s="535"/>
      <c r="AE2" s="535"/>
      <c r="AF2" s="535"/>
      <c r="AG2" s="35"/>
      <c r="AH2" s="35"/>
    </row>
    <row r="3" spans="2:117" ht="24" customHeight="1">
      <c r="B3" s="75" t="s">
        <v>6</v>
      </c>
      <c r="C3" s="175" t="str">
        <f>MAIN!C4</f>
        <v>Column D2</v>
      </c>
      <c r="D3" s="231"/>
      <c r="E3" s="232"/>
      <c r="F3" s="233"/>
      <c r="G3" s="384"/>
      <c r="H3" s="232"/>
      <c r="I3" s="232"/>
      <c r="J3" s="232"/>
      <c r="K3" s="232"/>
      <c r="L3" s="232"/>
      <c r="M3" s="232"/>
      <c r="N3" s="232"/>
      <c r="O3" s="385" t="s">
        <v>89</v>
      </c>
      <c r="P3" s="232"/>
      <c r="Q3" s="232"/>
      <c r="R3" s="232"/>
      <c r="S3" s="386"/>
      <c r="T3" s="34"/>
      <c r="U3" s="34"/>
      <c r="V3" s="34"/>
      <c r="W3" s="34"/>
      <c r="X3" s="34"/>
      <c r="Y3" s="34"/>
      <c r="Z3" s="364"/>
      <c r="AC3" s="534"/>
      <c r="AD3" s="534"/>
      <c r="AE3" s="535"/>
      <c r="AF3" s="535"/>
      <c r="AG3" s="35"/>
      <c r="AH3" s="35"/>
      <c r="AJ3" s="534"/>
      <c r="AK3" s="537" t="s">
        <v>407</v>
      </c>
      <c r="AL3" s="787" t="s">
        <v>273</v>
      </c>
    </row>
    <row r="4" spans="2:117" ht="18.75" customHeight="1">
      <c r="B4" s="117"/>
      <c r="C4" s="176" t="str">
        <f>MAIN!C5</f>
        <v>SYMMETRICALLY REINFORCED RECTANGULAR COLUMN DESIGN, BENT ABOUT TWO AXES TO EN 1992-1 : 2004</v>
      </c>
      <c r="D4" s="231"/>
      <c r="E4" s="232"/>
      <c r="F4" s="233"/>
      <c r="G4" s="384"/>
      <c r="H4" s="232"/>
      <c r="I4" s="232"/>
      <c r="J4" s="232"/>
      <c r="K4" s="232"/>
      <c r="L4" s="232"/>
      <c r="M4" s="232"/>
      <c r="N4" s="232"/>
      <c r="O4" s="232"/>
      <c r="P4" s="232"/>
      <c r="Q4" s="232"/>
      <c r="R4" s="232"/>
      <c r="S4" s="387"/>
      <c r="T4" s="34"/>
      <c r="U4" s="34"/>
      <c r="V4" s="34"/>
      <c r="W4" s="34"/>
      <c r="X4" s="34"/>
      <c r="Y4" s="34"/>
      <c r="Z4" s="364"/>
      <c r="AC4" s="534"/>
      <c r="AD4" s="534"/>
      <c r="AE4" s="535"/>
      <c r="AF4" s="536"/>
      <c r="AG4" s="38"/>
      <c r="AH4" s="35"/>
      <c r="AJ4" s="531">
        <f>B23</f>
        <v>16</v>
      </c>
      <c r="AK4" s="540">
        <f>Slen!K39</f>
        <v>17.428601793516801</v>
      </c>
      <c r="AL4" s="1196">
        <f>SQRT(1+2*Slen!H22)</f>
        <v>1.0823161713773932</v>
      </c>
      <c r="BI4" s="1298" t="s">
        <v>638</v>
      </c>
      <c r="BJ4" s="1299"/>
      <c r="BK4" s="1298" t="s">
        <v>638</v>
      </c>
      <c r="BL4" s="1299"/>
      <c r="BM4" s="1298" t="s">
        <v>638</v>
      </c>
      <c r="BN4" s="1299"/>
    </row>
    <row r="5" spans="2:117" ht="20.25" thickBot="1">
      <c r="B5" s="143"/>
      <c r="C5" s="144" t="str">
        <f ca="1">CHARTS!C6</f>
        <v>Originated from TCC53.xls  v4.45                     © 2000-19 TCC</v>
      </c>
      <c r="D5" s="240"/>
      <c r="E5" s="241"/>
      <c r="F5" s="242"/>
      <c r="G5" s="388"/>
      <c r="H5" s="388"/>
      <c r="I5" s="388"/>
      <c r="J5" s="388"/>
      <c r="K5" s="388"/>
      <c r="L5" s="388"/>
      <c r="M5" s="388"/>
      <c r="N5" s="388"/>
      <c r="O5" s="388"/>
      <c r="P5" s="388"/>
      <c r="Q5" s="388"/>
      <c r="R5" s="388"/>
      <c r="S5" s="389"/>
      <c r="T5" s="63"/>
      <c r="U5" s="63"/>
      <c r="V5" s="63"/>
      <c r="W5" s="63"/>
      <c r="X5" s="63"/>
      <c r="Y5" s="63"/>
      <c r="Z5" s="63"/>
      <c r="AC5" s="35"/>
      <c r="AD5" s="35"/>
      <c r="AE5" s="38"/>
      <c r="AF5" s="1281"/>
      <c r="AG5" s="1281"/>
      <c r="AH5" s="35"/>
      <c r="AJ5" s="532">
        <f>B22</f>
        <v>16</v>
      </c>
      <c r="AK5" s="541">
        <f>Slen!K38</f>
        <v>17.428601793516801</v>
      </c>
      <c r="AL5" s="1197">
        <f>SQRT(1+2*Slen!H21)</f>
        <v>1.0823161713773932</v>
      </c>
      <c r="BI5" s="1296" t="s">
        <v>625</v>
      </c>
      <c r="BJ5" s="1297"/>
      <c r="BK5" s="1296" t="s">
        <v>625</v>
      </c>
      <c r="BL5" s="1297"/>
      <c r="BM5" s="1296" t="s">
        <v>625</v>
      </c>
      <c r="BN5" s="1297"/>
      <c r="CG5" s="394" t="s">
        <v>637</v>
      </c>
      <c r="CH5" s="394" t="s">
        <v>637</v>
      </c>
    </row>
    <row r="6" spans="2:117" ht="19.5">
      <c r="H6" s="1017" t="s">
        <v>774</v>
      </c>
      <c r="I6" s="1017" t="s">
        <v>774</v>
      </c>
      <c r="AJ6" s="532">
        <f>B21</f>
        <v>20</v>
      </c>
      <c r="AK6" s="541">
        <f>Slen!K37</f>
        <v>18.131683700446189</v>
      </c>
      <c r="AL6" s="1197">
        <f>SQRT(1+2*Slen!H20)</f>
        <v>1.1259775577977083</v>
      </c>
      <c r="BI6" s="1296" t="s">
        <v>633</v>
      </c>
      <c r="BJ6" s="1297"/>
      <c r="BK6" s="1296" t="s">
        <v>633</v>
      </c>
      <c r="BL6" s="1297"/>
      <c r="BM6" s="1296" t="s">
        <v>633</v>
      </c>
      <c r="BN6" s="1297"/>
      <c r="CG6" s="394" t="s">
        <v>37</v>
      </c>
      <c r="CH6" s="394" t="s">
        <v>275</v>
      </c>
    </row>
    <row r="7" spans="2:117" ht="20.25">
      <c r="B7" s="390" t="s">
        <v>133</v>
      </c>
      <c r="D7" s="313" t="s">
        <v>176</v>
      </c>
      <c r="E7" s="315" t="s">
        <v>232</v>
      </c>
      <c r="F7" s="315" t="s">
        <v>230</v>
      </c>
      <c r="G7" s="315" t="s">
        <v>262</v>
      </c>
      <c r="H7" s="315" t="s">
        <v>283</v>
      </c>
      <c r="I7" s="315" t="s">
        <v>259</v>
      </c>
      <c r="J7" s="543" t="s">
        <v>231</v>
      </c>
      <c r="K7" s="45" t="s">
        <v>131</v>
      </c>
      <c r="L7" s="365">
        <f>MAIN!C$13*MAIN!C$14*Ycal!C$9</f>
        <v>8160000</v>
      </c>
      <c r="M7" s="1309" t="s">
        <v>360</v>
      </c>
      <c r="N7" s="1310"/>
      <c r="O7" s="1310"/>
      <c r="P7" s="1311"/>
      <c r="Q7" s="463"/>
      <c r="AJ7" s="532">
        <f>B20</f>
        <v>25</v>
      </c>
      <c r="AK7" s="541">
        <f>Slen!K36</f>
        <v>19.178718828446353</v>
      </c>
      <c r="AL7" s="1197">
        <f>SQRT(1+2*Slen!H19)</f>
        <v>1.1909984392465185</v>
      </c>
      <c r="BI7" s="1296" t="s">
        <v>639</v>
      </c>
      <c r="BJ7" s="1297"/>
      <c r="BK7" s="1296" t="s">
        <v>641</v>
      </c>
      <c r="BL7" s="1297"/>
      <c r="BM7" s="1296" t="s">
        <v>642</v>
      </c>
      <c r="BN7" s="1297"/>
      <c r="CG7" s="394" t="s">
        <v>646</v>
      </c>
      <c r="CH7" s="394" t="s">
        <v>646</v>
      </c>
    </row>
    <row r="8" spans="2:117" ht="19.5">
      <c r="C8" s="398">
        <f t="shared" ref="C8:C13" si="0">B18</f>
        <v>40</v>
      </c>
      <c r="D8" s="399">
        <f>Ycal!I14</f>
        <v>10053.09649148734</v>
      </c>
      <c r="E8" s="317">
        <f>IF(MAIN!I33="ok",Ycal!BO59,0)</f>
        <v>11450.713584880188</v>
      </c>
      <c r="F8" s="321">
        <f>0.35+MAIN!C$9/200-Slen!G34/150</f>
        <v>0.49686682474664978</v>
      </c>
      <c r="G8" s="321">
        <f>0.35+MAIN!C$9/200-Slen!G17/150</f>
        <v>0.35132197740012217</v>
      </c>
      <c r="H8" s="1011">
        <f>0.001*MAIN!C$10/103.5/Ycal!F$14</f>
        <v>4.2376472582422235E-6</v>
      </c>
      <c r="I8" s="1011">
        <f>0.001*MAIN!C$10/103.5/Zcal!F$14</f>
        <v>2.0128824476650564E-5</v>
      </c>
      <c r="J8" s="401">
        <f>L$7+MAIN!C$10*Ycal!I14/MAIN!F9</f>
        <v>12530911.518037975</v>
      </c>
      <c r="K8" s="368" t="s">
        <v>134</v>
      </c>
      <c r="L8" s="471">
        <f>MIN(1,MAX(2/3,2/SQRT(MAIN!C26/1000)))*Refs!D13</f>
        <v>5.0000000000000001E-3</v>
      </c>
      <c r="M8" s="472">
        <f t="shared" ref="M8:S8" si="1">C13</f>
        <v>16</v>
      </c>
      <c r="N8" s="473">
        <f t="shared" si="1"/>
        <v>1608.4954386379745</v>
      </c>
      <c r="O8" s="473">
        <f t="shared" si="1"/>
        <v>8686.5141735808302</v>
      </c>
      <c r="P8" s="474">
        <f t="shared" si="1"/>
        <v>0.49686682474664978</v>
      </c>
      <c r="Q8" s="474">
        <f t="shared" si="1"/>
        <v>0.35132197740012217</v>
      </c>
      <c r="R8" s="1014">
        <f t="shared" si="1"/>
        <v>4.1862373261664944E-6</v>
      </c>
      <c r="S8" s="1014">
        <f t="shared" si="1"/>
        <v>1.9019361710221005E-5</v>
      </c>
      <c r="T8" s="474">
        <f>K23</f>
        <v>1.6012088579434463</v>
      </c>
      <c r="U8" s="475">
        <f>L23</f>
        <v>1.4250995926541479</v>
      </c>
      <c r="V8" s="579">
        <v>0</v>
      </c>
      <c r="W8" s="579">
        <f>MAIN!D38</f>
        <v>0.44680428851054843</v>
      </c>
      <c r="X8" s="528"/>
      <c r="AJ8" s="532">
        <f>B19</f>
        <v>32</v>
      </c>
      <c r="AK8" s="541">
        <f>Slen!K35</f>
        <v>20.906914125935433</v>
      </c>
      <c r="AL8" s="1197">
        <f>SQRT(1+2*Slen!H18)</f>
        <v>1.2983193672205904</v>
      </c>
      <c r="BG8" s="1296" t="s">
        <v>623</v>
      </c>
      <c r="BH8" s="1297"/>
      <c r="BI8" s="1296" t="s">
        <v>572</v>
      </c>
      <c r="BJ8" s="1297"/>
      <c r="BK8" s="1296" t="s">
        <v>572</v>
      </c>
      <c r="BL8" s="1297"/>
      <c r="BM8" s="1296" t="s">
        <v>572</v>
      </c>
      <c r="BN8" s="1297"/>
      <c r="CG8" s="394" t="s">
        <v>764</v>
      </c>
      <c r="CH8" s="394" t="s">
        <v>37</v>
      </c>
      <c r="CJ8" s="394" t="s">
        <v>637</v>
      </c>
      <c r="CK8" s="394" t="s">
        <v>637</v>
      </c>
    </row>
    <row r="9" spans="2:117" ht="19.5">
      <c r="C9" s="398">
        <f t="shared" si="0"/>
        <v>32</v>
      </c>
      <c r="D9" s="402">
        <f>Ycal!I66</f>
        <v>6433.9817545518981</v>
      </c>
      <c r="E9" s="290">
        <f>IF(MAIN!I34="ok",Ycal!BO111,0)</f>
        <v>10266.056694323323</v>
      </c>
      <c r="F9" s="324">
        <f>0.35+MAIN!C$9/200-Slen!G35/150</f>
        <v>0.49686682474664978</v>
      </c>
      <c r="G9" s="324">
        <f>0.35+MAIN!C$9/200-Slen!G18/150</f>
        <v>0.35132197740012217</v>
      </c>
      <c r="H9" s="1012">
        <f>0.001*MAIN!C$10/103.5/Ycal!F$66</f>
        <v>4.2154606233823165E-6</v>
      </c>
      <c r="I9" s="1012">
        <f>0.001*MAIN!C$10/103.5/Zcal!F$66</f>
        <v>1.9637877538195672E-5</v>
      </c>
      <c r="J9" s="404">
        <f>L$7+MAIN!C10*Ycal!I66/MAIN!F9</f>
        <v>10957383.371544303</v>
      </c>
      <c r="K9" s="368" t="s">
        <v>285</v>
      </c>
      <c r="L9" s="471">
        <f>MIN(1,MAX(2/3,2/SQRT(MAIN!C27/1000)))*Refs!D13</f>
        <v>5.0000000000000001E-3</v>
      </c>
      <c r="M9" s="476">
        <f t="shared" ref="M9:S9" si="2">C12</f>
        <v>16</v>
      </c>
      <c r="N9" s="477">
        <f t="shared" si="2"/>
        <v>1608.4954386379745</v>
      </c>
      <c r="O9" s="477">
        <f t="shared" si="2"/>
        <v>8686.5141735808302</v>
      </c>
      <c r="P9" s="478">
        <f t="shared" si="2"/>
        <v>0.49686682474664978</v>
      </c>
      <c r="Q9" s="478">
        <f t="shared" si="2"/>
        <v>0.35132197740012217</v>
      </c>
      <c r="R9" s="1015">
        <f t="shared" si="2"/>
        <v>4.1862373261664944E-6</v>
      </c>
      <c r="S9" s="1015">
        <f t="shared" si="2"/>
        <v>1.9019361710221005E-5</v>
      </c>
      <c r="T9" s="478">
        <f>K22</f>
        <v>1.6012088579434463</v>
      </c>
      <c r="U9" s="479">
        <f>L22</f>
        <v>1.4250995926541479</v>
      </c>
      <c r="V9" s="580">
        <f>V10-(M10-M9)/2</f>
        <v>48</v>
      </c>
      <c r="W9" s="580">
        <f>MAIN!D37</f>
        <v>0.44680428851054843</v>
      </c>
      <c r="AE9" s="787" t="s">
        <v>838</v>
      </c>
      <c r="AF9" s="787" t="s">
        <v>526</v>
      </c>
      <c r="AJ9" s="533">
        <f>B18</f>
        <v>40</v>
      </c>
      <c r="AK9" s="542">
        <f>Slen!K34</f>
        <v>23.175552455409445</v>
      </c>
      <c r="AL9" s="1198">
        <f>SQRT(1+2*Slen!H17)</f>
        <v>1.4392018074809265</v>
      </c>
      <c r="BA9" s="1296" t="s">
        <v>623</v>
      </c>
      <c r="BB9" s="1297"/>
      <c r="BC9" s="1296" t="s">
        <v>623</v>
      </c>
      <c r="BD9" s="1297"/>
      <c r="BE9" s="1296" t="s">
        <v>623</v>
      </c>
      <c r="BF9" s="1297"/>
      <c r="BG9" s="1296" t="s">
        <v>643</v>
      </c>
      <c r="BH9" s="1297"/>
      <c r="BI9" s="1296" t="s">
        <v>633</v>
      </c>
      <c r="BJ9" s="1297"/>
      <c r="BK9" s="1296" t="s">
        <v>633</v>
      </c>
      <c r="BL9" s="1297"/>
      <c r="BM9" s="1296" t="s">
        <v>633</v>
      </c>
      <c r="BN9" s="1297"/>
      <c r="CG9" s="394" t="s">
        <v>631</v>
      </c>
      <c r="CH9" s="394" t="s">
        <v>631</v>
      </c>
      <c r="CI9" s="394" t="s">
        <v>637</v>
      </c>
      <c r="CJ9" s="394" t="s">
        <v>639</v>
      </c>
      <c r="CK9" s="394" t="s">
        <v>639</v>
      </c>
    </row>
    <row r="10" spans="2:117" ht="19.5">
      <c r="B10" s="528"/>
      <c r="C10" s="398">
        <f t="shared" si="0"/>
        <v>25</v>
      </c>
      <c r="D10" s="402">
        <f>Ycal!I118</f>
        <v>3926.9908169872406</v>
      </c>
      <c r="E10" s="290">
        <f>IF(MAIN!I35="ok",Ycal!BO163,0)</f>
        <v>9445.4349940938246</v>
      </c>
      <c r="F10" s="324">
        <f>0.35+MAIN!C$9/200-Slen!G36/150</f>
        <v>0.49686682474664978</v>
      </c>
      <c r="G10" s="324">
        <f>0.35+MAIN!C$9/200-Slen!G19/150</f>
        <v>0.35132197740012217</v>
      </c>
      <c r="H10" s="1012">
        <f>0.001*MAIN!C$10/103.5/Ycal!F$118</f>
        <v>4.2026253800749323E-6</v>
      </c>
      <c r="I10" s="1012">
        <f>0.001*MAIN!C$10/103.5/Zcal!F$118</f>
        <v>1.936239629016487E-5</v>
      </c>
      <c r="J10" s="404">
        <f>L$7+MAIN!C10*Ycal!I118/MAIN!F9</f>
        <v>9867387.311733583</v>
      </c>
      <c r="K10" s="45" t="s">
        <v>286</v>
      </c>
      <c r="L10" s="312">
        <f>MAX(20,MAIN!C13/30)/1000</f>
        <v>0.04</v>
      </c>
      <c r="M10" s="476">
        <f t="shared" ref="M10:S10" si="3">C11</f>
        <v>20</v>
      </c>
      <c r="N10" s="477">
        <f t="shared" si="3"/>
        <v>2513.2741228718351</v>
      </c>
      <c r="O10" s="477">
        <f t="shared" si="3"/>
        <v>8982.6783962200461</v>
      </c>
      <c r="P10" s="478">
        <f t="shared" si="3"/>
        <v>0.49686682474664978</v>
      </c>
      <c r="Q10" s="478">
        <f t="shared" si="3"/>
        <v>0.35132197740012217</v>
      </c>
      <c r="R10" s="1015">
        <f t="shared" si="3"/>
        <v>4.1935050993022007E-6</v>
      </c>
      <c r="S10" s="1015">
        <f t="shared" si="3"/>
        <v>1.9170309025381488E-5</v>
      </c>
      <c r="T10" s="478">
        <f>K21</f>
        <v>1.6012088579434463</v>
      </c>
      <c r="U10" s="479">
        <f>L21</f>
        <v>1.4250995926541479</v>
      </c>
      <c r="V10" s="580">
        <f>V11-(M11-M10)/2</f>
        <v>50</v>
      </c>
      <c r="W10" s="580">
        <f>MAIN!D36</f>
        <v>0.6981317007977319</v>
      </c>
      <c r="AE10" s="793">
        <f>Calc!F7</f>
        <v>1</v>
      </c>
      <c r="AF10" s="724">
        <f xml:space="preserve"> VLOOKUP(CM17,CN18:CS23,6)</f>
        <v>16</v>
      </c>
      <c r="AJ10" s="367"/>
      <c r="AK10" s="530">
        <f>VLOOKUP(VLOOKUP(CM17,CN18:CS23,6),AJ4:AK9,2)</f>
        <v>17.428601793516801</v>
      </c>
      <c r="AL10" s="1199">
        <f>VLOOKUP(VLOOKUP(CM17,CN18:CS23,6),AJ4:AL9,3)</f>
        <v>1.0823161713773932</v>
      </c>
      <c r="BA10" s="1296" t="s">
        <v>654</v>
      </c>
      <c r="BB10" s="1297"/>
      <c r="BC10" s="1296" t="s">
        <v>654</v>
      </c>
      <c r="BD10" s="1297"/>
      <c r="BE10" s="1296" t="s">
        <v>657</v>
      </c>
      <c r="BF10" s="1297"/>
      <c r="BG10" s="1296" t="s">
        <v>571</v>
      </c>
      <c r="BH10" s="1297"/>
      <c r="BI10" s="1296" t="s">
        <v>624</v>
      </c>
      <c r="BJ10" s="1297"/>
      <c r="BK10" s="1296" t="s">
        <v>624</v>
      </c>
      <c r="BL10" s="1297"/>
      <c r="BM10" s="1296" t="s">
        <v>624</v>
      </c>
      <c r="BN10" s="1297"/>
      <c r="CG10" s="394" t="s">
        <v>646</v>
      </c>
      <c r="CH10" s="394" t="s">
        <v>646</v>
      </c>
      <c r="CI10" s="394" t="s">
        <v>758</v>
      </c>
      <c r="CJ10" s="394" t="s">
        <v>646</v>
      </c>
      <c r="CK10" s="394" t="s">
        <v>765</v>
      </c>
    </row>
    <row r="11" spans="2:117" ht="19.5">
      <c r="C11" s="398">
        <f t="shared" si="0"/>
        <v>20</v>
      </c>
      <c r="D11" s="402">
        <f>Ycal!I170</f>
        <v>2513.2741228718351</v>
      </c>
      <c r="E11" s="290">
        <f>IF(MAIN!I36="ok",Ycal!BO215,0)</f>
        <v>8982.6783962200461</v>
      </c>
      <c r="F11" s="324">
        <f>0.35+MAIN!C$9/200-Slen!G37/150</f>
        <v>0.49686682474664978</v>
      </c>
      <c r="G11" s="324">
        <f>0.35+MAIN!C$9/200-Slen!G20/150</f>
        <v>0.35132197740012217</v>
      </c>
      <c r="H11" s="1012">
        <f>0.001*MAIN!C$10/103.5/Ycal!F$170</f>
        <v>4.1935050993022007E-6</v>
      </c>
      <c r="I11" s="1012">
        <f>0.001*MAIN!C$10/103.5/Zcal!F$170</f>
        <v>1.9170309025381488E-5</v>
      </c>
      <c r="J11" s="404">
        <f>L$7+MAIN!C10*Ycal!I170/MAIN!F9</f>
        <v>9252727.8795094937</v>
      </c>
      <c r="K11" s="45" t="s">
        <v>261</v>
      </c>
      <c r="L11" s="312">
        <f>MAX(20,MAIN!C14/30)/1000</f>
        <v>0.02</v>
      </c>
      <c r="M11" s="476">
        <f t="shared" ref="M11:S11" si="4">C10</f>
        <v>25</v>
      </c>
      <c r="N11" s="477">
        <f t="shared" si="4"/>
        <v>3926.9908169872406</v>
      </c>
      <c r="O11" s="477">
        <f t="shared" si="4"/>
        <v>9445.4349940938246</v>
      </c>
      <c r="P11" s="478">
        <f t="shared" si="4"/>
        <v>0.49686682474664978</v>
      </c>
      <c r="Q11" s="478">
        <f t="shared" si="4"/>
        <v>0.35132197740012217</v>
      </c>
      <c r="R11" s="1015">
        <f t="shared" si="4"/>
        <v>4.2026253800749323E-6</v>
      </c>
      <c r="S11" s="1015">
        <f t="shared" si="4"/>
        <v>1.936239629016487E-5</v>
      </c>
      <c r="T11" s="478">
        <f>K20</f>
        <v>1.6012088579434463</v>
      </c>
      <c r="U11" s="479">
        <f>L20</f>
        <v>1.4250995926541479</v>
      </c>
      <c r="V11" s="580">
        <f>V12-(M12-M11)/2</f>
        <v>52.5</v>
      </c>
      <c r="W11" s="580">
        <f>MAIN!D35</f>
        <v>1.0908307824964558</v>
      </c>
      <c r="Y11" s="633"/>
      <c r="Z11" s="756"/>
      <c r="BA11" s="1296" t="s">
        <v>569</v>
      </c>
      <c r="BB11" s="1297"/>
      <c r="BC11" s="1296" t="s">
        <v>645</v>
      </c>
      <c r="BD11" s="1297"/>
      <c r="BE11" s="1296" t="s">
        <v>655</v>
      </c>
      <c r="BF11" s="1297"/>
      <c r="BG11" s="1296" t="s">
        <v>572</v>
      </c>
      <c r="BH11" s="1297"/>
      <c r="BI11" s="1296" t="s">
        <v>625</v>
      </c>
      <c r="BJ11" s="1297"/>
      <c r="BK11" s="1296" t="s">
        <v>625</v>
      </c>
      <c r="BL11" s="1297"/>
      <c r="BM11" s="1296" t="s">
        <v>625</v>
      </c>
      <c r="BN11" s="1297"/>
      <c r="CG11" s="394" t="s">
        <v>634</v>
      </c>
      <c r="CH11" s="394" t="s">
        <v>634</v>
      </c>
      <c r="CI11" s="394" t="s">
        <v>634</v>
      </c>
      <c r="CJ11" s="394" t="s">
        <v>634</v>
      </c>
      <c r="CK11" s="394" t="s">
        <v>634</v>
      </c>
    </row>
    <row r="12" spans="2:117" ht="19.5">
      <c r="C12" s="398">
        <f t="shared" si="0"/>
        <v>16</v>
      </c>
      <c r="D12" s="402">
        <f>Ycal!I222</f>
        <v>1608.4954386379745</v>
      </c>
      <c r="E12" s="290">
        <f>IF(MAIN!I37="ok",Ycal!BO267,0)</f>
        <v>8686.5141735808302</v>
      </c>
      <c r="F12" s="324">
        <f>0.35+MAIN!C$9/200-Slen!G38/150</f>
        <v>0.49686682474664978</v>
      </c>
      <c r="G12" s="324">
        <f>0.35+MAIN!C$9/200-Slen!G21/150</f>
        <v>0.35132197740012217</v>
      </c>
      <c r="H12" s="1012">
        <f>0.001*MAIN!C$10/103.5/Ycal!F$222</f>
        <v>4.1862373261664944E-6</v>
      </c>
      <c r="I12" s="1012">
        <f>0.001*MAIN!C$10/103.5/Zcal!F$222</f>
        <v>1.9019361710221005E-5</v>
      </c>
      <c r="J12" s="404">
        <f>L$7+MAIN!C10*Ycal!I222/MAIN!F9</f>
        <v>8859345.8428860754</v>
      </c>
      <c r="K12" s="45"/>
      <c r="L12" s="47"/>
      <c r="M12" s="476">
        <f t="shared" ref="M12:S12" si="5">C9</f>
        <v>32</v>
      </c>
      <c r="N12" s="477">
        <f t="shared" si="5"/>
        <v>6433.9817545518981</v>
      </c>
      <c r="O12" s="477">
        <f t="shared" si="5"/>
        <v>10266.056694323323</v>
      </c>
      <c r="P12" s="478">
        <f t="shared" si="5"/>
        <v>0.49686682474664978</v>
      </c>
      <c r="Q12" s="478">
        <f t="shared" si="5"/>
        <v>0.35132197740012217</v>
      </c>
      <c r="R12" s="1015">
        <f t="shared" si="5"/>
        <v>4.2154606233823165E-6</v>
      </c>
      <c r="S12" s="1015">
        <f t="shared" si="5"/>
        <v>1.9637877538195672E-5</v>
      </c>
      <c r="T12" s="478">
        <f>K19</f>
        <v>1.6012088579434463</v>
      </c>
      <c r="U12" s="479">
        <f>L19</f>
        <v>1.4250995926541479</v>
      </c>
      <c r="V12" s="580">
        <f>V13-(M13-M12)/2</f>
        <v>56</v>
      </c>
      <c r="W12" s="580">
        <f>MAIN!D34</f>
        <v>1.7872171540421937</v>
      </c>
      <c r="Y12" s="653"/>
      <c r="AJ12" s="674" t="s">
        <v>517</v>
      </c>
      <c r="AL12" s="699"/>
      <c r="AM12" s="700"/>
      <c r="AN12" s="700"/>
      <c r="AU12" s="1296" t="s">
        <v>640</v>
      </c>
      <c r="AV12" s="1297"/>
      <c r="AW12" s="1296" t="s">
        <v>640</v>
      </c>
      <c r="AX12" s="1297"/>
      <c r="AY12" s="1296" t="s">
        <v>657</v>
      </c>
      <c r="AZ12" s="1297"/>
      <c r="BA12" s="1296" t="s">
        <v>571</v>
      </c>
      <c r="BB12" s="1297"/>
      <c r="BC12" s="1296" t="s">
        <v>571</v>
      </c>
      <c r="BD12" s="1297"/>
      <c r="BE12" s="1296" t="s">
        <v>571</v>
      </c>
      <c r="BF12" s="1297"/>
      <c r="BG12" s="1296" t="s">
        <v>575</v>
      </c>
      <c r="BH12" s="1297"/>
      <c r="BI12" s="1296" t="s">
        <v>575</v>
      </c>
      <c r="BJ12" s="1297"/>
      <c r="BK12" s="1296" t="s">
        <v>644</v>
      </c>
      <c r="BL12" s="1297"/>
      <c r="BM12" s="1296" t="s">
        <v>644</v>
      </c>
      <c r="BN12" s="1297"/>
      <c r="CG12" s="394" t="s">
        <v>633</v>
      </c>
      <c r="CH12" s="394" t="s">
        <v>633</v>
      </c>
      <c r="CI12" s="394" t="s">
        <v>633</v>
      </c>
      <c r="CJ12" s="394" t="s">
        <v>633</v>
      </c>
      <c r="CK12" s="394" t="s">
        <v>633</v>
      </c>
      <c r="CO12" s="653" t="s">
        <v>550</v>
      </c>
    </row>
    <row r="13" spans="2:117" ht="19.5">
      <c r="C13" s="398">
        <f t="shared" si="0"/>
        <v>16</v>
      </c>
      <c r="D13" s="405">
        <f>Ycal!I274</f>
        <v>1608.4954386379745</v>
      </c>
      <c r="E13" s="296">
        <f>IF(MAIN!I38="ok",Ycal!BO319,0)</f>
        <v>8686.5141735808302</v>
      </c>
      <c r="F13" s="269">
        <f>0.35+MAIN!C$9/200-Slen!G39/150</f>
        <v>0.49686682474664978</v>
      </c>
      <c r="G13" s="269">
        <f>0.35+MAIN!C$9/200-Slen!G22/150</f>
        <v>0.35132197740012217</v>
      </c>
      <c r="H13" s="1013">
        <f>0.001*MAIN!C$10/103.5/Ycal!F$274</f>
        <v>4.1862373261664944E-6</v>
      </c>
      <c r="I13" s="1013">
        <f>0.001*MAIN!C$10/103.5/Zcal!F$274</f>
        <v>1.9019361710221005E-5</v>
      </c>
      <c r="J13" s="407">
        <f>L$7+MAIN!C10*Ycal!I274/MAIN!F9</f>
        <v>8859345.8428860754</v>
      </c>
      <c r="M13" s="480">
        <f t="shared" ref="M13:S13" si="6">C8</f>
        <v>40</v>
      </c>
      <c r="N13" s="481">
        <f t="shared" si="6"/>
        <v>10053.09649148734</v>
      </c>
      <c r="O13" s="481">
        <f t="shared" si="6"/>
        <v>11450.713584880188</v>
      </c>
      <c r="P13" s="482">
        <f t="shared" si="6"/>
        <v>0.49686682474664978</v>
      </c>
      <c r="Q13" s="482">
        <f t="shared" si="6"/>
        <v>0.35132197740012217</v>
      </c>
      <c r="R13" s="1016">
        <f t="shared" si="6"/>
        <v>4.2376472582422235E-6</v>
      </c>
      <c r="S13" s="1016">
        <f t="shared" si="6"/>
        <v>2.0128824476650564E-5</v>
      </c>
      <c r="T13" s="482">
        <f>K18</f>
        <v>1.6012088579434463</v>
      </c>
      <c r="U13" s="483">
        <f>L18</f>
        <v>1.4250995926541479</v>
      </c>
      <c r="V13" s="581">
        <f>MAIN!C13-Ycal!F14</f>
        <v>60</v>
      </c>
      <c r="W13" s="581">
        <f>MAIN!D33</f>
        <v>2.7925268031909276</v>
      </c>
      <c r="Y13" s="653"/>
      <c r="AU13" s="1296" t="s">
        <v>569</v>
      </c>
      <c r="AV13" s="1297"/>
      <c r="AW13" s="1296" t="s">
        <v>645</v>
      </c>
      <c r="AX13" s="1297"/>
      <c r="AY13" s="1296" t="s">
        <v>655</v>
      </c>
      <c r="AZ13" s="1297"/>
      <c r="BA13" s="1296" t="s">
        <v>572</v>
      </c>
      <c r="BB13" s="1297"/>
      <c r="BC13" s="1296" t="s">
        <v>572</v>
      </c>
      <c r="BD13" s="1297"/>
      <c r="BE13" s="1296" t="s">
        <v>572</v>
      </c>
      <c r="BF13" s="1297"/>
      <c r="BG13" s="1296" t="s">
        <v>576</v>
      </c>
      <c r="BH13" s="1297"/>
      <c r="BI13" s="1296" t="s">
        <v>576</v>
      </c>
      <c r="BJ13" s="1297"/>
      <c r="BK13" s="1296" t="s">
        <v>637</v>
      </c>
      <c r="BL13" s="1297"/>
      <c r="BM13" s="1296" t="s">
        <v>637</v>
      </c>
      <c r="BN13" s="1297"/>
      <c r="CG13" s="394" t="s">
        <v>635</v>
      </c>
      <c r="CH13" s="394" t="s">
        <v>635</v>
      </c>
      <c r="CI13" s="394" t="s">
        <v>635</v>
      </c>
      <c r="CJ13" s="394" t="s">
        <v>635</v>
      </c>
      <c r="CK13" s="394" t="s">
        <v>635</v>
      </c>
      <c r="CO13" s="653" t="s">
        <v>548</v>
      </c>
      <c r="DL13" s="1312"/>
      <c r="DM13" s="1312"/>
    </row>
    <row r="14" spans="2:117" ht="19.5">
      <c r="R14" s="43"/>
      <c r="AE14" s="666" t="s">
        <v>491</v>
      </c>
      <c r="AM14" s="1300" t="s">
        <v>628</v>
      </c>
      <c r="AN14" s="1301"/>
      <c r="AO14" s="1301"/>
      <c r="AP14" s="1302"/>
      <c r="AQ14" s="1300" t="s">
        <v>544</v>
      </c>
      <c r="AR14" s="1301"/>
      <c r="AS14" s="1301"/>
      <c r="AT14" s="1302"/>
      <c r="AU14" s="1296" t="s">
        <v>631</v>
      </c>
      <c r="AV14" s="1297"/>
      <c r="AW14" s="1296" t="s">
        <v>631</v>
      </c>
      <c r="AX14" s="1297"/>
      <c r="AY14" s="1296" t="s">
        <v>631</v>
      </c>
      <c r="AZ14" s="1297"/>
      <c r="BA14" s="1296" t="s">
        <v>630</v>
      </c>
      <c r="BB14" s="1297"/>
      <c r="BC14" s="1296" t="s">
        <v>630</v>
      </c>
      <c r="BD14" s="1297"/>
      <c r="BE14" s="1296" t="s">
        <v>630</v>
      </c>
      <c r="BF14" s="1297"/>
      <c r="BG14" s="1296" t="s">
        <v>577</v>
      </c>
      <c r="BH14" s="1297"/>
      <c r="BI14" s="1296" t="s">
        <v>577</v>
      </c>
      <c r="BJ14" s="1297"/>
      <c r="BK14" s="1296" t="s">
        <v>577</v>
      </c>
      <c r="BL14" s="1297"/>
      <c r="BM14" s="1296" t="s">
        <v>577</v>
      </c>
      <c r="BN14" s="1297"/>
      <c r="BO14" s="1300" t="s">
        <v>629</v>
      </c>
      <c r="BP14" s="1301"/>
      <c r="BQ14" s="1301"/>
      <c r="BR14" s="1302"/>
      <c r="CG14" s="394" t="s">
        <v>625</v>
      </c>
      <c r="CH14" s="394" t="s">
        <v>625</v>
      </c>
      <c r="CI14" s="394" t="s">
        <v>625</v>
      </c>
      <c r="CJ14" s="394" t="s">
        <v>625</v>
      </c>
      <c r="CK14" s="394" t="s">
        <v>625</v>
      </c>
      <c r="DL14" s="1312"/>
      <c r="DM14" s="1312"/>
    </row>
    <row r="15" spans="2:117" ht="19.5">
      <c r="B15" s="390" t="s">
        <v>90</v>
      </c>
      <c r="C15" s="528"/>
      <c r="F15" s="369" t="s">
        <v>175</v>
      </c>
      <c r="G15" s="653"/>
      <c r="H15" s="619"/>
      <c r="I15" s="726" t="s">
        <v>626</v>
      </c>
      <c r="J15" s="726" t="s">
        <v>627</v>
      </c>
      <c r="K15" s="421"/>
      <c r="L15" s="421"/>
      <c r="O15" s="45" t="s">
        <v>288</v>
      </c>
      <c r="P15" s="366">
        <f>L$10*E16</f>
        <v>30.85246628236392</v>
      </c>
      <c r="Q15" s="45" t="s">
        <v>258</v>
      </c>
      <c r="R15" s="366">
        <f>L$11*E16</f>
        <v>15.42623314118196</v>
      </c>
      <c r="U15" s="45"/>
      <c r="V15" s="370"/>
      <c r="W15" s="370"/>
      <c r="X15" s="370"/>
      <c r="AM15" s="1303" t="s">
        <v>516</v>
      </c>
      <c r="AN15" s="1304"/>
      <c r="AO15" s="1304"/>
      <c r="AP15" s="1305"/>
      <c r="AQ15" s="1300" t="s">
        <v>632</v>
      </c>
      <c r="AR15" s="1301"/>
      <c r="AS15" s="1301"/>
      <c r="AT15" s="1302"/>
      <c r="AU15" s="1296" t="s">
        <v>572</v>
      </c>
      <c r="AV15" s="1297"/>
      <c r="AW15" s="1296" t="s">
        <v>572</v>
      </c>
      <c r="AX15" s="1297"/>
      <c r="AY15" s="1296" t="s">
        <v>572</v>
      </c>
      <c r="AZ15" s="1297"/>
      <c r="BA15" s="1296" t="s">
        <v>79</v>
      </c>
      <c r="BB15" s="1297"/>
      <c r="BC15" s="1296" t="s">
        <v>79</v>
      </c>
      <c r="BD15" s="1297"/>
      <c r="BE15" s="1296" t="s">
        <v>79</v>
      </c>
      <c r="BF15" s="1297"/>
      <c r="BG15" s="1296" t="s">
        <v>578</v>
      </c>
      <c r="BH15" s="1297"/>
      <c r="BI15" s="1296" t="s">
        <v>578</v>
      </c>
      <c r="BJ15" s="1297"/>
      <c r="BK15" s="1296" t="s">
        <v>578</v>
      </c>
      <c r="BL15" s="1297"/>
      <c r="BM15" s="1296" t="s">
        <v>578</v>
      </c>
      <c r="BN15" s="1297"/>
      <c r="BO15" s="1300" t="s">
        <v>516</v>
      </c>
      <c r="BP15" s="1301"/>
      <c r="BQ15" s="1301"/>
      <c r="BR15" s="1302"/>
      <c r="BS15" s="726"/>
      <c r="BT15" s="726"/>
      <c r="BU15" s="726"/>
      <c r="BV15" s="726"/>
      <c r="BW15" s="726"/>
      <c r="BX15" s="726"/>
      <c r="BY15" s="726"/>
      <c r="BZ15" s="726"/>
      <c r="CC15" s="1287" t="s">
        <v>650</v>
      </c>
      <c r="CD15" s="1288"/>
      <c r="CE15" s="1288"/>
      <c r="CF15" s="1289"/>
      <c r="CG15" s="394" t="s">
        <v>79</v>
      </c>
      <c r="CH15" s="394" t="s">
        <v>79</v>
      </c>
      <c r="CI15" s="394" t="s">
        <v>649</v>
      </c>
      <c r="CJ15" s="394" t="s">
        <v>79</v>
      </c>
      <c r="CK15" s="394" t="s">
        <v>79</v>
      </c>
      <c r="CO15" s="724" t="s">
        <v>528</v>
      </c>
      <c r="CP15" s="724" t="s">
        <v>528</v>
      </c>
      <c r="CQ15" s="724" t="s">
        <v>529</v>
      </c>
      <c r="CR15" s="724" t="s">
        <v>530</v>
      </c>
      <c r="CS15" s="724" t="s">
        <v>531</v>
      </c>
      <c r="CT15" s="724" t="s">
        <v>532</v>
      </c>
      <c r="CU15" s="724" t="s">
        <v>533</v>
      </c>
      <c r="CV15" s="724" t="s">
        <v>534</v>
      </c>
      <c r="CW15" s="724" t="s">
        <v>535</v>
      </c>
      <c r="CX15" s="724" t="s">
        <v>536</v>
      </c>
      <c r="CY15" s="724" t="s">
        <v>537</v>
      </c>
      <c r="CZ15" s="724" t="s">
        <v>551</v>
      </c>
      <c r="DA15" s="724" t="s">
        <v>552</v>
      </c>
      <c r="DB15" s="724"/>
      <c r="DC15" s="724"/>
      <c r="DL15" s="724"/>
      <c r="DM15" s="724"/>
    </row>
    <row r="16" spans="2:117" ht="21.75">
      <c r="B16" s="391">
        <f>MAIN!B42</f>
        <v>1</v>
      </c>
      <c r="C16" s="371"/>
      <c r="D16" s="372" t="s">
        <v>77</v>
      </c>
      <c r="E16" s="373">
        <f>MAIN!C42</f>
        <v>771.31165705909802</v>
      </c>
      <c r="F16" s="311">
        <f>Refs!F$17*E16*1000/Ycal!C$10</f>
        <v>177.40168112359254</v>
      </c>
      <c r="G16" s="374" t="s">
        <v>130</v>
      </c>
      <c r="H16" s="50">
        <f>1000*E16/L$7</f>
        <v>9.4523487384693378E-2</v>
      </c>
      <c r="I16" s="726">
        <f>(1.7-IF(LEFT(MAIN!D$21)="N",1,             VLOOKUP(F24,F18:AN23,35,FALSE)                  /              VLOOKUP(F24,F18:AM23,34,FALSE)         ))</f>
        <v>2.190794790579409</v>
      </c>
      <c r="J16" s="726">
        <f>(1.7-IF(LEFT(MAIN!D$22)="N",1,         VLOOKUP(F24,F18:AP23,37,FALSE)  /               VLOOKUP(F24,F18:AO23,36,FALSE)             ))</f>
        <v>0.70200533344475302</v>
      </c>
      <c r="K16" s="374" t="s">
        <v>287</v>
      </c>
      <c r="L16" s="667">
        <f>MAX(ABS(0.6*AM18+0.4*AN18),(ABS(0.4*AM18)))</f>
        <v>50.337030261382068</v>
      </c>
      <c r="M16" s="374" t="s">
        <v>256</v>
      </c>
      <c r="N16" s="668">
        <f>MAX(ABS(0.6*AO18+0.4*AP18),(ABS(0.4*AO18)))</f>
        <v>4.9827018505885601</v>
      </c>
      <c r="O16" s="375" t="s">
        <v>289</v>
      </c>
      <c r="P16" s="366">
        <f>L$8*E16*Slen!G$29/2000</f>
        <v>5.3237488102754433</v>
      </c>
      <c r="Q16" s="375" t="s">
        <v>257</v>
      </c>
      <c r="R16" s="366">
        <f>L$9*E16*Slen!G$12/2000</f>
        <v>4.976701850588559</v>
      </c>
      <c r="S16" s="368" t="s">
        <v>132</v>
      </c>
      <c r="T16" s="376">
        <f>MAIN!F11</f>
        <v>1.2100000000000002</v>
      </c>
      <c r="U16" s="45" t="s">
        <v>354</v>
      </c>
      <c r="V16" s="373">
        <f>VLOOKUP(F24,$M$8:$N$13,2)</f>
        <v>1608.4954386379745</v>
      </c>
      <c r="W16" s="312"/>
      <c r="X16" s="312"/>
      <c r="Y16" s="394" t="s">
        <v>137</v>
      </c>
      <c r="Z16" s="45"/>
      <c r="AA16" s="1306" t="s">
        <v>296</v>
      </c>
      <c r="AB16" s="1307"/>
      <c r="AC16" s="1307"/>
      <c r="AD16" s="1308"/>
      <c r="AE16" s="1306" t="s">
        <v>268</v>
      </c>
      <c r="AF16" s="1307"/>
      <c r="AG16" s="1307"/>
      <c r="AH16" s="1308"/>
      <c r="AM16" s="802">
        <f>IF(MAIN!D42=0,0.01,MAIN!D42)</f>
        <v>124.694734508658</v>
      </c>
      <c r="AN16" s="803">
        <f>IF(MAIN!F42=0,0.01,MAIN!F42)</f>
        <v>-61.199526109531803</v>
      </c>
      <c r="AO16" s="803">
        <f>IF(MAIN!E42=0,0.01,MAIN!E42)</f>
        <v>2.2957635792408801E-15</v>
      </c>
      <c r="AP16" s="804">
        <f>IF(MAIN!G42=0,0.01,MAIN!G42)</f>
        <v>0.01</v>
      </c>
      <c r="AQ16" s="643"/>
      <c r="AR16" s="643"/>
      <c r="AS16" s="643"/>
      <c r="AT16" s="643"/>
      <c r="AU16" s="1296"/>
      <c r="AV16" s="1297"/>
      <c r="AW16" s="1296" t="s">
        <v>568</v>
      </c>
      <c r="AX16" s="1297"/>
      <c r="AY16" s="1296" t="s">
        <v>658</v>
      </c>
      <c r="AZ16" s="1297"/>
      <c r="BA16" s="1296" t="s">
        <v>570</v>
      </c>
      <c r="BB16" s="1297"/>
      <c r="BC16" s="1296" t="s">
        <v>568</v>
      </c>
      <c r="BD16" s="1297"/>
      <c r="BE16" s="1296" t="s">
        <v>658</v>
      </c>
      <c r="BF16" s="1297"/>
      <c r="BG16" s="1296" t="s">
        <v>573</v>
      </c>
      <c r="BH16" s="1297"/>
      <c r="BI16" s="1296" t="s">
        <v>573</v>
      </c>
      <c r="BJ16" s="1297"/>
      <c r="BK16" s="1296" t="s">
        <v>573</v>
      </c>
      <c r="BL16" s="1297"/>
      <c r="BM16" s="1296" t="s">
        <v>573</v>
      </c>
      <c r="BN16" s="1297"/>
      <c r="BO16" s="802">
        <f>AM16</f>
        <v>124.694734508658</v>
      </c>
      <c r="BP16" s="803">
        <f>AN16</f>
        <v>-61.199526109531803</v>
      </c>
      <c r="BQ16" s="803">
        <f>AO16</f>
        <v>2.2957635792408801E-15</v>
      </c>
      <c r="BR16" s="804">
        <f>AP16</f>
        <v>0.01</v>
      </c>
      <c r="BS16" s="374" t="s">
        <v>130</v>
      </c>
      <c r="BT16" s="50">
        <f>1000*E16/L$7</f>
        <v>9.4523487384693378E-2</v>
      </c>
      <c r="BU16" s="726" t="s">
        <v>646</v>
      </c>
      <c r="BV16" s="726" t="s">
        <v>646</v>
      </c>
      <c r="BW16" s="726" t="s">
        <v>647</v>
      </c>
      <c r="BX16" s="726" t="s">
        <v>647</v>
      </c>
      <c r="BY16" s="726"/>
      <c r="BZ16" s="726"/>
      <c r="CC16" s="726" t="s">
        <v>646</v>
      </c>
      <c r="CD16" s="726" t="s">
        <v>646</v>
      </c>
      <c r="CE16" s="726" t="s">
        <v>647</v>
      </c>
      <c r="CF16" s="726" t="s">
        <v>647</v>
      </c>
      <c r="CG16" s="313" t="s">
        <v>636</v>
      </c>
      <c r="CH16" s="313" t="s">
        <v>636</v>
      </c>
      <c r="CI16" s="313" t="s">
        <v>636</v>
      </c>
      <c r="CJ16" s="313" t="s">
        <v>760</v>
      </c>
      <c r="CK16" s="313" t="s">
        <v>760</v>
      </c>
      <c r="CL16" s="724" t="s">
        <v>890</v>
      </c>
      <c r="CN16" s="750">
        <v>1</v>
      </c>
      <c r="CO16" s="750">
        <f t="shared" ref="CO16:DA16" si="7">1+CN16</f>
        <v>2</v>
      </c>
      <c r="CP16" s="750">
        <f t="shared" si="7"/>
        <v>3</v>
      </c>
      <c r="CQ16" s="750">
        <f t="shared" si="7"/>
        <v>4</v>
      </c>
      <c r="CR16" s="750">
        <f t="shared" si="7"/>
        <v>5</v>
      </c>
      <c r="CS16" s="750">
        <f t="shared" si="7"/>
        <v>6</v>
      </c>
      <c r="CT16" s="750">
        <f t="shared" si="7"/>
        <v>7</v>
      </c>
      <c r="CU16" s="750">
        <f t="shared" si="7"/>
        <v>8</v>
      </c>
      <c r="CV16" s="750">
        <f t="shared" si="7"/>
        <v>9</v>
      </c>
      <c r="CW16" s="750">
        <f t="shared" si="7"/>
        <v>10</v>
      </c>
      <c r="CX16" s="750">
        <f t="shared" si="7"/>
        <v>11</v>
      </c>
      <c r="CY16" s="750">
        <f t="shared" si="7"/>
        <v>12</v>
      </c>
      <c r="CZ16" s="750">
        <f t="shared" si="7"/>
        <v>13</v>
      </c>
      <c r="DA16" s="750">
        <f t="shared" si="7"/>
        <v>14</v>
      </c>
      <c r="DB16" s="750">
        <v>15</v>
      </c>
      <c r="DC16" s="750">
        <v>16</v>
      </c>
      <c r="DD16" s="750">
        <v>17</v>
      </c>
      <c r="DE16" s="750">
        <v>18</v>
      </c>
      <c r="DF16" s="750">
        <v>19</v>
      </c>
      <c r="DG16" s="750">
        <v>20</v>
      </c>
      <c r="DH16" s="750">
        <v>21</v>
      </c>
      <c r="DI16" s="750">
        <v>22</v>
      </c>
      <c r="DJ16" s="750">
        <v>23</v>
      </c>
      <c r="DK16" s="750">
        <v>24</v>
      </c>
      <c r="DL16" s="750"/>
      <c r="DM16" s="750"/>
    </row>
    <row r="17" spans="2:117" ht="20.25">
      <c r="C17" s="313" t="s">
        <v>51</v>
      </c>
      <c r="D17" s="392" t="s">
        <v>144</v>
      </c>
      <c r="E17" s="313" t="s">
        <v>78</v>
      </c>
      <c r="G17" s="314" t="s">
        <v>290</v>
      </c>
      <c r="H17" s="315" t="s">
        <v>263</v>
      </c>
      <c r="I17" s="747" t="s">
        <v>227</v>
      </c>
      <c r="J17" s="747" t="s">
        <v>291</v>
      </c>
      <c r="K17" s="315" t="s">
        <v>284</v>
      </c>
      <c r="L17" s="315" t="s">
        <v>260</v>
      </c>
      <c r="M17" s="315" t="s">
        <v>292</v>
      </c>
      <c r="N17" s="315" t="s">
        <v>264</v>
      </c>
      <c r="O17" s="315" t="s">
        <v>293</v>
      </c>
      <c r="P17" s="315" t="s">
        <v>265</v>
      </c>
      <c r="Q17" s="315" t="s">
        <v>294</v>
      </c>
      <c r="R17" s="315" t="s">
        <v>266</v>
      </c>
      <c r="S17" s="315" t="s">
        <v>463</v>
      </c>
      <c r="T17" s="315" t="s">
        <v>464</v>
      </c>
      <c r="U17" s="315" t="s">
        <v>295</v>
      </c>
      <c r="V17" s="315" t="s">
        <v>267</v>
      </c>
      <c r="W17" s="315" t="s">
        <v>228</v>
      </c>
      <c r="X17" s="315" t="s">
        <v>93</v>
      </c>
      <c r="Y17" s="393" t="s">
        <v>138</v>
      </c>
      <c r="Z17" s="679" t="s">
        <v>79</v>
      </c>
      <c r="AA17" s="395" t="s">
        <v>229</v>
      </c>
      <c r="AB17" s="396" t="s">
        <v>80</v>
      </c>
      <c r="AC17" s="396" t="s">
        <v>81</v>
      </c>
      <c r="AD17" s="397" t="s">
        <v>82</v>
      </c>
      <c r="AE17" s="395" t="s">
        <v>229</v>
      </c>
      <c r="AF17" s="396" t="s">
        <v>80</v>
      </c>
      <c r="AG17" s="396" t="s">
        <v>81</v>
      </c>
      <c r="AH17" s="397" t="s">
        <v>82</v>
      </c>
      <c r="AJ17" s="678" t="s">
        <v>365</v>
      </c>
      <c r="AK17" s="679" t="s">
        <v>366</v>
      </c>
      <c r="AL17" s="724">
        <v>1</v>
      </c>
      <c r="AM17" s="1127" t="s">
        <v>562</v>
      </c>
      <c r="AN17" s="1128" t="s">
        <v>563</v>
      </c>
      <c r="AO17" s="1127" t="s">
        <v>564</v>
      </c>
      <c r="AP17" s="1128" t="s">
        <v>565</v>
      </c>
      <c r="AQ17" s="773" t="s">
        <v>562</v>
      </c>
      <c r="AR17" s="774" t="s">
        <v>563</v>
      </c>
      <c r="AS17" s="773" t="s">
        <v>564</v>
      </c>
      <c r="AT17" s="774" t="s">
        <v>565</v>
      </c>
      <c r="AU17" s="764" t="s">
        <v>95</v>
      </c>
      <c r="AV17" s="764" t="s">
        <v>560</v>
      </c>
      <c r="AW17" s="764" t="s">
        <v>95</v>
      </c>
      <c r="AX17" s="764" t="s">
        <v>560</v>
      </c>
      <c r="AY17" s="764" t="s">
        <v>95</v>
      </c>
      <c r="AZ17" s="764" t="s">
        <v>560</v>
      </c>
      <c r="BA17" s="147" t="s">
        <v>95</v>
      </c>
      <c r="BB17" s="147" t="s">
        <v>560</v>
      </c>
      <c r="BC17" s="147" t="s">
        <v>95</v>
      </c>
      <c r="BD17" s="147" t="s">
        <v>560</v>
      </c>
      <c r="BE17" s="764" t="s">
        <v>95</v>
      </c>
      <c r="BF17" s="764" t="s">
        <v>560</v>
      </c>
      <c r="BG17" s="764" t="s">
        <v>95</v>
      </c>
      <c r="BH17" s="764" t="s">
        <v>560</v>
      </c>
      <c r="BI17" s="676" t="s">
        <v>95</v>
      </c>
      <c r="BJ17" s="676" t="s">
        <v>560</v>
      </c>
      <c r="BK17" s="676" t="s">
        <v>95</v>
      </c>
      <c r="BL17" s="676" t="s">
        <v>560</v>
      </c>
      <c r="BM17" s="676" t="s">
        <v>95</v>
      </c>
      <c r="BN17" s="676" t="s">
        <v>560</v>
      </c>
      <c r="BO17" s="771" t="s">
        <v>562</v>
      </c>
      <c r="BP17" s="772" t="s">
        <v>563</v>
      </c>
      <c r="BQ17" s="771" t="s">
        <v>564</v>
      </c>
      <c r="BR17" s="772" t="s">
        <v>565</v>
      </c>
      <c r="BS17" s="678" t="s">
        <v>290</v>
      </c>
      <c r="BT17" s="747" t="s">
        <v>263</v>
      </c>
      <c r="BU17" s="747" t="s">
        <v>227</v>
      </c>
      <c r="BV17" s="747" t="s">
        <v>291</v>
      </c>
      <c r="BW17" s="747" t="s">
        <v>227</v>
      </c>
      <c r="BX17" s="747" t="s">
        <v>291</v>
      </c>
      <c r="BY17" s="747" t="s">
        <v>284</v>
      </c>
      <c r="BZ17" s="747" t="s">
        <v>260</v>
      </c>
      <c r="CA17" s="747" t="s">
        <v>292</v>
      </c>
      <c r="CB17" s="747" t="s">
        <v>264</v>
      </c>
      <c r="CC17" s="747" t="s">
        <v>293</v>
      </c>
      <c r="CD17" s="747" t="s">
        <v>265</v>
      </c>
      <c r="CE17" s="747" t="s">
        <v>293</v>
      </c>
      <c r="CF17" s="747" t="s">
        <v>265</v>
      </c>
      <c r="CG17" s="394" t="s">
        <v>759</v>
      </c>
      <c r="CH17" s="394" t="s">
        <v>759</v>
      </c>
      <c r="CI17" s="394" t="s">
        <v>79</v>
      </c>
      <c r="CJ17" s="394" t="s">
        <v>759</v>
      </c>
      <c r="CK17" s="394" t="s">
        <v>759</v>
      </c>
      <c r="CL17" s="724" t="s">
        <v>891</v>
      </c>
      <c r="CM17" s="724">
        <f>Calc!F7</f>
        <v>1</v>
      </c>
      <c r="CN17" s="724" t="s">
        <v>524</v>
      </c>
      <c r="CO17" s="724" t="s">
        <v>525</v>
      </c>
      <c r="CP17" s="724" t="s">
        <v>525</v>
      </c>
      <c r="CQ17" s="724" t="s">
        <v>553</v>
      </c>
      <c r="CR17" s="724" t="s">
        <v>554</v>
      </c>
      <c r="CS17" s="724" t="s">
        <v>526</v>
      </c>
      <c r="CT17" s="724" t="s">
        <v>429</v>
      </c>
      <c r="CU17" s="751" t="s">
        <v>227</v>
      </c>
      <c r="CV17" s="724" t="s">
        <v>527</v>
      </c>
      <c r="CW17" s="751" t="s">
        <v>295</v>
      </c>
      <c r="CX17" s="724" t="s">
        <v>176</v>
      </c>
      <c r="CY17" s="724" t="s">
        <v>93</v>
      </c>
      <c r="CZ17" s="752" t="s">
        <v>215</v>
      </c>
      <c r="DA17" s="752" t="s">
        <v>216</v>
      </c>
      <c r="DB17" s="752" t="s">
        <v>832</v>
      </c>
      <c r="DC17" s="752" t="s">
        <v>833</v>
      </c>
      <c r="DD17" s="752" t="s">
        <v>626</v>
      </c>
      <c r="DE17" s="752" t="s">
        <v>627</v>
      </c>
      <c r="DF17" s="752" t="s">
        <v>839</v>
      </c>
      <c r="DG17" s="752" t="s">
        <v>840</v>
      </c>
      <c r="DH17" s="752" t="s">
        <v>128</v>
      </c>
      <c r="DI17" s="752" t="s">
        <v>273</v>
      </c>
      <c r="DJ17" s="752" t="s">
        <v>842</v>
      </c>
      <c r="DK17" s="752" t="s">
        <v>841</v>
      </c>
      <c r="DL17" s="752"/>
      <c r="DM17" s="752"/>
    </row>
    <row r="18" spans="2:117" ht="18">
      <c r="B18" s="367">
        <f>IF(MAIN!I33="ok",MAIN!C33,0)</f>
        <v>40</v>
      </c>
      <c r="C18" s="408">
        <f t="shared" ref="C18:C23" si="8">IF(ISERROR(E8),0.000001,E8)</f>
        <v>11450.713584880188</v>
      </c>
      <c r="D18" s="409">
        <f t="shared" ref="D18:D23" si="9">IF(ISERROR(U18),0,Y18)</f>
        <v>8.5707861040545397E-2</v>
      </c>
      <c r="E18" s="409" t="str">
        <f>IF(AND(D18&lt;=1,E16&lt;=C18,D$8&gt;=F16),"ok","Fails")</f>
        <v>ok</v>
      </c>
      <c r="F18" s="409">
        <f>IF(AND(E18="ok",SUM(F19:F23)=0),B18,0)</f>
        <v>0</v>
      </c>
      <c r="G18" s="321">
        <f>MIN(1,(Slen!I34-H$16)/(Slen!I34-Slen!J34))</f>
        <v>1</v>
      </c>
      <c r="H18" s="321">
        <f>MIN(1,(Slen!I17-H$16)/(Slen!I17-Slen!J17))</f>
        <v>1</v>
      </c>
      <c r="I18" s="823">
        <f>MIN(50,Slen!K34*(1.7-IF(LEFT(MAIN!D$21)="N",1,AN18/AM18))/SQRT(H$16))</f>
        <v>50</v>
      </c>
      <c r="J18" s="824">
        <f>MIN(50,Slen!K17*(1.7-IF(LEFT(MAIN!D$22)="N",1,AP18/AO18))/SQRT(H$16))</f>
        <v>50</v>
      </c>
      <c r="K18" s="321">
        <f>IF(AND(MAIN!C$11&lt;=2,Slen!G34&lt;=75,1000*ABS(Cases!AM$18)/MAIN!C$42&gt;=MAIN!C$13),1,MAX(1,1+F8*T$16))</f>
        <v>1.6012088579434463</v>
      </c>
      <c r="L18" s="321">
        <f>IF(AND(MAIN!C$11&lt;=2,Slen!G17&lt;=75,1000*ABS(Cases!AO$18)/MAIN!C$42&gt;=MAIN!C$14),1,MAX(1,1+G8*T$16))</f>
        <v>1.4250995926541479</v>
      </c>
      <c r="M18" s="400">
        <f>G18*K18*H$8</f>
        <v>6.7853583267372068E-6</v>
      </c>
      <c r="N18" s="400">
        <f>H18*L18*I$8</f>
        <v>2.8685579562281559E-5</v>
      </c>
      <c r="O18" s="400">
        <f>1000*IF(Slen!G34&gt;I18,E$16*M18*(Slen!G$29/1000)^2/IF(MAIN!D$42=MAIN!F$42,8,PI()^2),0)</f>
        <v>0</v>
      </c>
      <c r="P18" s="400">
        <f>1000*IF(Slen!G17&gt;J18,E$16*N18*(Slen!G$12/1000)^2/IF(MAIN!E$42=MAIN!G$42,8,PI()^2),0)</f>
        <v>0</v>
      </c>
      <c r="Q18" s="795">
        <f>MAX(IF(MAX(P$15,AJ18)/U18&gt;=MAX(R$15,AK18)/V18,P$15,0),AJ18)</f>
        <v>124.694734508658</v>
      </c>
      <c r="R18" s="628">
        <f>MAX(IF(MAX(R$15,AK18)/U18&gt;MAX(P$15,AJ18)/V18,R$15,0),AK18)</f>
        <v>15.42623314118196</v>
      </c>
      <c r="S18" s="622">
        <f t="shared" ref="S18:S23" si="10">P$16/U18</f>
        <v>2.3681111010862132E-3</v>
      </c>
      <c r="T18" s="622">
        <f t="shared" ref="T18:T23" si="11">R$16/V18</f>
        <v>9.7561762046905025E-3</v>
      </c>
      <c r="U18" s="625">
        <f t="shared" ref="U18:U23" si="12">IF(E$16&gt;E$8,0,AA18+AC18*(E$16-AB18)/AD18)</f>
        <v>2248.0992584484438</v>
      </c>
      <c r="V18" s="625">
        <f t="shared" ref="V18:V23" si="13">IF(E$16&gt;E$8,0,AE18+AG18*(E$16-AF18)/AH18)</f>
        <v>510.10782771593409</v>
      </c>
      <c r="W18" s="400">
        <f>1000*MAIN!C$42/J8</f>
        <v>6.1552717529671459E-2</v>
      </c>
      <c r="X18" s="318">
        <f t="shared" ref="X18:X23" si="14">IF(W18&lt;0.7,MAX(1,(10*W18+11)/12),MIN(2,(5*W18+1)/3))</f>
        <v>1</v>
      </c>
      <c r="Y18" s="400">
        <f t="shared" ref="Y18:Y23" si="15">IF(OR(U18=0,V18=0),0,(Q18/U18)^X18+(R18/V18)^X18)</f>
        <v>8.5707861040545397E-2</v>
      </c>
      <c r="Z18" s="409" t="str">
        <f t="shared" ref="Z18:Z23" si="16">CI18</f>
        <v>Z</v>
      </c>
      <c r="AA18" s="319">
        <f>HLOOKUP(E16,Ycal!D$59:BO$60,2)</f>
        <v>2222.3443574100384</v>
      </c>
      <c r="AB18" s="319">
        <f>HLOOKUP(E16,Ycal!D$59:BO$60,1)</f>
        <v>663.72809197168749</v>
      </c>
      <c r="AC18" s="319">
        <f>HLOOKUP(E16,Ycal!D$59:BO$63,5)</f>
        <v>39.540518905499539</v>
      </c>
      <c r="AD18" s="411">
        <f>HLOOKUP(E16,Ycal!D$59:BO$63,4)</f>
        <v>165.16895106358129</v>
      </c>
      <c r="AE18" s="410">
        <f>HLOOKUP(E16,Zcal!D$59:BO$60,2)</f>
        <v>508.21784917368137</v>
      </c>
      <c r="AF18" s="319">
        <f>HLOOKUP(E16,Zcal!D$59:BO$60,1)</f>
        <v>749.02421691773316</v>
      </c>
      <c r="AG18" s="319">
        <f>HLOOKUP(E16,Zcal!D$59:BO$63,5)</f>
        <v>9.0435604250066604</v>
      </c>
      <c r="AH18" s="411">
        <f>HLOOKUP(E16,Zcal!D$59:BO$63,4)</f>
        <v>106.64555556112839</v>
      </c>
      <c r="AJ18" s="794">
        <f xml:space="preserve"> IF(OR(MAIN!E$29="BOTH AXES",Z18 ="Y"),         MAX(P$15,BI18),     BM18)</f>
        <v>124.694734508658</v>
      </c>
      <c r="AK18" s="677">
        <f xml:space="preserve">       IF(OR(MAIN!E$29="BOTH AXES",Z18 ="Z"),    MAX(R$15,Cases!BJ18),           Cases!BL18)</f>
        <v>15.42623314118196</v>
      </c>
      <c r="AL18" s="672" t="str">
        <f>Z18</f>
        <v>Z</v>
      </c>
      <c r="AM18" s="637">
        <f xml:space="preserve">         IF(ABS(AM$16)&gt;=ABS(AN$16),AM$16,AN$16)+IF(Z18="Y",P$16,0)*SIGN(IF(ABS(AM$16)&gt;=ABS(AN$16),AM$16,AN$16))</f>
        <v>124.694734508658</v>
      </c>
      <c r="AN18" s="638">
        <f xml:space="preserve">         IF(ABS(AM$16)&gt;=ABS(AN$16),AN$16,AM$16)+IF(Z18="Y",P$16,0)*SIGN(IF(ABS(AM$16)&gt;=ABS(AN$16),AM$16,AN$16))</f>
        <v>-61.199526109531803</v>
      </c>
      <c r="AO18" s="637">
        <f xml:space="preserve">         IF(ABS(AO$16)&gt;=ABS(AP$16),AO$16,AP$16)+IF(Z18="Z",R$16,0)    *SIGN(IF(ABS(AO$16)&gt;=ABS(AP$16),AO$16,AP$16))</f>
        <v>4.9867018505885587</v>
      </c>
      <c r="AP18" s="638">
        <f>IF(ABS(AO$16)&gt;=ABS(AP$16),AP$16,AO$16)+IF(Z18="Z",R$16,0)*SIGN(IF(ABS(AO$16)&gt;=ABS(AP$16),AO$16,AP$16))</f>
        <v>4.9767018505885616</v>
      </c>
      <c r="AQ18" s="741">
        <f>MAX(ABS(AM16),ABS(AN16))*(IF(ABS(AM16)&gt;=ABS(AN16),SIGN(AM16),SIGN(AN16)))</f>
        <v>124.694734508658</v>
      </c>
      <c r="AR18" s="742">
        <f>MIN(ABS(AM16),ABS(AN16))*(IF(ABS(AM16)&lt;ABS(AN16),SIGN(AM16),SIGN(AN16)))</f>
        <v>-61.199526109531803</v>
      </c>
      <c r="AS18" s="741">
        <f>MAX(ABS(AO16),ABS(AP16))*(IF(ABS(AO16)&gt;=ABS(AP16),SIGN(AO16),SIGN(AP16)))</f>
        <v>0.01</v>
      </c>
      <c r="AT18" s="742">
        <f>MIN(ABS(AO16),ABS(AP16))*(IF(ABS(AO16)&lt;ABS(AP16),SIGN(AO16),SIGN(AP16)))</f>
        <v>2.2957635792408801E-15</v>
      </c>
      <c r="AU18" s="758">
        <f>MAX(ABS(0.6*AQ18+0.4*AR18),ABS(0.4*AQ18))</f>
        <v>50.337030261382068</v>
      </c>
      <c r="AV18" s="759">
        <f>MAX(ABS(0.6*AS18+0.4*AT18),ABS(0.4*AS18))</f>
        <v>6.0000000000009187E-3</v>
      </c>
      <c r="AW18" s="758">
        <f>MAX(ABS(AQ18),ABS(AR18))</f>
        <v>124.694734508658</v>
      </c>
      <c r="AX18" s="759">
        <f>MAX(ABS(AS18),ABS(AT18))</f>
        <v>0.01</v>
      </c>
      <c r="AY18" s="758">
        <f>ABS(AR18)*IF(SIGN(AQ18)=SIGN(AR18),1,-1)</f>
        <v>-61.199526109531803</v>
      </c>
      <c r="AZ18" s="759">
        <f>ABS(AT18)*IF(SIGN(AS18)=SIGN(AT18),1,-1)</f>
        <v>2.2957635792408801E-15</v>
      </c>
      <c r="BA18" s="765">
        <f>MAX(ABS(0.6*AQ18+0.4*AR18)+P16,ABS(0.4*AQ18)+0.4*P16)</f>
        <v>55.660779071657515</v>
      </c>
      <c r="BB18" s="766">
        <f>MAX(ABS(0.6*AS18+0.4*AT18)+R16,ABS(0.4*AS18)+0.4*R16)</f>
        <v>4.9827018505885601</v>
      </c>
      <c r="BC18" s="765">
        <f>MAX(ABS(AQ18),ABS(AR18))+P16</f>
        <v>130.01848331893345</v>
      </c>
      <c r="BD18" s="766">
        <f>MAX(ABS(AS18),ABS(AT18))+R16</f>
        <v>4.9867018505885587</v>
      </c>
      <c r="BE18" s="765">
        <f xml:space="preserve">           AY18+     P16</f>
        <v>-55.875777299256356</v>
      </c>
      <c r="BF18" s="766">
        <f xml:space="preserve">           AZ18+        R16</f>
        <v>4.9767018505885616</v>
      </c>
      <c r="BG18" s="765">
        <f>MAX(BA18,BC18)</f>
        <v>130.01848331893345</v>
      </c>
      <c r="BH18" s="801">
        <f>MAX(BB18,BD18)</f>
        <v>4.9867018505885587</v>
      </c>
      <c r="BI18" s="765">
        <f>IF(MAIN!D$21="N",CC18+ABS(BO18),MAX(BA18+CC18,BC18,  ABS(BE18-   IF(DB$18="Top",Slen!N$28,Slen!N$27)   *CC18/2-2*P$16)             ))</f>
        <v>130.01848331893345</v>
      </c>
      <c r="BJ18" s="766">
        <f>IF(MAIN!D$22="N",CD18+ABS(BQ18),MAX(BB18+CD18,BD18,     ABS(BF18-     IF(DC$18="Top",Slen!N$11,Slen!N$10)   *CD18/2-2*R$16)              ))</f>
        <v>4.9867018505885587</v>
      </c>
      <c r="BK18" s="765">
        <f>IF(MAIN!D$21="N",CC18+ABS(BO18),MAX(BA18+CC18,BC18,  ABS(BE18-    IF(DB$18="Top",Slen!N$28,Slen!N$27)   *CC18/2+P$16)             ))</f>
        <v>130.01848331893345</v>
      </c>
      <c r="BL18" s="766">
        <f>IF(MAIN!D$22="N",CD18+ABS(AS18),MAX(AV18+CF18,AX18,   ABS(AZ18-   IF(DC$18="Top",Slen!N$11,Slen!N$10)    *CF18/2)                    ))</f>
        <v>0.01</v>
      </c>
      <c r="BM18" s="765">
        <f>IF(MAIN!D$21="N",CC18+ABS(AQ18),MAX(AU18+CE18,AW18,   ABS(AY18-     IF(DB$18="Top",Slen!N$28,Slen!N$27)    *CE18/2)             ))</f>
        <v>124.694734508658</v>
      </c>
      <c r="BN18" s="766">
        <f>IF(MAIN!D$22="N",CD18+ABS(BQ18),MAX(BB18+CD18,BD18,   ABS(BF18-   IF(DC$18="Top",Slen!N$11,Slen!N$10)   *CD18/2-2*R$16)                ))</f>
        <v>4.9867018505885587</v>
      </c>
      <c r="BO18" s="812">
        <f xml:space="preserve">         IF(ABS(AM16)&gt;=ABS(AN16),AM16,AN16)+P16*SIGN(IF(ABS(AM16)&gt;=ABS(AN16),AM16,AN16))</f>
        <v>130.01848331893345</v>
      </c>
      <c r="BP18" s="806">
        <f xml:space="preserve">        IF(ABS(AM16)&gt;=ABS(AN16),AN16,AM16)+P16*SIGN(IF(ABS(AM16)&gt;=ABS(AN16),AM16,AN16))</f>
        <v>-55.875777299256356</v>
      </c>
      <c r="BQ18" s="805">
        <f xml:space="preserve">        IF(ABS(AO16)&gt;=ABS(AP16),AO16,AP16)+R16   *SIGN(IF(ABS(AO16)&gt;=ABS(AP16),AO16,AP16))</f>
        <v>4.9867018505885587</v>
      </c>
      <c r="BR18" s="812">
        <f xml:space="preserve"> IF(ABS(AO16)&gt;=ABS(AP16),AP16,AO16)+R16*SIGN(IF(ABS(AO16)&gt;=ABS(AP16),AO16,AP16))</f>
        <v>4.9767018505885616</v>
      </c>
      <c r="BS18" s="324">
        <f>MIN(1,(Slen!I34-H$16)/(Slen!I34-Slen!J34))</f>
        <v>1</v>
      </c>
      <c r="BT18" s="324">
        <f>MIN(1,(Slen!I17-H$16)/(Slen!I17-Slen!J17))</f>
        <v>1</v>
      </c>
      <c r="BU18" s="748">
        <f>MIN(50,Slen!K34*(1.7-IF(LEFT(MAIN!D$21)="N",1,BP18/BO18))/SQRT(H$16))</f>
        <v>50</v>
      </c>
      <c r="BV18" s="748">
        <f>MIN(50,Slen!K17*(1.7-IF(LEFT(MAIN!D$22)="N",1,BR18/BQ18))/SQRT(H$16))</f>
        <v>50</v>
      </c>
      <c r="BW18" s="748">
        <f>MIN(50,Slen!K34*(1.7-IF(LEFT(MAIN!D$21)="N",1,AR18/AQ18))/SQRT(H$16))</f>
        <v>50</v>
      </c>
      <c r="BX18" s="748">
        <f>MIN(50,Slen!K17*(1.7-IF(LEFT(MAIN!D$22)="N",1,AT18/AS18))/SQRT(H$16))</f>
        <v>50</v>
      </c>
      <c r="BY18" s="324">
        <f>IF(AND(MAIN!C$11&lt;=2,Slen!G34&lt;=75,1000*ABS(BO18)/MAIN!C$42&gt;=MAIN!C$13),1,MAX(1,1+F8*T$16))</f>
        <v>1.6012088579434463</v>
      </c>
      <c r="BZ18" s="324">
        <f>IF(AND(MAIN!C$11&lt;=2,Slen!G17&lt;=75,1000*ABS(BQ18)/MAIN!C$42&gt;=MAIN!C$14),1,MAX(1,1+G8*T$16))</f>
        <v>1.4250995926541479</v>
      </c>
      <c r="CA18" s="403">
        <f>BS18*BY18*H$8</f>
        <v>6.7853583267372068E-6</v>
      </c>
      <c r="CB18" s="403">
        <f>BT18*BZ18*I$8</f>
        <v>2.8685579562281559E-5</v>
      </c>
      <c r="CC18" s="403">
        <f>1000*IF(Slen!G34&gt;BU18,E$16*CA18*(Slen!G$29/1000)^2/IF(MAIN!D$42=MAIN!F$42,8,PI()^2),0)</f>
        <v>0</v>
      </c>
      <c r="CD18" s="403">
        <f>1000*IF(Slen!G17&gt;BV18,E$16*CB18*(Slen!G$12/1000)^2/IF(MAIN!E$42=MAIN!G$42,8,PI()^2),0)</f>
        <v>0</v>
      </c>
      <c r="CE18" s="403">
        <f>1000*IF(Slen!G34&gt;BW18,E$16*CA18*(Slen!G$29/1000)^2/IF(MAIN!D$42=MAIN!F$42,8,PI()^2),0)</f>
        <v>0</v>
      </c>
      <c r="CF18" s="403">
        <f>1000*IF(Slen!G17&gt;BX18,E$16*CB18*(Slen!G$12/1000)^2/IF(MAIN!E$42=MAIN!G$42,8,PI()^2),0)</f>
        <v>0</v>
      </c>
      <c r="CG18" s="261">
        <f>(BK18/U18)^X18+(BL18/V18)^X18</f>
        <v>5.7854453663450441E-2</v>
      </c>
      <c r="CH18" s="261">
        <f t="shared" ref="CH18:CH23" si="17">(BM18/U18)^X18+(BN18/V18)^X18</f>
        <v>6.5242518767054725E-2</v>
      </c>
      <c r="CI18" s="304" t="str">
        <f>IF(ISERROR(E8),0,    IF(AND(CK18&gt;CG18,CK18&gt;CH18),"NO",      IF(CG18&gt;      CH18,"Y","Z")))</f>
        <v>Z</v>
      </c>
      <c r="CJ18" s="261">
        <f>(BI18/U18)^X18+(BJ18/V18)^X18</f>
        <v>6.761062986814094E-2</v>
      </c>
      <c r="CK18" s="261">
        <f>(BM18/U18)^X18+(BL18/V18)^X18</f>
        <v>5.5486342562364226E-2</v>
      </c>
      <c r="CL18" s="724" t="str">
        <f>IF(MAIN!E29="BOTH AXES","BOTH",Z18)</f>
        <v>Z</v>
      </c>
      <c r="CN18" s="724">
        <f>MAIN!B42</f>
        <v>1</v>
      </c>
      <c r="CO18" s="725" t="str">
        <f>IF(Calc!V$58="Y","Y",IF(Calc!V$58="Z","Z",IF(Calc!V$58="NO","-",Z24)))</f>
        <v>Z</v>
      </c>
      <c r="CP18" s="725" t="str">
        <f>CO18</f>
        <v>Z</v>
      </c>
      <c r="CQ18" s="726">
        <f>AN18</f>
        <v>-61.199526109531803</v>
      </c>
      <c r="CR18" s="726">
        <f>AM18</f>
        <v>124.694734508658</v>
      </c>
      <c r="CS18" s="724">
        <f>IF(F24=0,MAIN!C$33,F24)</f>
        <v>16</v>
      </c>
      <c r="CT18" s="725">
        <f>H16</f>
        <v>9.4523487384693378E-2</v>
      </c>
      <c r="CU18" s="724">
        <f>IF(OR(CO18="Y",Calc!V58="BOTH"),BU24,BW24)</f>
        <v>50</v>
      </c>
      <c r="CV18" s="724">
        <f>G24</f>
        <v>1</v>
      </c>
      <c r="CW18" s="727">
        <f>U24</f>
        <v>772.68660764665708</v>
      </c>
      <c r="CX18" s="727">
        <f>V16</f>
        <v>1608.4954386379745</v>
      </c>
      <c r="CY18" s="727">
        <f>X24</f>
        <v>1</v>
      </c>
      <c r="CZ18" s="726">
        <f>AQ18</f>
        <v>124.694734508658</v>
      </c>
      <c r="DA18" s="726">
        <f>AR18</f>
        <v>-61.199526109531803</v>
      </c>
      <c r="DB18" s="726" t="str">
        <f>IF(ABS(MAIN!D42)&gt;=ABS(MAIN!F42),"TOP","BOT")</f>
        <v>TOP</v>
      </c>
      <c r="DC18" s="726" t="str">
        <f>IF(ABS(MAIN!E42)&gt;=ABS(MAIN!G42),"TOP","BOT")</f>
        <v>TOP</v>
      </c>
      <c r="DD18" s="726">
        <f>I16</f>
        <v>2.190794790579409</v>
      </c>
      <c r="DE18" s="726">
        <f>J16</f>
        <v>0.70200533344475302</v>
      </c>
      <c r="DF18" s="726">
        <f>DD18/(CT18^0.5)</f>
        <v>7.1257705086150231</v>
      </c>
      <c r="DG18" s="726">
        <f t="shared" ref="DG18:DG23" si="18">DE18/(CT18^0.5)</f>
        <v>2.2833397831058786</v>
      </c>
      <c r="DH18" s="653" t="str">
        <f t="shared" ref="DH18:DH23" si="19">FIXED(1/(1+0.2*T$16),5)</f>
        <v>0.80515</v>
      </c>
      <c r="DI18" s="724">
        <f>VLOOKUP(CS18,AJ4:AL9,3)</f>
        <v>1.0823161713773932</v>
      </c>
      <c r="DJ18" s="725">
        <f>MIN(50,20*DH18*DI18*DF18)</f>
        <v>50</v>
      </c>
      <c r="DK18" s="725">
        <f>MIN(50,20*DH18*DI18*DG18)</f>
        <v>39.795272595993971</v>
      </c>
      <c r="DL18" s="1203"/>
      <c r="DM18" s="725"/>
    </row>
    <row r="19" spans="2:117" ht="18">
      <c r="B19" s="367">
        <f>IF(MAIN!I34="ok",MAIN!C34,0)</f>
        <v>32</v>
      </c>
      <c r="C19" s="412">
        <f t="shared" si="8"/>
        <v>10266.056694323323</v>
      </c>
      <c r="D19" s="304">
        <f t="shared" si="9"/>
        <v>0.11553110163798462</v>
      </c>
      <c r="E19" s="304" t="str">
        <f>IF(AND(D19&lt;=1,E16&lt;=C19,D$9&gt;=F16),"ok","Fails")</f>
        <v>ok</v>
      </c>
      <c r="F19" s="304">
        <f>IF(AND(E19="ok",SUM(F20:F23)=0),B19,0)</f>
        <v>0</v>
      </c>
      <c r="G19" s="324">
        <f>MIN(1,(Slen!I35-H$16)/(Slen!I35-Slen!J35))</f>
        <v>1</v>
      </c>
      <c r="H19" s="324">
        <f>MIN(1,(Slen!I18-H$16)/(Slen!I18-Slen!J18))</f>
        <v>1</v>
      </c>
      <c r="I19" s="825">
        <f>MIN(50,Slen!K35*(1.7-IF(LEFT(MAIN!D$21)="N",1,AN19/AM19))/SQRT(H$16))</f>
        <v>50</v>
      </c>
      <c r="J19" s="826">
        <f>MIN(50,Slen!K18*(1.7-IF(LEFT(MAIN!D$22)="N",1,AP19/AO19))/SQRT(H$16))</f>
        <v>47.737588765726642</v>
      </c>
      <c r="K19" s="324">
        <f>IF(AND(MAIN!C$11&lt;=2,Slen!G35&lt;=75,1000*ABS(Cases!AM$18)/MAIN!C$42&gt;=MAIN!C$13),1,MAX(1,1+F9*T$16))</f>
        <v>1.6012088579434463</v>
      </c>
      <c r="L19" s="324">
        <f>IF(AND(MAIN!C$11&lt;=2,Slen!G18&lt;=75,1000*ABS(Cases!AO$18)/MAIN!C$42&gt;=MAIN!C$14),1,MAX(1,1+G9*T$16))</f>
        <v>1.4250995926541479</v>
      </c>
      <c r="M19" s="403">
        <f>G19*K19*H$9</f>
        <v>6.7498328904715668E-6</v>
      </c>
      <c r="N19" s="403">
        <f>H19*L19*I$9</f>
        <v>2.7985931280274692E-5</v>
      </c>
      <c r="O19" s="403">
        <f>1000*IF(Slen!G35&gt;I19,E$16*M19*(Slen!G$29/1000)^2/IF(MAIN!D$42=MAIN!F$42,8,PI()^2),0)</f>
        <v>0</v>
      </c>
      <c r="P19" s="403">
        <f>1000*IF(Slen!G18&gt;J19,E$16*N19*(Slen!G$12/1000)^2/IF(MAIN!E$42=MAIN!G$42,8,PI()^2),0)</f>
        <v>0</v>
      </c>
      <c r="Q19" s="796">
        <f t="shared" ref="Q19:Q23" si="20">MAX(IF(MAX(P$15,AJ19)/U19&gt;=MAX(R$15,AK19)/V19,P$15,0),AJ19)</f>
        <v>124.694734508658</v>
      </c>
      <c r="R19" s="629">
        <f t="shared" ref="R19:R23" si="21">MAX(IF(MAX(R$15,AK19)/U19&gt;MAX(P$15,AJ19)/V19,R$15,0),AK19)</f>
        <v>15.42623314118196</v>
      </c>
      <c r="S19" s="623">
        <f t="shared" si="10"/>
        <v>3.2075131794022582E-3</v>
      </c>
      <c r="T19" s="623">
        <f t="shared" si="11"/>
        <v>1.3034719226873326E-2</v>
      </c>
      <c r="U19" s="626">
        <f t="shared" si="12"/>
        <v>1659.7745706745809</v>
      </c>
      <c r="V19" s="626">
        <f t="shared" si="13"/>
        <v>381.80353285464162</v>
      </c>
      <c r="W19" s="403">
        <f>1000*MAIN!C$42/J9</f>
        <v>7.0391956811710191E-2</v>
      </c>
      <c r="X19" s="261">
        <f t="shared" si="14"/>
        <v>1</v>
      </c>
      <c r="Y19" s="403">
        <f t="shared" si="15"/>
        <v>0.11553110163798462</v>
      </c>
      <c r="Z19" s="409" t="str">
        <f t="shared" si="16"/>
        <v>Z</v>
      </c>
      <c r="AA19" s="322">
        <f>HLOOKUP(E16,Ycal!D$111:BO$112,2)</f>
        <v>1627.6298492562269</v>
      </c>
      <c r="AB19" s="322">
        <f>HLOOKUP(E16,Ycal!D$111:BO$112,1)</f>
        <v>651.53994862560228</v>
      </c>
      <c r="AC19" s="322">
        <f>HLOOKUP(E16,Ycal!D$111:BO$115,5)</f>
        <v>42.662502773886899</v>
      </c>
      <c r="AD19" s="414">
        <f>HLOOKUP(E16,Ycal!D$111:BO$115,4)</f>
        <v>158.96111765210674</v>
      </c>
      <c r="AE19" s="413">
        <f>HLOOKUP(E16,Zcal!D$111:BO$112,2)</f>
        <v>376.69878795883562</v>
      </c>
      <c r="AF19" s="322">
        <f>HLOOKUP(E16,Zcal!D$111:BO$112,1)</f>
        <v>716.51691587665766</v>
      </c>
      <c r="AG19" s="322">
        <f>HLOOKUP(E16,Zcal!D$111:BO$115,5)</f>
        <v>10.623261857235889</v>
      </c>
      <c r="AH19" s="414">
        <f>HLOOKUP(E16,Zcal!D$111:BO$115,4)</f>
        <v>114.03094490750743</v>
      </c>
      <c r="AJ19" s="794">
        <f xml:space="preserve"> IF(OR(MAIN!E$29="BOTH AXES",Z19 ="Y"),         MAX(P$15,BI19),     BM19)</f>
        <v>124.694734508658</v>
      </c>
      <c r="AK19" s="677">
        <f xml:space="preserve">       IF(OR(MAIN!E$29="BOTH AXES",Z19 ="Z"),    MAX(R$15,Cases!BJ19),           Cases!BL19)</f>
        <v>15.42623314118196</v>
      </c>
      <c r="AL19" s="672" t="str">
        <f t="shared" ref="AL19:AL23" si="22">Z19</f>
        <v>Z</v>
      </c>
      <c r="AM19" s="639">
        <f>AM18</f>
        <v>124.694734508658</v>
      </c>
      <c r="AN19" s="640">
        <f>AN18</f>
        <v>-61.199526109531803</v>
      </c>
      <c r="AO19" s="639">
        <f>AO18</f>
        <v>4.9867018505885587</v>
      </c>
      <c r="AP19" s="640">
        <f>AP18</f>
        <v>4.9767018505885616</v>
      </c>
      <c r="AQ19" s="743">
        <f t="shared" ref="AQ19:AT19" si="23">AQ18</f>
        <v>124.694734508658</v>
      </c>
      <c r="AR19" s="744">
        <f t="shared" si="23"/>
        <v>-61.199526109531803</v>
      </c>
      <c r="AS19" s="743">
        <f t="shared" si="23"/>
        <v>0.01</v>
      </c>
      <c r="AT19" s="744">
        <f t="shared" si="23"/>
        <v>2.2957635792408801E-15</v>
      </c>
      <c r="AU19" s="760">
        <f t="shared" ref="AU19:AZ19" si="24">AU18</f>
        <v>50.337030261382068</v>
      </c>
      <c r="AV19" s="761">
        <f t="shared" si="24"/>
        <v>6.0000000000009187E-3</v>
      </c>
      <c r="AW19" s="760">
        <f t="shared" si="24"/>
        <v>124.694734508658</v>
      </c>
      <c r="AX19" s="761">
        <f t="shared" si="24"/>
        <v>0.01</v>
      </c>
      <c r="AY19" s="760">
        <f t="shared" si="24"/>
        <v>-61.199526109531803</v>
      </c>
      <c r="AZ19" s="761">
        <f t="shared" si="24"/>
        <v>2.2957635792408801E-15</v>
      </c>
      <c r="BA19" s="767">
        <f t="shared" ref="BA19:BD19" si="25">BA18</f>
        <v>55.660779071657515</v>
      </c>
      <c r="BB19" s="768">
        <f t="shared" si="25"/>
        <v>4.9827018505885601</v>
      </c>
      <c r="BC19" s="767">
        <f t="shared" si="25"/>
        <v>130.01848331893345</v>
      </c>
      <c r="BD19" s="768">
        <f t="shared" si="25"/>
        <v>4.9867018505885587</v>
      </c>
      <c r="BE19" s="767">
        <f>BE18</f>
        <v>-55.875777299256356</v>
      </c>
      <c r="BF19" s="768">
        <f>BF18</f>
        <v>4.9767018505885616</v>
      </c>
      <c r="BG19" s="767">
        <f t="shared" ref="BG19:BH23" si="26">BG18</f>
        <v>130.01848331893345</v>
      </c>
      <c r="BH19" s="799">
        <f t="shared" si="26"/>
        <v>4.9867018505885587</v>
      </c>
      <c r="BI19" s="767">
        <f>IF(MAIN!D$21="N",CC19+ABS(BO19),MAX(BA19+CC19,BC19,  ABS(BE19-   IF(DB$18="Top",Slen!N$28,Slen!N$27)   *CC19/2-2*P$16)             ))</f>
        <v>130.01848331893345</v>
      </c>
      <c r="BJ19" s="768">
        <f>IF(MAIN!D$22="N",CD19+ABS(BQ19),MAX(BB19+CD19,BD19,     ABS(BF19-     IF(DC$18="Top",Slen!N$11,Slen!N$10)   *CD19/2-2*R$16)              ))</f>
        <v>4.9867018505885587</v>
      </c>
      <c r="BK19" s="767">
        <f>IF(MAIN!D$21="N",CC19+ABS(BO19),MAX(BA19+CC19,BC19,  ABS(BE19-    IF(DB$18="Top",Slen!N$28,Slen!N$27)   *CC19/2+P$16)             ))</f>
        <v>130.01848331893345</v>
      </c>
      <c r="BL19" s="768">
        <f>IF(MAIN!D$22="N",CD19+ABS(AS19),MAX(AV19+CF19,AX19,   ABS(AZ19-   IF(DC$18="Top",Slen!N$11,Slen!N$10)    *CF19/2)                    ))</f>
        <v>0.01</v>
      </c>
      <c r="BM19" s="767">
        <f>IF(MAIN!D$21="N",CC19+ABS(AQ19),MAX(AU19+CE19,AW19,   ABS(AY19-     IF(DB$18="Top",Slen!N$28,Slen!N$27)    *CE19/2)             ))</f>
        <v>124.694734508658</v>
      </c>
      <c r="BN19" s="768">
        <f>IF(MAIN!D$22="N",CD19+ABS(BQ19),MAX(BB19+CD19,BD19,   ABS(BF19-   IF(DC$18="Top",Slen!N$11,Slen!N$10)   *CD19/2-2*R$16)                ))</f>
        <v>4.9867018505885587</v>
      </c>
      <c r="BO19" s="811">
        <f>BO18</f>
        <v>130.01848331893345</v>
      </c>
      <c r="BP19" s="808">
        <f>BP18</f>
        <v>-55.875777299256356</v>
      </c>
      <c r="BQ19" s="807">
        <f>BQ18</f>
        <v>4.9867018505885587</v>
      </c>
      <c r="BR19" s="811">
        <f>BR18</f>
        <v>4.9767018505885616</v>
      </c>
      <c r="BS19" s="324">
        <f>MIN(1,(Slen!I35-H$16)/(Slen!I35-Slen!J35))</f>
        <v>1</v>
      </c>
      <c r="BT19" s="324">
        <f>MIN(1,(Slen!I18-H$16)/(Slen!I18-Slen!J18))</f>
        <v>1</v>
      </c>
      <c r="BU19" s="748">
        <f>MIN(50,Slen!K35*(1.7-IF(LEFT(MAIN!D$21)="N",1,BP19/BO19))/SQRT(H$16))</f>
        <v>50</v>
      </c>
      <c r="BV19" s="748">
        <f>MIN(50,Slen!K18*(1.7-IF(LEFT(MAIN!D$22)="N",1,BR19/BQ19))/SQRT(H$16))</f>
        <v>47.737588765726642</v>
      </c>
      <c r="BW19" s="748">
        <f>MIN(50,Slen!K35*(1.7-IF(LEFT(MAIN!D$21)="N",1,AR19/AQ19))/SQRT(H$16))</f>
        <v>50</v>
      </c>
      <c r="BX19" s="748">
        <f>MIN(50,Slen!K18*(1.7-IF(LEFT(MAIN!D$22)="N",1,AT19/AS19))/SQRT(H$16))</f>
        <v>50</v>
      </c>
      <c r="BY19" s="324">
        <f>IF(AND(MAIN!C$11&lt;=2,Slen!G35&lt;=75,1000*ABS(BO19)/MAIN!C$42&gt;=MAIN!C$13),1,MAX(1,1+F9*T$16))</f>
        <v>1.6012088579434463</v>
      </c>
      <c r="BZ19" s="324">
        <f>IF(AND(MAIN!C$11&lt;=2,Slen!G18&lt;=75,1000*ABS(BQ19)/MAIN!C$42&gt;=MAIN!C$14),1,MAX(1,1+G9*T$16))</f>
        <v>1.4250995926541479</v>
      </c>
      <c r="CA19" s="403">
        <f>BS19*BY19*H$9</f>
        <v>6.7498328904715668E-6</v>
      </c>
      <c r="CB19" s="403">
        <f>BT19*BZ19*I$9</f>
        <v>2.7985931280274692E-5</v>
      </c>
      <c r="CC19" s="403">
        <f>1000*IF(Slen!G35&gt;BU19,E$16*CA19*(Slen!G$29/1000)^2/IF(MAIN!D$42=MAIN!F$42,8,PI()^2),0)</f>
        <v>0</v>
      </c>
      <c r="CD19" s="403">
        <f>1000*IF(Slen!G18&gt;BV19,E$16*CB19*(Slen!G$12/1000)^2/IF(MAIN!E$42=MAIN!G$42,8,PI()^2),0)</f>
        <v>0</v>
      </c>
      <c r="CE19" s="403">
        <f>1000*IF(Slen!G35&gt;BW19,E$16*CA19*(Slen!G$29/1000)^2/IF(MAIN!D$42=MAIN!F$42,8,PI()^2),0)</f>
        <v>0</v>
      </c>
      <c r="CF19" s="403">
        <f>1000*IF(Slen!G18&gt;BX19,E$16*CB19*(Slen!G$12/1000)^2/IF(MAIN!E$42=MAIN!G$42,8,PI()^2),0)</f>
        <v>0</v>
      </c>
      <c r="CG19" s="261">
        <f t="shared" ref="CG19:CG23" si="27">(BK19/U19)^X19+(BL19/V19)^X19</f>
        <v>7.836121698159694E-2</v>
      </c>
      <c r="CH19" s="261">
        <f t="shared" si="17"/>
        <v>8.8188423029068E-2</v>
      </c>
      <c r="CI19" s="304" t="str">
        <f t="shared" ref="CI19:CI23" si="28">IF(ISERROR(E9),0,    IF(AND(CK19&gt;CG19,CK19&gt;CH19),"NO",                                IF(CG19&gt;      CH19,"Y","Z")))</f>
        <v>Z</v>
      </c>
      <c r="CJ19" s="261">
        <f t="shared" ref="CJ19:CJ23" si="29">(BI19/U19)^X19+(BJ19/V19)^X19</f>
        <v>9.1395936208470266E-2</v>
      </c>
      <c r="CK19" s="261">
        <f t="shared" ref="CK19:CK23" si="30">(BM19/U19)^X19+(BL19/V19)^X19</f>
        <v>7.5153703802194674E-2</v>
      </c>
      <c r="CN19" s="724">
        <f>MAIN!B43</f>
        <v>2</v>
      </c>
      <c r="CO19" s="725" t="str">
        <f>IF(Calc!V$58="Y","Y",IF(Calc!V$58="Z","Z",IF(Calc!V$58="NO","-",Z34)))</f>
        <v>Z</v>
      </c>
      <c r="CP19" s="725" t="str">
        <f t="shared" ref="CP19:CP23" si="31">CO19</f>
        <v>Z</v>
      </c>
      <c r="CQ19" s="726">
        <f>AN28</f>
        <v>-61.199526109531803</v>
      </c>
      <c r="CR19" s="726">
        <f>AM28</f>
        <v>124.694734508658</v>
      </c>
      <c r="CS19" s="724">
        <f>IF(F34=0,MAIN!C$33,F34)</f>
        <v>16</v>
      </c>
      <c r="CT19" s="725">
        <f>H26</f>
        <v>9.0140553561164086E-2</v>
      </c>
      <c r="CU19" s="724">
        <f>IF(OR(CO19="Y",Calc!V58="BOTH"),BU34,BW34)</f>
        <v>50</v>
      </c>
      <c r="CV19" s="724">
        <f>G34</f>
        <v>1</v>
      </c>
      <c r="CW19" s="727">
        <f>U34</f>
        <v>757.17281760589526</v>
      </c>
      <c r="CX19" s="727">
        <f>V26</f>
        <v>1608.4954386379745</v>
      </c>
      <c r="CY19" s="727">
        <f>X34</f>
        <v>1</v>
      </c>
      <c r="CZ19" s="726">
        <f>AQ28</f>
        <v>124.694734508658</v>
      </c>
      <c r="DA19" s="726">
        <f>AR28</f>
        <v>-61.199526109531803</v>
      </c>
      <c r="DB19" s="726" t="str">
        <f>IF(ABS(MAIN!D43)&gt;=ABS(MAIN!F43),"TOP","BOT")</f>
        <v>TOP</v>
      </c>
      <c r="DC19" s="726" t="str">
        <f>IF(ABS(MAIN!E43)&gt;=ABS(MAIN!G43),"TOP","BOT")</f>
        <v>TOP</v>
      </c>
      <c r="DD19" s="726">
        <f>I26</f>
        <v>2.190794790579409</v>
      </c>
      <c r="DE19" s="726">
        <f>J26</f>
        <v>0.70210263441384524</v>
      </c>
      <c r="DF19" s="726">
        <f t="shared" ref="DF19:DF23" si="32">DD19/(CT19^0.5)</f>
        <v>7.2969536757610234</v>
      </c>
      <c r="DG19" s="726">
        <f t="shared" si="18"/>
        <v>2.3385167889652725</v>
      </c>
      <c r="DH19" s="653" t="str">
        <f t="shared" si="19"/>
        <v>0.80515</v>
      </c>
      <c r="DI19" s="724">
        <f>VLOOKUP(CS19,AJ4:AL9,3)</f>
        <v>1.0823161713773932</v>
      </c>
      <c r="DJ19" s="725">
        <f t="shared" ref="DJ19:DJ23" si="33">MIN(50,20*DH19*DI19*DF19)</f>
        <v>50</v>
      </c>
      <c r="DK19" s="725">
        <f t="shared" ref="DK19:DK22" si="34">MIN(50,20*DH19*DI19*DG19)</f>
        <v>40.756927101141059</v>
      </c>
      <c r="DL19" s="1203"/>
      <c r="DM19" s="725"/>
    </row>
    <row r="20" spans="2:117" ht="18">
      <c r="B20" s="367">
        <f>IF(MAIN!I35="ok",MAIN!C35,0)</f>
        <v>25</v>
      </c>
      <c r="C20" s="412">
        <f t="shared" si="8"/>
        <v>9445.4349940938246</v>
      </c>
      <c r="D20" s="304">
        <f t="shared" si="9"/>
        <v>0.15648921602476454</v>
      </c>
      <c r="E20" s="304" t="str">
        <f>IF(AND(D20&lt;=1,E16&lt;=C20,D$10&gt;=F16),"ok","Fails")</f>
        <v>ok</v>
      </c>
      <c r="F20" s="304">
        <f>IF(AND(E20="ok",SUM(F21:F23)=0),B20,0)</f>
        <v>0</v>
      </c>
      <c r="G20" s="324">
        <f>MIN(1,(Slen!I36-H$16)/(Slen!I36-Slen!J36))</f>
        <v>1</v>
      </c>
      <c r="H20" s="324">
        <f>MIN(1,(Slen!I19-H$16)/(Slen!I19-Slen!J19))</f>
        <v>1</v>
      </c>
      <c r="I20" s="825">
        <f>MIN(50,Slen!K36*(1.7-IF(LEFT(MAIN!D$21)="N",1,AN20/AM20))/SQRT(H$16))</f>
        <v>50</v>
      </c>
      <c r="J20" s="826">
        <f>MIN(50,Slen!K19*(1.7-IF(LEFT(MAIN!D$22)="N",1,AP20/AO20))/SQRT(H$16))</f>
        <v>43.791531689993327</v>
      </c>
      <c r="K20" s="324">
        <f>IF(AND(MAIN!C$11&lt;=2,Slen!G36&lt;=75,1000*ABS(Cases!AM$18)/MAIN!C$42&gt;=MAIN!C$13),1,MAX(1,1+F10*T$16))</f>
        <v>1.6012088579434463</v>
      </c>
      <c r="L20" s="324">
        <f>IF(AND(MAIN!C$11&lt;=2,Slen!G19&lt;=75,1000*ABS(Cases!AO$18)/MAIN!C$42&gt;=MAIN!C$14),1,MAX(1,1+G10*T$16))</f>
        <v>1.4250995926541479</v>
      </c>
      <c r="M20" s="403">
        <f>G20*K20*H$10</f>
        <v>6.729280985193924E-6</v>
      </c>
      <c r="N20" s="403">
        <f>H20*L20*I$10</f>
        <v>2.7593343065922141E-5</v>
      </c>
      <c r="O20" s="403">
        <f>1000*IF(Slen!G36&gt;I20,E$16*M20*(Slen!G$29/1000)^2/IF(MAIN!D$42=MAIN!F$42,8,PI()^2),0)</f>
        <v>0</v>
      </c>
      <c r="P20" s="403">
        <f>1000*IF(Slen!G19&gt;J20,E$16*N20*(Slen!G$12/1000)^2/IF(MAIN!E$42=MAIN!G$42,8,PI()^2),0)</f>
        <v>0</v>
      </c>
      <c r="Q20" s="796">
        <f t="shared" si="20"/>
        <v>124.694734508658</v>
      </c>
      <c r="R20" s="629">
        <f t="shared" si="21"/>
        <v>15.42623314118196</v>
      </c>
      <c r="S20" s="623">
        <f t="shared" si="10"/>
        <v>4.3399407670875901E-3</v>
      </c>
      <c r="T20" s="623">
        <f t="shared" si="11"/>
        <v>1.7691311743543429E-2</v>
      </c>
      <c r="U20" s="626">
        <f t="shared" si="12"/>
        <v>1226.6869747736346</v>
      </c>
      <c r="V20" s="626">
        <f t="shared" si="13"/>
        <v>281.30767931353887</v>
      </c>
      <c r="W20" s="403">
        <f>1000*MAIN!C$42/J10</f>
        <v>7.8167769510973789E-2</v>
      </c>
      <c r="X20" s="261">
        <f t="shared" si="14"/>
        <v>1</v>
      </c>
      <c r="Y20" s="403">
        <f t="shared" si="15"/>
        <v>0.15648921602476454</v>
      </c>
      <c r="Z20" s="409" t="str">
        <f t="shared" si="16"/>
        <v>Z</v>
      </c>
      <c r="AA20" s="322">
        <f>HLOOKUP(E16,Ycal!D$163:BO$164,2)</f>
        <v>1216.4907450461551</v>
      </c>
      <c r="AB20" s="322">
        <f>HLOOKUP(E16,Ycal!D$163:BO$164,1)</f>
        <v>736.99775623009623</v>
      </c>
      <c r="AC20" s="322">
        <f>HLOOKUP(E16,Ycal!D$163:BO$168,5)</f>
        <v>43.627047238778232</v>
      </c>
      <c r="AD20" s="414">
        <f>HLOOKUP(E16,Ycal!D$163:BO$168,4)</f>
        <v>146.820365215886</v>
      </c>
      <c r="AE20" s="413">
        <f>HLOOKUP(E16,Zcal!D$163:BO$164,2)</f>
        <v>280.72470987172022</v>
      </c>
      <c r="AF20" s="322">
        <f>HLOOKUP(E16,Zcal!D$163:BO$164,1)</f>
        <v>765.40275916294092</v>
      </c>
      <c r="AG20" s="322">
        <f>HLOOKUP(E16,Zcal!D$163:BO$168,5)</f>
        <v>10.993025372929594</v>
      </c>
      <c r="AH20" s="414">
        <f>HLOOKUP(E16,Zcal!D$163:BO$168,4)</f>
        <v>111.42378972020151</v>
      </c>
      <c r="AJ20" s="794">
        <f xml:space="preserve"> IF(OR(MAIN!E$29="BOTH AXES",Z20 ="Y"),         MAX(P$15,BI20),     BM20)</f>
        <v>124.694734508658</v>
      </c>
      <c r="AK20" s="677">
        <f xml:space="preserve">       IF(OR(MAIN!E$29="BOTH AXES",Z20 ="Z"),    MAX(R$15,Cases!BJ20),           Cases!BL20)</f>
        <v>15.42623314118196</v>
      </c>
      <c r="AL20" s="672" t="str">
        <f t="shared" si="22"/>
        <v>Z</v>
      </c>
      <c r="AM20" s="639">
        <f t="shared" ref="AM20:AM23" si="35">AM19</f>
        <v>124.694734508658</v>
      </c>
      <c r="AN20" s="640">
        <f t="shared" ref="AN20:AN23" si="36">AN19</f>
        <v>-61.199526109531803</v>
      </c>
      <c r="AO20" s="639">
        <f t="shared" ref="AO20:AO23" si="37">AO19</f>
        <v>4.9867018505885587</v>
      </c>
      <c r="AP20" s="640">
        <f t="shared" ref="AP20:AP23" si="38">AP19</f>
        <v>4.9767018505885616</v>
      </c>
      <c r="AQ20" s="743">
        <f t="shared" ref="AQ20:AQ23" si="39">AQ19</f>
        <v>124.694734508658</v>
      </c>
      <c r="AR20" s="744">
        <f t="shared" ref="AR20:AR23" si="40">AR19</f>
        <v>-61.199526109531803</v>
      </c>
      <c r="AS20" s="743">
        <f t="shared" ref="AS20:AS23" si="41">AS19</f>
        <v>0.01</v>
      </c>
      <c r="AT20" s="744">
        <f t="shared" ref="AT20:BB23" si="42">AT19</f>
        <v>2.2957635792408801E-15</v>
      </c>
      <c r="AU20" s="760">
        <f t="shared" si="42"/>
        <v>50.337030261382068</v>
      </c>
      <c r="AV20" s="761">
        <f t="shared" si="42"/>
        <v>6.0000000000009187E-3</v>
      </c>
      <c r="AW20" s="760">
        <f t="shared" ref="AW20:AZ20" si="43">AW19</f>
        <v>124.694734508658</v>
      </c>
      <c r="AX20" s="761">
        <f t="shared" si="43"/>
        <v>0.01</v>
      </c>
      <c r="AY20" s="760">
        <f t="shared" si="43"/>
        <v>-61.199526109531803</v>
      </c>
      <c r="AZ20" s="761">
        <f t="shared" si="43"/>
        <v>2.2957635792408801E-15</v>
      </c>
      <c r="BA20" s="767">
        <f t="shared" si="42"/>
        <v>55.660779071657515</v>
      </c>
      <c r="BB20" s="768">
        <f t="shared" si="42"/>
        <v>4.9827018505885601</v>
      </c>
      <c r="BC20" s="767">
        <f t="shared" ref="BC20:BF20" si="44">BC19</f>
        <v>130.01848331893345</v>
      </c>
      <c r="BD20" s="768">
        <f t="shared" si="44"/>
        <v>4.9867018505885587</v>
      </c>
      <c r="BE20" s="767">
        <f t="shared" si="44"/>
        <v>-55.875777299256356</v>
      </c>
      <c r="BF20" s="768">
        <f t="shared" si="44"/>
        <v>4.9767018505885616</v>
      </c>
      <c r="BG20" s="767">
        <f t="shared" si="26"/>
        <v>130.01848331893345</v>
      </c>
      <c r="BH20" s="799">
        <f t="shared" si="26"/>
        <v>4.9867018505885587</v>
      </c>
      <c r="BI20" s="767">
        <f>IF(MAIN!D$21="N",CC20+ABS(BO20),MAX(BA20+CC20,BC20,  ABS(BE20-   IF(DB$18="Top",Slen!N$28,Slen!N$27)   *CC20/2-2*P$16)             ))</f>
        <v>130.01848331893345</v>
      </c>
      <c r="BJ20" s="768">
        <f>IF(MAIN!D$22="N",CD20+ABS(BQ20),MAX(BB20+CD20,BD20,     ABS(BF20-     IF(DC$18="Top",Slen!N$11,Slen!N$10)   *CD20/2-2*R$16)              ))</f>
        <v>4.9867018505885587</v>
      </c>
      <c r="BK20" s="767">
        <f>IF(MAIN!D$21="N",CC20+ABS(BO20),MAX(BA20+CC20,BC20,  ABS(BE20-    IF(DB$18="Top",Slen!N$28,Slen!N$27)   *CC20/2+P$16)             ))</f>
        <v>130.01848331893345</v>
      </c>
      <c r="BL20" s="768">
        <f>IF(MAIN!D$22="N",CD20+ABS(AS20),MAX(AV20+CF20,AX20,   ABS(AZ20-   IF(DC$18="Top",Slen!N$11,Slen!N$10)    *CF20/2)                    ))</f>
        <v>0.01</v>
      </c>
      <c r="BM20" s="767">
        <f>IF(MAIN!D$21="N",CC20+ABS(AQ20),MAX(AU20+CE20,AW20,   ABS(AY20-     IF(DB$18="Top",Slen!N$28,Slen!N$27)    *CE20/2)             ))</f>
        <v>124.694734508658</v>
      </c>
      <c r="BN20" s="768">
        <f>IF(MAIN!D$22="N",CD20+ABS(BQ20),MAX(BB20+CD20,BD20,   ABS(BF20-   IF(DC$18="Top",Slen!N$11,Slen!N$10)   *CD20/2-2*R$16)                ))</f>
        <v>4.9867018505885587</v>
      </c>
      <c r="BO20" s="811">
        <f t="shared" ref="BO20:BO23" si="45">BO19</f>
        <v>130.01848331893345</v>
      </c>
      <c r="BP20" s="808">
        <f t="shared" ref="BP20:BP23" si="46">BP19</f>
        <v>-55.875777299256356</v>
      </c>
      <c r="BQ20" s="807">
        <f t="shared" ref="BQ20:BQ23" si="47">BQ19</f>
        <v>4.9867018505885587</v>
      </c>
      <c r="BR20" s="811">
        <f t="shared" ref="BR20:BR23" si="48">BR19</f>
        <v>4.9767018505885616</v>
      </c>
      <c r="BS20" s="324">
        <f>MIN(1,(Slen!I36-H$16)/(Slen!I36-Slen!J36))</f>
        <v>1</v>
      </c>
      <c r="BT20" s="324">
        <f>MIN(1,(Slen!I19-H$16)/(Slen!I19-Slen!J19))</f>
        <v>1</v>
      </c>
      <c r="BU20" s="748">
        <f>MIN(50,Slen!K36*(1.7-IF(LEFT(MAIN!D$21)="N",1,BP20/BO20))/SQRT(H$16))</f>
        <v>50</v>
      </c>
      <c r="BV20" s="748">
        <f>MIN(50,Slen!K19*(1.7-IF(LEFT(MAIN!D$22)="N",1,BR20/BQ20))/SQRT(H$16))</f>
        <v>43.791531689993327</v>
      </c>
      <c r="BW20" s="748">
        <f>MIN(50,Slen!K36*(1.7-IF(LEFT(MAIN!D$21)="N",1,AR20/AQ20))/SQRT(H$16))</f>
        <v>50</v>
      </c>
      <c r="BX20" s="748">
        <f>MIN(50,Slen!K19*(1.7-IF(LEFT(MAIN!D$22)="N",1,AT20/AS20))/SQRT(H$16))</f>
        <v>50</v>
      </c>
      <c r="BY20" s="324">
        <f>IF(AND(MAIN!C$11&lt;=2,Slen!G36&lt;=75,1000*ABS(BO20)/MAIN!C$42&gt;=MAIN!C$13),1,MAX(1,1+F10*T$16))</f>
        <v>1.6012088579434463</v>
      </c>
      <c r="BZ20" s="324">
        <f>IF(AND(MAIN!C$11&lt;=2,Slen!G19&lt;=75,1000*ABS(BQ20)/MAIN!C$42&gt;=MAIN!C$14),1,MAX(1,1+G10*T$16))</f>
        <v>1.4250995926541479</v>
      </c>
      <c r="CA20" s="403">
        <f>BS20*BY20*H$10</f>
        <v>6.729280985193924E-6</v>
      </c>
      <c r="CB20" s="403">
        <f>BT20*BZ20*I$10</f>
        <v>2.7593343065922141E-5</v>
      </c>
      <c r="CC20" s="403">
        <f>1000*IF(Slen!G36&gt;BU20,E$16*CA20*(Slen!G$29/1000)^2/IF(MAIN!D$42=MAIN!F$42,8,PI()^2),0)</f>
        <v>0</v>
      </c>
      <c r="CD20" s="403">
        <f>1000*IF(Slen!G19&gt;BV20,E$16*CB20*(Slen!G$12/1000)^2/IF(MAIN!E$42=MAIN!G$42,8,PI()^2),0)</f>
        <v>0</v>
      </c>
      <c r="CE20" s="403">
        <f>1000*IF(Slen!G36&gt;BW20,E$16*CA20*(Slen!G$29/1000)^2/IF(MAIN!D$42=MAIN!F$42,8,PI()^2),0)</f>
        <v>0</v>
      </c>
      <c r="CF20" s="403">
        <f>1000*IF(Slen!G19&gt;BX20,E$16*CB20*(Slen!G$12/1000)^2/IF(MAIN!E$42=MAIN!G$42,8,PI()^2),0)</f>
        <v>0</v>
      </c>
      <c r="CG20" s="261">
        <f t="shared" si="27"/>
        <v>0.10602712231202055</v>
      </c>
      <c r="CH20" s="261">
        <f t="shared" si="17"/>
        <v>0.1193784932884764</v>
      </c>
      <c r="CI20" s="304" t="str">
        <f t="shared" si="28"/>
        <v>Z</v>
      </c>
      <c r="CJ20" s="261">
        <f t="shared" si="29"/>
        <v>0.12371843405556399</v>
      </c>
      <c r="CK20" s="261">
        <f t="shared" si="30"/>
        <v>0.10168718154493296</v>
      </c>
      <c r="CN20" s="724">
        <f>MAIN!B44</f>
        <v>3</v>
      </c>
      <c r="CO20" s="725" t="str">
        <f>IF(Calc!V$58="Y","Y",IF(Calc!V$58="Z","Z",IF(Calc!V$58="NO","-",Z44)))</f>
        <v>Z</v>
      </c>
      <c r="CP20" s="725" t="str">
        <f t="shared" si="31"/>
        <v>Z</v>
      </c>
      <c r="CQ20" s="726">
        <f>AN38</f>
        <v>-61.199526109531803</v>
      </c>
      <c r="CR20" s="726">
        <f>AM38</f>
        <v>124.694734508658</v>
      </c>
      <c r="CS20" s="724">
        <f>IF(F44=0,MAIN!C$33,F44)</f>
        <v>16</v>
      </c>
      <c r="CT20" s="725">
        <f>H36</f>
        <v>9.0140553561164086E-2</v>
      </c>
      <c r="CU20" s="724">
        <f>IF(OR(CO20="Y",Calc!V58="BOTH"),BU44,BW44)</f>
        <v>50</v>
      </c>
      <c r="CV20" s="724">
        <f>G44</f>
        <v>1</v>
      </c>
      <c r="CW20" s="727">
        <f>U44</f>
        <v>757.17281760589526</v>
      </c>
      <c r="CX20" s="727">
        <f>V36</f>
        <v>1608.4954386379745</v>
      </c>
      <c r="CY20" s="727">
        <f>X44</f>
        <v>1</v>
      </c>
      <c r="CZ20" s="726">
        <f>AQ38</f>
        <v>124.694734508658</v>
      </c>
      <c r="DA20" s="726">
        <f>AR38</f>
        <v>-61.199526109531803</v>
      </c>
      <c r="DB20" s="726" t="str">
        <f>IF(ABS(MAIN!D44)&gt;=ABS(MAIN!F44),"TOP","BOT")</f>
        <v>TOP</v>
      </c>
      <c r="DC20" s="726" t="str">
        <f>IF(ABS(MAIN!E44)&gt;=ABS(MAIN!G44),"TOP","BOT")</f>
        <v>TOP</v>
      </c>
      <c r="DD20" s="726">
        <f>I36</f>
        <v>2.190794790579409</v>
      </c>
      <c r="DE20" s="726">
        <f>J36</f>
        <v>0.70210263441384524</v>
      </c>
      <c r="DF20" s="726">
        <f t="shared" si="32"/>
        <v>7.2969536757610234</v>
      </c>
      <c r="DG20" s="726">
        <f t="shared" si="18"/>
        <v>2.3385167889652725</v>
      </c>
      <c r="DH20" s="653" t="str">
        <f t="shared" si="19"/>
        <v>0.80515</v>
      </c>
      <c r="DI20" s="724">
        <f>VLOOKUP(CS20,AJ4:AL9,3)</f>
        <v>1.0823161713773932</v>
      </c>
      <c r="DJ20" s="725">
        <f t="shared" si="33"/>
        <v>50</v>
      </c>
      <c r="DK20" s="725">
        <f t="shared" si="34"/>
        <v>40.756927101141059</v>
      </c>
      <c r="DL20" s="1203"/>
      <c r="DM20" s="725"/>
    </row>
    <row r="21" spans="2:117" ht="18">
      <c r="B21" s="367">
        <f>IF(MAIN!I36="ok",MAIN!C36,0)</f>
        <v>20</v>
      </c>
      <c r="C21" s="412">
        <f t="shared" si="8"/>
        <v>8982.6783962200461</v>
      </c>
      <c r="D21" s="304">
        <f t="shared" si="9"/>
        <v>0.19931451870429442</v>
      </c>
      <c r="E21" s="304" t="str">
        <f>IF(AND(D21&lt;=1,E16&lt;=C21,D$11&gt;=F16),"ok","Fails")</f>
        <v>ok</v>
      </c>
      <c r="F21" s="304">
        <f>IF(AND(E21="ok",SUM(F22:F23)=0),B21,0)</f>
        <v>0</v>
      </c>
      <c r="G21" s="324">
        <f>MIN(1,(Slen!I37-H$16)/(Slen!I37-Slen!J37))</f>
        <v>1</v>
      </c>
      <c r="H21" s="324">
        <f>MIN(1,(Slen!I20-H$16)/(Slen!I20-Slen!J20))</f>
        <v>1</v>
      </c>
      <c r="I21" s="825">
        <f>MIN(50,Slen!K37*(1.7-IF(LEFT(MAIN!D$21)="N",1,AN21/AM21))/SQRT(H$16))</f>
        <v>50</v>
      </c>
      <c r="J21" s="826">
        <f>MIN(50,Slen!K20*(1.7-IF(LEFT(MAIN!D$22)="N",1,AP21/AO21))/SQRT(H$16))</f>
        <v>41.400794727921195</v>
      </c>
      <c r="K21" s="324">
        <f>IF(AND(MAIN!C$11&lt;=2,Slen!G37&lt;=75,1000*ABS(Cases!AM$18)/MAIN!C$42&gt;=MAIN!C$13),1,MAX(1,1+F11*T$16))</f>
        <v>1.6012088579434463</v>
      </c>
      <c r="L21" s="324">
        <f>IF(AND(MAIN!C$11&lt;=2,Slen!G20&lt;=75,1000*ABS(Cases!AO$18)/MAIN!C$42&gt;=MAIN!C$14),1,MAX(1,1+G11*T$16))</f>
        <v>1.4250995926541479</v>
      </c>
      <c r="M21" s="403">
        <f>G21*K21*H$11</f>
        <v>6.7146775108336949E-6</v>
      </c>
      <c r="N21" s="403">
        <f>H21*L21*I$11</f>
        <v>2.7319599583125293E-5</v>
      </c>
      <c r="O21" s="403">
        <f>1000*IF(Slen!G37&gt;I21,E$16*M21*(Slen!G$29/1000)^2/IF(MAIN!D$42=MAIN!F$42,8,PI()^2),0)</f>
        <v>0</v>
      </c>
      <c r="P21" s="403">
        <f>1000*IF(Slen!G20&gt;J21,E$16*N21*(Slen!G$12/1000)^2/IF(MAIN!E$42=MAIN!G$42,8,PI()^2),0)</f>
        <v>0</v>
      </c>
      <c r="Q21" s="796">
        <f t="shared" si="20"/>
        <v>124.694734508658</v>
      </c>
      <c r="R21" s="629">
        <f t="shared" si="21"/>
        <v>15.42623314118196</v>
      </c>
      <c r="S21" s="623">
        <f t="shared" si="10"/>
        <v>5.5330466656853573E-3</v>
      </c>
      <c r="T21" s="623">
        <f t="shared" si="11"/>
        <v>2.2491776501999766E-2</v>
      </c>
      <c r="U21" s="626">
        <f t="shared" si="12"/>
        <v>962.1731266595076</v>
      </c>
      <c r="V21" s="626">
        <f t="shared" si="13"/>
        <v>221.26761975187134</v>
      </c>
      <c r="W21" s="403">
        <f>1000*MAIN!C$42/J11</f>
        <v>8.3360460515346624E-2</v>
      </c>
      <c r="X21" s="261">
        <f t="shared" si="14"/>
        <v>1</v>
      </c>
      <c r="Y21" s="403">
        <f t="shared" si="15"/>
        <v>0.19931451870429442</v>
      </c>
      <c r="Z21" s="409" t="str">
        <f t="shared" si="16"/>
        <v>Z</v>
      </c>
      <c r="AA21" s="322">
        <f>HLOOKUP(E16,Ycal!D$215:BO$216,2)</f>
        <v>954.19015270145678</v>
      </c>
      <c r="AB21" s="322">
        <f>HLOOKUP(E16,Ycal!D$215:BO$216,1)</f>
        <v>750.97213202771661</v>
      </c>
      <c r="AC21" s="322">
        <f>HLOOKUP(E16,Ycal!D$215:BO$220,5)</f>
        <v>37.164505041575239</v>
      </c>
      <c r="AD21" s="414">
        <f>HLOOKUP(E16,Ycal!D$215:BO$220,4)</f>
        <v>94.690072214213615</v>
      </c>
      <c r="AE21" s="413">
        <f>HLOOKUP(E16,Zcal!D$215:BO$216,2)</f>
        <v>220.91027435173726</v>
      </c>
      <c r="AF21" s="322">
        <f>HLOOKUP(E16,Zcal!D$215:BO$216,1)</f>
        <v>767.86357810077652</v>
      </c>
      <c r="AG21" s="322">
        <f>HLOOKUP(E16,Zcal!D$215:BO$220,5)</f>
        <v>11.334230135985081</v>
      </c>
      <c r="AH21" s="414">
        <f>HLOOKUP(E16,Zcal!D$215:BO$220,4)</f>
        <v>109.36567373191417</v>
      </c>
      <c r="AJ21" s="794">
        <f xml:space="preserve"> IF(OR(MAIN!E$29="BOTH AXES",Z21 ="Y"),         MAX(P$15,BI21),     BM21)</f>
        <v>124.694734508658</v>
      </c>
      <c r="AK21" s="677">
        <f xml:space="preserve">       IF(OR(MAIN!E$29="BOTH AXES",Z21 ="Z"),    MAX(R$15,Cases!BJ21),           Cases!BL21)</f>
        <v>15.42623314118196</v>
      </c>
      <c r="AL21" s="672" t="str">
        <f t="shared" si="22"/>
        <v>Z</v>
      </c>
      <c r="AM21" s="639">
        <f t="shared" si="35"/>
        <v>124.694734508658</v>
      </c>
      <c r="AN21" s="640">
        <f t="shared" si="36"/>
        <v>-61.199526109531803</v>
      </c>
      <c r="AO21" s="639">
        <f t="shared" si="37"/>
        <v>4.9867018505885587</v>
      </c>
      <c r="AP21" s="640">
        <f t="shared" si="38"/>
        <v>4.9767018505885616</v>
      </c>
      <c r="AQ21" s="743">
        <f t="shared" si="39"/>
        <v>124.694734508658</v>
      </c>
      <c r="AR21" s="744">
        <f t="shared" si="40"/>
        <v>-61.199526109531803</v>
      </c>
      <c r="AS21" s="743">
        <f t="shared" si="41"/>
        <v>0.01</v>
      </c>
      <c r="AT21" s="744">
        <f t="shared" si="42"/>
        <v>2.2957635792408801E-15</v>
      </c>
      <c r="AU21" s="760">
        <f t="shared" si="42"/>
        <v>50.337030261382068</v>
      </c>
      <c r="AV21" s="761">
        <f t="shared" si="42"/>
        <v>6.0000000000009187E-3</v>
      </c>
      <c r="AW21" s="760">
        <f t="shared" ref="AW21:AZ21" si="49">AW20</f>
        <v>124.694734508658</v>
      </c>
      <c r="AX21" s="761">
        <f t="shared" si="49"/>
        <v>0.01</v>
      </c>
      <c r="AY21" s="760">
        <f t="shared" si="49"/>
        <v>-61.199526109531803</v>
      </c>
      <c r="AZ21" s="761">
        <f t="shared" si="49"/>
        <v>2.2957635792408801E-15</v>
      </c>
      <c r="BA21" s="767">
        <f t="shared" si="42"/>
        <v>55.660779071657515</v>
      </c>
      <c r="BB21" s="768">
        <f t="shared" si="42"/>
        <v>4.9827018505885601</v>
      </c>
      <c r="BC21" s="767">
        <f t="shared" ref="BC21:BF21" si="50">BC20</f>
        <v>130.01848331893345</v>
      </c>
      <c r="BD21" s="768">
        <f t="shared" si="50"/>
        <v>4.9867018505885587</v>
      </c>
      <c r="BE21" s="767">
        <f t="shared" si="50"/>
        <v>-55.875777299256356</v>
      </c>
      <c r="BF21" s="768">
        <f t="shared" si="50"/>
        <v>4.9767018505885616</v>
      </c>
      <c r="BG21" s="767">
        <f t="shared" si="26"/>
        <v>130.01848331893345</v>
      </c>
      <c r="BH21" s="799">
        <f t="shared" si="26"/>
        <v>4.9867018505885587</v>
      </c>
      <c r="BI21" s="767">
        <f>IF(MAIN!D$21="N",CC21+ABS(BO21),MAX(BA21+CC21,BC21,  ABS(BE21-   IF(DB$18="Top",Slen!N$28,Slen!N$27)   *CC21/2-2*P$16)             ))</f>
        <v>130.01848331893345</v>
      </c>
      <c r="BJ21" s="768">
        <f>IF(MAIN!D$22="N",CD21+ABS(BQ21),MAX(BB21+CD21,BD21,     ABS(BF21-     IF(DC$18="Top",Slen!N$11,Slen!N$10)   *CD21/2-2*R$16)              ))</f>
        <v>4.9867018505885587</v>
      </c>
      <c r="BK21" s="767">
        <f>IF(MAIN!D$21="N",CC21+ABS(BO21),MAX(BA21+CC21,BC21,  ABS(BE21-    IF(DB$18="Top",Slen!N$28,Slen!N$27)   *CC21/2+P$16)             ))</f>
        <v>130.01848331893345</v>
      </c>
      <c r="BL21" s="768">
        <f>IF(MAIN!D$22="N",CD21+ABS(AS21),MAX(AV21+CF21,AX21,   ABS(AZ21-   IF(DC$18="Top",Slen!N$11,Slen!N$10)    *CF21/2)                    ))</f>
        <v>0.01</v>
      </c>
      <c r="BM21" s="767">
        <f>IF(MAIN!D$21="N",CC21+ABS(AQ21),MAX(AU21+CE21,AW21,   ABS(AY21-     IF(DB$18="Top",Slen!N$28,Slen!N$27)    *CE21/2)             ))</f>
        <v>124.694734508658</v>
      </c>
      <c r="BN21" s="768">
        <f>IF(MAIN!D$22="N",CD21+ABS(BQ21),MAX(BB21+CD21,BD21,   ABS(BF21-   IF(DC$18="Top",Slen!N$11,Slen!N$10)   *CD21/2-2*R$16)                ))</f>
        <v>4.9867018505885587</v>
      </c>
      <c r="BO21" s="811">
        <f t="shared" si="45"/>
        <v>130.01848331893345</v>
      </c>
      <c r="BP21" s="808">
        <f t="shared" si="46"/>
        <v>-55.875777299256356</v>
      </c>
      <c r="BQ21" s="807">
        <f t="shared" si="47"/>
        <v>4.9867018505885587</v>
      </c>
      <c r="BR21" s="811">
        <f t="shared" si="48"/>
        <v>4.9767018505885616</v>
      </c>
      <c r="BS21" s="324">
        <f>MIN(1,(Slen!I37-H$16)/(Slen!I37-Slen!J37))</f>
        <v>1</v>
      </c>
      <c r="BT21" s="324">
        <f>MIN(1,(Slen!I20-H$16)/(Slen!I20-Slen!J20))</f>
        <v>1</v>
      </c>
      <c r="BU21" s="748">
        <f>MIN(50,Slen!K37*(1.7-IF(LEFT(MAIN!D$21)="N",1,BP21/BO21))/SQRT(H$16))</f>
        <v>50</v>
      </c>
      <c r="BV21" s="748">
        <f>MIN(50,Slen!K20*(1.7-IF(LEFT(MAIN!D$22)="N",1,BR21/BQ21))/SQRT(H$16))</f>
        <v>41.400794727921195</v>
      </c>
      <c r="BW21" s="748">
        <f>MIN(50,Slen!K37*(1.7-IF(LEFT(MAIN!D$21)="N",1,AR21/AQ21))/SQRT(H$16))</f>
        <v>50</v>
      </c>
      <c r="BX21" s="748">
        <f>MIN(50,Slen!K20*(1.7-IF(LEFT(MAIN!D$22)="N",1,AT21/AS21))/SQRT(H$16))</f>
        <v>50</v>
      </c>
      <c r="BY21" s="324">
        <f>IF(AND(MAIN!C$11&lt;=2,Slen!G37&lt;=75,1000*ABS(BO21)/MAIN!C$42&gt;=MAIN!C$13),1,MAX(1,1+F11*T$16))</f>
        <v>1.6012088579434463</v>
      </c>
      <c r="BZ21" s="324">
        <f>IF(AND(MAIN!C$11&lt;=2,Slen!G20&lt;=75,1000*ABS(BQ21)/MAIN!C$42&gt;=MAIN!C$14),1,MAX(1,1+G11*T$16))</f>
        <v>1.4250995926541479</v>
      </c>
      <c r="CA21" s="403">
        <f>BS21*BY21*H$11</f>
        <v>6.7146775108336949E-6</v>
      </c>
      <c r="CB21" s="403">
        <f>BT21*BZ21*I$11</f>
        <v>2.7319599583125293E-5</v>
      </c>
      <c r="CC21" s="403">
        <f>1000*IF(Slen!G37&gt;BU21,E$16*CA21*(Slen!G$29/1000)^2/IF(MAIN!D$42=MAIN!F$42,8,PI()^2),0)</f>
        <v>0</v>
      </c>
      <c r="CD21" s="403">
        <f>1000*IF(Slen!G20&gt;BV21,E$16*CB21*(Slen!G$12/1000)^2/IF(MAIN!E$42=MAIN!G$42,8,PI()^2),0)</f>
        <v>0</v>
      </c>
      <c r="CE21" s="403">
        <f>1000*IF(Slen!G37&gt;BW21,E$16*CA21*(Slen!G$29/1000)^2/IF(MAIN!D$42=MAIN!F$42,8,PI()^2),0)</f>
        <v>0</v>
      </c>
      <c r="CF21" s="403">
        <f>1000*IF(Slen!G20&gt;BX21,E$16*CB21*(Slen!G$12/1000)^2/IF(MAIN!E$42=MAIN!G$42,8,PI()^2),0)</f>
        <v>0</v>
      </c>
      <c r="CG21" s="261">
        <f t="shared" si="27"/>
        <v>0.13517522398324788</v>
      </c>
      <c r="CH21" s="261">
        <f t="shared" si="17"/>
        <v>0.1521339538195623</v>
      </c>
      <c r="CI21" s="304" t="str">
        <f t="shared" si="28"/>
        <v>Z</v>
      </c>
      <c r="CJ21" s="261">
        <f t="shared" si="29"/>
        <v>0.15766700048524765</v>
      </c>
      <c r="CK21" s="261">
        <f t="shared" si="30"/>
        <v>0.12964217731756253</v>
      </c>
      <c r="CN21" s="724">
        <f>MAIN!B45</f>
        <v>4</v>
      </c>
      <c r="CO21" s="725" t="e">
        <f>IF(Calc!V$58="Y","Y",IF(Calc!V$58="Z","Z",IF(Calc!V$58="NO","-",Z54)))</f>
        <v>#N/A</v>
      </c>
      <c r="CP21" s="725" t="e">
        <f t="shared" si="31"/>
        <v>#N/A</v>
      </c>
      <c r="CQ21" s="726" t="e">
        <f>AN48</f>
        <v>#DIV/0!</v>
      </c>
      <c r="CR21" s="726" t="e">
        <f>AM48</f>
        <v>#DIV/0!</v>
      </c>
      <c r="CS21" s="724">
        <f>IF(F54=0,MAIN!C$33,F54)</f>
        <v>40</v>
      </c>
      <c r="CT21" s="725">
        <f>H46</f>
        <v>0</v>
      </c>
      <c r="CU21" s="724" t="e">
        <f>IF(OR(CO21="Y",Calc!V58="BOTH"),BU54,BW54)</f>
        <v>#N/A</v>
      </c>
      <c r="CV21" s="724" t="e">
        <f>G54</f>
        <v>#N/A</v>
      </c>
      <c r="CW21" s="727" t="e">
        <f>U54</f>
        <v>#N/A</v>
      </c>
      <c r="CX21" s="727" t="e">
        <f>V46</f>
        <v>#N/A</v>
      </c>
      <c r="CY21" s="727" t="e">
        <f>X54</f>
        <v>#N/A</v>
      </c>
      <c r="CZ21" s="726">
        <f>AQ48</f>
        <v>0.01</v>
      </c>
      <c r="DA21" s="726">
        <f>AR48</f>
        <v>0.01</v>
      </c>
      <c r="DB21" s="726" t="str">
        <f>IF(ABS(MAIN!D45)&gt;=ABS(MAIN!F45),"TOP","BOT")</f>
        <v>TOP</v>
      </c>
      <c r="DC21" s="726" t="str">
        <f>IF(ABS(MAIN!E45)&gt;=ABS(MAIN!G45),"TOP","BOT")</f>
        <v>TOP</v>
      </c>
      <c r="DD21" s="726" t="e">
        <f>I46</f>
        <v>#N/A</v>
      </c>
      <c r="DE21" s="726" t="e">
        <f>J46</f>
        <v>#N/A</v>
      </c>
      <c r="DF21" s="726" t="e">
        <f t="shared" si="32"/>
        <v>#N/A</v>
      </c>
      <c r="DG21" s="726" t="e">
        <f t="shared" si="18"/>
        <v>#N/A</v>
      </c>
      <c r="DH21" s="653" t="str">
        <f t="shared" si="19"/>
        <v>0.80515</v>
      </c>
      <c r="DI21" s="724">
        <f>VLOOKUP(CS21,AJ4:AL9,3)</f>
        <v>1.4392018074809265</v>
      </c>
      <c r="DJ21" s="725" t="e">
        <f t="shared" si="33"/>
        <v>#N/A</v>
      </c>
      <c r="DK21" s="725" t="e">
        <f t="shared" si="34"/>
        <v>#N/A</v>
      </c>
      <c r="DL21" s="1203"/>
      <c r="DM21" s="725"/>
    </row>
    <row r="22" spans="2:117" ht="18">
      <c r="B22" s="367">
        <f>IF(MAIN!I37="ok",MAIN!C37,0)</f>
        <v>16</v>
      </c>
      <c r="C22" s="412">
        <f t="shared" si="8"/>
        <v>8686.5141735808302</v>
      </c>
      <c r="D22" s="304">
        <f t="shared" si="9"/>
        <v>0.24652718688355438</v>
      </c>
      <c r="E22" s="304" t="str">
        <f>IF(AND(D22&lt;=1,E16&lt;=C22,D$12&gt;=F16),"ok","Fails")</f>
        <v>ok</v>
      </c>
      <c r="F22" s="304">
        <f>IF(AND(E22="ok",SUM(F23:F23)=0),B22,0)</f>
        <v>0</v>
      </c>
      <c r="G22" s="324">
        <f>MIN(1,(Slen!I38-H$16)/(Slen!I38-Slen!J38))</f>
        <v>1</v>
      </c>
      <c r="H22" s="324">
        <f>MIN(1,(Slen!I21-H$16)/(Slen!I21-Slen!J21))</f>
        <v>1</v>
      </c>
      <c r="I22" s="825">
        <f>MIN(50,Slen!K38*(1.7-IF(LEFT(MAIN!D$21)="N",1,AN22/AM22))/SQRT(H$16))</f>
        <v>50</v>
      </c>
      <c r="J22" s="826">
        <f>MIN(50,Slen!K21*(1.7-IF(LEFT(MAIN!D$22)="N",1,AP22/AO22))/SQRT(H$16))</f>
        <v>39.795419839047383</v>
      </c>
      <c r="K22" s="324">
        <f>IF(AND(MAIN!C$11&lt;=2,Slen!G38&lt;=75,1000*ABS(Cases!AM$18)/MAIN!C$42&gt;=MAIN!C$13),1,MAX(1,1+F12*T$16))</f>
        <v>1.6012088579434463</v>
      </c>
      <c r="L22" s="324">
        <f>IF(AND(MAIN!C$11&lt;=2,Slen!G21&lt;=75,1000*ABS(Cases!AO$18)/MAIN!C$42&gt;=MAIN!C$14),1,MAX(1,1+G12*T$16))</f>
        <v>1.4250995926541479</v>
      </c>
      <c r="M22" s="403">
        <f>G22*K22*H$12</f>
        <v>6.7030402881112786E-6</v>
      </c>
      <c r="N22" s="403">
        <f>H22*L22*I$12</f>
        <v>2.7104484625777852E-5</v>
      </c>
      <c r="O22" s="403">
        <f>1000*IF(Slen!G38&gt;I22,E$16*M22*(Slen!G$29/1000)^2/IF(MAIN!D$42=MAIN!F$42,8,PI()^2),0)</f>
        <v>0</v>
      </c>
      <c r="P22" s="403">
        <f>1000*IF(Slen!G21&gt;J22,E$16*N22*(Slen!G$12/1000)^2/IF(MAIN!E$42=MAIN!G$42,8,PI()^2),0)</f>
        <v>0</v>
      </c>
      <c r="Q22" s="796">
        <f t="shared" si="20"/>
        <v>124.694734508658</v>
      </c>
      <c r="R22" s="629">
        <f t="shared" si="21"/>
        <v>15.42623314118196</v>
      </c>
      <c r="S22" s="623">
        <f t="shared" si="10"/>
        <v>6.8899198686642018E-3</v>
      </c>
      <c r="T22" s="623">
        <f t="shared" si="11"/>
        <v>2.7470178265238787E-2</v>
      </c>
      <c r="U22" s="626">
        <f t="shared" si="12"/>
        <v>772.68660764665708</v>
      </c>
      <c r="V22" s="626">
        <f t="shared" si="13"/>
        <v>181.16743919664179</v>
      </c>
      <c r="W22" s="403">
        <f>1000*MAIN!C$42/J12</f>
        <v>8.706191977802176E-2</v>
      </c>
      <c r="X22" s="261">
        <f t="shared" si="14"/>
        <v>1</v>
      </c>
      <c r="Y22" s="403">
        <f t="shared" si="15"/>
        <v>0.24652718688355438</v>
      </c>
      <c r="Z22" s="409" t="str">
        <f t="shared" si="16"/>
        <v>Z</v>
      </c>
      <c r="AA22" s="322">
        <f>HLOOKUP(E16,Ycal!D$267:BO$268,2)</f>
        <v>760.03587068071397</v>
      </c>
      <c r="AB22" s="322">
        <f>HLOOKUP(E16,Ycal!D$267:BO$268,1)</f>
        <v>741.98196568320941</v>
      </c>
      <c r="AC22" s="322">
        <f>HLOOKUP(E16,Ycal!D$267:BO$272,5)</f>
        <v>39.850719177379801</v>
      </c>
      <c r="AD22" s="414">
        <f>HLOOKUP(E16,Ycal!D$267:BO$272,4)</f>
        <v>92.390609157893095</v>
      </c>
      <c r="AE22" s="413">
        <f>HLOOKUP(E16,Zcal!D$267:BO$268,2)</f>
        <v>173.32964506384815</v>
      </c>
      <c r="AF22" s="322">
        <f>HLOOKUP(E16,Zcal!D$267:BO$268,1)</f>
        <v>699.07956913170847</v>
      </c>
      <c r="AG22" s="322">
        <f>HLOOKUP(E16,Zcal!D$267:BO$272,5)</f>
        <v>11.684897677572394</v>
      </c>
      <c r="AH22" s="414">
        <f>HLOOKUP(E16,Zcal!D$267:BO$272,4)</f>
        <v>107.6864921646162</v>
      </c>
      <c r="AJ22" s="794">
        <f xml:space="preserve"> IF(OR(MAIN!E$29="BOTH AXES",Z22 ="Y"),         MAX(P$15,BI22),     BM22)</f>
        <v>124.694734508658</v>
      </c>
      <c r="AK22" s="677">
        <f xml:space="preserve">       IF(OR(MAIN!E$29="BOTH AXES",Z22 ="Z"),    MAX(R$15,Cases!BJ22),           Cases!BL22)</f>
        <v>15.42623314118196</v>
      </c>
      <c r="AL22" s="672" t="str">
        <f t="shared" si="22"/>
        <v>Z</v>
      </c>
      <c r="AM22" s="639">
        <f t="shared" si="35"/>
        <v>124.694734508658</v>
      </c>
      <c r="AN22" s="640">
        <f t="shared" si="36"/>
        <v>-61.199526109531803</v>
      </c>
      <c r="AO22" s="639">
        <f t="shared" si="37"/>
        <v>4.9867018505885587</v>
      </c>
      <c r="AP22" s="640">
        <f t="shared" si="38"/>
        <v>4.9767018505885616</v>
      </c>
      <c r="AQ22" s="743">
        <f t="shared" si="39"/>
        <v>124.694734508658</v>
      </c>
      <c r="AR22" s="744">
        <f t="shared" si="40"/>
        <v>-61.199526109531803</v>
      </c>
      <c r="AS22" s="743">
        <f t="shared" si="41"/>
        <v>0.01</v>
      </c>
      <c r="AT22" s="744">
        <f t="shared" si="42"/>
        <v>2.2957635792408801E-15</v>
      </c>
      <c r="AU22" s="760">
        <f t="shared" si="42"/>
        <v>50.337030261382068</v>
      </c>
      <c r="AV22" s="761">
        <f t="shared" si="42"/>
        <v>6.0000000000009187E-3</v>
      </c>
      <c r="AW22" s="760">
        <f t="shared" ref="AW22:AZ22" si="51">AW21</f>
        <v>124.694734508658</v>
      </c>
      <c r="AX22" s="761">
        <f t="shared" si="51"/>
        <v>0.01</v>
      </c>
      <c r="AY22" s="760">
        <f t="shared" si="51"/>
        <v>-61.199526109531803</v>
      </c>
      <c r="AZ22" s="761">
        <f t="shared" si="51"/>
        <v>2.2957635792408801E-15</v>
      </c>
      <c r="BA22" s="767">
        <f t="shared" si="42"/>
        <v>55.660779071657515</v>
      </c>
      <c r="BB22" s="768">
        <f t="shared" si="42"/>
        <v>4.9827018505885601</v>
      </c>
      <c r="BC22" s="767">
        <f t="shared" ref="BC22:BF22" si="52">BC21</f>
        <v>130.01848331893345</v>
      </c>
      <c r="BD22" s="768">
        <f t="shared" si="52"/>
        <v>4.9867018505885587</v>
      </c>
      <c r="BE22" s="767">
        <f t="shared" si="52"/>
        <v>-55.875777299256356</v>
      </c>
      <c r="BF22" s="768">
        <f t="shared" si="52"/>
        <v>4.9767018505885616</v>
      </c>
      <c r="BG22" s="767">
        <f t="shared" si="26"/>
        <v>130.01848331893345</v>
      </c>
      <c r="BH22" s="799">
        <f t="shared" si="26"/>
        <v>4.9867018505885587</v>
      </c>
      <c r="BI22" s="767">
        <f>IF(MAIN!D$21="N",CC22+ABS(BO22),MAX(BA22+CC22,BC22,  ABS(BE22-   IF(DB$18="Top",Slen!N$28,Slen!N$27)   *CC22/2-2*P$16)             ))</f>
        <v>130.01848331893345</v>
      </c>
      <c r="BJ22" s="768">
        <f>IF(MAIN!D$22="N",CD22+ABS(BQ22),MAX(BB22+CD22,BD22,     ABS(BF22-     IF(DC$18="Top",Slen!N$11,Slen!N$10)   *CD22/2-2*R$16)              ))</f>
        <v>4.9867018505885587</v>
      </c>
      <c r="BK22" s="767">
        <f>IF(MAIN!D$21="N",CC22+ABS(BO22),MAX(BA22+CC22,BC22,  ABS(BE22-    IF(DB$18="Top",Slen!N$28,Slen!N$27)   *CC22/2+P$16)             ))</f>
        <v>130.01848331893345</v>
      </c>
      <c r="BL22" s="768">
        <f>IF(MAIN!D$22="N",CD22+ABS(AS22),MAX(AV22+CF22,AX22,   ABS(AZ22-   IF(DC$18="Top",Slen!N$11,Slen!N$10)    *CF22/2)                    ))</f>
        <v>0.01</v>
      </c>
      <c r="BM22" s="767">
        <f>IF(MAIN!D$21="N",CC22+ABS(AQ22),MAX(AU22+CE22,AW22,   ABS(AY22-     IF(DB$18="Top",Slen!N$28,Slen!N$27)    *CE22/2)             ))</f>
        <v>124.694734508658</v>
      </c>
      <c r="BN22" s="768">
        <f>IF(MAIN!D$22="N",CD22+ABS(BQ22),MAX(BB22+CD22,BD22,   ABS(BF22-   IF(DC$18="Top",Slen!N$11,Slen!N$10)   *CD22/2-2*R$16)                ))</f>
        <v>4.9867018505885587</v>
      </c>
      <c r="BO22" s="811">
        <f t="shared" si="45"/>
        <v>130.01848331893345</v>
      </c>
      <c r="BP22" s="808">
        <f t="shared" si="46"/>
        <v>-55.875777299256356</v>
      </c>
      <c r="BQ22" s="807">
        <f t="shared" si="47"/>
        <v>4.9867018505885587</v>
      </c>
      <c r="BR22" s="811">
        <f t="shared" si="48"/>
        <v>4.9767018505885616</v>
      </c>
      <c r="BS22" s="324">
        <f>MIN(1,(Slen!I38-H$16)/(Slen!I38-Slen!J38))</f>
        <v>1</v>
      </c>
      <c r="BT22" s="324">
        <f>MIN(1,(Slen!I21-H$16)/(Slen!I21-Slen!J21))</f>
        <v>1</v>
      </c>
      <c r="BU22" s="748">
        <f>MIN(50,Slen!K38*(1.7-IF(LEFT(MAIN!D$21)="N",1,BP22/BO22))/SQRT(H$16))</f>
        <v>50</v>
      </c>
      <c r="BV22" s="748">
        <f>MIN(50,Slen!K21*(1.7-IF(LEFT(MAIN!D$22)="N",1,BR22/BQ22))/SQRT(H$16))</f>
        <v>39.795419839047383</v>
      </c>
      <c r="BW22" s="748">
        <f>MIN(50,Slen!K38*(1.7-IF(LEFT(MAIN!D$21)="N",1,AR22/AQ22))/SQRT(H$16))</f>
        <v>50</v>
      </c>
      <c r="BX22" s="748">
        <f>MIN(50,Slen!K21*(1.7-IF(LEFT(MAIN!D$22)="N",1,AT22/AS22))/SQRT(H$16))</f>
        <v>50</v>
      </c>
      <c r="BY22" s="324">
        <f>IF(AND(MAIN!C$11&lt;=2,Slen!G38&lt;=75,1000*ABS(BO22)/MAIN!C$42&gt;=MAIN!C$13),1,MAX(1,1+F12*T$16))</f>
        <v>1.6012088579434463</v>
      </c>
      <c r="BZ22" s="324">
        <f>IF(AND(MAIN!C$11&lt;=2,Slen!G21&lt;=75,1000*ABS(BQ22)/MAIN!C$42&gt;=MAIN!C$14),1,MAX(1,1+G12*T$16))</f>
        <v>1.4250995926541479</v>
      </c>
      <c r="CA22" s="403">
        <f>BS22*BY22*H$12</f>
        <v>6.7030402881112786E-6</v>
      </c>
      <c r="CB22" s="403">
        <f>BT22*BZ22*I$12</f>
        <v>2.7104484625777852E-5</v>
      </c>
      <c r="CC22" s="403">
        <f>1000*IF(Slen!G38&gt;BU22,E$16*CA22*(Slen!G$29/1000)^2/IF(MAIN!D$42=MAIN!F$42,8,PI()^2),0)</f>
        <v>0</v>
      </c>
      <c r="CD22" s="403">
        <f>1000*IF(Slen!G21&gt;BV22,E$16*CB22*(Slen!G$12/1000)^2/IF(MAIN!E$42=MAIN!G$42,8,PI()^2),0)</f>
        <v>0</v>
      </c>
      <c r="CE22" s="403">
        <f>1000*IF(Slen!G38&gt;BW22,E$16*CA22*(Slen!G$29/1000)^2/IF(MAIN!D$42=MAIN!F$42,8,PI()^2),0)</f>
        <v>0</v>
      </c>
      <c r="CF22" s="403">
        <f>1000*IF(Slen!G21&gt;BX22,E$16*CB22*(Slen!G$12/1000)^2/IF(MAIN!E$42=MAIN!G$42,8,PI()^2),0)</f>
        <v>0</v>
      </c>
      <c r="CG22" s="261">
        <f t="shared" si="27"/>
        <v>0.16832326643774045</v>
      </c>
      <c r="CH22" s="261">
        <f t="shared" si="17"/>
        <v>0.18890352483431505</v>
      </c>
      <c r="CI22" s="304" t="str">
        <f t="shared" si="28"/>
        <v>Z</v>
      </c>
      <c r="CJ22" s="261">
        <f t="shared" si="29"/>
        <v>0.19579344470297924</v>
      </c>
      <c r="CK22" s="261">
        <f t="shared" si="30"/>
        <v>0.16143334656907626</v>
      </c>
      <c r="CN22" s="724">
        <f>MAIN!B46</f>
        <v>5</v>
      </c>
      <c r="CO22" s="725" t="e">
        <f>IF(Calc!V$58="Y","Y",IF(Calc!V$58="Z","Z",IF(Calc!V$58="NO","-",Z64)))</f>
        <v>#N/A</v>
      </c>
      <c r="CP22" s="725" t="e">
        <f t="shared" si="31"/>
        <v>#N/A</v>
      </c>
      <c r="CQ22" s="726" t="e">
        <f>AN58</f>
        <v>#DIV/0!</v>
      </c>
      <c r="CR22" s="726" t="e">
        <f>AM58</f>
        <v>#DIV/0!</v>
      </c>
      <c r="CS22" s="724">
        <f>IF(F64=0,MAIN!C$33,F64)</f>
        <v>40</v>
      </c>
      <c r="CT22" s="725">
        <f>H56</f>
        <v>0</v>
      </c>
      <c r="CU22" s="724" t="e">
        <f>IF(OR(CO22="Y",Calc!V58="BOTH"),BU64,BW64)</f>
        <v>#N/A</v>
      </c>
      <c r="CV22" s="724" t="e">
        <f>G64</f>
        <v>#N/A</v>
      </c>
      <c r="CW22" s="727" t="e">
        <f>U64</f>
        <v>#N/A</v>
      </c>
      <c r="CX22" s="727" t="e">
        <f>V56</f>
        <v>#N/A</v>
      </c>
      <c r="CY22" s="727" t="e">
        <f>X64</f>
        <v>#N/A</v>
      </c>
      <c r="CZ22" s="726">
        <f>AQ58</f>
        <v>0.01</v>
      </c>
      <c r="DA22" s="726">
        <f>AR58</f>
        <v>0.01</v>
      </c>
      <c r="DB22" s="726" t="str">
        <f>IF(ABS(MAIN!D46)&gt;=ABS(MAIN!F46),"TOP","BOT")</f>
        <v>TOP</v>
      </c>
      <c r="DC22" s="726" t="str">
        <f>IF(ABS(MAIN!E46)&gt;=ABS(MAIN!G46),"TOP","BOT")</f>
        <v>TOP</v>
      </c>
      <c r="DD22" s="726" t="e">
        <f>I56</f>
        <v>#N/A</v>
      </c>
      <c r="DE22" s="726" t="e">
        <f>J56</f>
        <v>#N/A</v>
      </c>
      <c r="DF22" s="726" t="e">
        <f t="shared" si="32"/>
        <v>#N/A</v>
      </c>
      <c r="DG22" s="726" t="e">
        <f t="shared" si="18"/>
        <v>#N/A</v>
      </c>
      <c r="DH22" s="653" t="str">
        <f t="shared" si="19"/>
        <v>0.80515</v>
      </c>
      <c r="DI22" s="724">
        <f>VLOOKUP(CS22,AJ4:AL9,3)</f>
        <v>1.4392018074809265</v>
      </c>
      <c r="DJ22" s="725" t="e">
        <f t="shared" si="33"/>
        <v>#N/A</v>
      </c>
      <c r="DK22" s="725" t="e">
        <f t="shared" si="34"/>
        <v>#N/A</v>
      </c>
      <c r="DL22" s="1203"/>
      <c r="DM22" s="725"/>
    </row>
    <row r="23" spans="2:117" ht="18">
      <c r="B23" s="367">
        <f>IF(MAIN!I38="ok",MAIN!C38,0)</f>
        <v>16</v>
      </c>
      <c r="C23" s="415">
        <f t="shared" si="8"/>
        <v>8686.5141735808302</v>
      </c>
      <c r="D23" s="416">
        <f t="shared" si="9"/>
        <v>0.24652718688355438</v>
      </c>
      <c r="E23" s="416" t="str">
        <f>IF(AND(D23&lt;=1,E16&lt;=C23,D$13&gt;=F16),"ok","Fails")</f>
        <v>ok</v>
      </c>
      <c r="F23" s="416">
        <f>IF(E23="ok",B23,0)</f>
        <v>16</v>
      </c>
      <c r="G23" s="269">
        <f>MIN(1,(Slen!I39-H$16)/(Slen!I39-Slen!J39))</f>
        <v>1</v>
      </c>
      <c r="H23" s="269">
        <f>MIN(1,(Slen!I22-H$16)/(Slen!I22-Slen!J22))</f>
        <v>1</v>
      </c>
      <c r="I23" s="827">
        <f>MIN(50,Slen!K39*(1.7-IF(LEFT(MAIN!D$21)="N",1,AN23/AM23))/SQRT(H$16))</f>
        <v>50</v>
      </c>
      <c r="J23" s="828">
        <f>MIN(50,Slen!K22*(1.7-IF(LEFT(MAIN!D$22)="N",1,AP23/AO23))/SQRT(H$16))</f>
        <v>39.795419839047383</v>
      </c>
      <c r="K23" s="269">
        <f>IF(AND(MAIN!C$11&lt;=2,Slen!G39&lt;=75,1000*ABS(Cases!AM$18)/MAIN!C$42&gt;=MAIN!C$13),1,MAX(1,1+F13*T$16))</f>
        <v>1.6012088579434463</v>
      </c>
      <c r="L23" s="269">
        <f>IF(AND(MAIN!C$11&lt;=2,Slen!G22&lt;=75,1000*ABS(Cases!AO$18)/MAIN!C$42&gt;=MAIN!C$14),1,MAX(1,1+G13*T$16))</f>
        <v>1.4250995926541479</v>
      </c>
      <c r="M23" s="406">
        <f>G23*K23*H$13</f>
        <v>6.7030402881112786E-6</v>
      </c>
      <c r="N23" s="406">
        <f>H23*L23*I$13</f>
        <v>2.7104484625777852E-5</v>
      </c>
      <c r="O23" s="406">
        <f>1000*IF(Slen!G39&gt;I23,E$16*M23*(Slen!G$29/1000)^2/IF(MAIN!D$42=MAIN!F$42,8,PI()^2),0)</f>
        <v>0</v>
      </c>
      <c r="P23" s="406">
        <f>1000*IF(Slen!G22&gt;J23,E$16*N23*(Slen!G$12/1000)^2/IF(MAIN!E$42=MAIN!G$42,8,PI()^2),0)</f>
        <v>0</v>
      </c>
      <c r="Q23" s="797">
        <f t="shared" si="20"/>
        <v>124.694734508658</v>
      </c>
      <c r="R23" s="798">
        <f t="shared" si="21"/>
        <v>15.42623314118196</v>
      </c>
      <c r="S23" s="624">
        <f t="shared" si="10"/>
        <v>6.8899198686642018E-3</v>
      </c>
      <c r="T23" s="624">
        <f t="shared" si="11"/>
        <v>2.7470178265238787E-2</v>
      </c>
      <c r="U23" s="627">
        <f t="shared" si="12"/>
        <v>772.68660764665708</v>
      </c>
      <c r="V23" s="627">
        <f t="shared" si="13"/>
        <v>181.16743919664179</v>
      </c>
      <c r="W23" s="406">
        <f>1000*MAIN!C$42/J13</f>
        <v>8.706191977802176E-2</v>
      </c>
      <c r="X23" s="325">
        <f t="shared" si="14"/>
        <v>1</v>
      </c>
      <c r="Y23" s="406">
        <f t="shared" si="15"/>
        <v>0.24652718688355438</v>
      </c>
      <c r="Z23" s="409" t="str">
        <f t="shared" si="16"/>
        <v>Z</v>
      </c>
      <c r="AA23" s="671">
        <f>HLOOKUP(E16,Ycal!D$319:BO$320,2)</f>
        <v>760.03587068071397</v>
      </c>
      <c r="AB23" s="266">
        <f>HLOOKUP(E16,Ycal!D$319:BO$320,1)</f>
        <v>741.98196568320941</v>
      </c>
      <c r="AC23" s="266">
        <f>HLOOKUP(E16,Ycal!D$319:BO$323,5)</f>
        <v>39.850719177379801</v>
      </c>
      <c r="AD23" s="418">
        <f>HLOOKUP(E16,Ycal!D$319:BO$323,4)</f>
        <v>92.390609157893095</v>
      </c>
      <c r="AE23" s="417">
        <f>HLOOKUP(E16,Zcal!D$319:BO$320,2)</f>
        <v>173.32964506384815</v>
      </c>
      <c r="AF23" s="266">
        <f>HLOOKUP(E16,Zcal!D$319:BO$320,1)</f>
        <v>699.07956913170847</v>
      </c>
      <c r="AG23" s="266">
        <f>HLOOKUP(E16,Zcal!D$319:BO$323,5)</f>
        <v>11.684897677572394</v>
      </c>
      <c r="AH23" s="418">
        <f>HLOOKUP(E16,Zcal!D$319:BO$323,4)</f>
        <v>107.6864921646162</v>
      </c>
      <c r="AJ23" s="794">
        <f xml:space="preserve"> IF(OR(MAIN!E$29="BOTH AXES",Z23 ="Y"),         MAX(P$15,BI23),     BM23)</f>
        <v>124.694734508658</v>
      </c>
      <c r="AK23" s="677">
        <f xml:space="preserve">       IF(OR(MAIN!E$29="BOTH AXES",Z23 ="Z"),    MAX(R$15,Cases!BJ23),           Cases!BL23)</f>
        <v>15.42623314118196</v>
      </c>
      <c r="AL23" s="672" t="str">
        <f t="shared" si="22"/>
        <v>Z</v>
      </c>
      <c r="AM23" s="641">
        <f t="shared" si="35"/>
        <v>124.694734508658</v>
      </c>
      <c r="AN23" s="642">
        <f t="shared" si="36"/>
        <v>-61.199526109531803</v>
      </c>
      <c r="AO23" s="641">
        <f t="shared" si="37"/>
        <v>4.9867018505885587</v>
      </c>
      <c r="AP23" s="642">
        <f t="shared" si="38"/>
        <v>4.9767018505885616</v>
      </c>
      <c r="AQ23" s="745">
        <f t="shared" si="39"/>
        <v>124.694734508658</v>
      </c>
      <c r="AR23" s="746">
        <f t="shared" si="40"/>
        <v>-61.199526109531803</v>
      </c>
      <c r="AS23" s="745">
        <f t="shared" si="41"/>
        <v>0.01</v>
      </c>
      <c r="AT23" s="746">
        <f t="shared" si="42"/>
        <v>2.2957635792408801E-15</v>
      </c>
      <c r="AU23" s="762">
        <f>AU22</f>
        <v>50.337030261382068</v>
      </c>
      <c r="AV23" s="763">
        <f>AV22</f>
        <v>6.0000000000009187E-3</v>
      </c>
      <c r="AW23" s="762">
        <f>AW22</f>
        <v>124.694734508658</v>
      </c>
      <c r="AX23" s="763">
        <f>AX22</f>
        <v>0.01</v>
      </c>
      <c r="AY23" s="762">
        <f t="shared" ref="AY23:AZ23" si="53">AY22</f>
        <v>-61.199526109531803</v>
      </c>
      <c r="AZ23" s="763">
        <f t="shared" si="53"/>
        <v>2.2957635792408801E-15</v>
      </c>
      <c r="BA23" s="769">
        <f t="shared" si="42"/>
        <v>55.660779071657515</v>
      </c>
      <c r="BB23" s="770">
        <f t="shared" si="42"/>
        <v>4.9827018505885601</v>
      </c>
      <c r="BC23" s="769">
        <f t="shared" ref="BC23:BF23" si="54">BC22</f>
        <v>130.01848331893345</v>
      </c>
      <c r="BD23" s="770">
        <f t="shared" si="54"/>
        <v>4.9867018505885587</v>
      </c>
      <c r="BE23" s="769">
        <f t="shared" si="54"/>
        <v>-55.875777299256356</v>
      </c>
      <c r="BF23" s="770">
        <f t="shared" si="54"/>
        <v>4.9767018505885616</v>
      </c>
      <c r="BG23" s="769">
        <f t="shared" si="26"/>
        <v>130.01848331893345</v>
      </c>
      <c r="BH23" s="800">
        <f t="shared" si="26"/>
        <v>4.9867018505885587</v>
      </c>
      <c r="BI23" s="769">
        <f>IF(MAIN!D$21="N",CC23+ABS(BO23),MAX(BA23+CC23,BC23,  ABS(BE23-   IF(DB$18="Top",Slen!N$28,Slen!N$27)   *CC23/2-2*P$16)             ))</f>
        <v>130.01848331893345</v>
      </c>
      <c r="BJ23" s="770">
        <f>IF(MAIN!D$22="N",CD23+ABS(BQ23),MAX(BB23+CD23,BD23,     ABS(BF23-     IF(DC$18="Top",Slen!N$11,Slen!N$10)   *CD23/2-2*R$16)              ))</f>
        <v>4.9867018505885587</v>
      </c>
      <c r="BK23" s="769">
        <f>IF(MAIN!D$21="N",CC23+ABS(BO23),MAX(BA23+CC23,BC23,  ABS(BE23-    IF(DB$18="Top",Slen!N$28,Slen!N$27)   *CC23/2+P$16)             ))</f>
        <v>130.01848331893345</v>
      </c>
      <c r="BL23" s="770">
        <f>IF(MAIN!D$22="N",CD23+ABS(AS23),MAX(AV23+CF23,AX23,   ABS(AZ23-   IF(DC$18="Top",Slen!N$11,Slen!N$10)    *CF23/2)                    ))</f>
        <v>0.01</v>
      </c>
      <c r="BM23" s="769">
        <f>IF(MAIN!D$21="N",CC23+ABS(AQ23),MAX(AU23+CE23,AW23,   ABS(AY23-     IF(DB$18="Top",Slen!N$28,Slen!N$27)    *CE23/2)             ))</f>
        <v>124.694734508658</v>
      </c>
      <c r="BN23" s="770">
        <f>IF(MAIN!D$22="N",CD23+ABS(BQ23),MAX(BB23+CD23,BD23,   ABS(BF23-   IF(DC$18="Top",Slen!N$11,Slen!N$10)   *CD23/2-2*R$16)                ))</f>
        <v>4.9867018505885587</v>
      </c>
      <c r="BO23" s="813">
        <f t="shared" si="45"/>
        <v>130.01848331893345</v>
      </c>
      <c r="BP23" s="810">
        <f t="shared" si="46"/>
        <v>-55.875777299256356</v>
      </c>
      <c r="BQ23" s="809">
        <f t="shared" si="47"/>
        <v>4.9867018505885587</v>
      </c>
      <c r="BR23" s="813">
        <f t="shared" si="48"/>
        <v>4.9767018505885616</v>
      </c>
      <c r="BS23" s="324">
        <f>MIN(1,(Slen!I39-H$16)/(Slen!I39-Slen!J39))</f>
        <v>1</v>
      </c>
      <c r="BT23" s="324">
        <f>MIN(1,(Slen!I22-H$16)/(Slen!I22-Slen!J22))</f>
        <v>1</v>
      </c>
      <c r="BU23" s="748">
        <f>MIN(50,Slen!K39*(1.7-IF(LEFT(MAIN!D$21)="N",1,BP23/BO23))/SQRT(H$16))</f>
        <v>50</v>
      </c>
      <c r="BV23" s="748">
        <f>MIN(50,Slen!K22*(1.7-IF(LEFT(MAIN!D$22)="N",1,BR23/BQ23))/SQRT(H$16))</f>
        <v>39.795419839047383</v>
      </c>
      <c r="BW23" s="748">
        <f>MIN(50,Slen!K39*(1.7-IF(LEFT(MAIN!D$21)="N",1,AR23/AQ23))/SQRT(H$16))</f>
        <v>50</v>
      </c>
      <c r="BX23" s="748">
        <f>MIN(50,Slen!K22*(1.7-IF(LEFT(MAIN!D$22)="N",1,AT23/AS23))/SQRT(H$16))</f>
        <v>50</v>
      </c>
      <c r="BY23" s="324">
        <f>IF(AND(MAIN!C$11&lt;=2,Slen!G39&lt;=75,1000*ABS(BO23)/MAIN!C$42&gt;=MAIN!C$13),1,MAX(1,1+F13*T$16))</f>
        <v>1.6012088579434463</v>
      </c>
      <c r="BZ23" s="324">
        <f>IF(AND(MAIN!C$11&lt;=2,Slen!G22&lt;=75,1000*ABS(BQ23)/MAIN!C$42&gt;=MAIN!C$14),1,MAX(1,1+G13*T$16))</f>
        <v>1.4250995926541479</v>
      </c>
      <c r="CA23" s="403">
        <f>BS23*BY23*H$13</f>
        <v>6.7030402881112786E-6</v>
      </c>
      <c r="CB23" s="403">
        <f>BT23*BZ23*I$13</f>
        <v>2.7104484625777852E-5</v>
      </c>
      <c r="CC23" s="403">
        <f>1000*IF(Slen!G39&gt;BU23,E$16*CA23*(Slen!G$29/1000)^2/IF(MAIN!D$42=MAIN!F$42,8,PI()^2),0)</f>
        <v>0</v>
      </c>
      <c r="CD23" s="403">
        <f>1000*IF(Slen!G22&gt;BV23,E$16*CB23*(Slen!G$12/1000)^2/IF(MAIN!E$42=MAIN!G$42,8,PI()^2),0)</f>
        <v>0</v>
      </c>
      <c r="CE23" s="403">
        <f>1000*IF(Slen!G39&gt;BW23,E$16*CA23*(Slen!G$29/1000)^2/IF(MAIN!D$42=MAIN!F$42,8,PI()^2),0)</f>
        <v>0</v>
      </c>
      <c r="CF23" s="403">
        <f>1000*IF(Slen!G22&gt;BX23,E$16*CB23*(Slen!G$12/1000)^2/IF(MAIN!E$42=MAIN!G$42,8,PI()^2),0)</f>
        <v>0</v>
      </c>
      <c r="CG23" s="261">
        <f t="shared" si="27"/>
        <v>0.16832326643774045</v>
      </c>
      <c r="CH23" s="261">
        <f t="shared" si="17"/>
        <v>0.18890352483431505</v>
      </c>
      <c r="CI23" s="304" t="str">
        <f t="shared" si="28"/>
        <v>Z</v>
      </c>
      <c r="CJ23" s="261">
        <f t="shared" si="29"/>
        <v>0.19579344470297924</v>
      </c>
      <c r="CK23" s="261">
        <f t="shared" si="30"/>
        <v>0.16143334656907626</v>
      </c>
      <c r="CN23" s="724">
        <f>MAIN!B47</f>
        <v>6</v>
      </c>
      <c r="CO23" s="725" t="e">
        <f>IF(Calc!V$58="Y","Y",IF(Calc!V$58="Z","Z",IF(Calc!V$58="NO","-",Z74)))</f>
        <v>#N/A</v>
      </c>
      <c r="CP23" s="725" t="e">
        <f t="shared" si="31"/>
        <v>#N/A</v>
      </c>
      <c r="CQ23" s="726" t="e">
        <f>AN68</f>
        <v>#DIV/0!</v>
      </c>
      <c r="CR23" s="726" t="e">
        <f>AM68</f>
        <v>#DIV/0!</v>
      </c>
      <c r="CS23" s="724">
        <f>IF(F74=0,MAIN!C$33,F74)</f>
        <v>40</v>
      </c>
      <c r="CT23" s="725">
        <f>H66</f>
        <v>0</v>
      </c>
      <c r="CU23" s="724" t="e">
        <f>IF(OR(CO23="Y",Calc!V58="BOTH"),BU74,BW74)</f>
        <v>#N/A</v>
      </c>
      <c r="CV23" s="724" t="e">
        <f>G74</f>
        <v>#N/A</v>
      </c>
      <c r="CW23" s="727" t="e">
        <f>U74</f>
        <v>#N/A</v>
      </c>
      <c r="CX23" s="727" t="e">
        <f>V66</f>
        <v>#N/A</v>
      </c>
      <c r="CY23" s="727" t="e">
        <f>X74</f>
        <v>#N/A</v>
      </c>
      <c r="CZ23" s="726">
        <f>AQ68</f>
        <v>0.01</v>
      </c>
      <c r="DA23" s="726">
        <f>AR68</f>
        <v>0.01</v>
      </c>
      <c r="DB23" s="726" t="str">
        <f>IF(ABS(MAIN!D47)&gt;=ABS(MAIN!F47),"TOP","BOT")</f>
        <v>TOP</v>
      </c>
      <c r="DC23" s="726" t="str">
        <f>IF(ABS(MAIN!E47)&gt;=ABS(MAIN!G47),"TOP","BOT")</f>
        <v>TOP</v>
      </c>
      <c r="DD23" s="726" t="e">
        <f>I66</f>
        <v>#N/A</v>
      </c>
      <c r="DE23" s="726" t="e">
        <f>J66</f>
        <v>#N/A</v>
      </c>
      <c r="DF23" s="726" t="e">
        <f t="shared" si="32"/>
        <v>#N/A</v>
      </c>
      <c r="DG23" s="726" t="e">
        <f t="shared" si="18"/>
        <v>#N/A</v>
      </c>
      <c r="DH23" s="653" t="str">
        <f t="shared" si="19"/>
        <v>0.80515</v>
      </c>
      <c r="DI23" s="724">
        <f>VLOOKUP(CS23,AJ4:AL9,3)</f>
        <v>1.4392018074809265</v>
      </c>
      <c r="DJ23" s="725" t="e">
        <f t="shared" si="33"/>
        <v>#N/A</v>
      </c>
      <c r="DK23" s="725" t="e">
        <f>MIN(50,20*DH23*DI23*DG23)</f>
        <v>#N/A</v>
      </c>
      <c r="DL23" s="1203"/>
      <c r="DM23" s="725"/>
    </row>
    <row r="24" spans="2:117" ht="18">
      <c r="D24" s="43"/>
      <c r="E24" s="47"/>
      <c r="F24" s="391">
        <f>IF(E16=0,0,MAX(F18:F23))</f>
        <v>16</v>
      </c>
      <c r="G24" s="47">
        <f>VLOOKUP(F24,F18:G23,2,0)</f>
        <v>1</v>
      </c>
      <c r="H24" s="47">
        <f>VLOOKUP(F24,F18:H23,3,0)</f>
        <v>1</v>
      </c>
      <c r="I24" s="47">
        <f>VLOOKUP(F24,F18:I23,4,0)</f>
        <v>50</v>
      </c>
      <c r="J24" s="47">
        <f>VLOOKUP(F24,F18:J23,5,0)</f>
        <v>39.795419839047383</v>
      </c>
      <c r="K24" s="47"/>
      <c r="L24" s="47"/>
      <c r="M24" s="47"/>
      <c r="N24" s="47"/>
      <c r="O24" s="43"/>
      <c r="P24" s="43"/>
      <c r="Q24" s="272">
        <f>IF(E16&gt;C18,"N&gt;Nuz",VLOOKUP(F24,F18:Q23,12,0))</f>
        <v>124.694734508658</v>
      </c>
      <c r="R24" s="272">
        <f>IF(E16&gt;C18,"N&gt;Nuz",VLOOKUP(F24,F18:R23,13,0))</f>
        <v>15.42623314118196</v>
      </c>
      <c r="U24" s="377">
        <f>IF(E16&gt;C18,"N&gt;Nuz",VLOOKUP(F24,F18:U23,16,0))</f>
        <v>772.68660764665708</v>
      </c>
      <c r="V24" s="377">
        <f>IF(E16&gt;C18,"N&gt;Nuz",VLOOKUP(F24,F18:V23,17,0))</f>
        <v>181.16743919664179</v>
      </c>
      <c r="W24" s="377"/>
      <c r="X24" s="378">
        <f>VLOOKUP(F24,F18:X23,19,0)</f>
        <v>1</v>
      </c>
      <c r="Y24" s="378">
        <f>IF(E16&gt;C18,"N/A",VLOOKUP(F24,F18:Y23,20,0))</f>
        <v>0.24652718688355438</v>
      </c>
      <c r="Z24" s="378" t="str">
        <f>IF(E16&gt;C18,"N/A",VLOOKUP(F24,F18:Z23,21,0))</f>
        <v>Z</v>
      </c>
      <c r="AA24" s="379"/>
      <c r="AB24" s="379"/>
      <c r="AC24" s="379"/>
      <c r="AD24" s="379"/>
      <c r="AE24" s="379"/>
      <c r="AM24" s="44">
        <f>VLOOKUP(F24,F18:AM23,34,0)</f>
        <v>124.694734508658</v>
      </c>
      <c r="AO24" s="665">
        <f>VLOOKUP(F24,F18:AO23,36,0)</f>
        <v>4.9867018505885587</v>
      </c>
      <c r="BS24" s="47"/>
      <c r="BT24" s="47"/>
      <c r="BU24" s="47">
        <f>VLOOKUP(F24,F18:BX23,68,0)</f>
        <v>50</v>
      </c>
      <c r="BV24" s="47">
        <f>VLOOKUP(F24,F18:BX23,69,0)</f>
        <v>39.795419839047383</v>
      </c>
      <c r="BW24" s="47">
        <f>VLOOKUP(F24,F18:BX23,70,0)</f>
        <v>50</v>
      </c>
      <c r="BX24" s="47">
        <f>VLOOKUP(F24,F18:BX23,71,0)</f>
        <v>50</v>
      </c>
      <c r="CG24" s="378"/>
      <c r="CH24" s="378"/>
      <c r="CI24" s="378" t="str">
        <f>VLOOKUP(F24,F18:CI23,82,0)</f>
        <v>Z</v>
      </c>
      <c r="CJ24" s="378"/>
      <c r="CK24" s="378"/>
    </row>
    <row r="25" spans="2:117" ht="19.5">
      <c r="B25" s="390" t="s">
        <v>90</v>
      </c>
      <c r="D25" s="43"/>
      <c r="E25" s="43"/>
      <c r="F25" s="369" t="s">
        <v>175</v>
      </c>
      <c r="G25" s="43"/>
      <c r="H25" s="43"/>
      <c r="I25" s="726" t="s">
        <v>411</v>
      </c>
      <c r="J25" s="726" t="s">
        <v>411</v>
      </c>
      <c r="K25" s="43"/>
      <c r="L25" s="43"/>
      <c r="M25" s="43"/>
      <c r="N25" s="43"/>
      <c r="O25" s="45" t="s">
        <v>288</v>
      </c>
      <c r="P25" s="366">
        <f>L$10*E26</f>
        <v>29.421876682363958</v>
      </c>
      <c r="Q25" s="45" t="s">
        <v>258</v>
      </c>
      <c r="R25" s="366">
        <f>L$11*E26</f>
        <v>14.710938341181979</v>
      </c>
      <c r="U25" s="45"/>
      <c r="V25" s="370"/>
      <c r="W25" s="370"/>
      <c r="X25" s="370"/>
      <c r="Z25" s="43"/>
      <c r="AA25" s="43"/>
      <c r="AB25" s="43"/>
      <c r="AC25" s="43"/>
      <c r="AD25" s="43"/>
      <c r="AE25" s="43"/>
      <c r="AN25" s="673" t="s">
        <v>494</v>
      </c>
      <c r="BS25" s="726"/>
      <c r="BT25" s="726"/>
      <c r="BU25" s="726"/>
      <c r="BV25" s="726"/>
      <c r="BW25" s="726"/>
      <c r="BX25" s="726"/>
      <c r="DK25" s="725"/>
    </row>
    <row r="26" spans="2:117" ht="21.75">
      <c r="B26" s="391">
        <f>MAIN!B43</f>
        <v>2</v>
      </c>
      <c r="C26" s="371"/>
      <c r="D26" s="372" t="s">
        <v>77</v>
      </c>
      <c r="E26" s="373">
        <f>MAIN!C43</f>
        <v>735.54691705909897</v>
      </c>
      <c r="F26" s="311">
        <f>Refs!F$17*E26*1000/Ycal!C$10</f>
        <v>169.17579092359279</v>
      </c>
      <c r="G26" s="374" t="s">
        <v>130</v>
      </c>
      <c r="H26" s="50">
        <f>1000*E26/L$7</f>
        <v>9.0140553561164086E-2</v>
      </c>
      <c r="I26" s="726">
        <f>(1.7-IF(LEFT(MAIN!D$21)="N",1,             VLOOKUP(F34,F28:AN33,35,FALSE)                  /              VLOOKUP(F34,F28:AM33,34,FALSE)         ))</f>
        <v>2.190794790579409</v>
      </c>
      <c r="J26" s="726">
        <f>(1.7-IF(LEFT(MAIN!D$22)="N",1,         VLOOKUP(F34,F28:AP33,37,FALSE)  /               VLOOKUP(F34,F28:AO33,36,FALSE)             ))</f>
        <v>0.70210263441384524</v>
      </c>
      <c r="K26" s="374" t="s">
        <v>287</v>
      </c>
      <c r="L26" s="667">
        <f>MAX(ABS(0.6*AM28+0.4*AN28),(ABS(0.4*AM28)))</f>
        <v>50.337030261382068</v>
      </c>
      <c r="M26" s="374" t="s">
        <v>256</v>
      </c>
      <c r="N26" s="668">
        <f>MAX(ABS(0.6*AO28+0.4*AP28),(ABS(0.4*AO28)))</f>
        <v>4.7519385189121452</v>
      </c>
      <c r="O26" s="375" t="s">
        <v>289</v>
      </c>
      <c r="P26" s="366">
        <f>L$8*E26*Slen!G$29/2000</f>
        <v>5.0768933527152873</v>
      </c>
      <c r="Q26" s="375" t="s">
        <v>257</v>
      </c>
      <c r="R26" s="366">
        <f>L$9*E26*Slen!G$12/2000</f>
        <v>4.7459385189121441</v>
      </c>
      <c r="S26" s="368" t="s">
        <v>132</v>
      </c>
      <c r="T26" s="376">
        <f>T16</f>
        <v>1.2100000000000002</v>
      </c>
      <c r="U26" s="45" t="s">
        <v>354</v>
      </c>
      <c r="V26" s="373">
        <f>VLOOKUP(F34,$M$8:$N$13,2)</f>
        <v>1608.4954386379745</v>
      </c>
      <c r="W26" s="312"/>
      <c r="X26" s="312"/>
      <c r="Y26" s="394" t="s">
        <v>137</v>
      </c>
      <c r="Z26" s="45"/>
      <c r="AA26" s="1306" t="s">
        <v>296</v>
      </c>
      <c r="AB26" s="1307"/>
      <c r="AC26" s="1307"/>
      <c r="AD26" s="1308"/>
      <c r="AE26" s="1306" t="s">
        <v>268</v>
      </c>
      <c r="AF26" s="1307"/>
      <c r="AG26" s="1307"/>
      <c r="AH26" s="1308"/>
      <c r="AM26" s="802">
        <f>IF(MAIN!D43=0,0.01,MAIN!D43)</f>
        <v>124.694734508658</v>
      </c>
      <c r="AN26" s="802">
        <f>IF(MAIN!F43=0,0.01,MAIN!F43)</f>
        <v>-61.199526109531803</v>
      </c>
      <c r="AO26" s="802">
        <f>IF(MAIN!E43=0,0.01,MAIN!E43)</f>
        <v>2.2957635792408801E-15</v>
      </c>
      <c r="AP26" s="802">
        <f>IF(MAIN!G43=0,0.01,MAIN!G43)</f>
        <v>0.01</v>
      </c>
      <c r="AU26" s="1296" t="s">
        <v>566</v>
      </c>
      <c r="AV26" s="1297"/>
      <c r="AW26" s="1296" t="s">
        <v>568</v>
      </c>
      <c r="AX26" s="1297"/>
      <c r="AY26" s="1296" t="s">
        <v>656</v>
      </c>
      <c r="AZ26" s="1297"/>
      <c r="BA26" s="1296" t="s">
        <v>567</v>
      </c>
      <c r="BB26" s="1297"/>
      <c r="BC26" s="1296" t="s">
        <v>568</v>
      </c>
      <c r="BD26" s="1297"/>
      <c r="BE26" s="1296" t="s">
        <v>656</v>
      </c>
      <c r="BF26" s="1297"/>
      <c r="BG26" s="1296" t="s">
        <v>561</v>
      </c>
      <c r="BH26" s="1297"/>
      <c r="BI26" s="1296" t="s">
        <v>561</v>
      </c>
      <c r="BJ26" s="1297"/>
      <c r="BK26" s="1296" t="s">
        <v>573</v>
      </c>
      <c r="BL26" s="1297"/>
      <c r="BM26" s="1296" t="s">
        <v>573</v>
      </c>
      <c r="BN26" s="1297"/>
      <c r="BO26" s="802">
        <f>AM26</f>
        <v>124.694734508658</v>
      </c>
      <c r="BP26" s="803">
        <f>AN26</f>
        <v>-61.199526109531803</v>
      </c>
      <c r="BQ26" s="803">
        <f>AO26</f>
        <v>2.2957635792408801E-15</v>
      </c>
      <c r="BR26" s="804">
        <f>AP26</f>
        <v>0.01</v>
      </c>
      <c r="BS26" s="374" t="s">
        <v>130</v>
      </c>
      <c r="BT26" s="50">
        <f>1000*E26/L$7</f>
        <v>9.0140553561164086E-2</v>
      </c>
      <c r="BU26" s="726" t="s">
        <v>646</v>
      </c>
      <c r="BV26" s="726" t="s">
        <v>646</v>
      </c>
      <c r="BW26" s="726" t="s">
        <v>647</v>
      </c>
      <c r="BX26" s="726" t="s">
        <v>647</v>
      </c>
      <c r="CC26" s="726" t="s">
        <v>646</v>
      </c>
      <c r="CD26" s="726" t="s">
        <v>646</v>
      </c>
      <c r="CE26" s="726" t="s">
        <v>647</v>
      </c>
      <c r="CF26" s="726" t="s">
        <v>647</v>
      </c>
      <c r="CQ26" s="724" t="s">
        <v>538</v>
      </c>
      <c r="CR26" s="724" t="s">
        <v>539</v>
      </c>
      <c r="CS26" s="724" t="s">
        <v>531</v>
      </c>
      <c r="CT26" s="724" t="s">
        <v>540</v>
      </c>
      <c r="CU26" s="724" t="s">
        <v>541</v>
      </c>
      <c r="CV26" s="724" t="s">
        <v>542</v>
      </c>
      <c r="CZ26" s="724" t="s">
        <v>555</v>
      </c>
      <c r="DA26" s="724" t="s">
        <v>556</v>
      </c>
    </row>
    <row r="27" spans="2:117" ht="20.25">
      <c r="C27" s="313" t="s">
        <v>51</v>
      </c>
      <c r="D27" s="392" t="s">
        <v>144</v>
      </c>
      <c r="E27" s="313" t="s">
        <v>78</v>
      </c>
      <c r="G27" s="314" t="s">
        <v>290</v>
      </c>
      <c r="H27" s="315" t="s">
        <v>263</v>
      </c>
      <c r="I27" s="747" t="s">
        <v>227</v>
      </c>
      <c r="J27" s="747" t="s">
        <v>291</v>
      </c>
      <c r="K27" s="315" t="s">
        <v>284</v>
      </c>
      <c r="L27" s="315" t="s">
        <v>260</v>
      </c>
      <c r="M27" s="315" t="s">
        <v>292</v>
      </c>
      <c r="N27" s="315" t="s">
        <v>264</v>
      </c>
      <c r="O27" s="315" t="s">
        <v>293</v>
      </c>
      <c r="P27" s="315" t="s">
        <v>265</v>
      </c>
      <c r="Q27" s="315" t="s">
        <v>294</v>
      </c>
      <c r="R27" s="315" t="s">
        <v>266</v>
      </c>
      <c r="S27" s="315" t="s">
        <v>463</v>
      </c>
      <c r="T27" s="315" t="s">
        <v>464</v>
      </c>
      <c r="U27" s="315" t="s">
        <v>295</v>
      </c>
      <c r="V27" s="315" t="s">
        <v>267</v>
      </c>
      <c r="W27" s="315" t="s">
        <v>228</v>
      </c>
      <c r="X27" s="315" t="s">
        <v>93</v>
      </c>
      <c r="Y27" s="393" t="s">
        <v>138</v>
      </c>
      <c r="Z27" s="660" t="s">
        <v>79</v>
      </c>
      <c r="AA27" s="395" t="s">
        <v>229</v>
      </c>
      <c r="AB27" s="396" t="s">
        <v>80</v>
      </c>
      <c r="AC27" s="396" t="s">
        <v>81</v>
      </c>
      <c r="AD27" s="397" t="s">
        <v>82</v>
      </c>
      <c r="AE27" s="395" t="s">
        <v>229</v>
      </c>
      <c r="AF27" s="396" t="s">
        <v>80</v>
      </c>
      <c r="AG27" s="396" t="s">
        <v>81</v>
      </c>
      <c r="AH27" s="397" t="s">
        <v>82</v>
      </c>
      <c r="AJ27" s="314" t="s">
        <v>365</v>
      </c>
      <c r="AK27" s="359" t="s">
        <v>366</v>
      </c>
      <c r="AL27" s="724">
        <v>2</v>
      </c>
      <c r="AM27" s="146" t="s">
        <v>215</v>
      </c>
      <c r="AN27" s="147" t="s">
        <v>216</v>
      </c>
      <c r="AO27" s="146" t="s">
        <v>278</v>
      </c>
      <c r="AP27" s="147" t="s">
        <v>279</v>
      </c>
      <c r="AQ27" s="146" t="s">
        <v>215</v>
      </c>
      <c r="AR27" s="147" t="s">
        <v>216</v>
      </c>
      <c r="AS27" s="146" t="s">
        <v>278</v>
      </c>
      <c r="AT27" s="147" t="s">
        <v>279</v>
      </c>
      <c r="AU27" s="146" t="s">
        <v>558</v>
      </c>
      <c r="AV27" s="147" t="s">
        <v>559</v>
      </c>
      <c r="AW27" s="764" t="s">
        <v>95</v>
      </c>
      <c r="AX27" s="764" t="s">
        <v>560</v>
      </c>
      <c r="AY27" s="764" t="s">
        <v>95</v>
      </c>
      <c r="AZ27" s="764" t="s">
        <v>560</v>
      </c>
      <c r="BA27" s="764" t="s">
        <v>95</v>
      </c>
      <c r="BB27" s="764" t="s">
        <v>560</v>
      </c>
      <c r="BC27" s="764" t="s">
        <v>95</v>
      </c>
      <c r="BD27" s="764" t="s">
        <v>560</v>
      </c>
      <c r="BE27" s="764" t="s">
        <v>95</v>
      </c>
      <c r="BF27" s="764" t="s">
        <v>560</v>
      </c>
      <c r="BG27" s="764" t="s">
        <v>95</v>
      </c>
      <c r="BH27" s="764" t="s">
        <v>560</v>
      </c>
      <c r="BI27" s="676" t="s">
        <v>95</v>
      </c>
      <c r="BJ27" s="676" t="s">
        <v>560</v>
      </c>
      <c r="BK27" s="676" t="s">
        <v>95</v>
      </c>
      <c r="BL27" s="676" t="s">
        <v>560</v>
      </c>
      <c r="BM27" s="676" t="s">
        <v>95</v>
      </c>
      <c r="BN27" s="676" t="s">
        <v>560</v>
      </c>
      <c r="BO27" s="771" t="s">
        <v>562</v>
      </c>
      <c r="BP27" s="772" t="s">
        <v>563</v>
      </c>
      <c r="BQ27" s="771" t="s">
        <v>564</v>
      </c>
      <c r="BR27" s="772" t="s">
        <v>565</v>
      </c>
      <c r="BS27" s="678" t="s">
        <v>290</v>
      </c>
      <c r="BT27" s="747" t="s">
        <v>263</v>
      </c>
      <c r="BU27" s="747" t="s">
        <v>227</v>
      </c>
      <c r="BV27" s="747" t="s">
        <v>291</v>
      </c>
      <c r="BW27" s="747" t="s">
        <v>227</v>
      </c>
      <c r="BX27" s="747" t="s">
        <v>291</v>
      </c>
      <c r="BY27" s="747" t="s">
        <v>284</v>
      </c>
      <c r="BZ27" s="747" t="s">
        <v>260</v>
      </c>
      <c r="CA27" s="747" t="s">
        <v>292</v>
      </c>
      <c r="CB27" s="747" t="s">
        <v>264</v>
      </c>
      <c r="CC27" s="747" t="s">
        <v>293</v>
      </c>
      <c r="CD27" s="747" t="s">
        <v>265</v>
      </c>
      <c r="CE27" s="747"/>
      <c r="CF27" s="747"/>
      <c r="CG27" s="394" t="s">
        <v>79</v>
      </c>
      <c r="CH27" s="394" t="s">
        <v>79</v>
      </c>
      <c r="CI27" s="394" t="s">
        <v>79</v>
      </c>
      <c r="CJ27" s="394" t="s">
        <v>79</v>
      </c>
      <c r="CK27" s="394" t="s">
        <v>79</v>
      </c>
      <c r="CN27" s="750">
        <v>1</v>
      </c>
      <c r="CO27" s="750">
        <f t="shared" ref="CO27:CV27" si="55">1+CN27</f>
        <v>2</v>
      </c>
      <c r="CP27" s="750">
        <f t="shared" si="55"/>
        <v>3</v>
      </c>
      <c r="CQ27" s="750">
        <f t="shared" si="55"/>
        <v>4</v>
      </c>
      <c r="CR27" s="750">
        <f t="shared" si="55"/>
        <v>5</v>
      </c>
      <c r="CS27" s="750">
        <f t="shared" si="55"/>
        <v>6</v>
      </c>
      <c r="CT27" s="750">
        <f t="shared" si="55"/>
        <v>7</v>
      </c>
      <c r="CU27" s="750">
        <f t="shared" si="55"/>
        <v>8</v>
      </c>
      <c r="CV27" s="750">
        <f t="shared" si="55"/>
        <v>9</v>
      </c>
      <c r="CZ27" s="750">
        <f>1+CV27</f>
        <v>10</v>
      </c>
      <c r="DA27" s="750">
        <f>1+CZ27</f>
        <v>11</v>
      </c>
      <c r="DK27" s="725"/>
    </row>
    <row r="28" spans="2:117" ht="19.5">
      <c r="B28" s="367">
        <f t="shared" ref="B28:C33" si="56">B18</f>
        <v>40</v>
      </c>
      <c r="C28" s="408">
        <f t="shared" si="56"/>
        <v>11450.713584880188</v>
      </c>
      <c r="D28" s="409">
        <f t="shared" ref="D28:D33" si="57">IF(ISERROR(U28),0,Y28)</f>
        <v>8.4690868477810238E-2</v>
      </c>
      <c r="E28" s="409" t="str">
        <f>IF(AND(D28&lt;=1,E26&lt;=C28,D$8&gt;=F26),"ok","Fails")</f>
        <v>ok</v>
      </c>
      <c r="F28" s="409">
        <f>IF(AND(E28="ok",SUM(F29:F33)=0),B28,0)</f>
        <v>0</v>
      </c>
      <c r="G28" s="321">
        <f>MIN(1,(Slen!I34-H$26)/(Slen!I34-Slen!J34))</f>
        <v>1</v>
      </c>
      <c r="H28" s="321">
        <f>MIN(1,(Slen!I17-H$26)/(Slen!I17-Slen!J17))</f>
        <v>1</v>
      </c>
      <c r="I28" s="823">
        <f>MIN(50,Slen!K34*(1.7-IF(LEFT(MAIN!D$21)="N",1,AN28/AM28))/SQRT(H$26))</f>
        <v>50</v>
      </c>
      <c r="J28" s="824">
        <f>MIN(50,Slen!K17*(1.7-IF(LEFT(MAIN!D$22)="N",1,AP28/AO28))/SQRT(H$26))</f>
        <v>50</v>
      </c>
      <c r="K28" s="321">
        <f>IF(AND(MAIN!C$11&lt;=2,Slen!G34&lt;=75,1000*ABS(Cases!AM$28)/MAIN!C$43&gt;=MAIN!C$13),1,MAX(1,1+F8*T$16))</f>
        <v>1.6012088579434463</v>
      </c>
      <c r="L28" s="321">
        <f>IF(AND(MAIN!C$11&lt;=2,Slen!G17&lt;=75,1000*ABS(Cases!AO$28)/MAIN!C$43&gt;=MAIN!C$14),1,MAX(1,1+G8*T$16))</f>
        <v>1.4250995926541479</v>
      </c>
      <c r="M28" s="400">
        <f>G28*K28*H$8</f>
        <v>6.7853583267372068E-6</v>
      </c>
      <c r="N28" s="400">
        <f>H28*L28*I$8</f>
        <v>2.8685579562281559E-5</v>
      </c>
      <c r="O28" s="400">
        <f>1000*IF(Slen!G34&gt;I28,E$26*M28*(Slen!G$29/1000)^2/IF(MAIN!D$43=MAIN!F$43,8,PI()^2),0)</f>
        <v>0</v>
      </c>
      <c r="P28" s="400">
        <f>1000*IF(Slen!G17&gt;J28,E$26*N28*(Slen!G$12/1000)^2/IF(MAIN!E$43=MAIN!G$43,8,PI()^2),0)</f>
        <v>0</v>
      </c>
      <c r="Q28" s="795">
        <f>MAX(IF(MAX(P$25,AJ28)/U28&gt;=MAX(R$25,AK28)/V28,P$25,0),AJ28)</f>
        <v>124.694734508658</v>
      </c>
      <c r="R28" s="628">
        <f>MAX(IF(MAX(R$25,AK28)/U28&gt;MAX(P$25,AJ28)/V28,R$25,0),AK28)</f>
        <v>14.710938341181979</v>
      </c>
      <c r="S28" s="622">
        <f t="shared" ref="S28:S33" si="58">P$26/U28</f>
        <v>2.2669384296158438E-3</v>
      </c>
      <c r="T28" s="622">
        <f t="shared" ref="T28:T33" si="59">R$26/V28</f>
        <v>9.3596704180686149E-3</v>
      </c>
      <c r="U28" s="319">
        <f>IF(E26&gt;E$8,0,AA28+AC28*(E26-AB28)/AD28)</f>
        <v>2239.5373806317357</v>
      </c>
      <c r="V28" s="319">
        <f>IF(E26&gt;E$8,0,AE28+AG28*(E26-AF28)/AH28)</f>
        <v>507.06256811673904</v>
      </c>
      <c r="W28" s="400">
        <f>1000*MAIN!C$43/J8</f>
        <v>5.8698596347144832E-2</v>
      </c>
      <c r="X28" s="318">
        <f t="shared" ref="X28:X33" si="60">IF(W28&lt;0.7,MAX(1,(10*W28+11)/12),MIN(2,(5*W28+1)/3))</f>
        <v>1</v>
      </c>
      <c r="Y28" s="400">
        <f t="shared" ref="Y28:Y33" si="61">IF(OR(U28=0,V28=0),0,(Q28/U28)^X28+(R28/V28)^X28)</f>
        <v>8.4690868477810238E-2</v>
      </c>
      <c r="Z28" s="409" t="str">
        <f t="shared" ref="Z28:Z33" si="62">CI28</f>
        <v>Z</v>
      </c>
      <c r="AA28" s="410">
        <f>HLOOKUP(E26,Ycal!D$59:BO$60,2)</f>
        <v>2222.3443574100384</v>
      </c>
      <c r="AB28" s="319">
        <f>HLOOKUP(E26,Ycal!D$59:BO$60,1)</f>
        <v>663.72809197168749</v>
      </c>
      <c r="AC28" s="319">
        <f>HLOOKUP(E26,Ycal!D$59:BO$63,5)</f>
        <v>39.540518905499539</v>
      </c>
      <c r="AD28" s="411">
        <f>HLOOKUP(E26,Ycal!D$59:BO$63,4)</f>
        <v>165.16895106358129</v>
      </c>
      <c r="AE28" s="410">
        <f>HLOOKUP(E26,Zcal!D$59:BO$60,2)</f>
        <v>498.81830931458359</v>
      </c>
      <c r="AF28" s="319">
        <f>HLOOKUP(E26,Zcal!D$59:BO$60,1)</f>
        <v>639.37088498348714</v>
      </c>
      <c r="AG28" s="319">
        <f>HLOOKUP(E26,Zcal!D$59:BO$63,5)</f>
        <v>9.3995398590977857</v>
      </c>
      <c r="AH28" s="411">
        <f>HLOOKUP(E26,Zcal!D$59:BO$63,4)</f>
        <v>109.65333193424601</v>
      </c>
      <c r="AJ28" s="794">
        <f xml:space="preserve"> IF(OR(MAIN!E$29="BOTH AXES",Z28 ="Y"),         MAX(P$25,BI28),     BM28)</f>
        <v>124.694734508658</v>
      </c>
      <c r="AK28" s="677">
        <f xml:space="preserve">       IF(OR(MAIN!E$29="BOTH AXES",Z28 ="Z"),    MAX(R$25,BJ28),           BL28)</f>
        <v>14.710938341181979</v>
      </c>
      <c r="AL28" s="672" t="str">
        <f t="shared" ref="AL28:AL33" si="63">Z28</f>
        <v>Z</v>
      </c>
      <c r="AM28" s="637">
        <f t="shared" ref="AM28:AM33" si="64" xml:space="preserve">              IF(ABS(AM$26)&gt;=ABS(AN$26),AM$26,AN$26)+IF(Z28="Y",P$26,0)*SIGN(IF(ABS(AM$26)&gt;=ABS(AN$26),AM$26,AN$26))</f>
        <v>124.694734508658</v>
      </c>
      <c r="AN28" s="638">
        <f t="shared" ref="AN28:AN33" si="65" xml:space="preserve">              IF(ABS(AM$26)&gt;=ABS(AN$26),AN$26,AM$26)+IF(Z28="Y",P$26,0)*SIGN(IF(ABS(AM$26)&gt;=ABS(AN$26),AM$26,AN$26))</f>
        <v>-61.199526109531803</v>
      </c>
      <c r="AO28" s="637">
        <f t="shared" ref="AO28:AO33" si="66" xml:space="preserve">     IF(ABS(AO$26)&gt;=ABS(AP$26),AO$26,AP$26)+IF(Z28="Z",R$26,0)      *SIGN(IF(ABS(AO$26)&gt;=ABS(AP$26),AO$26,AP$26))</f>
        <v>4.7559385189121439</v>
      </c>
      <c r="AP28" s="638">
        <f t="shared" ref="AP28:AP33" si="67" xml:space="preserve">  IF(ABS(AO$26)&gt;=ABS(AP$26),AP$26,AO$26)+IF(Z28="Z",R$26,0)*SIGN(IF(ABS(AO$26)&gt;=ABS(AP$26),AO$26,AP$26))</f>
        <v>4.7459385189121468</v>
      </c>
      <c r="AQ28" s="741">
        <f>MAX(ABS(AM26),ABS(AN26))*(IF(ABS(AM26)&gt;=ABS(AN26),SIGN(AM26),SIGN(AN26)))</f>
        <v>124.694734508658</v>
      </c>
      <c r="AR28" s="742">
        <f>MIN(ABS(AM26),ABS(AN26))*(IF(ABS(AM26)&lt;ABS(AN26),SIGN(AM26),SIGN(AN26)))</f>
        <v>-61.199526109531803</v>
      </c>
      <c r="AS28" s="741">
        <f>MAX(ABS(AO26),ABS(AP26))*(IF(ABS(AO26)&gt;=ABS(AP26),SIGN(AO26),SIGN(AP26)))</f>
        <v>0.01</v>
      </c>
      <c r="AT28" s="742">
        <f>MIN(ABS(AO26),ABS(AP26))*(IF(ABS(AO26)&lt;ABS(AP26),SIGN(AO26),SIGN(AP26)))</f>
        <v>2.2957635792408801E-15</v>
      </c>
      <c r="AU28" s="758">
        <f>MAX(ABS(0.6*AQ28+0.4*AR28),ABS(0.4*AQ28))</f>
        <v>50.337030261382068</v>
      </c>
      <c r="AV28" s="759">
        <f>MAX(ABS(0.6*AS28+0.4*AT28),ABS(0.4*AS28))</f>
        <v>6.0000000000009187E-3</v>
      </c>
      <c r="AW28" s="758">
        <f>MAX(ABS(AQ28),ABS(AR28))</f>
        <v>124.694734508658</v>
      </c>
      <c r="AX28" s="759">
        <f>MAX(ABS(AS28),ABS(AT28))</f>
        <v>0.01</v>
      </c>
      <c r="AY28" s="758">
        <f>ABS(AR28)*IF(SIGN(AQ28)=SIGN(AR28),1,-1)</f>
        <v>-61.199526109531803</v>
      </c>
      <c r="AZ28" s="759">
        <f>ABS(AT28)*IF(SIGN(AS28)=SIGN(AT28),1,-1)</f>
        <v>2.2957635792408801E-15</v>
      </c>
      <c r="BA28" s="765">
        <f>MAX(ABS(0.6*AQ28+0.4*AR28)+P26,ABS(0.4*AQ28)+0.4*P26)</f>
        <v>55.413923614097357</v>
      </c>
      <c r="BB28" s="766">
        <f>MAX(ABS(0.6*AS28+0.4*AT28)+R26,ABS(0.4*AS28)+0.4*R26)</f>
        <v>4.7519385189121452</v>
      </c>
      <c r="BC28" s="765">
        <f>MAX(ABS(AQ28),ABS(AR28))+P26</f>
        <v>129.77162786137328</v>
      </c>
      <c r="BD28" s="766">
        <f>MAX(ABS(AS28),ABS(AT28))+R26</f>
        <v>4.7559385189121439</v>
      </c>
      <c r="BE28" s="765">
        <f xml:space="preserve">           AY28+     P26</f>
        <v>-56.122632756816515</v>
      </c>
      <c r="BF28" s="766">
        <f xml:space="preserve">           AZ28+        R26</f>
        <v>4.7459385189121468</v>
      </c>
      <c r="BG28" s="765">
        <f>MAX(BA28,BC28)</f>
        <v>129.77162786137328</v>
      </c>
      <c r="BH28" s="801">
        <f>MAX(BB28,BD28)</f>
        <v>4.7559385189121439</v>
      </c>
      <c r="BI28" s="765">
        <f>IF(MAIN!D$21="N",CC28+ABS(BO28),MAX(BA28+CC28,BC28,  ABS(BE28-   IF(DB$19="Top",Slen!N$28,Slen!N$27)   *CC28/2-2*P$26)             ))</f>
        <v>129.77162786137328</v>
      </c>
      <c r="BJ28" s="766">
        <f>IF(MAIN!D$22="N",CD28+ABS(BQ28),MAX(BB28+CD28,BD28,     ABS(BF28-     IF(DC$19="Top",Slen!N$11,Slen!N$10)   *CD28/2-2*R$26)              ))</f>
        <v>4.7559385189121439</v>
      </c>
      <c r="BK28" s="765">
        <f>IF(MAIN!D$21="N",CC28+ABS(BO28),MAX(BA28+CC28,BC28,  ABS(BE28-    IF(DB$19="Top",Slen!N$28,Slen!N$27)   *CC28/2-2*P$26)             ))</f>
        <v>129.77162786137328</v>
      </c>
      <c r="BL28" s="766">
        <f>IF(MAIN!D$22="N",CD28+ABS(AS28),MAX(AV28+CF28,AX28,   ABS(AZ28-   IF(DC$19="Top",Slen!N$11,Slen!N$10)    *CF28/2)                    ))</f>
        <v>0.01</v>
      </c>
      <c r="BM28" s="765">
        <f>IF(MAIN!D$21="N",CC28+ABS(AQ28),MAX(AU28+CE28,AW28,   ABS(AY28-     IF(DB$19="Top",Slen!N$28,Slen!N$27)    *CE28/2)             ))</f>
        <v>124.694734508658</v>
      </c>
      <c r="BN28" s="766">
        <f>IF(MAIN!D$22="N",CD28+ABS(BQ28),MAX(BB28+CD28,BD28,   ABS(BF28-   IF(DC$19="Top",Slen!N$11,Slen!N$10)   *CD28/2-2*R$26)                ))</f>
        <v>4.7559385189121439</v>
      </c>
      <c r="BO28" s="812">
        <f xml:space="preserve">         IF(ABS(AM26)&gt;=ABS(AN26),AM26,AN26)+P26*SIGN(IF(ABS(AM26)&gt;=ABS(AN26),AM26,AN26))</f>
        <v>129.77162786137328</v>
      </c>
      <c r="BP28" s="806">
        <f xml:space="preserve">         IF(ABS(AM26)&gt;=ABS(AN26),AN26,AM26)+P26*SIGN(IF(ABS(AM26)&gt;=ABS(AN26),AM26,AN26))</f>
        <v>-56.122632756816515</v>
      </c>
      <c r="BQ28" s="805">
        <f xml:space="preserve">         IF(ABS(AO26)&gt;=ABS(AP26),AO26,AP26)+R26   *SIGN(IF(ABS(AO26)&gt;=ABS(AP26),AO26,AP26))</f>
        <v>4.7559385189121439</v>
      </c>
      <c r="BR28" s="806">
        <f>IF(ABS(AO26)&gt;=ABS(AP26),AP26,AO26)+R26*SIGN(IF(ABS(AO26)&gt;=ABS(AP26),AO26,AP26))</f>
        <v>4.7459385189121468</v>
      </c>
      <c r="BS28" s="324">
        <f>MIN(1,(Slen!I34-H$26)/(Slen!I34-Slen!J34))</f>
        <v>1</v>
      </c>
      <c r="BT28" s="324">
        <f>MIN(1,(Slen!I17-H$26)/(Slen!I17-Slen!J17))</f>
        <v>1</v>
      </c>
      <c r="BU28" s="748">
        <f>MIN(50,Slen!K34*(1.7-IF(LEFT(MAIN!D$21)="N",1,BP28/BO28))/SQRT(H$26))</f>
        <v>50</v>
      </c>
      <c r="BV28" s="748">
        <f>MIN(50,Slen!K17*(1.7-IF(LEFT(MAIN!D$22)="N",1,BR28/BQ28))/SQRT(H$26))</f>
        <v>50</v>
      </c>
      <c r="BW28" s="748">
        <f>MIN(50,Slen!K34*(1.7-IF(LEFT(MAIN!D$21)="N",1,AR28/AQ28))/SQRT(H$26))</f>
        <v>50</v>
      </c>
      <c r="BX28" s="748">
        <f>MIN(50,Slen!K17*(1.7-IF(LEFT(MAIN!D$22)="N",1,AT28/AS28))/SQRT(H$26))</f>
        <v>50</v>
      </c>
      <c r="BY28" s="324">
        <f>IF(AND(MAIN!C$11&lt;=2,Slen!G34&lt;=75,1000*ABS(BO28)/MAIN!C$43&gt;=MAIN!C$13),1,MAX(1,1+F8*T$26))</f>
        <v>1.6012088579434463</v>
      </c>
      <c r="BZ28" s="324">
        <f>IF(AND(MAIN!C$11&lt;=2,Slen!G17&lt;=75,1000*ABS(BQ28)/MAIN!C$43&gt;=MAIN!C$14),1,MAX(1,1+G8*T$26))</f>
        <v>1.4250995926541479</v>
      </c>
      <c r="CA28" s="403">
        <f>BS28*BY28*H8</f>
        <v>6.7853583267372068E-6</v>
      </c>
      <c r="CB28" s="403">
        <f>BT28*BZ28*I8</f>
        <v>2.8685579562281559E-5</v>
      </c>
      <c r="CC28" s="403">
        <f>1000*IF(Slen!G34&gt;BU28,E$26*CA28*(Slen!G$29/1000)^2/IF(MAIN!D$43=MAIN!F$43,8,PI()^2),0)</f>
        <v>0</v>
      </c>
      <c r="CD28" s="403">
        <f>1000*IF(Slen!G17&gt;BV28,E$26*CB28*(Slen!G$12/1000)^2/IF(MAIN!E$43=MAIN!G$43,8,PI()^2),0)</f>
        <v>0</v>
      </c>
      <c r="CE28" s="403">
        <f>1000*IF(Slen!G34&gt;BW28,E$26*CA28*(Slen!G$29/1000)^2/IF(MAIN!D$43=MAIN!F$43,8,PI()^2),0)</f>
        <v>0</v>
      </c>
      <c r="CF28" s="403">
        <f>1000*IF(Slen!G17&gt;BX28,E$26*CB28*(Slen!G$12/1000)^2/IF(MAIN!E$43=MAIN!G$43,8,PI()^2),0)</f>
        <v>0</v>
      </c>
      <c r="CG28" s="261">
        <f>(BK28/U28)^X28+(BL28/V28)^X28</f>
        <v>5.7965451199170674E-2</v>
      </c>
      <c r="CH28" s="261">
        <f t="shared" ref="CH28:CH33" si="68">(BM28/U28)^X28+(BN28/V28)^X28</f>
        <v>6.505818318762345E-2</v>
      </c>
      <c r="CI28" s="304" t="str">
        <f>IF(ISERROR(E8),0,    IF(AND(CK28&gt;CG28,CK28&gt;CH28),"NO",      IF(CG28&gt;      CH28,"Y","Z")))</f>
        <v>Z</v>
      </c>
      <c r="CJ28" s="261">
        <f>(BI28/U28)^X28+(BJ28/V28)^X28</f>
        <v>6.7325121617239289E-2</v>
      </c>
      <c r="CK28" s="261">
        <f>(BM28/U28)^X28+(BL28/V28)^X28</f>
        <v>5.5698512769554835E-2</v>
      </c>
      <c r="CL28" s="724"/>
      <c r="CM28" s="724">
        <f>CM17</f>
        <v>1</v>
      </c>
      <c r="CN28" s="724" t="s">
        <v>524</v>
      </c>
      <c r="CQ28" s="753" t="s">
        <v>279</v>
      </c>
      <c r="CR28" s="753" t="s">
        <v>278</v>
      </c>
      <c r="CS28" s="754" t="s">
        <v>526</v>
      </c>
      <c r="CT28" s="755" t="s">
        <v>291</v>
      </c>
      <c r="CU28" s="755" t="s">
        <v>263</v>
      </c>
      <c r="CV28" s="755" t="s">
        <v>267</v>
      </c>
      <c r="CZ28" s="752" t="s">
        <v>278</v>
      </c>
      <c r="DA28" s="752" t="s">
        <v>279</v>
      </c>
    </row>
    <row r="29" spans="2:117" ht="18">
      <c r="B29" s="367">
        <f t="shared" si="56"/>
        <v>32</v>
      </c>
      <c r="C29" s="412">
        <f t="shared" si="56"/>
        <v>10266.056694323323</v>
      </c>
      <c r="D29" s="304">
        <f t="shared" si="57"/>
        <v>0.11443383757814102</v>
      </c>
      <c r="E29" s="304" t="str">
        <f>IF(AND(D29&lt;=1,E26&lt;=C29,D$9&gt;=F26),"ok","Fails")</f>
        <v>ok</v>
      </c>
      <c r="F29" s="304">
        <f>IF(AND(E29="ok",SUM(F30:F33)=0),B29,0)</f>
        <v>0</v>
      </c>
      <c r="G29" s="324">
        <f>MIN(1,(Slen!I35-H$26)/(Slen!I35-Slen!J35))</f>
        <v>1</v>
      </c>
      <c r="H29" s="324">
        <f>MIN(1,(Slen!I18-H$26)/(Slen!I18-Slen!J18))</f>
        <v>1</v>
      </c>
      <c r="I29" s="825">
        <f>MIN(50,Slen!K35*(1.7-IF(LEFT(MAIN!D$21)="N",1,AN29/AM29))/SQRT(H$26))</f>
        <v>50</v>
      </c>
      <c r="J29" s="826">
        <f>MIN(50,Slen!K18*(1.7-IF(LEFT(MAIN!D$22)="N",1,AP29/AO29))/SQRT(H$26))</f>
        <v>48.89116968895523</v>
      </c>
      <c r="K29" s="324">
        <f>IF(AND(MAIN!C$11&lt;=2,Slen!G35&lt;=75,1000*ABS(Cases!AM$28)/MAIN!C$43&gt;=MAIN!C$13),1,MAX(1,1+F9*T$16))</f>
        <v>1.6012088579434463</v>
      </c>
      <c r="L29" s="324">
        <f>IF(AND(MAIN!C$11&lt;=2,Slen!G18&lt;=75,1000*ABS(Cases!AO$28)/MAIN!C$43&gt;=MAIN!C$14),1,MAX(1,1+G9*T$16))</f>
        <v>1.4250995926541479</v>
      </c>
      <c r="M29" s="403">
        <f>G29*K29*H$9</f>
        <v>6.7498328904715668E-6</v>
      </c>
      <c r="N29" s="403">
        <f>H29*L29*I$9</f>
        <v>2.7985931280274692E-5</v>
      </c>
      <c r="O29" s="403">
        <f>1000*IF(Slen!G35&gt;I29,E$26*M29*(Slen!G$29/1000)^2/IF(MAIN!D$43=MAIN!F$43,8,PI()^2),0)</f>
        <v>0</v>
      </c>
      <c r="P29" s="403">
        <f>1000*IF(Slen!G18&gt;J29,E$26*N29*(Slen!G$12/1000)^2/IF(MAIN!E$43=MAIN!G$43,8,PI()^2),0)</f>
        <v>0</v>
      </c>
      <c r="Q29" s="796">
        <f t="shared" ref="Q29:Q33" si="69">MAX(IF(MAX(P$25,AJ29)/U29&gt;=MAX(R$25,AK29)/V29,P$25,0),AJ29)</f>
        <v>124.694734508658</v>
      </c>
      <c r="R29" s="629">
        <f t="shared" ref="R29:R33" si="70">MAX(IF(MAX(R$25,AK29)/U29&gt;MAX(P$25,AJ29)/V29,R$25,0),AK29)</f>
        <v>14.710938341181979</v>
      </c>
      <c r="S29" s="630">
        <f t="shared" si="58"/>
        <v>3.0765770558712317E-3</v>
      </c>
      <c r="T29" s="630">
        <f t="shared" si="59"/>
        <v>1.2539746552171554E-2</v>
      </c>
      <c r="U29" s="322">
        <f>IF(E26&gt;E$9,0,AA29+AC29*(E26-AB29)/AD29)</f>
        <v>1650.1759132041636</v>
      </c>
      <c r="V29" s="322">
        <f>IF(E26&gt;E$9,0,AE29+AG29*(E26-AF29)/AH29)</f>
        <v>378.4716460708907</v>
      </c>
      <c r="W29" s="403">
        <f>1000*MAIN!C$43/J9</f>
        <v>6.7127971352108767E-2</v>
      </c>
      <c r="X29" s="261">
        <f t="shared" si="60"/>
        <v>1</v>
      </c>
      <c r="Y29" s="403">
        <f t="shared" si="61"/>
        <v>0.11443383757814102</v>
      </c>
      <c r="Z29" s="409" t="str">
        <f t="shared" si="62"/>
        <v>Z</v>
      </c>
      <c r="AA29" s="413">
        <f>HLOOKUP(E26,Ycal!D$111:BO$112,2)</f>
        <v>1627.6298492562269</v>
      </c>
      <c r="AB29" s="322">
        <f>HLOOKUP(E26,Ycal!D$111:BO$112,1)</f>
        <v>651.53994862560228</v>
      </c>
      <c r="AC29" s="322">
        <f>HLOOKUP(E26,Ycal!D$111:BO$115,5)</f>
        <v>42.662502773886899</v>
      </c>
      <c r="AD29" s="414">
        <f>HLOOKUP(E26,Ycal!D$111:BO$115,4)</f>
        <v>158.96111765210674</v>
      </c>
      <c r="AE29" s="413">
        <f>HLOOKUP(E26,Zcal!D$111:BO$112,2)</f>
        <v>376.69878795883562</v>
      </c>
      <c r="AF29" s="322">
        <f>HLOOKUP(E26,Zcal!D$111:BO$112,1)</f>
        <v>716.51691587665766</v>
      </c>
      <c r="AG29" s="322">
        <f>HLOOKUP(E26,Zcal!D$111:BO$115,5)</f>
        <v>10.623261857235889</v>
      </c>
      <c r="AH29" s="414">
        <f>HLOOKUP(E26,Zcal!D$111:BO$115,4)</f>
        <v>114.03094490750743</v>
      </c>
      <c r="AJ29" s="794">
        <f xml:space="preserve"> IF(OR(MAIN!E$29="BOTH AXES",Z29 ="Y"),         MAX(P$25,BI29),     BM29)</f>
        <v>124.694734508658</v>
      </c>
      <c r="AK29" s="677">
        <f xml:space="preserve">       IF(OR(MAIN!E$29="BOTH AXES",Z29 ="Z"),    MAX(R$25,BJ29),           BL29)</f>
        <v>14.710938341181979</v>
      </c>
      <c r="AL29" s="672" t="str">
        <f t="shared" si="63"/>
        <v>Z</v>
      </c>
      <c r="AM29" s="639">
        <f t="shared" si="64"/>
        <v>124.694734508658</v>
      </c>
      <c r="AN29" s="640">
        <f t="shared" si="65"/>
        <v>-61.199526109531803</v>
      </c>
      <c r="AO29" s="639">
        <f t="shared" si="66"/>
        <v>4.7559385189121439</v>
      </c>
      <c r="AP29" s="640">
        <f t="shared" si="67"/>
        <v>4.7459385189121468</v>
      </c>
      <c r="AQ29" s="743">
        <f t="shared" ref="AQ29:AQ33" si="71">AQ28</f>
        <v>124.694734508658</v>
      </c>
      <c r="AR29" s="744">
        <f t="shared" ref="AR29:AR33" si="72">AR28</f>
        <v>-61.199526109531803</v>
      </c>
      <c r="AS29" s="743">
        <f t="shared" ref="AS29:AT33" si="73">AS28</f>
        <v>0.01</v>
      </c>
      <c r="AT29" s="744">
        <f t="shared" ref="AT29" si="74">AT28</f>
        <v>2.2957635792408801E-15</v>
      </c>
      <c r="AU29" s="760">
        <f t="shared" ref="AU29:AV29" si="75">AU28</f>
        <v>50.337030261382068</v>
      </c>
      <c r="AV29" s="761">
        <f t="shared" si="75"/>
        <v>6.0000000000009187E-3</v>
      </c>
      <c r="AW29" s="760">
        <f>AW28</f>
        <v>124.694734508658</v>
      </c>
      <c r="AX29" s="761">
        <f>AX28</f>
        <v>0.01</v>
      </c>
      <c r="AY29" s="760">
        <f>AY28</f>
        <v>-61.199526109531803</v>
      </c>
      <c r="AZ29" s="761">
        <f>AZ28</f>
        <v>2.2957635792408801E-15</v>
      </c>
      <c r="BA29" s="767">
        <f t="shared" ref="BA29:BD29" si="76">BA28</f>
        <v>55.413923614097357</v>
      </c>
      <c r="BB29" s="768">
        <f t="shared" si="76"/>
        <v>4.7519385189121452</v>
      </c>
      <c r="BC29" s="767">
        <f t="shared" si="76"/>
        <v>129.77162786137328</v>
      </c>
      <c r="BD29" s="768">
        <f t="shared" si="76"/>
        <v>4.7559385189121439</v>
      </c>
      <c r="BE29" s="767">
        <f>BE28</f>
        <v>-56.122632756816515</v>
      </c>
      <c r="BF29" s="768">
        <f>BF28</f>
        <v>4.7459385189121468</v>
      </c>
      <c r="BG29" s="767">
        <f t="shared" ref="BG29:BH33" si="77">BG28</f>
        <v>129.77162786137328</v>
      </c>
      <c r="BH29" s="799">
        <f t="shared" si="77"/>
        <v>4.7559385189121439</v>
      </c>
      <c r="BI29" s="767">
        <f>IF(MAIN!D$21="N",CC29+ABS(BO29),MAX(BA29+CC29,BC29,  ABS(BE29-   IF(DB$19="Top",Slen!N$28,Slen!N$27)   *CC29/2-2*P$26)             ))</f>
        <v>129.77162786137328</v>
      </c>
      <c r="BJ29" s="768">
        <f>IF(MAIN!D$22="N",CD29+ABS(BQ29),MAX(BB29+CD29,BD29,     ABS(BF29-     IF(DC$19="Top",Slen!N$11,Slen!N$10)   *CD29/2-2*R$26)              ))</f>
        <v>4.7559385189121439</v>
      </c>
      <c r="BK29" s="767">
        <f>IF(MAIN!D$21="N",CC29+ABS(BO29),MAX(BA29+CC29,BC29,  ABS(BE29-    IF(DB$19="Top",Slen!N$28,Slen!N$27)   *CC29/2-2*P$26)             ))</f>
        <v>129.77162786137328</v>
      </c>
      <c r="BL29" s="768">
        <f>IF(MAIN!D$22="N",CD29+ABS(AS29),MAX(AV29+CF29,AX29,   ABS(AZ29-   IF(DC$19="Top",Slen!N$11,Slen!N$10)    *CF29/2)                    ))</f>
        <v>0.01</v>
      </c>
      <c r="BM29" s="767">
        <f>IF(MAIN!D$21="N",CC29+ABS(AQ29),MAX(AU29+CE29,AW29,   ABS(AY29-     IF(DB$19="Top",Slen!N$28,Slen!N$27)    *CE29/2)             ))</f>
        <v>124.694734508658</v>
      </c>
      <c r="BN29" s="768">
        <f>IF(MAIN!D$22="N",CD29+ABS(BQ29),MAX(BB29+CD29,BD29,   ABS(BF29-   IF(DC$19="Top",Slen!N$11,Slen!N$10)   *CD29/2-2*R$26)                ))</f>
        <v>4.7559385189121439</v>
      </c>
      <c r="BO29" s="811">
        <f>BO28</f>
        <v>129.77162786137328</v>
      </c>
      <c r="BP29" s="808">
        <f>BP28</f>
        <v>-56.122632756816515</v>
      </c>
      <c r="BQ29" s="807">
        <f>BQ28</f>
        <v>4.7559385189121439</v>
      </c>
      <c r="BR29" s="808">
        <f>BR28</f>
        <v>4.7459385189121468</v>
      </c>
      <c r="BS29" s="324">
        <f>MIN(1,(Slen!I35-H$26)/(Slen!I35-Slen!J35))</f>
        <v>1</v>
      </c>
      <c r="BT29" s="324">
        <f>MIN(1,(Slen!I18-H$26)/(Slen!I18-Slen!J18))</f>
        <v>1</v>
      </c>
      <c r="BU29" s="748">
        <f>MIN(50,Slen!K35*(1.7-IF(LEFT(MAIN!D$21)="N",1,BP29/BO29))/SQRT(H$26))</f>
        <v>50</v>
      </c>
      <c r="BV29" s="748">
        <f>MIN(50,Slen!K18*(1.7-IF(LEFT(MAIN!D$22)="N",1,BR29/BQ29))/SQRT(H$26))</f>
        <v>48.89116968895523</v>
      </c>
      <c r="BW29" s="748">
        <f>MIN(50,Slen!K35*(1.7-IF(LEFT(MAIN!D$21)="N",1,AR29/AQ29))/SQRT(H$26))</f>
        <v>50</v>
      </c>
      <c r="BX29" s="748">
        <f>MIN(50,Slen!K18*(1.7-IF(LEFT(MAIN!D$22)="N",1,AT29/AS29))/SQRT(H$26))</f>
        <v>50</v>
      </c>
      <c r="BY29" s="324">
        <f>IF(AND(MAIN!C$11&lt;=2,Slen!G35&lt;=75,1000*ABS(BO29)/MAIN!C$43&gt;=MAIN!C$13),1,MAX(1,1+F9*T$26))</f>
        <v>1.6012088579434463</v>
      </c>
      <c r="BZ29" s="324">
        <f>IF(AND(MAIN!C$11&lt;=2,Slen!G18&lt;=75,1000*ABS(BQ29)/MAIN!C$43&gt;=MAIN!C$14),1,MAX(1,1+G9*T$26))</f>
        <v>1.4250995926541479</v>
      </c>
      <c r="CA29" s="403">
        <f t="shared" ref="CA29:CA33" si="78">BS29*BY29*H9</f>
        <v>6.7498328904715668E-6</v>
      </c>
      <c r="CB29" s="403">
        <f t="shared" ref="CB29:CB33" si="79">BT29*BZ29*I9</f>
        <v>2.7985931280274692E-5</v>
      </c>
      <c r="CC29" s="403">
        <f>1000*IF(Slen!G35&gt;BU29,E$26*CA29*(Slen!G$29/1000)^2/IF(MAIN!D$43=MAIN!F$43,8,PI()^2),0)</f>
        <v>0</v>
      </c>
      <c r="CD29" s="403">
        <f>1000*IF(Slen!G18&gt;BV29,E$26*CB29*(Slen!G$12/1000)^2/IF(MAIN!E$43=MAIN!G$43,8,PI()^2),0)</f>
        <v>0</v>
      </c>
      <c r="CE29" s="403">
        <f>1000*IF(Slen!G35&gt;BW29,E$26*CA29*(Slen!G$29/1000)^2/IF(MAIN!D$43=MAIN!F$43,8,PI()^2),0)</f>
        <v>0</v>
      </c>
      <c r="CF29" s="403">
        <f>1000*IF(Slen!G18&gt;BX29,E$26*CB29*(Slen!G$12/1000)^2/IF(MAIN!E$43=MAIN!G$43,8,PI()^2),0)</f>
        <v>0</v>
      </c>
      <c r="CG29" s="261">
        <f t="shared" ref="CG29:CG33" si="80">(BK29/U29)^X29+(BL29/V29)^X29</f>
        <v>7.866750924387271E-2</v>
      </c>
      <c r="CH29" s="261">
        <f t="shared" si="68"/>
        <v>8.8130678740173052E-2</v>
      </c>
      <c r="CI29" s="304" t="str">
        <f t="shared" ref="CI29:CI33" si="81">IF(ISERROR(E9),0,    IF(AND(CK29&gt;CG29,CK29&gt;CH29),"NO",      IF(CG29&gt;      CH29,"Y","Z")))</f>
        <v>Z</v>
      </c>
      <c r="CJ29" s="261">
        <f t="shared" ref="CJ29:CJ33" si="82">(BI29/U29)^X29+(BJ29/V29)^X29</f>
        <v>9.1207255796044273E-2</v>
      </c>
      <c r="CK29" s="261">
        <f t="shared" ref="CK29:CK33" si="83">(BM29/U29)^X29+(BL29/V29)^X29</f>
        <v>7.5590932188001489E-2</v>
      </c>
      <c r="CN29" s="724">
        <f>MAIN!B42</f>
        <v>1</v>
      </c>
      <c r="CQ29" s="726">
        <f>AP18</f>
        <v>4.9767018505885616</v>
      </c>
      <c r="CR29" s="726">
        <f>AO18</f>
        <v>4.9867018505885587</v>
      </c>
      <c r="CS29" s="793">
        <f t="shared" ref="CS29:CS34" si="84">CS18</f>
        <v>16</v>
      </c>
      <c r="CT29" s="726">
        <f>IF(OR(CO18="Z",Calc!V58="BOTH"),BV24,BX24)</f>
        <v>39.795419839047383</v>
      </c>
      <c r="CU29" s="726">
        <f>H24</f>
        <v>1</v>
      </c>
      <c r="CV29" s="726">
        <f>V24</f>
        <v>181.16743919664179</v>
      </c>
      <c r="CZ29" s="726">
        <f>AS18</f>
        <v>0.01</v>
      </c>
      <c r="DA29" s="726">
        <f>AT18</f>
        <v>2.2957635792408801E-15</v>
      </c>
    </row>
    <row r="30" spans="2:117" ht="18">
      <c r="B30" s="367">
        <f t="shared" si="56"/>
        <v>25</v>
      </c>
      <c r="C30" s="412">
        <f t="shared" si="56"/>
        <v>9445.4349940938246</v>
      </c>
      <c r="D30" s="304">
        <f t="shared" si="57"/>
        <v>0.15550850748613812</v>
      </c>
      <c r="E30" s="304" t="str">
        <f>IF(AND(D30&lt;=1,E26&lt;=C30,D$10&gt;=F26),"ok","Fails")</f>
        <v>ok</v>
      </c>
      <c r="F30" s="304">
        <f>IF(AND(E30="ok",SUM(F31:F33)=0),B30,0)</f>
        <v>0</v>
      </c>
      <c r="G30" s="324">
        <f>MIN(1,(Slen!I36-H$26)/(Slen!I36-Slen!J36))</f>
        <v>1</v>
      </c>
      <c r="H30" s="324">
        <f>MIN(1,(Slen!I19-H$26)/(Slen!I19-Slen!J19))</f>
        <v>1</v>
      </c>
      <c r="I30" s="825">
        <f>MIN(50,Slen!K36*(1.7-IF(LEFT(MAIN!D$21)="N",1,AN30/AM30))/SQRT(H$26))</f>
        <v>50</v>
      </c>
      <c r="J30" s="826">
        <f>MIN(50,Slen!K19*(1.7-IF(LEFT(MAIN!D$22)="N",1,AP30/AO30))/SQRT(H$26))</f>
        <v>44.849755971166175</v>
      </c>
      <c r="K30" s="324">
        <f>IF(AND(MAIN!C$11&lt;=2,Slen!G36&lt;=75,1000*ABS(Cases!AM$28)/MAIN!C$43&gt;=MAIN!C$13),1,MAX(1,1+F10*T$16))</f>
        <v>1.6012088579434463</v>
      </c>
      <c r="L30" s="324">
        <f>IF(AND(MAIN!C$11&lt;=2,Slen!G19&lt;=75,1000*ABS(Cases!AO$28)/MAIN!C$43&gt;=MAIN!C$14),1,MAX(1,1+G10*T$16))</f>
        <v>1.4250995926541479</v>
      </c>
      <c r="M30" s="403">
        <f>G30*K30*H$10</f>
        <v>6.729280985193924E-6</v>
      </c>
      <c r="N30" s="403">
        <f>H30*L30*I$10</f>
        <v>2.7593343065922141E-5</v>
      </c>
      <c r="O30" s="403">
        <f>1000*IF(Slen!G36&gt;I30,E$26*M30*(Slen!G$29/1000)^2/IF(MAIN!D$43=MAIN!F$43,8,PI()^2),0)</f>
        <v>0</v>
      </c>
      <c r="P30" s="403">
        <f>1000*IF(Slen!G19&gt;J30,E$26*N30*(Slen!G$12/1000)^2/IF(MAIN!E$43=MAIN!G$43,8,PI()^2),0)</f>
        <v>0</v>
      </c>
      <c r="Q30" s="796">
        <f t="shared" si="69"/>
        <v>124.694734508658</v>
      </c>
      <c r="R30" s="629">
        <f t="shared" si="70"/>
        <v>14.710938341181979</v>
      </c>
      <c r="S30" s="630">
        <f t="shared" si="58"/>
        <v>4.1748840407126253E-3</v>
      </c>
      <c r="T30" s="630">
        <f t="shared" si="59"/>
        <v>1.7088234180165588E-2</v>
      </c>
      <c r="U30" s="322">
        <f>IF(E26&gt;E$10,0,AA30+AC30*(E26-AB30)/AD30)</f>
        <v>1216.0561355013574</v>
      </c>
      <c r="V30" s="322">
        <f>IF(E26&gt;E$10,0,AE30+AG30*(E26-AF30)/AH30)</f>
        <v>277.73136000329293</v>
      </c>
      <c r="W30" s="403">
        <f>1000*MAIN!C$43/J10</f>
        <v>7.4543229511670209E-2</v>
      </c>
      <c r="X30" s="261">
        <f t="shared" si="60"/>
        <v>1</v>
      </c>
      <c r="Y30" s="403">
        <f t="shared" si="61"/>
        <v>0.15550850748613812</v>
      </c>
      <c r="Z30" s="409" t="str">
        <f t="shared" si="62"/>
        <v>Z</v>
      </c>
      <c r="AA30" s="413">
        <f>HLOOKUP(E26,Ycal!D$163:BO$164,2)</f>
        <v>1170.3683902170228</v>
      </c>
      <c r="AB30" s="322">
        <f>HLOOKUP(E26,Ycal!D$163:BO$164,1)</f>
        <v>583.02939578855364</v>
      </c>
      <c r="AC30" s="322">
        <f>HLOOKUP(E26,Ycal!D$163:BO$168,5)</f>
        <v>46.122354829132291</v>
      </c>
      <c r="AD30" s="414">
        <f>HLOOKUP(E26,Ycal!D$163:BO$168,4)</f>
        <v>153.96836044154259</v>
      </c>
      <c r="AE30" s="413">
        <f>HLOOKUP(E26,Zcal!D$163:BO$164,2)</f>
        <v>273.55261193255569</v>
      </c>
      <c r="AF30" s="322">
        <f>HLOOKUP(E26,Zcal!D$163:BO$164,1)</f>
        <v>693.86784575921979</v>
      </c>
      <c r="AG30" s="322">
        <f>HLOOKUP(E26,Zcal!D$163:BO$168,5)</f>
        <v>7.1720979391645301</v>
      </c>
      <c r="AH30" s="414">
        <f>HLOOKUP(E26,Zcal!D$163:BO$168,4)</f>
        <v>71.534913403721134</v>
      </c>
      <c r="AJ30" s="794">
        <f xml:space="preserve"> IF(OR(MAIN!E$29="BOTH AXES",Z30 ="Y"),         MAX(P$25,BI30),     BM30)</f>
        <v>124.694734508658</v>
      </c>
      <c r="AK30" s="677">
        <f xml:space="preserve">       IF(OR(MAIN!E$29="BOTH AXES",Z30 ="Z"),    MAX(R$25,BJ30),           BL30)</f>
        <v>14.710938341181979</v>
      </c>
      <c r="AL30" s="672" t="str">
        <f t="shared" si="63"/>
        <v>Z</v>
      </c>
      <c r="AM30" s="639">
        <f t="shared" si="64"/>
        <v>124.694734508658</v>
      </c>
      <c r="AN30" s="640">
        <f t="shared" si="65"/>
        <v>-61.199526109531803</v>
      </c>
      <c r="AO30" s="639">
        <f t="shared" si="66"/>
        <v>4.7559385189121439</v>
      </c>
      <c r="AP30" s="640">
        <f t="shared" si="67"/>
        <v>4.7459385189121468</v>
      </c>
      <c r="AQ30" s="743">
        <f t="shared" si="71"/>
        <v>124.694734508658</v>
      </c>
      <c r="AR30" s="744">
        <f t="shared" si="72"/>
        <v>-61.199526109531803</v>
      </c>
      <c r="AS30" s="743">
        <f t="shared" si="73"/>
        <v>0.01</v>
      </c>
      <c r="AT30" s="744">
        <f t="shared" si="73"/>
        <v>2.2957635792408801E-15</v>
      </c>
      <c r="AU30" s="760">
        <f t="shared" ref="AU30:BF33" si="85">AU29</f>
        <v>50.337030261382068</v>
      </c>
      <c r="AV30" s="761">
        <f t="shared" si="85"/>
        <v>6.0000000000009187E-3</v>
      </c>
      <c r="AW30" s="760">
        <f t="shared" si="85"/>
        <v>124.694734508658</v>
      </c>
      <c r="AX30" s="761">
        <f t="shared" si="85"/>
        <v>0.01</v>
      </c>
      <c r="AY30" s="760">
        <f t="shared" si="85"/>
        <v>-61.199526109531803</v>
      </c>
      <c r="AZ30" s="761">
        <f t="shared" si="85"/>
        <v>2.2957635792408801E-15</v>
      </c>
      <c r="BA30" s="767">
        <f t="shared" si="85"/>
        <v>55.413923614097357</v>
      </c>
      <c r="BB30" s="768">
        <f t="shared" si="85"/>
        <v>4.7519385189121452</v>
      </c>
      <c r="BC30" s="767">
        <f t="shared" si="85"/>
        <v>129.77162786137328</v>
      </c>
      <c r="BD30" s="768">
        <f t="shared" si="85"/>
        <v>4.7559385189121439</v>
      </c>
      <c r="BE30" s="767">
        <f t="shared" si="85"/>
        <v>-56.122632756816515</v>
      </c>
      <c r="BF30" s="768">
        <f t="shared" si="85"/>
        <v>4.7459385189121468</v>
      </c>
      <c r="BG30" s="767">
        <f t="shared" si="77"/>
        <v>129.77162786137328</v>
      </c>
      <c r="BH30" s="799">
        <f t="shared" si="77"/>
        <v>4.7559385189121439</v>
      </c>
      <c r="BI30" s="767">
        <f>IF(MAIN!D$21="N",CC30+ABS(BO30),MAX(BA30+CC30,BC30,  ABS(BE30-   IF(DB$19="Top",Slen!N$28,Slen!N$27)   *CC30/2-2*P$26)             ))</f>
        <v>129.77162786137328</v>
      </c>
      <c r="BJ30" s="768">
        <f>IF(MAIN!D$22="N",CD30+ABS(BQ30),MAX(BB30+CD30,BD30,     ABS(BF30-     IF(DC$19="Top",Slen!N$11,Slen!N$10)   *CD30/2-2*R$26)              ))</f>
        <v>4.7559385189121439</v>
      </c>
      <c r="BK30" s="767">
        <f>IF(MAIN!D$21="N",CC30+ABS(BO30),MAX(BA30+CC30,BC30,  ABS(BE30-    IF(DB$19="Top",Slen!N$28,Slen!N$27)   *CC30/2-2*P$26)             ))</f>
        <v>129.77162786137328</v>
      </c>
      <c r="BL30" s="768">
        <f>IF(MAIN!D$22="N",CD30+ABS(AS30),MAX(AV30+CF30,AX30,   ABS(AZ30-   IF(DC$19="Top",Slen!N$11,Slen!N$10)    *CF30/2)                    ))</f>
        <v>0.01</v>
      </c>
      <c r="BM30" s="767">
        <f>IF(MAIN!D$21="N",CC30+ABS(AQ30),MAX(AU30+CE30,AW30,   ABS(AY30-     IF(DB$19="Top",Slen!N$28,Slen!N$27)    *CE30/2)             ))</f>
        <v>124.694734508658</v>
      </c>
      <c r="BN30" s="768">
        <f>IF(MAIN!D$22="N",CD30+ABS(BQ30),MAX(BB30+CD30,BD30,   ABS(BF30-   IF(DC$19="Top",Slen!N$11,Slen!N$10)   *CD30/2-2*R$26)                ))</f>
        <v>4.7559385189121439</v>
      </c>
      <c r="BO30" s="811">
        <f t="shared" ref="BO30:BO33" si="86">BO29</f>
        <v>129.77162786137328</v>
      </c>
      <c r="BP30" s="808">
        <f t="shared" ref="BP30:BP33" si="87">BP29</f>
        <v>-56.122632756816515</v>
      </c>
      <c r="BQ30" s="807">
        <f t="shared" ref="BQ30:BQ33" si="88">BQ29</f>
        <v>4.7559385189121439</v>
      </c>
      <c r="BR30" s="808">
        <f t="shared" ref="BR30:BR33" si="89">BR29</f>
        <v>4.7459385189121468</v>
      </c>
      <c r="BS30" s="324">
        <f>MIN(1,(Slen!I36-H$26)/(Slen!I36-Slen!J36))</f>
        <v>1</v>
      </c>
      <c r="BT30" s="324">
        <f>MIN(1,(Slen!I19-H$26)/(Slen!I19-Slen!J19))</f>
        <v>1</v>
      </c>
      <c r="BU30" s="748">
        <f>MIN(50,Slen!K36*(1.7-IF(LEFT(MAIN!D$21)="N",1,BP30/BO30))/SQRT(H$26))</f>
        <v>50</v>
      </c>
      <c r="BV30" s="748">
        <f>MIN(50,Slen!K19*(1.7-IF(LEFT(MAIN!D$22)="N",1,BR30/BQ30))/SQRT(H$26))</f>
        <v>44.849755971166175</v>
      </c>
      <c r="BW30" s="748">
        <f>MIN(50,Slen!K36*(1.7-IF(LEFT(MAIN!D$21)="N",1,AR30/AQ30))/SQRT(H$26))</f>
        <v>50</v>
      </c>
      <c r="BX30" s="748">
        <f>MIN(50,Slen!K19*(1.7-IF(LEFT(MAIN!D$22)="N",1,AT30/AS30))/SQRT(H$26))</f>
        <v>50</v>
      </c>
      <c r="BY30" s="324">
        <f>IF(AND(MAIN!C$11&lt;=2,Slen!G36&lt;=75,1000*ABS(BO30)/MAIN!C$43&gt;=MAIN!C$13),1,MAX(1,1+F10*T$26))</f>
        <v>1.6012088579434463</v>
      </c>
      <c r="BZ30" s="324">
        <f>IF(AND(MAIN!C$11&lt;=2,Slen!G19&lt;=75,1000*ABS(BQ30)/MAIN!C$43&gt;=MAIN!C$14),1,MAX(1,1+G10*T$26))</f>
        <v>1.4250995926541479</v>
      </c>
      <c r="CA30" s="403">
        <f t="shared" si="78"/>
        <v>6.729280985193924E-6</v>
      </c>
      <c r="CB30" s="403">
        <f t="shared" si="79"/>
        <v>2.7593343065922141E-5</v>
      </c>
      <c r="CC30" s="403">
        <f>1000*IF(Slen!G36&gt;BU30,E$26*CA30*(Slen!G$29/1000)^2/IF(MAIN!D$43=MAIN!F$43,8,PI()^2),0)</f>
        <v>0</v>
      </c>
      <c r="CD30" s="403">
        <f>1000*IF(Slen!G19&gt;BV30,E$26*CB30*(Slen!G$12/1000)^2/IF(MAIN!E$43=MAIN!G$43,8,PI()^2),0)</f>
        <v>0</v>
      </c>
      <c r="CE30" s="403">
        <f>1000*IF(Slen!G36&gt;BW30,E$26*CA30*(Slen!G$29/1000)^2/IF(MAIN!D$43=MAIN!F$43,8,PI()^2),0)</f>
        <v>0</v>
      </c>
      <c r="CF30" s="403">
        <f>1000*IF(Slen!G19&gt;BX30,E$26*CB30*(Slen!G$12/1000)^2/IF(MAIN!E$43=MAIN!G$43,8,PI()^2),0)</f>
        <v>0</v>
      </c>
      <c r="CG30" s="261">
        <f t="shared" si="80"/>
        <v>0.10675116831299516</v>
      </c>
      <c r="CH30" s="261">
        <f t="shared" si="68"/>
        <v>0.11966451845244813</v>
      </c>
      <c r="CI30" s="304" t="str">
        <f t="shared" si="81"/>
        <v>Z</v>
      </c>
      <c r="CJ30" s="261">
        <f t="shared" si="82"/>
        <v>0.12383940249316075</v>
      </c>
      <c r="CK30" s="261">
        <f t="shared" si="83"/>
        <v>0.10257628427228255</v>
      </c>
      <c r="CN30" s="724">
        <f>MAIN!B43</f>
        <v>2</v>
      </c>
      <c r="CQ30" s="726">
        <f>AP28</f>
        <v>4.7459385189121468</v>
      </c>
      <c r="CR30" s="726">
        <f>AO28</f>
        <v>4.7559385189121439</v>
      </c>
      <c r="CS30" s="793">
        <f t="shared" si="84"/>
        <v>16</v>
      </c>
      <c r="CT30" s="726">
        <f>IF(OR(CO19="Z",Calc!V58="BOTH"),BV34,BX34)</f>
        <v>40.7570779023293</v>
      </c>
      <c r="CU30" s="726">
        <f>H34</f>
        <v>1</v>
      </c>
      <c r="CV30" s="726">
        <f>V34</f>
        <v>177.28666158967761</v>
      </c>
      <c r="CZ30" s="726">
        <f>AS28</f>
        <v>0.01</v>
      </c>
      <c r="DA30" s="726">
        <f>AT28</f>
        <v>2.2957635792408801E-15</v>
      </c>
      <c r="DK30" s="725"/>
    </row>
    <row r="31" spans="2:117" ht="18">
      <c r="B31" s="367">
        <f t="shared" si="56"/>
        <v>20</v>
      </c>
      <c r="C31" s="412">
        <f t="shared" si="56"/>
        <v>8982.6783962200461</v>
      </c>
      <c r="D31" s="304">
        <f t="shared" si="57"/>
        <v>0.19919316297614881</v>
      </c>
      <c r="E31" s="304" t="str">
        <f>IF(AND(D31&lt;=1,E26&lt;=C31,D$11&gt;=F26),"ok","Fails")</f>
        <v>ok</v>
      </c>
      <c r="F31" s="304">
        <f>IF(AND(E31="ok",SUM(F32:F33)=0),B31,0)</f>
        <v>0</v>
      </c>
      <c r="G31" s="324">
        <f>MIN(1,(Slen!I37-H$26)/(Slen!I37-Slen!J37))</f>
        <v>1</v>
      </c>
      <c r="H31" s="324">
        <f>MIN(1,(Slen!I20-H$26)/(Slen!I20-Slen!J20))</f>
        <v>1</v>
      </c>
      <c r="I31" s="825">
        <f>MIN(50,Slen!K37*(1.7-IF(LEFT(MAIN!D$21)="N",1,AN31/AM31))/SQRT(H$26))</f>
        <v>50</v>
      </c>
      <c r="J31" s="826">
        <f>MIN(50,Slen!K20*(1.7-IF(LEFT(MAIN!D$22)="N",1,AP31/AO31))/SQRT(H$26))</f>
        <v>42.401246745701386</v>
      </c>
      <c r="K31" s="324">
        <f>IF(AND(MAIN!C$11&lt;=2,Slen!G37&lt;=75,1000*ABS(Cases!AM$28)/MAIN!C$43&gt;=MAIN!C$13),1,MAX(1,1+F11*T$16))</f>
        <v>1.6012088579434463</v>
      </c>
      <c r="L31" s="324">
        <f>IF(AND(MAIN!C$11&lt;=2,Slen!G20&lt;=75,1000*ABS(Cases!AO$28)/MAIN!C$43&gt;=MAIN!C$14),1,MAX(1,1+G11*T$16))</f>
        <v>1.4250995926541479</v>
      </c>
      <c r="M31" s="403">
        <f>G31*K31*H$11</f>
        <v>6.7146775108336949E-6</v>
      </c>
      <c r="N31" s="403">
        <f>H31*L31*I$11</f>
        <v>2.7319599583125293E-5</v>
      </c>
      <c r="O31" s="403">
        <f>1000*IF(Slen!G37&gt;I31,E$26*M31*(Slen!G$29/1000)^2/IF(MAIN!D$43=MAIN!F$43,8,PI()^2),0)</f>
        <v>0</v>
      </c>
      <c r="P31" s="403">
        <f>1000*IF(Slen!G20&gt;J31,E$26*N31*(Slen!G$12/1000)^2/IF(MAIN!E$43=MAIN!G$43,8,PI()^2),0)</f>
        <v>0</v>
      </c>
      <c r="Q31" s="796">
        <f t="shared" si="69"/>
        <v>124.694734508658</v>
      </c>
      <c r="R31" s="629">
        <f t="shared" si="70"/>
        <v>14.710938341181979</v>
      </c>
      <c r="S31" s="630">
        <f t="shared" si="58"/>
        <v>5.35646458608173E-3</v>
      </c>
      <c r="T31" s="630">
        <f t="shared" si="59"/>
        <v>2.1818896373897275E-2</v>
      </c>
      <c r="U31" s="322">
        <f>IF(E26&gt;E$11,0,AA31+AC31*(E26-AB31)/AD31)</f>
        <v>947.80676155446224</v>
      </c>
      <c r="V31" s="322">
        <f>IF(E26&gt;E$11,0,AE31+AG31*(E26-AF31)/AH31)</f>
        <v>217.51505839634859</v>
      </c>
      <c r="W31" s="403">
        <f>1000*MAIN!C$43/J11</f>
        <v>7.9495142042164096E-2</v>
      </c>
      <c r="X31" s="261">
        <f t="shared" si="60"/>
        <v>1</v>
      </c>
      <c r="Y31" s="403">
        <f t="shared" si="61"/>
        <v>0.19919316297614881</v>
      </c>
      <c r="Z31" s="409" t="str">
        <f t="shared" si="62"/>
        <v>Z</v>
      </c>
      <c r="AA31" s="413">
        <f>HLOOKUP(E26,Ycal!D$215:BO$216,2)</f>
        <v>916.44016088388548</v>
      </c>
      <c r="AB31" s="322">
        <f>HLOOKUP(E26,Ycal!D$215:BO$216,1)</f>
        <v>659.75075369752381</v>
      </c>
      <c r="AC31" s="322">
        <f>HLOOKUP(E26,Ycal!D$215:BO$220,5)</f>
        <v>37.749991817571299</v>
      </c>
      <c r="AD31" s="414">
        <f>HLOOKUP(E26,Ycal!D$215:BO$220,4)</f>
        <v>91.221378330192806</v>
      </c>
      <c r="AE31" s="413">
        <f>HLOOKUP(E26,Zcal!D$215:BO$216,2)</f>
        <v>208.8990695085503</v>
      </c>
      <c r="AF31" s="322">
        <f>HLOOKUP(E26,Zcal!D$215:BO$216,1)</f>
        <v>653.53740836086217</v>
      </c>
      <c r="AG31" s="322">
        <f>HLOOKUP(E26,Zcal!D$215:BO$220,5)</f>
        <v>12.01120484318696</v>
      </c>
      <c r="AH31" s="414">
        <f>HLOOKUP(E26,Zcal!D$215:BO$220,4)</f>
        <v>114.32616973991435</v>
      </c>
      <c r="AJ31" s="794">
        <f xml:space="preserve"> IF(OR(MAIN!E$29="BOTH AXES",Z31 ="Y"),         MAX(P$25,BI31),     BM31)</f>
        <v>124.694734508658</v>
      </c>
      <c r="AK31" s="677">
        <f xml:space="preserve">       IF(OR(MAIN!E$29="BOTH AXES",Z31 ="Z"),    MAX(R$25,BJ31),           BL31)</f>
        <v>14.710938341181979</v>
      </c>
      <c r="AL31" s="672" t="str">
        <f t="shared" si="63"/>
        <v>Z</v>
      </c>
      <c r="AM31" s="639">
        <f t="shared" si="64"/>
        <v>124.694734508658</v>
      </c>
      <c r="AN31" s="640">
        <f t="shared" si="65"/>
        <v>-61.199526109531803</v>
      </c>
      <c r="AO31" s="639">
        <f t="shared" si="66"/>
        <v>4.7559385189121439</v>
      </c>
      <c r="AP31" s="640">
        <f t="shared" si="67"/>
        <v>4.7459385189121468</v>
      </c>
      <c r="AQ31" s="743">
        <f t="shared" si="71"/>
        <v>124.694734508658</v>
      </c>
      <c r="AR31" s="744">
        <f t="shared" si="72"/>
        <v>-61.199526109531803</v>
      </c>
      <c r="AS31" s="743">
        <f t="shared" si="73"/>
        <v>0.01</v>
      </c>
      <c r="AT31" s="744">
        <f t="shared" si="73"/>
        <v>2.2957635792408801E-15</v>
      </c>
      <c r="AU31" s="760">
        <f t="shared" si="85"/>
        <v>50.337030261382068</v>
      </c>
      <c r="AV31" s="761">
        <f t="shared" si="85"/>
        <v>6.0000000000009187E-3</v>
      </c>
      <c r="AW31" s="760">
        <f t="shared" si="85"/>
        <v>124.694734508658</v>
      </c>
      <c r="AX31" s="761">
        <f t="shared" si="85"/>
        <v>0.01</v>
      </c>
      <c r="AY31" s="760">
        <f t="shared" si="85"/>
        <v>-61.199526109531803</v>
      </c>
      <c r="AZ31" s="761">
        <f t="shared" si="85"/>
        <v>2.2957635792408801E-15</v>
      </c>
      <c r="BA31" s="767">
        <f t="shared" si="85"/>
        <v>55.413923614097357</v>
      </c>
      <c r="BB31" s="768">
        <f t="shared" si="85"/>
        <v>4.7519385189121452</v>
      </c>
      <c r="BC31" s="767">
        <f t="shared" si="85"/>
        <v>129.77162786137328</v>
      </c>
      <c r="BD31" s="768">
        <f t="shared" si="85"/>
        <v>4.7559385189121439</v>
      </c>
      <c r="BE31" s="767">
        <f t="shared" si="85"/>
        <v>-56.122632756816515</v>
      </c>
      <c r="BF31" s="768">
        <f t="shared" si="85"/>
        <v>4.7459385189121468</v>
      </c>
      <c r="BG31" s="767">
        <f t="shared" si="77"/>
        <v>129.77162786137328</v>
      </c>
      <c r="BH31" s="799">
        <f t="shared" si="77"/>
        <v>4.7559385189121439</v>
      </c>
      <c r="BI31" s="767">
        <f>IF(MAIN!D$21="N",CC31+ABS(BO31),MAX(BA31+CC31,BC31,  ABS(BE31-   IF(DB$19="Top",Slen!N$28,Slen!N$27)   *CC31/2-2*P$26)             ))</f>
        <v>129.77162786137328</v>
      </c>
      <c r="BJ31" s="768">
        <f>IF(MAIN!D$22="N",CD31+ABS(BQ31),MAX(BB31+CD31,BD31,     ABS(BF31-     IF(DC$19="Top",Slen!N$11,Slen!N$10)   *CD31/2-2*R$26)              ))</f>
        <v>4.7559385189121439</v>
      </c>
      <c r="BK31" s="767">
        <f>IF(MAIN!D$21="N",CC31+ABS(BO31),MAX(BA31+CC31,BC31,  ABS(BE31-    IF(DB$19="Top",Slen!N$28,Slen!N$27)   *CC31/2-2*P$26)             ))</f>
        <v>129.77162786137328</v>
      </c>
      <c r="BL31" s="768">
        <f>IF(MAIN!D$22="N",CD31+ABS(AS31),MAX(AV31+CF31,AX31,   ABS(AZ31-   IF(DC$19="Top",Slen!N$11,Slen!N$10)    *CF31/2)                    ))</f>
        <v>0.01</v>
      </c>
      <c r="BM31" s="767">
        <f>IF(MAIN!D$21="N",CC31+ABS(AQ31),MAX(AU31+CE31,AW31,   ABS(AY31-     IF(DB$19="Top",Slen!N$28,Slen!N$27)    *CE31/2)             ))</f>
        <v>124.694734508658</v>
      </c>
      <c r="BN31" s="768">
        <f>IF(MAIN!D$22="N",CD31+ABS(BQ31),MAX(BB31+CD31,BD31,   ABS(BF31-   IF(DC$19="Top",Slen!N$11,Slen!N$10)   *CD31/2-2*R$26)                ))</f>
        <v>4.7559385189121439</v>
      </c>
      <c r="BO31" s="811">
        <f t="shared" si="86"/>
        <v>129.77162786137328</v>
      </c>
      <c r="BP31" s="808">
        <f t="shared" si="87"/>
        <v>-56.122632756816515</v>
      </c>
      <c r="BQ31" s="807">
        <f t="shared" si="88"/>
        <v>4.7559385189121439</v>
      </c>
      <c r="BR31" s="808">
        <f t="shared" si="89"/>
        <v>4.7459385189121468</v>
      </c>
      <c r="BS31" s="324">
        <f>MIN(1,(Slen!I37-H$26)/(Slen!I37-Slen!J37))</f>
        <v>1</v>
      </c>
      <c r="BT31" s="324">
        <f>MIN(1,(Slen!I20-H$26)/(Slen!I20-Slen!J20))</f>
        <v>1</v>
      </c>
      <c r="BU31" s="748">
        <f>MIN(50,Slen!K37*(1.7-IF(LEFT(MAIN!D$21)="N",1,BP31/BO31))/SQRT(H$26))</f>
        <v>50</v>
      </c>
      <c r="BV31" s="748">
        <f>MIN(50,Slen!K20*(1.7-IF(LEFT(MAIN!D$22)="N",1,BR31/BQ31))/SQRT(H$26))</f>
        <v>42.401246745701386</v>
      </c>
      <c r="BW31" s="748">
        <f>MIN(50,Slen!K37*(1.7-IF(LEFT(MAIN!D$21)="N",1,AR31/AQ31))/SQRT(H$26))</f>
        <v>50</v>
      </c>
      <c r="BX31" s="748">
        <f>MIN(50,Slen!K20*(1.7-IF(LEFT(MAIN!D$22)="N",1,AT31/AS31))/SQRT(H$26))</f>
        <v>50</v>
      </c>
      <c r="BY31" s="324">
        <f>IF(AND(MAIN!C$11&lt;=2,Slen!G37&lt;=75,1000*ABS(BO31)/MAIN!C$43&gt;=MAIN!C$13),1,MAX(1,1+F11*T$26))</f>
        <v>1.6012088579434463</v>
      </c>
      <c r="BZ31" s="324">
        <f>IF(AND(MAIN!C$11&lt;=2,Slen!G20&lt;=75,1000*ABS(BQ31)/MAIN!C$43&gt;=MAIN!C$14),1,MAX(1,1+G11*T$26))</f>
        <v>1.4250995926541479</v>
      </c>
      <c r="CA31" s="403">
        <f t="shared" si="78"/>
        <v>6.7146775108336949E-6</v>
      </c>
      <c r="CB31" s="403">
        <f t="shared" si="79"/>
        <v>2.7319599583125293E-5</v>
      </c>
      <c r="CC31" s="403">
        <f>1000*IF(Slen!G37&gt;BU31,E$26*CA31*(Slen!G$29/1000)^2/IF(MAIN!D$43=MAIN!F$43,8,PI()^2),0)</f>
        <v>0</v>
      </c>
      <c r="CD31" s="403">
        <f>1000*IF(Slen!G20&gt;BV31,E$26*CB31*(Slen!G$12/1000)^2/IF(MAIN!E$43=MAIN!G$43,8,PI()^2),0)</f>
        <v>0</v>
      </c>
      <c r="CE31" s="403">
        <f>1000*IF(Slen!G37&gt;BW31,E$26*CA31*(Slen!G$29/1000)^2/IF(MAIN!D$43=MAIN!F$43,8,PI()^2),0)</f>
        <v>0</v>
      </c>
      <c r="CF31" s="403">
        <f>1000*IF(Slen!G20&gt;BX31,E$26*CB31*(Slen!G$12/1000)^2/IF(MAIN!E$43=MAIN!G$43,8,PI()^2),0)</f>
        <v>0</v>
      </c>
      <c r="CG31" s="261">
        <f t="shared" si="80"/>
        <v>0.13696378569194298</v>
      </c>
      <c r="CH31" s="261">
        <f t="shared" si="68"/>
        <v>0.15342621747975851</v>
      </c>
      <c r="CI31" s="304" t="str">
        <f t="shared" si="81"/>
        <v>Z</v>
      </c>
      <c r="CJ31" s="261">
        <f t="shared" si="82"/>
        <v>0.15878268206584023</v>
      </c>
      <c r="CK31" s="261">
        <f t="shared" si="83"/>
        <v>0.13160732110586126</v>
      </c>
      <c r="CN31" s="724">
        <f>MAIN!B44</f>
        <v>3</v>
      </c>
      <c r="CQ31" s="726">
        <f>AP38</f>
        <v>4.7459385189121468</v>
      </c>
      <c r="CR31" s="726">
        <f>AO38</f>
        <v>4.7559385189121439</v>
      </c>
      <c r="CS31" s="793">
        <f t="shared" si="84"/>
        <v>16</v>
      </c>
      <c r="CT31" s="726">
        <f>IF(OR(CO20="Z",Calc!V58="BOTH"),BV44,BX44)</f>
        <v>40.7570779023293</v>
      </c>
      <c r="CU31" s="726">
        <f>H44</f>
        <v>1</v>
      </c>
      <c r="CV31" s="726">
        <f>V44</f>
        <v>177.28666158967761</v>
      </c>
      <c r="CZ31" s="726">
        <f>AS38</f>
        <v>0.01</v>
      </c>
      <c r="DA31" s="726">
        <f>AT38</f>
        <v>2.2957635792408801E-15</v>
      </c>
    </row>
    <row r="32" spans="2:117" ht="18">
      <c r="B32" s="367">
        <f t="shared" si="56"/>
        <v>16</v>
      </c>
      <c r="C32" s="412">
        <f t="shared" si="56"/>
        <v>8686.5141735808302</v>
      </c>
      <c r="D32" s="304">
        <f t="shared" si="57"/>
        <v>0.24766290012059552</v>
      </c>
      <c r="E32" s="304" t="str">
        <f>IF(AND(D32&lt;=1,E26&lt;=C32,D$12&gt;=F26),"ok","Fails")</f>
        <v>ok</v>
      </c>
      <c r="F32" s="304">
        <f>IF(AND(E32="ok",SUM(F33:F33)=0),B32,0)</f>
        <v>0</v>
      </c>
      <c r="G32" s="324">
        <f>MIN(1,(Slen!I38-H$26)/(Slen!I38-Slen!J38))</f>
        <v>1</v>
      </c>
      <c r="H32" s="324">
        <f>MIN(1,(Slen!I21-H$26)/(Slen!I21-Slen!J21))</f>
        <v>1</v>
      </c>
      <c r="I32" s="825">
        <f>MIN(50,Slen!K38*(1.7-IF(LEFT(MAIN!D$21)="N",1,AN32/AM32))/SQRT(H$26))</f>
        <v>50</v>
      </c>
      <c r="J32" s="826">
        <f>MIN(50,Slen!K21*(1.7-IF(LEFT(MAIN!D$22)="N",1,AP32/AO32))/SQRT(H$26))</f>
        <v>40.7570779023293</v>
      </c>
      <c r="K32" s="324">
        <f>IF(AND(MAIN!C$11&lt;=2,Slen!G38&lt;=75,1000*ABS(Cases!AM$28)/MAIN!C$43&gt;=MAIN!C$13),1,MAX(1,1+F12*T$16))</f>
        <v>1.6012088579434463</v>
      </c>
      <c r="L32" s="324">
        <f>IF(AND(MAIN!C$11&lt;=2,Slen!G21&lt;=75,1000*ABS(Cases!AO$28)/MAIN!C$43&gt;=MAIN!C$14),1,MAX(1,1+G12*T$16))</f>
        <v>1.4250995926541479</v>
      </c>
      <c r="M32" s="403">
        <f>G32*K32*H$12</f>
        <v>6.7030402881112786E-6</v>
      </c>
      <c r="N32" s="403">
        <f>H32*L32*I$12</f>
        <v>2.7104484625777852E-5</v>
      </c>
      <c r="O32" s="403">
        <f>1000*IF(Slen!G38&gt;I32,E$26*M32*(Slen!G$29/1000)^2/IF(MAIN!D$43=MAIN!F$43,8,PI()^2),0)</f>
        <v>0</v>
      </c>
      <c r="P32" s="403">
        <f>1000*IF(Slen!G21&gt;J32,E$26*N32*(Slen!G$12/1000)^2/IF(MAIN!E$43=MAIN!G$43,8,PI()^2),0)</f>
        <v>0</v>
      </c>
      <c r="Q32" s="796">
        <f t="shared" si="69"/>
        <v>124.694734508658</v>
      </c>
      <c r="R32" s="629">
        <f t="shared" si="70"/>
        <v>14.710938341181979</v>
      </c>
      <c r="S32" s="630">
        <f t="shared" si="58"/>
        <v>6.7050655209307652E-3</v>
      </c>
      <c r="T32" s="630">
        <f t="shared" si="59"/>
        <v>2.6769856662405972E-2</v>
      </c>
      <c r="U32" s="322">
        <f>IF(E26&gt;E$12,0,AA32+AC32*(E26-AB32)/AD32)</f>
        <v>757.17281760589526</v>
      </c>
      <c r="V32" s="322">
        <f>IF(E26&gt;E$12,0,AE32+AG32*(E26-AF32)/AH32)</f>
        <v>177.28666158967761</v>
      </c>
      <c r="W32" s="403">
        <f>1000*MAIN!C$43/J12</f>
        <v>8.3024969349145827E-2</v>
      </c>
      <c r="X32" s="261">
        <f t="shared" si="60"/>
        <v>1</v>
      </c>
      <c r="Y32" s="403">
        <f t="shared" si="61"/>
        <v>0.24766290012059552</v>
      </c>
      <c r="Z32" s="409" t="str">
        <f t="shared" si="62"/>
        <v>Z</v>
      </c>
      <c r="AA32" s="413">
        <f>HLOOKUP(E26,Ycal!D$267:BO$268,2)</f>
        <v>718.92985375913327</v>
      </c>
      <c r="AB32" s="322">
        <f>HLOOKUP(E26,Ycal!D$267:BO$268,1)</f>
        <v>649.5913565253162</v>
      </c>
      <c r="AC32" s="322">
        <f>HLOOKUP(E26,Ycal!D$267:BO$272,5)</f>
        <v>41.106016921580704</v>
      </c>
      <c r="AD32" s="414">
        <f>HLOOKUP(E26,Ycal!D$267:BO$272,4)</f>
        <v>92.390609157893209</v>
      </c>
      <c r="AE32" s="413">
        <f>HLOOKUP(E26,Zcal!D$267:BO$268,2)</f>
        <v>173.32964506384815</v>
      </c>
      <c r="AF32" s="322">
        <f>HLOOKUP(E26,Zcal!D$267:BO$268,1)</f>
        <v>699.07956913170847</v>
      </c>
      <c r="AG32" s="322">
        <f>HLOOKUP(E26,Zcal!D$267:BO$272,5)</f>
        <v>11.684897677572394</v>
      </c>
      <c r="AH32" s="414">
        <f>HLOOKUP(E26,Zcal!D$267:BO$272,4)</f>
        <v>107.6864921646162</v>
      </c>
      <c r="AJ32" s="794">
        <f xml:space="preserve"> IF(OR(MAIN!E$29="BOTH AXES",Z32 ="Y"),         MAX(P$25,BI32),     BM32)</f>
        <v>124.694734508658</v>
      </c>
      <c r="AK32" s="677">
        <f xml:space="preserve">       IF(OR(MAIN!E$29="BOTH AXES",Z32 ="Z"),    MAX(R$25,BJ32),           BL32)</f>
        <v>14.710938341181979</v>
      </c>
      <c r="AL32" s="672" t="str">
        <f t="shared" si="63"/>
        <v>Z</v>
      </c>
      <c r="AM32" s="639">
        <f t="shared" si="64"/>
        <v>124.694734508658</v>
      </c>
      <c r="AN32" s="640">
        <f t="shared" si="65"/>
        <v>-61.199526109531803</v>
      </c>
      <c r="AO32" s="639">
        <f t="shared" si="66"/>
        <v>4.7559385189121439</v>
      </c>
      <c r="AP32" s="640">
        <f t="shared" si="67"/>
        <v>4.7459385189121468</v>
      </c>
      <c r="AQ32" s="743">
        <f t="shared" si="71"/>
        <v>124.694734508658</v>
      </c>
      <c r="AR32" s="744">
        <f t="shared" si="72"/>
        <v>-61.199526109531803</v>
      </c>
      <c r="AS32" s="743">
        <f t="shared" si="73"/>
        <v>0.01</v>
      </c>
      <c r="AT32" s="744">
        <f t="shared" si="73"/>
        <v>2.2957635792408801E-15</v>
      </c>
      <c r="AU32" s="760">
        <f t="shared" si="85"/>
        <v>50.337030261382068</v>
      </c>
      <c r="AV32" s="761">
        <f t="shared" si="85"/>
        <v>6.0000000000009187E-3</v>
      </c>
      <c r="AW32" s="760">
        <f t="shared" si="85"/>
        <v>124.694734508658</v>
      </c>
      <c r="AX32" s="761">
        <f t="shared" si="85"/>
        <v>0.01</v>
      </c>
      <c r="AY32" s="760">
        <f t="shared" si="85"/>
        <v>-61.199526109531803</v>
      </c>
      <c r="AZ32" s="761">
        <f t="shared" si="85"/>
        <v>2.2957635792408801E-15</v>
      </c>
      <c r="BA32" s="767">
        <f t="shared" si="85"/>
        <v>55.413923614097357</v>
      </c>
      <c r="BB32" s="768">
        <f t="shared" si="85"/>
        <v>4.7519385189121452</v>
      </c>
      <c r="BC32" s="767">
        <f t="shared" si="85"/>
        <v>129.77162786137328</v>
      </c>
      <c r="BD32" s="768">
        <f t="shared" si="85"/>
        <v>4.7559385189121439</v>
      </c>
      <c r="BE32" s="767">
        <f t="shared" si="85"/>
        <v>-56.122632756816515</v>
      </c>
      <c r="BF32" s="768">
        <f t="shared" si="85"/>
        <v>4.7459385189121468</v>
      </c>
      <c r="BG32" s="767">
        <f t="shared" si="77"/>
        <v>129.77162786137328</v>
      </c>
      <c r="BH32" s="799">
        <f t="shared" si="77"/>
        <v>4.7559385189121439</v>
      </c>
      <c r="BI32" s="767">
        <f>IF(MAIN!D$21="N",CC32+ABS(BO32),MAX(BA32+CC32,BC32,  ABS(BE32-   IF(DB$19="Top",Slen!N$28,Slen!N$27)   *CC32/2-2*P$26)             ))</f>
        <v>129.77162786137328</v>
      </c>
      <c r="BJ32" s="768">
        <f>IF(MAIN!D$22="N",CD32+ABS(BQ32),MAX(BB32+CD32,BD32,     ABS(BF32-     IF(DC$19="Top",Slen!N$11,Slen!N$10)   *CD32/2-2*R$26)              ))</f>
        <v>4.7559385189121439</v>
      </c>
      <c r="BK32" s="767">
        <f>IF(MAIN!D$21="N",CC32+ABS(BO32),MAX(BA32+CC32,BC32,  ABS(BE32-    IF(DB$19="Top",Slen!N$28,Slen!N$27)   *CC32/2-2*P$26)             ))</f>
        <v>129.77162786137328</v>
      </c>
      <c r="BL32" s="768">
        <f>IF(MAIN!D$22="N",CD32+ABS(AS32),MAX(AV32+CF32,AX32,   ABS(AZ32-   IF(DC$19="Top",Slen!N$11,Slen!N$10)    *CF32/2)                    ))</f>
        <v>0.01</v>
      </c>
      <c r="BM32" s="767">
        <f>IF(MAIN!D$21="N",CC32+ABS(AQ32),MAX(AU32+CE32,AW32,   ABS(AY32-     IF(DB$19="Top",Slen!N$28,Slen!N$27)    *CE32/2)             ))</f>
        <v>124.694734508658</v>
      </c>
      <c r="BN32" s="768">
        <f>IF(MAIN!D$22="N",CD32+ABS(BQ32),MAX(BB32+CD32,BD32,   ABS(BF32-   IF(DC$19="Top",Slen!N$11,Slen!N$10)   *CD32/2-2*R$26)                ))</f>
        <v>4.7559385189121439</v>
      </c>
      <c r="BO32" s="811">
        <f t="shared" si="86"/>
        <v>129.77162786137328</v>
      </c>
      <c r="BP32" s="808">
        <f t="shared" si="87"/>
        <v>-56.122632756816515</v>
      </c>
      <c r="BQ32" s="807">
        <f t="shared" si="88"/>
        <v>4.7559385189121439</v>
      </c>
      <c r="BR32" s="808">
        <f t="shared" si="89"/>
        <v>4.7459385189121468</v>
      </c>
      <c r="BS32" s="324">
        <f>MIN(1,(Slen!I38-H$26)/(Slen!I38-Slen!J38))</f>
        <v>1</v>
      </c>
      <c r="BT32" s="324">
        <f>MIN(1,(Slen!I21-H$26)/(Slen!I21-Slen!J21))</f>
        <v>1</v>
      </c>
      <c r="BU32" s="748">
        <f>MIN(50,Slen!K38*(1.7-IF(LEFT(MAIN!D$21)="N",1,BP32/BO32))/SQRT(H$26))</f>
        <v>50</v>
      </c>
      <c r="BV32" s="748">
        <f>MIN(50,Slen!K21*(1.7-IF(LEFT(MAIN!D$22)="N",1,BR32/BQ32))/SQRT(H$26))</f>
        <v>40.7570779023293</v>
      </c>
      <c r="BW32" s="748">
        <f>MIN(50,Slen!K38*(1.7-IF(LEFT(MAIN!D$21)="N",1,AR32/AQ32))/SQRT(H$26))</f>
        <v>50</v>
      </c>
      <c r="BX32" s="748">
        <f>MIN(50,Slen!K21*(1.7-IF(LEFT(MAIN!D$22)="N",1,AT32/AS32))/SQRT(H$26))</f>
        <v>50</v>
      </c>
      <c r="BY32" s="324">
        <f>IF(AND(MAIN!C$11&lt;=2,Slen!G38&lt;=75,1000*ABS(BO32)/MAIN!C$43&gt;=MAIN!C$13),1,MAX(1,1+F12*T$26))</f>
        <v>1.6012088579434463</v>
      </c>
      <c r="BZ32" s="324">
        <f>IF(AND(MAIN!C$11&lt;=2,Slen!G21&lt;=75,1000*ABS(BQ32)/MAIN!C$43&gt;=MAIN!C$14),1,MAX(1,1+G12*T$26))</f>
        <v>1.4250995926541479</v>
      </c>
      <c r="CA32" s="403">
        <f t="shared" si="78"/>
        <v>6.7030402881112786E-6</v>
      </c>
      <c r="CB32" s="403">
        <f t="shared" si="79"/>
        <v>2.7104484625777852E-5</v>
      </c>
      <c r="CC32" s="403">
        <f>1000*IF(Slen!G38&gt;BU32,E$26*CA32*(Slen!G$29/1000)^2/IF(MAIN!D$43=MAIN!F$43,8,PI()^2),0)</f>
        <v>0</v>
      </c>
      <c r="CD32" s="403">
        <f>1000*IF(Slen!G21&gt;BV32,E$26*CB32*(Slen!G$12/1000)^2/IF(MAIN!E$43=MAIN!G$43,8,PI()^2),0)</f>
        <v>0</v>
      </c>
      <c r="CE32" s="403">
        <f>1000*IF(Slen!G38&gt;BW32,E$26*CA32*(Slen!G$29/1000)^2/IF(MAIN!D$43=MAIN!F$43,8,PI()^2),0)</f>
        <v>0</v>
      </c>
      <c r="CF32" s="403">
        <f>1000*IF(Slen!G21&gt;BX32,E$26*CB32*(Slen!G$12/1000)^2/IF(MAIN!E$43=MAIN!G$43,8,PI()^2),0)</f>
        <v>0</v>
      </c>
      <c r="CG32" s="261">
        <f t="shared" si="80"/>
        <v>0.17144611348771521</v>
      </c>
      <c r="CH32" s="261">
        <f t="shared" si="68"/>
        <v>0.19151090462919043</v>
      </c>
      <c r="CI32" s="304" t="str">
        <f t="shared" si="81"/>
        <v>Z</v>
      </c>
      <c r="CJ32" s="261">
        <f t="shared" si="82"/>
        <v>0.19821597015012118</v>
      </c>
      <c r="CK32" s="261">
        <f t="shared" si="83"/>
        <v>0.16474104796678446</v>
      </c>
      <c r="CN32" s="724">
        <f>MAIN!B45</f>
        <v>4</v>
      </c>
      <c r="CQ32" s="726" t="e">
        <f>AP48</f>
        <v>#DIV/0!</v>
      </c>
      <c r="CR32" s="726" t="e">
        <f>AO48</f>
        <v>#DIV/0!</v>
      </c>
      <c r="CS32" s="793">
        <f t="shared" si="84"/>
        <v>40</v>
      </c>
      <c r="CT32" s="726" t="e">
        <f>IF(OR(CO21="Z",Calc!V58="BOTH"),BV54,BX54)</f>
        <v>#N/A</v>
      </c>
      <c r="CU32" s="726" t="e">
        <f>H54</f>
        <v>#N/A</v>
      </c>
      <c r="CV32" s="726" t="e">
        <f>V54</f>
        <v>#N/A</v>
      </c>
      <c r="CZ32" s="726">
        <f>AS48</f>
        <v>0.01</v>
      </c>
      <c r="DA32" s="726">
        <f>AT48</f>
        <v>0.01</v>
      </c>
    </row>
    <row r="33" spans="2:105" ht="18">
      <c r="B33" s="367">
        <f t="shared" si="56"/>
        <v>16</v>
      </c>
      <c r="C33" s="415">
        <f t="shared" si="56"/>
        <v>8686.5141735808302</v>
      </c>
      <c r="D33" s="416">
        <f t="shared" si="57"/>
        <v>0.24766290012059552</v>
      </c>
      <c r="E33" s="416" t="str">
        <f>IF(AND(D33&lt;=1,E26&lt;=C33,D$13&gt;=F26),"ok","Fails")</f>
        <v>ok</v>
      </c>
      <c r="F33" s="416">
        <f>IF(E33="ok",B33,0)</f>
        <v>16</v>
      </c>
      <c r="G33" s="269">
        <f>MIN(1,(Slen!I39-H$26)/(Slen!I39-Slen!J39))</f>
        <v>1</v>
      </c>
      <c r="H33" s="269">
        <f>MIN(1,(Slen!I22-H$26)/(Slen!I22-Slen!J22))</f>
        <v>1</v>
      </c>
      <c r="I33" s="827">
        <f>MIN(50,Slen!K39*(1.7-IF(LEFT(MAIN!D$21)="N",1,AN33/AM33))/SQRT(H$26))</f>
        <v>50</v>
      </c>
      <c r="J33" s="828">
        <f>MIN(50,Slen!K22*(1.7-IF(LEFT(MAIN!D$22)="N",1,AP33/AO33))/SQRT(H$26))</f>
        <v>40.7570779023293</v>
      </c>
      <c r="K33" s="269">
        <f>IF(AND(MAIN!C$11&lt;=2,Slen!G39&lt;=75,1000*ABS(Cases!AM$28)/MAIN!C$43&gt;=MAIN!C$13),1,MAX(1,1+F13*T$16))</f>
        <v>1.6012088579434463</v>
      </c>
      <c r="L33" s="269">
        <f>IF(AND(MAIN!C$11&lt;=2,Slen!G22&lt;=75,1000*ABS(Cases!AO$28)/MAIN!C$43&gt;=MAIN!C$14),1,MAX(1,1+G13*T$16))</f>
        <v>1.4250995926541479</v>
      </c>
      <c r="M33" s="406">
        <f>G33*K33*H$13</f>
        <v>6.7030402881112786E-6</v>
      </c>
      <c r="N33" s="406">
        <f>H33*L33*I$13</f>
        <v>2.7104484625777852E-5</v>
      </c>
      <c r="O33" s="406">
        <f>1000*IF(Slen!G39&gt;I33,E$26*M33*(Slen!G$29/1000)^2/IF(MAIN!D$43=MAIN!F$43,8,PI()^2),0)</f>
        <v>0</v>
      </c>
      <c r="P33" s="406">
        <f>1000*IF(Slen!G22&gt;J33,E$26*N33*(Slen!G$12/1000)^2/IF(MAIN!E$43=MAIN!G$43,8,PI()^2),0)</f>
        <v>0</v>
      </c>
      <c r="Q33" s="797">
        <f t="shared" si="69"/>
        <v>124.694734508658</v>
      </c>
      <c r="R33" s="798">
        <f t="shared" si="70"/>
        <v>14.710938341181979</v>
      </c>
      <c r="S33" s="632">
        <f t="shared" si="58"/>
        <v>6.7050655209307652E-3</v>
      </c>
      <c r="T33" s="632">
        <f t="shared" si="59"/>
        <v>2.6769856662405972E-2</v>
      </c>
      <c r="U33" s="266">
        <f>IF(E26&gt;E$13,0,AA33+AC33*(E26-AB33)/AD33)</f>
        <v>757.17281760589526</v>
      </c>
      <c r="V33" s="266">
        <f>IF(E26&gt;E$13,0,AE33+AG33*(E26-AF33)/AH33)</f>
        <v>177.28666158967761</v>
      </c>
      <c r="W33" s="406">
        <f>1000*MAIN!C$43/J13</f>
        <v>8.3024969349145827E-2</v>
      </c>
      <c r="X33" s="325">
        <f t="shared" si="60"/>
        <v>1</v>
      </c>
      <c r="Y33" s="406">
        <f t="shared" si="61"/>
        <v>0.24766290012059552</v>
      </c>
      <c r="Z33" s="409" t="str">
        <f t="shared" si="62"/>
        <v>Z</v>
      </c>
      <c r="AA33" s="417">
        <f>HLOOKUP(E26,Ycal!D$319:BO$320,2)</f>
        <v>718.92985375913327</v>
      </c>
      <c r="AB33" s="266">
        <f>HLOOKUP(E26,Ycal!D$319:BO$320,1)</f>
        <v>649.5913565253162</v>
      </c>
      <c r="AC33" s="266">
        <f>HLOOKUP(E26,Ycal!D$319:BO$323,5)</f>
        <v>41.106016921580704</v>
      </c>
      <c r="AD33" s="418">
        <f>HLOOKUP(E26,Ycal!D$319:BO$323,4)</f>
        <v>92.390609157893209</v>
      </c>
      <c r="AE33" s="417">
        <f>HLOOKUP(E26,Zcal!D$319:BO$320,2)</f>
        <v>173.32964506384815</v>
      </c>
      <c r="AF33" s="266">
        <f>HLOOKUP(E26,Zcal!D$319:BO$320,1)</f>
        <v>699.07956913170847</v>
      </c>
      <c r="AG33" s="266">
        <f>HLOOKUP(E26,Zcal!D$319:BO$323,5)</f>
        <v>11.684897677572394</v>
      </c>
      <c r="AH33" s="418">
        <f>HLOOKUP(E26,Zcal!D$319:BO$323,4)</f>
        <v>107.6864921646162</v>
      </c>
      <c r="AJ33" s="794">
        <f xml:space="preserve"> IF(OR(MAIN!E$29="BOTH AXES",Z33 ="Y"),         MAX(P$25,BI33),     BM33)</f>
        <v>124.694734508658</v>
      </c>
      <c r="AK33" s="677">
        <f xml:space="preserve">       IF(OR(MAIN!E$29="BOTH AXES",Z33 ="Z"),    MAX(R$25,BJ33),           BL33)</f>
        <v>14.710938341181979</v>
      </c>
      <c r="AL33" s="672" t="str">
        <f t="shared" si="63"/>
        <v>Z</v>
      </c>
      <c r="AM33" s="641">
        <f t="shared" si="64"/>
        <v>124.694734508658</v>
      </c>
      <c r="AN33" s="642">
        <f t="shared" si="65"/>
        <v>-61.199526109531803</v>
      </c>
      <c r="AO33" s="641">
        <f t="shared" si="66"/>
        <v>4.7559385189121439</v>
      </c>
      <c r="AP33" s="642">
        <f t="shared" si="67"/>
        <v>4.7459385189121468</v>
      </c>
      <c r="AQ33" s="745">
        <f t="shared" si="71"/>
        <v>124.694734508658</v>
      </c>
      <c r="AR33" s="746">
        <f t="shared" si="72"/>
        <v>-61.199526109531803</v>
      </c>
      <c r="AS33" s="745">
        <f t="shared" si="73"/>
        <v>0.01</v>
      </c>
      <c r="AT33" s="746">
        <f t="shared" si="73"/>
        <v>2.2957635792408801E-15</v>
      </c>
      <c r="AU33" s="762">
        <f t="shared" si="85"/>
        <v>50.337030261382068</v>
      </c>
      <c r="AV33" s="763">
        <f t="shared" si="85"/>
        <v>6.0000000000009187E-3</v>
      </c>
      <c r="AW33" s="762">
        <f>AW32</f>
        <v>124.694734508658</v>
      </c>
      <c r="AX33" s="763">
        <f>AX32</f>
        <v>0.01</v>
      </c>
      <c r="AY33" s="762">
        <f t="shared" si="85"/>
        <v>-61.199526109531803</v>
      </c>
      <c r="AZ33" s="763">
        <f t="shared" si="85"/>
        <v>2.2957635792408801E-15</v>
      </c>
      <c r="BA33" s="769">
        <f t="shared" si="85"/>
        <v>55.413923614097357</v>
      </c>
      <c r="BB33" s="770">
        <f t="shared" si="85"/>
        <v>4.7519385189121452</v>
      </c>
      <c r="BC33" s="769">
        <f t="shared" si="85"/>
        <v>129.77162786137328</v>
      </c>
      <c r="BD33" s="770">
        <f t="shared" si="85"/>
        <v>4.7559385189121439</v>
      </c>
      <c r="BE33" s="769">
        <f t="shared" si="85"/>
        <v>-56.122632756816515</v>
      </c>
      <c r="BF33" s="770">
        <f t="shared" si="85"/>
        <v>4.7459385189121468</v>
      </c>
      <c r="BG33" s="769">
        <f t="shared" si="77"/>
        <v>129.77162786137328</v>
      </c>
      <c r="BH33" s="800">
        <f t="shared" si="77"/>
        <v>4.7559385189121439</v>
      </c>
      <c r="BI33" s="769">
        <f>IF(MAIN!D$21="N",CC33+ABS(BO33),MAX(BA33+CC33,BC33,  ABS(BE33-   IF(DB$19="Top",Slen!N$28,Slen!N$27)   *CC33/2-2*P$26)             ))</f>
        <v>129.77162786137328</v>
      </c>
      <c r="BJ33" s="770">
        <f>IF(MAIN!D$22="N",CD33+ABS(BQ33),MAX(BB33+CD33,BD33,     ABS(BF33-     IF(DC$19="Top",Slen!N$11,Slen!N$10)   *CD33/2-2*R$26)              ))</f>
        <v>4.7559385189121439</v>
      </c>
      <c r="BK33" s="769">
        <f>IF(MAIN!D$21="N",CC33+ABS(BO33),MAX(BA33+CC33,BC33,  ABS(BE33-    IF(DB$19="Top",Slen!N$28,Slen!N$27)   *CC33/2-2*P$26)             ))</f>
        <v>129.77162786137328</v>
      </c>
      <c r="BL33" s="770">
        <f>IF(MAIN!D$22="N",CD33+ABS(AS33),MAX(AV33+CF33,AX33,   ABS(AZ33-   IF(DC$19="Top",Slen!N$11,Slen!N$10)    *CF33/2)                    ))</f>
        <v>0.01</v>
      </c>
      <c r="BM33" s="769">
        <f>IF(MAIN!D$21="N",CC33+ABS(AQ33),MAX(AU33+CE33,AW33,   ABS(AY33-     IF(DB$19="Top",Slen!N$28,Slen!N$27)    *CE33/2)             ))</f>
        <v>124.694734508658</v>
      </c>
      <c r="BN33" s="770">
        <f>IF(MAIN!D$22="N",CD33+ABS(BQ33),MAX(BB33+CD33,BD33,   ABS(BF33-   IF(DC$19="Top",Slen!N$11,Slen!N$10)   *CD33/2-2*R$26)                ))</f>
        <v>4.7559385189121439</v>
      </c>
      <c r="BO33" s="813">
        <f t="shared" si="86"/>
        <v>129.77162786137328</v>
      </c>
      <c r="BP33" s="810">
        <f t="shared" si="87"/>
        <v>-56.122632756816515</v>
      </c>
      <c r="BQ33" s="809">
        <f t="shared" si="88"/>
        <v>4.7559385189121439</v>
      </c>
      <c r="BR33" s="810">
        <f t="shared" si="89"/>
        <v>4.7459385189121468</v>
      </c>
      <c r="BS33" s="324">
        <f>MIN(1,(Slen!I39-H$26)/(Slen!I39-Slen!J39))</f>
        <v>1</v>
      </c>
      <c r="BT33" s="324">
        <f>MIN(1,(Slen!I22-H$26)/(Slen!I22-Slen!J22))</f>
        <v>1</v>
      </c>
      <c r="BU33" s="748">
        <f>MIN(50,Slen!K39*(1.7-IF(LEFT(MAIN!D$21)="N",1,BP33/BO33))/SQRT(H$26))</f>
        <v>50</v>
      </c>
      <c r="BV33" s="748">
        <f>MIN(50,Slen!K22*(1.7-IF(LEFT(MAIN!D$22)="N",1,BR33/BQ33))/SQRT(H$26))</f>
        <v>40.7570779023293</v>
      </c>
      <c r="BW33" s="748">
        <f>MIN(50,Slen!K39*(1.7-IF(LEFT(MAIN!D$21)="N",1,AR33/AQ33))/SQRT(H$26))</f>
        <v>50</v>
      </c>
      <c r="BX33" s="748">
        <f>MIN(50,Slen!K22*(1.7-IF(LEFT(MAIN!D$22)="N",1,AT33/AS33))/SQRT(H$26))</f>
        <v>50</v>
      </c>
      <c r="BY33" s="324">
        <f>IF(AND(MAIN!C$11&lt;=2,Slen!G39&lt;=75,1000*ABS(BO33)/MAIN!C$43&gt;=MAIN!C$13),1,MAX(1,1+F13*T$26))</f>
        <v>1.6012088579434463</v>
      </c>
      <c r="BZ33" s="324">
        <f>IF(AND(MAIN!C$11&lt;=2,Slen!G22&lt;=75,1000*ABS(BQ33)/MAIN!C$43&gt;=MAIN!C$14),1,MAX(1,1+G13*T$26))</f>
        <v>1.4250995926541479</v>
      </c>
      <c r="CA33" s="403">
        <f t="shared" si="78"/>
        <v>6.7030402881112786E-6</v>
      </c>
      <c r="CB33" s="403">
        <f t="shared" si="79"/>
        <v>2.7104484625777852E-5</v>
      </c>
      <c r="CC33" s="403">
        <f>1000*IF(Slen!G39&gt;BU33,E$26*CA33*(Slen!G$29/1000)^2/IF(MAIN!D$43=MAIN!F$43,8,PI()^2),0)</f>
        <v>0</v>
      </c>
      <c r="CD33" s="403">
        <f>1000*IF(Slen!G22&gt;BV33,E$26*CB33*(Slen!G$12/1000)^2/IF(MAIN!E$43=MAIN!G$43,8,PI()^2),0)</f>
        <v>0</v>
      </c>
      <c r="CE33" s="403">
        <f>1000*IF(Slen!G39&gt;BW33,E$26*CA33*(Slen!G$29/1000)^2/IF(MAIN!D$43=MAIN!F$43,8,PI()^2),0)</f>
        <v>0</v>
      </c>
      <c r="CF33" s="403">
        <f>1000*IF(Slen!G22&gt;BX33,E$26*CB33*(Slen!G$12/1000)^2/IF(MAIN!E$43=MAIN!G$43,8,PI()^2),0)</f>
        <v>0</v>
      </c>
      <c r="CG33" s="261">
        <f t="shared" si="80"/>
        <v>0.17144611348771521</v>
      </c>
      <c r="CH33" s="261">
        <f t="shared" si="68"/>
        <v>0.19151090462919043</v>
      </c>
      <c r="CI33" s="304" t="str">
        <f t="shared" si="81"/>
        <v>Z</v>
      </c>
      <c r="CJ33" s="261">
        <f t="shared" si="82"/>
        <v>0.19821597015012118</v>
      </c>
      <c r="CK33" s="261">
        <f t="shared" si="83"/>
        <v>0.16474104796678446</v>
      </c>
      <c r="CN33" s="724">
        <f>MAIN!B46</f>
        <v>5</v>
      </c>
      <c r="CQ33" s="726" t="e">
        <f>AP58</f>
        <v>#DIV/0!</v>
      </c>
      <c r="CR33" s="726" t="e">
        <f>AO58</f>
        <v>#DIV/0!</v>
      </c>
      <c r="CS33" s="793">
        <f t="shared" si="84"/>
        <v>40</v>
      </c>
      <c r="CT33" s="726" t="e">
        <f>IF(OR(CO22="Z",Calc!V58="BOTH"),BV64,BX64)</f>
        <v>#N/A</v>
      </c>
      <c r="CU33" s="726" t="e">
        <f>H64</f>
        <v>#N/A</v>
      </c>
      <c r="CV33" s="726" t="e">
        <f>V64</f>
        <v>#N/A</v>
      </c>
      <c r="CZ33" s="726">
        <f>AS58</f>
        <v>0.01</v>
      </c>
      <c r="DA33" s="726">
        <f>AT58</f>
        <v>0.01</v>
      </c>
    </row>
    <row r="34" spans="2:105" ht="18">
      <c r="D34" s="43"/>
      <c r="E34" s="43"/>
      <c r="F34" s="391">
        <f>IF(E26=0,0,MAX(F28:F33))</f>
        <v>16</v>
      </c>
      <c r="G34" s="47">
        <f>VLOOKUP(F34,F28:G33,2,0)</f>
        <v>1</v>
      </c>
      <c r="H34" s="47">
        <f>VLOOKUP(F34,F28:H33,3,0)</f>
        <v>1</v>
      </c>
      <c r="I34" s="47">
        <f>VLOOKUP(F34,F28:I33,4,0)</f>
        <v>50</v>
      </c>
      <c r="J34" s="47">
        <f>VLOOKUP(F34,F28:J33,5,0)</f>
        <v>40.7570779023293</v>
      </c>
      <c r="K34" s="380"/>
      <c r="L34" s="380"/>
      <c r="M34" s="380"/>
      <c r="N34" s="380"/>
      <c r="Q34" s="272">
        <f>IF(E26&gt;C28,"N&gt;Nuz",VLOOKUP(F34,F28:Q33,12,0))</f>
        <v>124.694734508658</v>
      </c>
      <c r="R34" s="272">
        <f>IF(E26&gt;C28,"N&gt;Nuz",VLOOKUP(F34,F28:R33,13,0))</f>
        <v>14.710938341181979</v>
      </c>
      <c r="U34" s="377">
        <f>IF(E26&gt;C28,"N&gt;Nuz",VLOOKUP(F34,F28:U33,16,0))</f>
        <v>757.17281760589526</v>
      </c>
      <c r="V34" s="377">
        <f>IF(E26&gt;C28,"N&gt;Nuz",VLOOKUP(F34,F28:V33,17,0))</f>
        <v>177.28666158967761</v>
      </c>
      <c r="W34" s="377"/>
      <c r="X34" s="378">
        <f>VLOOKUP(F34,F28:X33,19,0)</f>
        <v>1</v>
      </c>
      <c r="Y34" s="378">
        <f>IF(E26&gt;C28,"N/A",VLOOKUP(F34,F28:Y33,20,0))</f>
        <v>0.24766290012059552</v>
      </c>
      <c r="Z34" s="378" t="str">
        <f>IF(E26&gt;C28,"N/A",VLOOKUP(F34,F28:Z33,21,0))</f>
        <v>Z</v>
      </c>
      <c r="BU34" s="47">
        <f>VLOOKUP(F34,F28:BX33,68,0)</f>
        <v>50</v>
      </c>
      <c r="BV34" s="47">
        <f>VLOOKUP(F34,F28:BX33,69,0)</f>
        <v>40.7570779023293</v>
      </c>
      <c r="BW34" s="47">
        <f>VLOOKUP(F34,F28:BX33,70,0)</f>
        <v>50</v>
      </c>
      <c r="BX34" s="47">
        <f>VLOOKUP(F34,F28:BX33,71,0)</f>
        <v>50</v>
      </c>
      <c r="CG34" s="378"/>
      <c r="CH34" s="378"/>
      <c r="CI34" s="378" t="str">
        <f>VLOOKUP(F34,F28:CI33,82,0)</f>
        <v>Z</v>
      </c>
      <c r="CN34" s="724">
        <f>MAIN!B47</f>
        <v>6</v>
      </c>
      <c r="CQ34" s="726" t="e">
        <f>AP68</f>
        <v>#DIV/0!</v>
      </c>
      <c r="CR34" s="726" t="e">
        <f>AO68</f>
        <v>#DIV/0!</v>
      </c>
      <c r="CS34" s="793">
        <f t="shared" si="84"/>
        <v>40</v>
      </c>
      <c r="CT34" s="726" t="e">
        <f>IF(OR(CO23="Z",Calc!V58="BOTH"),BV74,BX74)</f>
        <v>#N/A</v>
      </c>
      <c r="CU34" s="726" t="e">
        <f>H74</f>
        <v>#N/A</v>
      </c>
      <c r="CV34" s="726" t="e">
        <f>V74</f>
        <v>#N/A</v>
      </c>
      <c r="CZ34" s="726">
        <f>AS68</f>
        <v>0.01</v>
      </c>
      <c r="DA34" s="726">
        <f>AT68</f>
        <v>0.01</v>
      </c>
    </row>
    <row r="35" spans="2:105" ht="19.5">
      <c r="B35" s="390" t="s">
        <v>90</v>
      </c>
      <c r="D35" s="43"/>
      <c r="E35" s="43"/>
      <c r="F35" s="369" t="s">
        <v>175</v>
      </c>
      <c r="G35" s="43"/>
      <c r="H35" s="381"/>
      <c r="I35" s="726" t="s">
        <v>411</v>
      </c>
      <c r="J35" s="726" t="s">
        <v>411</v>
      </c>
      <c r="K35" s="381"/>
      <c r="L35" s="381"/>
      <c r="M35" s="381"/>
      <c r="N35" s="381"/>
      <c r="O35" s="45" t="s">
        <v>288</v>
      </c>
      <c r="P35" s="366">
        <f>L$10*E36</f>
        <v>29.421876682363958</v>
      </c>
      <c r="Q35" s="45" t="s">
        <v>258</v>
      </c>
      <c r="R35" s="366">
        <f>L$11*E36</f>
        <v>14.710938341181979</v>
      </c>
      <c r="U35" s="45"/>
      <c r="V35" s="370"/>
      <c r="W35" s="370"/>
      <c r="X35" s="370"/>
      <c r="Z35" s="43"/>
      <c r="AA35" s="43"/>
      <c r="AB35" s="43"/>
      <c r="AC35" s="43"/>
      <c r="AD35" s="43"/>
      <c r="AE35" s="43"/>
      <c r="BS35" s="726"/>
      <c r="BT35" s="726"/>
      <c r="BU35" s="726"/>
      <c r="BV35" s="726"/>
      <c r="BW35" s="726"/>
      <c r="BX35" s="726"/>
    </row>
    <row r="36" spans="2:105" ht="21.75">
      <c r="B36" s="391">
        <f>MAIN!B44</f>
        <v>3</v>
      </c>
      <c r="C36" s="371"/>
      <c r="D36" s="372" t="s">
        <v>77</v>
      </c>
      <c r="E36" s="373">
        <f>MAIN!C44</f>
        <v>735.54691705909897</v>
      </c>
      <c r="F36" s="311">
        <f>Refs!F$17*E36*1000/Ycal!C$10</f>
        <v>169.17579092359279</v>
      </c>
      <c r="G36" s="374" t="s">
        <v>130</v>
      </c>
      <c r="H36" s="50">
        <f>1000*E36/L$7</f>
        <v>9.0140553561164086E-2</v>
      </c>
      <c r="I36" s="726">
        <f>(1.7-IF(LEFT(MAIN!D$21)="N",1,             VLOOKUP(F44,F38:AN43,35,FALSE)                  /              VLOOKUP(F44,F38:AM43,34,FALSE)         ))</f>
        <v>2.190794790579409</v>
      </c>
      <c r="J36" s="726">
        <f>(1.7-IF(LEFT(MAIN!D$22)="N",1,         VLOOKUP(F44,F38:AP43,37,FALSE)  /               VLOOKUP(F44,F38:AO43,36,FALSE)             ))</f>
        <v>0.70210263441384524</v>
      </c>
      <c r="K36" s="374" t="s">
        <v>287</v>
      </c>
      <c r="L36" s="667">
        <f>MAX(ABS(0.6*AM38+0.4*AN38),(ABS(0.4*AM38)))</f>
        <v>50.337030261382068</v>
      </c>
      <c r="M36" s="374" t="s">
        <v>256</v>
      </c>
      <c r="N36" s="668">
        <f>MAX(ABS(0.6*AO38+0.4*AP38),(ABS(0.4*AO38)))</f>
        <v>4.7519385189121452</v>
      </c>
      <c r="O36" s="375" t="s">
        <v>289</v>
      </c>
      <c r="P36" s="366">
        <f>L$8*E36*Slen!G$29/2000</f>
        <v>5.0768933527152873</v>
      </c>
      <c r="Q36" s="375" t="s">
        <v>257</v>
      </c>
      <c r="R36" s="366">
        <f>L$9*E36*Slen!G$12/2000</f>
        <v>4.7459385189121441</v>
      </c>
      <c r="S36" s="368" t="s">
        <v>132</v>
      </c>
      <c r="T36" s="376">
        <f>T26</f>
        <v>1.2100000000000002</v>
      </c>
      <c r="U36" s="45" t="s">
        <v>354</v>
      </c>
      <c r="V36" s="373">
        <f>VLOOKUP(F44,$M$8:$N$13,2)</f>
        <v>1608.4954386379745</v>
      </c>
      <c r="W36" s="312"/>
      <c r="X36" s="312"/>
      <c r="Y36" s="394" t="s">
        <v>137</v>
      </c>
      <c r="Z36" s="45"/>
      <c r="AA36" s="1306" t="s">
        <v>296</v>
      </c>
      <c r="AB36" s="1307"/>
      <c r="AC36" s="1307"/>
      <c r="AD36" s="1308"/>
      <c r="AE36" s="1306" t="s">
        <v>268</v>
      </c>
      <c r="AF36" s="1307"/>
      <c r="AG36" s="1307"/>
      <c r="AH36" s="1308"/>
      <c r="AM36" s="802">
        <f>IF(MAIN!D44=0,0.01,MAIN!D44)</f>
        <v>124.694734508658</v>
      </c>
      <c r="AN36" s="802">
        <f>IF(MAIN!F44=0,0.01,MAIN!F44)</f>
        <v>-61.199526109531803</v>
      </c>
      <c r="AO36" s="802">
        <f>IF(MAIN!E44=0,0.01,MAIN!E44)</f>
        <v>2.2957635792408801E-15</v>
      </c>
      <c r="AP36" s="802">
        <f>IF(MAIN!G44=0,0.01,MAIN!G44)</f>
        <v>0.01</v>
      </c>
      <c r="AU36" s="1296" t="s">
        <v>566</v>
      </c>
      <c r="AV36" s="1297"/>
      <c r="AW36" s="1296" t="s">
        <v>568</v>
      </c>
      <c r="AX36" s="1297"/>
      <c r="AY36" s="1296" t="s">
        <v>656</v>
      </c>
      <c r="AZ36" s="1297"/>
      <c r="BA36" s="1296" t="s">
        <v>567</v>
      </c>
      <c r="BB36" s="1297"/>
      <c r="BC36" s="1296" t="s">
        <v>568</v>
      </c>
      <c r="BD36" s="1297"/>
      <c r="BE36" s="1296" t="s">
        <v>656</v>
      </c>
      <c r="BF36" s="1297"/>
      <c r="BG36" s="1296" t="s">
        <v>561</v>
      </c>
      <c r="BH36" s="1297"/>
      <c r="BI36" s="1296" t="s">
        <v>561</v>
      </c>
      <c r="BJ36" s="1297"/>
      <c r="BK36" s="1296" t="s">
        <v>573</v>
      </c>
      <c r="BL36" s="1297"/>
      <c r="BM36" s="1296" t="s">
        <v>573</v>
      </c>
      <c r="BN36" s="1297"/>
      <c r="BO36" s="802">
        <f>AM36</f>
        <v>124.694734508658</v>
      </c>
      <c r="BP36" s="803">
        <f>AN36</f>
        <v>-61.199526109531803</v>
      </c>
      <c r="BQ36" s="803">
        <f>AO36</f>
        <v>2.2957635792408801E-15</v>
      </c>
      <c r="BR36" s="804">
        <f>AP36</f>
        <v>0.01</v>
      </c>
      <c r="BS36" s="374" t="s">
        <v>130</v>
      </c>
      <c r="BT36" s="50">
        <f>1000*E36/L$7</f>
        <v>9.0140553561164086E-2</v>
      </c>
      <c r="BU36" s="726" t="s">
        <v>646</v>
      </c>
      <c r="BV36" s="726" t="s">
        <v>646</v>
      </c>
      <c r="BW36" s="726" t="s">
        <v>647</v>
      </c>
      <c r="BX36" s="726" t="s">
        <v>647</v>
      </c>
      <c r="CC36" s="726" t="s">
        <v>646</v>
      </c>
      <c r="CD36" s="726" t="s">
        <v>646</v>
      </c>
      <c r="CE36" s="726" t="s">
        <v>647</v>
      </c>
      <c r="CF36" s="726" t="s">
        <v>647</v>
      </c>
    </row>
    <row r="37" spans="2:105" ht="20.25">
      <c r="C37" s="313" t="s">
        <v>51</v>
      </c>
      <c r="D37" s="392" t="s">
        <v>144</v>
      </c>
      <c r="E37" s="313" t="s">
        <v>78</v>
      </c>
      <c r="G37" s="314" t="s">
        <v>290</v>
      </c>
      <c r="H37" s="315" t="s">
        <v>263</v>
      </c>
      <c r="I37" s="747" t="s">
        <v>227</v>
      </c>
      <c r="J37" s="747" t="s">
        <v>291</v>
      </c>
      <c r="K37" s="315" t="s">
        <v>284</v>
      </c>
      <c r="L37" s="315" t="s">
        <v>260</v>
      </c>
      <c r="M37" s="315" t="s">
        <v>292</v>
      </c>
      <c r="N37" s="315" t="s">
        <v>264</v>
      </c>
      <c r="O37" s="315" t="s">
        <v>293</v>
      </c>
      <c r="P37" s="315" t="s">
        <v>265</v>
      </c>
      <c r="Q37" s="315" t="s">
        <v>294</v>
      </c>
      <c r="R37" s="315" t="s">
        <v>266</v>
      </c>
      <c r="S37" s="315" t="s">
        <v>463</v>
      </c>
      <c r="T37" s="315" t="s">
        <v>464</v>
      </c>
      <c r="U37" s="315" t="s">
        <v>295</v>
      </c>
      <c r="V37" s="315" t="s">
        <v>267</v>
      </c>
      <c r="W37" s="315" t="s">
        <v>228</v>
      </c>
      <c r="X37" s="315" t="s">
        <v>93</v>
      </c>
      <c r="Y37" s="393" t="s">
        <v>138</v>
      </c>
      <c r="Z37" s="660" t="s">
        <v>79</v>
      </c>
      <c r="AA37" s="395" t="s">
        <v>229</v>
      </c>
      <c r="AB37" s="396" t="s">
        <v>80</v>
      </c>
      <c r="AC37" s="396" t="s">
        <v>81</v>
      </c>
      <c r="AD37" s="397" t="s">
        <v>82</v>
      </c>
      <c r="AE37" s="395" t="s">
        <v>229</v>
      </c>
      <c r="AF37" s="396" t="s">
        <v>80</v>
      </c>
      <c r="AG37" s="396" t="s">
        <v>81</v>
      </c>
      <c r="AH37" s="397" t="s">
        <v>82</v>
      </c>
      <c r="AJ37" s="314" t="s">
        <v>365</v>
      </c>
      <c r="AK37" s="359" t="s">
        <v>366</v>
      </c>
      <c r="AL37" s="724">
        <v>3</v>
      </c>
      <c r="AM37" s="675" t="s">
        <v>215</v>
      </c>
      <c r="AN37" s="676" t="s">
        <v>216</v>
      </c>
      <c r="AO37" s="675" t="s">
        <v>278</v>
      </c>
      <c r="AP37" s="676" t="s">
        <v>279</v>
      </c>
      <c r="AQ37" s="146" t="s">
        <v>215</v>
      </c>
      <c r="AR37" s="147" t="s">
        <v>216</v>
      </c>
      <c r="AS37" s="146" t="s">
        <v>278</v>
      </c>
      <c r="AT37" s="147" t="s">
        <v>279</v>
      </c>
      <c r="AU37" s="146" t="s">
        <v>558</v>
      </c>
      <c r="AV37" s="147" t="s">
        <v>559</v>
      </c>
      <c r="AW37" s="764" t="s">
        <v>95</v>
      </c>
      <c r="AX37" s="764" t="s">
        <v>560</v>
      </c>
      <c r="AY37" s="764" t="s">
        <v>95</v>
      </c>
      <c r="AZ37" s="764" t="s">
        <v>560</v>
      </c>
      <c r="BA37" s="764" t="s">
        <v>95</v>
      </c>
      <c r="BB37" s="764" t="s">
        <v>560</v>
      </c>
      <c r="BC37" s="764" t="s">
        <v>95</v>
      </c>
      <c r="BD37" s="764" t="s">
        <v>560</v>
      </c>
      <c r="BE37" s="764" t="s">
        <v>95</v>
      </c>
      <c r="BF37" s="764" t="s">
        <v>560</v>
      </c>
      <c r="BG37" s="764" t="s">
        <v>95</v>
      </c>
      <c r="BH37" s="764" t="s">
        <v>560</v>
      </c>
      <c r="BI37" s="676" t="s">
        <v>95</v>
      </c>
      <c r="BJ37" s="676" t="s">
        <v>560</v>
      </c>
      <c r="BK37" s="676" t="s">
        <v>95</v>
      </c>
      <c r="BL37" s="676" t="s">
        <v>560</v>
      </c>
      <c r="BM37" s="676" t="s">
        <v>95</v>
      </c>
      <c r="BN37" s="676" t="s">
        <v>560</v>
      </c>
      <c r="BO37" s="771" t="s">
        <v>562</v>
      </c>
      <c r="BP37" s="772" t="s">
        <v>563</v>
      </c>
      <c r="BQ37" s="771" t="s">
        <v>564</v>
      </c>
      <c r="BR37" s="772" t="s">
        <v>565</v>
      </c>
      <c r="BS37" s="678" t="s">
        <v>290</v>
      </c>
      <c r="BT37" s="747" t="s">
        <v>263</v>
      </c>
      <c r="BU37" s="747" t="s">
        <v>227</v>
      </c>
      <c r="BV37" s="747" t="s">
        <v>291</v>
      </c>
      <c r="BW37" s="747" t="s">
        <v>227</v>
      </c>
      <c r="BX37" s="747" t="s">
        <v>291</v>
      </c>
      <c r="BY37" s="747" t="s">
        <v>284</v>
      </c>
      <c r="BZ37" s="747" t="s">
        <v>260</v>
      </c>
      <c r="CA37" s="747" t="s">
        <v>292</v>
      </c>
      <c r="CB37" s="747" t="s">
        <v>264</v>
      </c>
      <c r="CC37" s="747" t="s">
        <v>293</v>
      </c>
      <c r="CD37" s="747" t="s">
        <v>265</v>
      </c>
      <c r="CE37" s="747" t="s">
        <v>293</v>
      </c>
      <c r="CF37" s="747" t="s">
        <v>265</v>
      </c>
      <c r="CG37" s="394" t="s">
        <v>79</v>
      </c>
      <c r="CH37" s="394" t="s">
        <v>79</v>
      </c>
      <c r="CI37" s="394" t="s">
        <v>79</v>
      </c>
      <c r="CJ37" s="394" t="s">
        <v>79</v>
      </c>
      <c r="CK37" s="394" t="s">
        <v>79</v>
      </c>
    </row>
    <row r="38" spans="2:105" ht="18">
      <c r="B38" s="367">
        <f t="shared" ref="B38:C43" si="90">B28</f>
        <v>40</v>
      </c>
      <c r="C38" s="408">
        <f t="shared" si="90"/>
        <v>11450.713584880188</v>
      </c>
      <c r="D38" s="409">
        <f t="shared" ref="D38:D43" si="91">IF(ISERROR(U38),0,Y38)</f>
        <v>8.4690868477810238E-2</v>
      </c>
      <c r="E38" s="409" t="str">
        <f>IF(AND(D38&lt;=1,E36&lt;=C38,D$8&gt;=F36),"ok","Fails")</f>
        <v>ok</v>
      </c>
      <c r="F38" s="409">
        <f>IF(AND(E38="ok",SUM(F39:F43)=0),B38,0)</f>
        <v>0</v>
      </c>
      <c r="G38" s="321">
        <f>MIN(1,(Slen!I34-H$36)/(Slen!I34-Slen!J34))</f>
        <v>1</v>
      </c>
      <c r="H38" s="321">
        <f>MIN(1,(Slen!I17-H$36)/(Slen!I17-Slen!J17))</f>
        <v>1</v>
      </c>
      <c r="I38" s="823">
        <f>MIN(50,Slen!K34*(1.7-IF(LEFT(MAIN!D$21)="N",1,AN38/AM38))/SQRT(H$36))</f>
        <v>50</v>
      </c>
      <c r="J38" s="824">
        <f>MIN(50,Slen!K17*(1.7-IF(LEFT(MAIN!D$22)="N",1,AP38/AO38))/SQRT(H$36))</f>
        <v>50</v>
      </c>
      <c r="K38" s="321">
        <f>IF(AND(MAIN!C$11&lt;=2,Slen!G34&lt;=75,1000*ABS(Cases!AM$38)/MAIN!C$44&gt;=MAIN!C$13),1,MAX(1,1+F8*T$16))</f>
        <v>1.6012088579434463</v>
      </c>
      <c r="L38" s="321">
        <f>IF(AND(MAIN!C$11&lt;=2,Slen!G17&lt;=75,1000*ABS(Cases!AO$38)/MAIN!C$44&gt;=MAIN!C$14),1,MAX(1,1+G8*T$16))</f>
        <v>1.4250995926541479</v>
      </c>
      <c r="M38" s="400">
        <f>G38*K38*H$8</f>
        <v>6.7853583267372068E-6</v>
      </c>
      <c r="N38" s="400">
        <f>H38*L38*I$8</f>
        <v>2.8685579562281559E-5</v>
      </c>
      <c r="O38" s="400">
        <f>1000*IF(Slen!G34&gt;I38,E$36*M38*(Slen!G$29/1000)^2/IF(MAIN!D$44=MAIN!F$44,8,PI()^2),0)</f>
        <v>0</v>
      </c>
      <c r="P38" s="400">
        <f>1000*IF(Slen!G17&gt;J38,E$36*N38*(Slen!G$12/1000)^2/IF(MAIN!E$44=MAIN!G$44,8,PI()^2),0)</f>
        <v>0</v>
      </c>
      <c r="Q38" s="795">
        <f>MAX(IF(MAX(P$35,AJ38)/U38&gt;=MAX(R$35,AK38)/V38,P$35,0),AJ38)</f>
        <v>124.694734508658</v>
      </c>
      <c r="R38" s="628">
        <f>MAX(IF(MAX(R$35,AK38)/U38&gt;MAX(P$35,AJ38)/V38,R$35,0),AK38)</f>
        <v>14.710938341181979</v>
      </c>
      <c r="S38" s="622">
        <f t="shared" ref="S38:S43" si="92">P$36/U38</f>
        <v>2.2669384296158438E-3</v>
      </c>
      <c r="T38" s="622">
        <f t="shared" ref="T38:T43" si="93">R$36/V38</f>
        <v>9.3596704180686149E-3</v>
      </c>
      <c r="U38" s="319">
        <f>IF(E36&gt;E$8,0,AA38+AC38*(E36-AB38)/AD38)</f>
        <v>2239.5373806317357</v>
      </c>
      <c r="V38" s="319">
        <f>IF(E36&gt;E$8,0,AE38+AG38*(E36-AF38)/AH38)</f>
        <v>507.06256811673904</v>
      </c>
      <c r="W38" s="400">
        <f>1000*MAIN!C$44/J8</f>
        <v>5.8698596347144832E-2</v>
      </c>
      <c r="X38" s="318">
        <f t="shared" ref="X38:X43" si="94">IF(W38&lt;0.7,MAX(1,(10*W38+11)/12),MIN(2,(5*W38+1)/3))</f>
        <v>1</v>
      </c>
      <c r="Y38" s="400">
        <f t="shared" ref="Y38:Y43" si="95">IF(OR(U38=0,V38=0),0,(Q38/U38)^X38+(R38/V38)^X38)</f>
        <v>8.4690868477810238E-2</v>
      </c>
      <c r="Z38" s="409" t="str">
        <f t="shared" ref="Z38:Z43" si="96">CI38</f>
        <v>Z</v>
      </c>
      <c r="AA38" s="410">
        <f>HLOOKUP(E36,Ycal!D$59:BO$60,2)</f>
        <v>2222.3443574100384</v>
      </c>
      <c r="AB38" s="319">
        <f>HLOOKUP(E36,Ycal!D$59:BO$60,1)</f>
        <v>663.72809197168749</v>
      </c>
      <c r="AC38" s="319">
        <f>HLOOKUP(E36,Ycal!D$59:BO$63,5)</f>
        <v>39.540518905499539</v>
      </c>
      <c r="AD38" s="411">
        <f>HLOOKUP(E36,Ycal!D$59:BO$63,4)</f>
        <v>165.16895106358129</v>
      </c>
      <c r="AE38" s="410">
        <f>HLOOKUP(E36,Zcal!D$59:BO$60,2)</f>
        <v>498.81830931458359</v>
      </c>
      <c r="AF38" s="319">
        <f>HLOOKUP(E36,Zcal!D$59:BO$60,1)</f>
        <v>639.37088498348714</v>
      </c>
      <c r="AG38" s="319">
        <f>HLOOKUP(E36,Zcal!D$59:BO$63,5)</f>
        <v>9.3995398590977857</v>
      </c>
      <c r="AH38" s="411">
        <f>HLOOKUP(E36,Zcal!D$59:BO$63,4)</f>
        <v>109.65333193424601</v>
      </c>
      <c r="AJ38" s="794">
        <f xml:space="preserve"> IF(OR(MAIN!E$29="BOTH AXES",Z38 ="Y"),         MAX(P$35,BI38),     BM38)</f>
        <v>124.694734508658</v>
      </c>
      <c r="AK38" s="677">
        <f xml:space="preserve">       IF(OR(MAIN!E$29="BOTH AXES",Z38 ="Z"),    MAX(R$35,BJ38),           BL38)</f>
        <v>14.710938341181979</v>
      </c>
      <c r="AL38" s="672" t="str">
        <f t="shared" ref="AL38:AL43" si="97">Z38</f>
        <v>Z</v>
      </c>
      <c r="AM38" s="637">
        <f t="shared" ref="AM38:AM43" si="98">IF(ABS(AM$36)&gt;=ABS(AN$36),AM$36,AN$36)+IF(Z38="Y",P$36,0)*SIGN(IF(ABS(AM$36)&gt;=ABS(AN$36),AM$36,AN$36))</f>
        <v>124.694734508658</v>
      </c>
      <c r="AN38" s="638">
        <f xml:space="preserve">              IF(ABS(AM$36)&gt;=ABS(AN$36),AN$36,AM$36)+IF(Z38="Y",P$36,0)*SIGN(IF(ABS(AM$36)&gt;=ABS(AN$36),AM$36,AN$36))</f>
        <v>-61.199526109531803</v>
      </c>
      <c r="AO38" s="637">
        <f t="shared" ref="AO38:AO43" si="99">IF(ABS(AO$36)&gt;=ABS(AP$36),AO$36,AP$36)+IF(Z38="Z",R$36,0)*SIGN(IF(ABS(AO$36)&gt;=ABS(AP$36),AO$36,AP$36))</f>
        <v>4.7559385189121439</v>
      </c>
      <c r="AP38" s="638">
        <f xml:space="preserve">  IF(ABS(AO$36)&gt;=ABS(AP$36),AP$36,AO$36)+IF(Z38="Z",R$36,0)*SIGN(IF(ABS(AO$36)&gt;=ABS(AP$36),AO$36,AP$36))</f>
        <v>4.7459385189121468</v>
      </c>
      <c r="AQ38" s="741">
        <f>MAX(ABS(AM36),ABS(AN36))*(IF(ABS(AM36)&gt;=ABS(AN36),SIGN(AM36),SIGN(AN36)))</f>
        <v>124.694734508658</v>
      </c>
      <c r="AR38" s="742">
        <f>MIN(ABS(AM36),ABS(AN36))*(IF(ABS(AM36)&lt;ABS(AN36),SIGN(AM36),SIGN(AN36)))</f>
        <v>-61.199526109531803</v>
      </c>
      <c r="AS38" s="741">
        <f>MAX(ABS(AO36),ABS(AP36))*(IF(ABS(AO36)&gt;=ABS(AP36),SIGN(AO36),SIGN(AP36)))</f>
        <v>0.01</v>
      </c>
      <c r="AT38" s="742">
        <f>MIN(ABS(AO36),ABS(AP36))*(IF(ABS(AO36)&lt;ABS(AP36),SIGN(AO36),SIGN(AP36)))</f>
        <v>2.2957635792408801E-15</v>
      </c>
      <c r="AU38" s="758">
        <f>MAX(ABS(0.6*AQ38+0.4*AR38),ABS(0.4*AQ38))</f>
        <v>50.337030261382068</v>
      </c>
      <c r="AV38" s="759">
        <f>MAX(ABS(0.6*AS38+0.4*AT38),ABS(0.4*AS38))</f>
        <v>6.0000000000009187E-3</v>
      </c>
      <c r="AW38" s="758">
        <f>MAX(ABS(AQ38),ABS(AR38))</f>
        <v>124.694734508658</v>
      </c>
      <c r="AX38" s="759">
        <f>MAX(ABS(AS38),ABS(AT38))</f>
        <v>0.01</v>
      </c>
      <c r="AY38" s="758">
        <f>ABS(AR38)*IF(SIGN(AQ38)=SIGN(AR38),1,-1)</f>
        <v>-61.199526109531803</v>
      </c>
      <c r="AZ38" s="759">
        <f>ABS(AT38)*IF(SIGN(AS38)=SIGN(AT38),1,-1)</f>
        <v>2.2957635792408801E-15</v>
      </c>
      <c r="BA38" s="765">
        <f>MAX(ABS(0.6*AQ38+0.4*AR38)+P36,ABS(0.4*AQ38)+0.4*P36)</f>
        <v>55.413923614097357</v>
      </c>
      <c r="BB38" s="766">
        <f>MAX(ABS(0.6*AS38+0.4*AT38)+R36,ABS(0.4*AS38)+0.4*R36)</f>
        <v>4.7519385189121452</v>
      </c>
      <c r="BC38" s="765">
        <f>MAX(ABS(AQ38),ABS(AR38))+P36</f>
        <v>129.77162786137328</v>
      </c>
      <c r="BD38" s="766">
        <f>MAX(ABS(AS38),ABS(AT38))+R36</f>
        <v>4.7559385189121439</v>
      </c>
      <c r="BE38" s="765">
        <f xml:space="preserve">           AY38+     P36</f>
        <v>-56.122632756816515</v>
      </c>
      <c r="BF38" s="766">
        <f xml:space="preserve">           AZ38+        R36</f>
        <v>4.7459385189121468</v>
      </c>
      <c r="BG38" s="765">
        <f>MAX(BA38,BC38)</f>
        <v>129.77162786137328</v>
      </c>
      <c r="BH38" s="801">
        <f>MAX(BB38,BD38)</f>
        <v>4.7559385189121439</v>
      </c>
      <c r="BI38" s="765">
        <f>IF(MAIN!D$21="N",CC38+ABS(BO38),MAX(BA38+CC38,BC38,  ABS(BE38-   IF(DB$20="Top",Slen!N$28,Slen!N$27)   *CC38/2-2*P$36)             ))</f>
        <v>129.77162786137328</v>
      </c>
      <c r="BJ38" s="766">
        <f>IF(MAIN!D$22="N",CD38+ABS(BQ38),MAX(BB38+CD38,BD38,     ABS(BF38-     IF(DC$20="Top",Slen!N$11,Slen!N$10)   *CD38/2-2*R$36)              ))</f>
        <v>4.7559385189121439</v>
      </c>
      <c r="BK38" s="765">
        <f>IF(MAIN!D$21="N",CC38+ABS(BO38),MAX(BA38+CC38,BC38,  ABS(BE38-    IF(DB$20="Top",Slen!N$28,Slen!N$27)   *CC38/2-2*P$36)             ))</f>
        <v>129.77162786137328</v>
      </c>
      <c r="BL38" s="766">
        <f>IF(MAIN!D$22="N",CD38+ABS(AS38),MAX(AV38+CF38,AX38,   ABS(AZ38-   IF(DC$20="Top",Slen!N$11,Slen!N$10)    *CF38/2)                    ))</f>
        <v>0.01</v>
      </c>
      <c r="BM38" s="765">
        <f>IF(MAIN!D$21="N",CC38+ABS(AQ38),MAX(AU38+CE38,AW38,   ABS(AY38-     IF(DB$20="Top",Slen!N$28,Slen!N$27)    *CE38/2)             ))</f>
        <v>124.694734508658</v>
      </c>
      <c r="BN38" s="766">
        <f>IF(MAIN!D$22="N",CD38+ABS(BQ38),MAX(BB38+CD38,BD38,   ABS(BF38-   IF(DC$20="Top",Slen!N$11,Slen!N$10)   *CD38/2-2*R$36)                ))</f>
        <v>4.7559385189121439</v>
      </c>
      <c r="BO38" s="812">
        <f xml:space="preserve">         IF(ABS(AM36)&gt;=ABS(AN36),AM36,AN36)+P36*SIGN(IF(ABS(AM36)&gt;=ABS(AN36),AM36,AN36))</f>
        <v>129.77162786137328</v>
      </c>
      <c r="BP38" s="806">
        <f xml:space="preserve">         IF(ABS(AM36)&gt;=ABS(AN36),AN36,AM36)+P36*SIGN(IF(ABS(AM36)&gt;=ABS(AN36),AM36,AN36))</f>
        <v>-56.122632756816515</v>
      </c>
      <c r="BQ38" s="805">
        <f xml:space="preserve">         IF(ABS(AO36)&gt;=ABS(AP36),AO36,AP36)+R36   *SIGN(IF(ABS(AO36)&gt;=ABS(AP36),AO36,AP36))</f>
        <v>4.7559385189121439</v>
      </c>
      <c r="BR38" s="806">
        <f>IF(ABS(AO36)&gt;=ABS(AP36),AP36,AO36)+R36*SIGN(IF(ABS(AO36)&gt;=ABS(AP36),AO36,AP36))</f>
        <v>4.7459385189121468</v>
      </c>
      <c r="BS38" s="324">
        <f>MIN(1,(Slen!I34-H$36)/(Slen!I34-Slen!J34))</f>
        <v>1</v>
      </c>
      <c r="BT38" s="324">
        <f>MIN(1,(Slen!I17-H$36)/(Slen!I17-Slen!J17))</f>
        <v>1</v>
      </c>
      <c r="BU38" s="748">
        <f>MIN(50,Slen!K34*(1.7-IF(LEFT(MAIN!D$21)="N",1,BP38/BO38))/SQRT(H$36))</f>
        <v>50</v>
      </c>
      <c r="BV38" s="748">
        <f>MIN(50,Slen!K17*(1.7-IF(LEFT(MAIN!D$22)="N",1,BR38/BQ38))/SQRT(H$36))</f>
        <v>50</v>
      </c>
      <c r="BW38" s="748">
        <f>MIN(50,Slen!K34*(1.7-IF(LEFT(MAIN!D$21)="N",1,AR38/AQ38))/SQRT(H$36))</f>
        <v>50</v>
      </c>
      <c r="BX38" s="748">
        <f>MIN(50,Slen!K17*(1.7-IF(LEFT(MAIN!D$22)="N",1,AT38/AS38))/SQRT(H$36))</f>
        <v>50</v>
      </c>
      <c r="BY38" s="324">
        <f>IF(AND(MAIN!C$11&lt;=2,Slen!G34&lt;=75,1000*ABS(BO38)/MAIN!C$44&gt;=MAIN!C$13),1,MAX(1,1+F8*T$36))</f>
        <v>1.6012088579434463</v>
      </c>
      <c r="BZ38" s="324">
        <f>IF(AND(MAIN!C$11&lt;=2,Slen!G17&lt;=75,1000*ABS(BQ38)/MAIN!C$44&gt;=MAIN!C$14),1,MAX(1,1+G8*T$36))</f>
        <v>1.4250995926541479</v>
      </c>
      <c r="CA38" s="403">
        <f t="shared" ref="CA38:CB43" si="100">BS38*BY38*H8</f>
        <v>6.7853583267372068E-6</v>
      </c>
      <c r="CB38" s="403">
        <f t="shared" si="100"/>
        <v>2.8685579562281559E-5</v>
      </c>
      <c r="CC38" s="403">
        <f>1000*IF(Slen!G34&gt;BU38,E$36*CA38*(Slen!G$29/1000)^2/IF(MAIN!D$44=MAIN!F$44,8,PI()^2),0)</f>
        <v>0</v>
      </c>
      <c r="CD38" s="403">
        <f>1000*IF(Slen!G17&gt;BV38,E$36*CB38*(Slen!G$12/1000)^2/IF(MAIN!E$44=MAIN!G$44,8,PI()^2),0)</f>
        <v>0</v>
      </c>
      <c r="CE38" s="403">
        <f>1000*IF(Slen!G34&gt;BW38,E$36*CA38*(Slen!G$29/1000)^2/IF(MAIN!D$44=MAIN!F$44,8,PI()^2),0)</f>
        <v>0</v>
      </c>
      <c r="CF38" s="403">
        <f>1000*IF(Slen!G17&gt;BX38,E$36*CB38*(Slen!G$12/1000)^2/IF(MAIN!E$44=MAIN!G$44,8,PI()^2),0)</f>
        <v>0</v>
      </c>
      <c r="CG38" s="261">
        <f>(BK38/U38)^X38+(BL38/V38)^X38</f>
        <v>5.7965451199170674E-2</v>
      </c>
      <c r="CH38" s="261">
        <f t="shared" ref="CH38:CH43" si="101">(BM38/U38)^X38+(BN38/V38)^X38</f>
        <v>6.505818318762345E-2</v>
      </c>
      <c r="CI38" s="304" t="str">
        <f>IF(ISERROR(E8),0,    IF(AND(CK38&gt;CG38,CK38&gt;CH38),"NO",      IF(CG38&gt;      CH38,"Y","Z")))</f>
        <v>Z</v>
      </c>
      <c r="CJ38" s="261">
        <f>(BI38/U38)^X38+(BJ38/V38)^X38</f>
        <v>6.7325121617239289E-2</v>
      </c>
      <c r="CK38" s="261">
        <f>(BM38/U38)^X38+(BL38/V38)^X38</f>
        <v>5.5698512769554835E-2</v>
      </c>
    </row>
    <row r="39" spans="2:105" ht="18">
      <c r="B39" s="367">
        <f t="shared" si="90"/>
        <v>32</v>
      </c>
      <c r="C39" s="412">
        <f t="shared" si="90"/>
        <v>10266.056694323323</v>
      </c>
      <c r="D39" s="304">
        <f t="shared" si="91"/>
        <v>0.11443383757814102</v>
      </c>
      <c r="E39" s="304" t="str">
        <f>IF(AND(D39&lt;=1,E36&lt;=C39,D$9&gt;=F36),"ok","Fails")</f>
        <v>ok</v>
      </c>
      <c r="F39" s="304">
        <f>IF(AND(E39="ok",SUM(F40:F43)=0),B39,0)</f>
        <v>0</v>
      </c>
      <c r="G39" s="324">
        <f>MIN(1,(Slen!I35-H$36)/(Slen!I35-Slen!J35))</f>
        <v>1</v>
      </c>
      <c r="H39" s="324">
        <f>MIN(1,(Slen!I18-H$36)/(Slen!I18-Slen!J18))</f>
        <v>1</v>
      </c>
      <c r="I39" s="825">
        <f>MIN(50,Slen!K35*(1.7-IF(LEFT(MAIN!D$21)="N",1,AN39/AM39))/SQRT(H$36))</f>
        <v>50</v>
      </c>
      <c r="J39" s="826">
        <f>MIN(50,Slen!K18*(1.7-IF(LEFT(MAIN!D$22)="N",1,AP39/AO39))/SQRT(H$36))</f>
        <v>48.89116968895523</v>
      </c>
      <c r="K39" s="324">
        <f>IF(AND(MAIN!C$11&lt;=2,Slen!G35&lt;=75,1000*ABS(Cases!AM$38)/MAIN!C$44&gt;=MAIN!C$13),1,MAX(1,1+F9*T$16))</f>
        <v>1.6012088579434463</v>
      </c>
      <c r="L39" s="324">
        <f>IF(AND(MAIN!C$11&lt;=2,Slen!G18&lt;=75,1000*ABS(Cases!AO$38)/MAIN!C$44&gt;=MAIN!C$14),1,MAX(1,1+G9*T$16))</f>
        <v>1.4250995926541479</v>
      </c>
      <c r="M39" s="403">
        <f>G39*K39*H$9</f>
        <v>6.7498328904715668E-6</v>
      </c>
      <c r="N39" s="403">
        <f>H39*L39*I$9</f>
        <v>2.7985931280274692E-5</v>
      </c>
      <c r="O39" s="403">
        <f>1000*IF(Slen!G35&gt;I39,E$36*M39*(Slen!G$29/1000)^2/IF(MAIN!D$44=MAIN!F$44,8,PI()^2),0)</f>
        <v>0</v>
      </c>
      <c r="P39" s="403">
        <f>1000*IF(Slen!G18&gt;J39,E$36*N39*(Slen!G$12/1000)^2/IF(MAIN!E$44=MAIN!G$44,8,PI()^2),0)</f>
        <v>0</v>
      </c>
      <c r="Q39" s="796">
        <f t="shared" ref="Q39:Q43" si="102">MAX(IF(MAX(P$35,AJ39)/U39&gt;=MAX(R$35,AK39)/V39,P$35,0),AJ39)</f>
        <v>124.694734508658</v>
      </c>
      <c r="R39" s="629">
        <f t="shared" ref="R39:R43" si="103">MAX(IF(MAX(R$35,AK39)/U39&gt;MAX(P$35,AJ39)/V39,R$35,0),AK39)</f>
        <v>14.710938341181979</v>
      </c>
      <c r="S39" s="630">
        <f t="shared" si="92"/>
        <v>3.0765770558712317E-3</v>
      </c>
      <c r="T39" s="630">
        <f t="shared" si="93"/>
        <v>1.2539746552171554E-2</v>
      </c>
      <c r="U39" s="322">
        <f>IF(E36&gt;E$9,0,AA39+AC39*(E36-AB39)/AD39)</f>
        <v>1650.1759132041636</v>
      </c>
      <c r="V39" s="322">
        <f>IF(E36&gt;E$9,0,AE39+AG39*(E36-AF39)/AH39)</f>
        <v>378.4716460708907</v>
      </c>
      <c r="W39" s="403">
        <f>1000*MAIN!C$44/J9</f>
        <v>6.7127971352108767E-2</v>
      </c>
      <c r="X39" s="261">
        <f t="shared" si="94"/>
        <v>1</v>
      </c>
      <c r="Y39" s="403">
        <f t="shared" si="95"/>
        <v>0.11443383757814102</v>
      </c>
      <c r="Z39" s="409" t="str">
        <f t="shared" si="96"/>
        <v>Z</v>
      </c>
      <c r="AA39" s="413">
        <f>HLOOKUP(E36,Ycal!D$111:BO$112,2)</f>
        <v>1627.6298492562269</v>
      </c>
      <c r="AB39" s="322">
        <f>HLOOKUP(E36,Ycal!D$111:BO$112,1)</f>
        <v>651.53994862560228</v>
      </c>
      <c r="AC39" s="322">
        <f>HLOOKUP(E36,Ycal!D$111:BO$115,5)</f>
        <v>42.662502773886899</v>
      </c>
      <c r="AD39" s="414">
        <f>HLOOKUP(E36,Ycal!D$111:BO$115,4)</f>
        <v>158.96111765210674</v>
      </c>
      <c r="AE39" s="413">
        <f>HLOOKUP(E36,Zcal!D$111:BO$112,2)</f>
        <v>376.69878795883562</v>
      </c>
      <c r="AF39" s="322">
        <f>HLOOKUP(E36,Zcal!D$111:BO$112,1)</f>
        <v>716.51691587665766</v>
      </c>
      <c r="AG39" s="322">
        <f>HLOOKUP(E36,Zcal!D$111:BO$115,5)</f>
        <v>10.623261857235889</v>
      </c>
      <c r="AH39" s="414">
        <f>HLOOKUP(E36,Zcal!D$111:BO$115,4)</f>
        <v>114.03094490750743</v>
      </c>
      <c r="AJ39" s="794">
        <f xml:space="preserve"> IF(OR(MAIN!E$29="BOTH AXES",Z39 ="Y"),         MAX(P$35,BI39),     BM39)</f>
        <v>124.694734508658</v>
      </c>
      <c r="AK39" s="677">
        <f xml:space="preserve">       IF(OR(MAIN!E$29="BOTH AXES",Z39 ="Z"),    MAX(R$35,BJ39),           BL39)</f>
        <v>14.710938341181979</v>
      </c>
      <c r="AL39" s="672" t="str">
        <f t="shared" si="97"/>
        <v>Z</v>
      </c>
      <c r="AM39" s="639">
        <f t="shared" si="98"/>
        <v>124.694734508658</v>
      </c>
      <c r="AN39" s="640">
        <f t="shared" ref="AN39:AN43" si="104" xml:space="preserve">              IF(ABS(AM$36)&gt;=ABS(AN$36),AN$36,AM$36)+IF(Z39="Y",P$36,0)*SIGN(IF(ABS(AM$36)&gt;=ABS(AN$36),AM$36,AN$36))</f>
        <v>-61.199526109531803</v>
      </c>
      <c r="AO39" s="639">
        <f t="shared" si="99"/>
        <v>4.7559385189121439</v>
      </c>
      <c r="AP39" s="640">
        <f t="shared" ref="AP39:AP43" si="105" xml:space="preserve">  IF(ABS(AO$36)&gt;=ABS(AP$36),AP$36,AO$36)+IF(Z39="Z",R$36,0)*SIGN(IF(ABS(AO$36)&gt;=ABS(AP$36),AO$36,AP$36))</f>
        <v>4.7459385189121468</v>
      </c>
      <c r="AQ39" s="743">
        <f t="shared" ref="AQ39:AQ43" si="106">AQ38</f>
        <v>124.694734508658</v>
      </c>
      <c r="AR39" s="744">
        <f t="shared" ref="AR39:AR43" si="107">AR38</f>
        <v>-61.199526109531803</v>
      </c>
      <c r="AS39" s="743">
        <f t="shared" ref="AS39:AT43" si="108">AS38</f>
        <v>0.01</v>
      </c>
      <c r="AT39" s="744">
        <f t="shared" ref="AT39" si="109">AT38</f>
        <v>2.2957635792408801E-15</v>
      </c>
      <c r="AU39" s="760">
        <f t="shared" ref="AU39:BB39" si="110">AU38</f>
        <v>50.337030261382068</v>
      </c>
      <c r="AV39" s="761">
        <f t="shared" si="110"/>
        <v>6.0000000000009187E-3</v>
      </c>
      <c r="AW39" s="760">
        <f>AW38</f>
        <v>124.694734508658</v>
      </c>
      <c r="AX39" s="761">
        <f>AX38</f>
        <v>0.01</v>
      </c>
      <c r="AY39" s="760">
        <f>AY38</f>
        <v>-61.199526109531803</v>
      </c>
      <c r="AZ39" s="761">
        <f>AZ38</f>
        <v>2.2957635792408801E-15</v>
      </c>
      <c r="BA39" s="767">
        <f t="shared" si="110"/>
        <v>55.413923614097357</v>
      </c>
      <c r="BB39" s="768">
        <f t="shared" si="110"/>
        <v>4.7519385189121452</v>
      </c>
      <c r="BC39" s="767">
        <f t="shared" ref="BC39:BD39" si="111">BC38</f>
        <v>129.77162786137328</v>
      </c>
      <c r="BD39" s="768">
        <f t="shared" si="111"/>
        <v>4.7559385189121439</v>
      </c>
      <c r="BE39" s="767">
        <f>BE38</f>
        <v>-56.122632756816515</v>
      </c>
      <c r="BF39" s="768">
        <f>BF38</f>
        <v>4.7459385189121468</v>
      </c>
      <c r="BG39" s="767">
        <f t="shared" ref="BG39:BH43" si="112">BG38</f>
        <v>129.77162786137328</v>
      </c>
      <c r="BH39" s="799">
        <f t="shared" si="112"/>
        <v>4.7559385189121439</v>
      </c>
      <c r="BI39" s="767">
        <f>IF(MAIN!D$21="N",CC39+ABS(BO39),MAX(BA39+CC39,BC39,  ABS(BE39-   IF(DB$20="Top",Slen!N$28,Slen!N$27)   *CC39/2-2*P$36)             ))</f>
        <v>129.77162786137328</v>
      </c>
      <c r="BJ39" s="768">
        <f>IF(MAIN!D$22="N",CD39+ABS(BQ39),MAX(BB39+CD39,BD39,     ABS(BF39-     IF(DC$20="Top",Slen!N$11,Slen!N$10)   *CD39/2-2*R$36)              ))</f>
        <v>4.7559385189121439</v>
      </c>
      <c r="BK39" s="767">
        <f>IF(MAIN!D$21="N",CC39+ABS(BO39),MAX(BA39+CC39,BC39,  ABS(BE39-    IF(DB$20="Top",Slen!N$28,Slen!N$27)   *CC39/2-2*P$36)             ))</f>
        <v>129.77162786137328</v>
      </c>
      <c r="BL39" s="768">
        <f>IF(MAIN!D$22="N",CD39+ABS(AS39),MAX(AV39+CF39,AX39,   ABS(AZ39-   IF(DC$20="Top",Slen!N$11,Slen!N$10)    *CF39/2)                    ))</f>
        <v>0.01</v>
      </c>
      <c r="BM39" s="767">
        <f>IF(MAIN!D$21="N",CC39+ABS(AQ39),MAX(AU39+CE39,AW39,   ABS(AY39-     IF(DB$20="Top",Slen!N$28,Slen!N$27)    *CE39/2)             ))</f>
        <v>124.694734508658</v>
      </c>
      <c r="BN39" s="768">
        <f>IF(MAIN!D$22="N",CD39+ABS(BQ39),MAX(BB39+CD39,BD39,   ABS(BF39-   IF(DC$20="Top",Slen!N$11,Slen!N$10)   *CD39/2-2*R$36)                ))</f>
        <v>4.7559385189121439</v>
      </c>
      <c r="BO39" s="811">
        <f>BO38</f>
        <v>129.77162786137328</v>
      </c>
      <c r="BP39" s="808">
        <f>BP38</f>
        <v>-56.122632756816515</v>
      </c>
      <c r="BQ39" s="807">
        <f>BQ38</f>
        <v>4.7559385189121439</v>
      </c>
      <c r="BR39" s="808">
        <f>BR38</f>
        <v>4.7459385189121468</v>
      </c>
      <c r="BS39" s="324">
        <f>MIN(1,(Slen!I35-H$36)/(Slen!I35-Slen!J35))</f>
        <v>1</v>
      </c>
      <c r="BT39" s="324">
        <f>MIN(1,(Slen!I18-H$36)/(Slen!I18-Slen!J18))</f>
        <v>1</v>
      </c>
      <c r="BU39" s="748">
        <f>MIN(50,Slen!K35*(1.7-IF(LEFT(MAIN!D$21)="N",1,BP39/BO39))/SQRT(H$36))</f>
        <v>50</v>
      </c>
      <c r="BV39" s="748">
        <f>MIN(50,Slen!K18*(1.7-IF(LEFT(MAIN!D$22)="N",1,BR39/BQ39))/SQRT(H$36))</f>
        <v>48.89116968895523</v>
      </c>
      <c r="BW39" s="748">
        <f>MIN(50,Slen!K35*(1.7-IF(LEFT(MAIN!D$21)="N",1,AR39/AQ39))/SQRT(H$36))</f>
        <v>50</v>
      </c>
      <c r="BX39" s="748">
        <f>MIN(50,Slen!K18*(1.7-IF(LEFT(MAIN!D$22)="N",1,AT39/AS39))/SQRT(H$36))</f>
        <v>50</v>
      </c>
      <c r="BY39" s="324">
        <f>IF(AND(MAIN!C$11&lt;=2,Slen!G35&lt;=75,1000*ABS(BO39)/MAIN!C$44&gt;=MAIN!C$13),1,MAX(1,1+F9*T$36))</f>
        <v>1.6012088579434463</v>
      </c>
      <c r="BZ39" s="324">
        <f>IF(AND(MAIN!C$11&lt;=2,Slen!G18&lt;=75,1000*ABS(BQ39)/MAIN!C$44&gt;=MAIN!C$14),1,MAX(1,1+G9*T$36))</f>
        <v>1.4250995926541479</v>
      </c>
      <c r="CA39" s="403">
        <f t="shared" si="100"/>
        <v>6.7498328904715668E-6</v>
      </c>
      <c r="CB39" s="403">
        <f t="shared" si="100"/>
        <v>2.7985931280274692E-5</v>
      </c>
      <c r="CC39" s="403">
        <f>1000*IF(Slen!G35&gt;BU39,E$36*CA39*(Slen!G$29/1000)^2/IF(MAIN!D$44=MAIN!F$44,8,PI()^2),0)</f>
        <v>0</v>
      </c>
      <c r="CD39" s="403">
        <f>1000*IF(Slen!G18&gt;BV39,E$36*CB39*(Slen!G$12/1000)^2/IF(MAIN!E$44=MAIN!G$44,8,PI()^2),0)</f>
        <v>0</v>
      </c>
      <c r="CE39" s="403">
        <f>1000*IF(Slen!G35&gt;BW39,E$36*CA39*(Slen!G$29/1000)^2/IF(MAIN!D$44=MAIN!F$44,8,PI()^2),0)</f>
        <v>0</v>
      </c>
      <c r="CF39" s="403">
        <f>1000*IF(Slen!G18&gt;BX39,E$36*CB39*(Slen!G$12/1000)^2/IF(MAIN!E$44=MAIN!G$44,8,PI()^2),0)</f>
        <v>0</v>
      </c>
      <c r="CG39" s="261">
        <f t="shared" ref="CG39:CG43" si="113">(BK39/U39)^X39+(BL39/V39)^X39</f>
        <v>7.866750924387271E-2</v>
      </c>
      <c r="CH39" s="261">
        <f t="shared" si="101"/>
        <v>8.8130678740173052E-2</v>
      </c>
      <c r="CI39" s="304" t="str">
        <f t="shared" ref="CI39:CI43" si="114">IF(ISERROR(E9),0,    IF(AND(CK39&gt;CG39,CK39&gt;CH39),"NO",      IF(CG39&gt;      CH39,"Y","Z")))</f>
        <v>Z</v>
      </c>
      <c r="CJ39" s="261">
        <f t="shared" ref="CJ39:CJ43" si="115">(BI39/U39)^X39+(BJ39/V39)^X39</f>
        <v>9.1207255796044273E-2</v>
      </c>
      <c r="CK39" s="261">
        <f t="shared" ref="CK39:CK43" si="116">(BM39/U39)^X39+(BL39/V39)^X39</f>
        <v>7.5590932188001489E-2</v>
      </c>
    </row>
    <row r="40" spans="2:105" ht="18">
      <c r="B40" s="367">
        <f t="shared" si="90"/>
        <v>25</v>
      </c>
      <c r="C40" s="412">
        <f t="shared" si="90"/>
        <v>9445.4349940938246</v>
      </c>
      <c r="D40" s="304">
        <f t="shared" si="91"/>
        <v>0.15550850748613812</v>
      </c>
      <c r="E40" s="304" t="str">
        <f>IF(AND(D40&lt;=1,E36&lt;=C40,D$10&gt;=F36),"ok","Fails")</f>
        <v>ok</v>
      </c>
      <c r="F40" s="304">
        <f>IF(AND(E40="ok",SUM(F41:F43)=0),B40,0)</f>
        <v>0</v>
      </c>
      <c r="G40" s="324">
        <f>MIN(1,(Slen!I36-H$36)/(Slen!I36-Slen!J36))</f>
        <v>1</v>
      </c>
      <c r="H40" s="324">
        <f>MIN(1,(Slen!I19-H$36)/(Slen!I19-Slen!J19))</f>
        <v>1</v>
      </c>
      <c r="I40" s="825">
        <f>MIN(50,Slen!K36*(1.7-IF(LEFT(MAIN!D$21)="N",1,AN40/AM40))/SQRT(H$36))</f>
        <v>50</v>
      </c>
      <c r="J40" s="826">
        <f>MIN(50,Slen!K19*(1.7-IF(LEFT(MAIN!D$22)="N",1,AP40/AO40))/SQRT(H$36))</f>
        <v>44.849755971166175</v>
      </c>
      <c r="K40" s="324">
        <f>IF(AND(MAIN!C$11&lt;=2,Slen!G36&lt;=75,1000*ABS(Cases!AM$38)/MAIN!C$44&gt;=MAIN!C$13),1,MAX(1,1+F10*T$16))</f>
        <v>1.6012088579434463</v>
      </c>
      <c r="L40" s="324">
        <f>IF(AND(MAIN!C$11&lt;=2,Slen!G19&lt;=75,1000*ABS(Cases!AO$38)/MAIN!C$44&gt;=MAIN!C$14),1,MAX(1,1+G10*T$16))</f>
        <v>1.4250995926541479</v>
      </c>
      <c r="M40" s="403">
        <f>G40*K40*H$10</f>
        <v>6.729280985193924E-6</v>
      </c>
      <c r="N40" s="403">
        <f>H40*L40*I$10</f>
        <v>2.7593343065922141E-5</v>
      </c>
      <c r="O40" s="403">
        <f>1000*IF(Slen!G36&gt;I40,E$36*M40*(Slen!G$29/1000)^2/IF(MAIN!D$44=MAIN!F$44,8,PI()^2),0)</f>
        <v>0</v>
      </c>
      <c r="P40" s="403">
        <f>1000*IF(Slen!G19&gt;J40,E$36*N40*(Slen!G$12/1000)^2/IF(MAIN!E$44=MAIN!G$44,8,PI()^2),0)</f>
        <v>0</v>
      </c>
      <c r="Q40" s="796">
        <f t="shared" si="102"/>
        <v>124.694734508658</v>
      </c>
      <c r="R40" s="629">
        <f t="shared" si="103"/>
        <v>14.710938341181979</v>
      </c>
      <c r="S40" s="630">
        <f t="shared" si="92"/>
        <v>4.1748840407126253E-3</v>
      </c>
      <c r="T40" s="630">
        <f t="shared" si="93"/>
        <v>1.7088234180165588E-2</v>
      </c>
      <c r="U40" s="322">
        <f>IF(E36&gt;E$10,0,AA40+AC40*(E36-AB40)/AD40)</f>
        <v>1216.0561355013574</v>
      </c>
      <c r="V40" s="322">
        <f>IF(E36&gt;E$10,0,AE40+AG40*(E36-AF40)/AH40)</f>
        <v>277.73136000329293</v>
      </c>
      <c r="W40" s="403">
        <f>1000*MAIN!C$44/J10</f>
        <v>7.4543229511670209E-2</v>
      </c>
      <c r="X40" s="261">
        <f t="shared" si="94"/>
        <v>1</v>
      </c>
      <c r="Y40" s="403">
        <f t="shared" si="95"/>
        <v>0.15550850748613812</v>
      </c>
      <c r="Z40" s="409" t="str">
        <f t="shared" si="96"/>
        <v>Z</v>
      </c>
      <c r="AA40" s="413">
        <f>HLOOKUP(E36,Ycal!D$163:BO$164,2)</f>
        <v>1170.3683902170228</v>
      </c>
      <c r="AB40" s="322">
        <f>HLOOKUP(E36,Ycal!D$163:BO$164,1)</f>
        <v>583.02939578855364</v>
      </c>
      <c r="AC40" s="322">
        <f>HLOOKUP(E36,Ycal!D$163:BO$168,5)</f>
        <v>46.122354829132291</v>
      </c>
      <c r="AD40" s="414">
        <f>HLOOKUP(E36,Ycal!D$163:BO$168,4)</f>
        <v>153.96836044154259</v>
      </c>
      <c r="AE40" s="413">
        <f>HLOOKUP(E36,Zcal!D$163:BO$164,2)</f>
        <v>273.55261193255569</v>
      </c>
      <c r="AF40" s="322">
        <f>HLOOKUP(E36,Zcal!D$163:BO$164,1)</f>
        <v>693.86784575921979</v>
      </c>
      <c r="AG40" s="322">
        <f>HLOOKUP(E36,Zcal!D$163:BO$168,5)</f>
        <v>7.1720979391645301</v>
      </c>
      <c r="AH40" s="414">
        <f>HLOOKUP(E36,Zcal!D$163:BO$168,4)</f>
        <v>71.534913403721134</v>
      </c>
      <c r="AJ40" s="794">
        <f xml:space="preserve"> IF(OR(MAIN!E$29="BOTH AXES",Z40 ="Y"),         MAX(P$35,BI40),     BM40)</f>
        <v>124.694734508658</v>
      </c>
      <c r="AK40" s="677">
        <f xml:space="preserve">       IF(OR(MAIN!E$29="BOTH AXES",Z40 ="Z"),    MAX(R$35,BJ40),           BL40)</f>
        <v>14.710938341181979</v>
      </c>
      <c r="AL40" s="672" t="str">
        <f t="shared" si="97"/>
        <v>Z</v>
      </c>
      <c r="AM40" s="639">
        <f t="shared" si="98"/>
        <v>124.694734508658</v>
      </c>
      <c r="AN40" s="640">
        <f t="shared" si="104"/>
        <v>-61.199526109531803</v>
      </c>
      <c r="AO40" s="639">
        <f t="shared" si="99"/>
        <v>4.7559385189121439</v>
      </c>
      <c r="AP40" s="640">
        <f t="shared" si="105"/>
        <v>4.7459385189121468</v>
      </c>
      <c r="AQ40" s="743">
        <f t="shared" si="106"/>
        <v>124.694734508658</v>
      </c>
      <c r="AR40" s="744">
        <f t="shared" si="107"/>
        <v>-61.199526109531803</v>
      </c>
      <c r="AS40" s="743">
        <f t="shared" si="108"/>
        <v>0.01</v>
      </c>
      <c r="AT40" s="744">
        <f t="shared" si="108"/>
        <v>2.2957635792408801E-15</v>
      </c>
      <c r="AU40" s="760">
        <f t="shared" ref="AU40:BF43" si="117">AU39</f>
        <v>50.337030261382068</v>
      </c>
      <c r="AV40" s="761">
        <f t="shared" si="117"/>
        <v>6.0000000000009187E-3</v>
      </c>
      <c r="AW40" s="760">
        <f t="shared" si="117"/>
        <v>124.694734508658</v>
      </c>
      <c r="AX40" s="761">
        <f t="shared" si="117"/>
        <v>0.01</v>
      </c>
      <c r="AY40" s="760">
        <f t="shared" si="117"/>
        <v>-61.199526109531803</v>
      </c>
      <c r="AZ40" s="761">
        <f t="shared" si="117"/>
        <v>2.2957635792408801E-15</v>
      </c>
      <c r="BA40" s="767">
        <f t="shared" si="117"/>
        <v>55.413923614097357</v>
      </c>
      <c r="BB40" s="768">
        <f t="shared" si="117"/>
        <v>4.7519385189121452</v>
      </c>
      <c r="BC40" s="767">
        <f t="shared" si="117"/>
        <v>129.77162786137328</v>
      </c>
      <c r="BD40" s="768">
        <f t="shared" si="117"/>
        <v>4.7559385189121439</v>
      </c>
      <c r="BE40" s="767">
        <f t="shared" si="117"/>
        <v>-56.122632756816515</v>
      </c>
      <c r="BF40" s="768">
        <f t="shared" si="117"/>
        <v>4.7459385189121468</v>
      </c>
      <c r="BG40" s="767">
        <f t="shared" si="112"/>
        <v>129.77162786137328</v>
      </c>
      <c r="BH40" s="799">
        <f t="shared" si="112"/>
        <v>4.7559385189121439</v>
      </c>
      <c r="BI40" s="767">
        <f>IF(MAIN!D$21="N",CC40+ABS(BO40),MAX(BA40+CC40,BC40,  ABS(BE40-   IF(DB$20="Top",Slen!N$28,Slen!N$27)   *CC40/2-2*P$36)             ))</f>
        <v>129.77162786137328</v>
      </c>
      <c r="BJ40" s="768">
        <f>IF(MAIN!D$22="N",CD40+ABS(BQ40),MAX(BB40+CD40,BD40,     ABS(BF40-     IF(DC$20="Top",Slen!N$11,Slen!N$10)   *CD40/2-2*R$36)              ))</f>
        <v>4.7559385189121439</v>
      </c>
      <c r="BK40" s="767">
        <f>IF(MAIN!D$21="N",CC40+ABS(BO40),MAX(BA40+CC40,BC40,  ABS(BE40-    IF(DB$20="Top",Slen!N$28,Slen!N$27)   *CC40/2-2*P$36)             ))</f>
        <v>129.77162786137328</v>
      </c>
      <c r="BL40" s="768">
        <f>IF(MAIN!D$22="N",CD40+ABS(AS40),MAX(AV40+CF40,AX40,   ABS(AZ40-   IF(DC$20="Top",Slen!N$11,Slen!N$10)    *CF40/2)                    ))</f>
        <v>0.01</v>
      </c>
      <c r="BM40" s="767">
        <f>IF(MAIN!D$21="N",CC40+ABS(AQ40),MAX(AU40+CE40,AW40,   ABS(AY40-     IF(DB$20="Top",Slen!N$28,Slen!N$27)    *CE40/2)             ))</f>
        <v>124.694734508658</v>
      </c>
      <c r="BN40" s="768">
        <f>IF(MAIN!D$22="N",CD40+ABS(BQ40),MAX(BB40+CD40,BD40,   ABS(BF40-   IF(DC$20="Top",Slen!N$11,Slen!N$10)   *CD40/2-2*R$36)                ))</f>
        <v>4.7559385189121439</v>
      </c>
      <c r="BO40" s="811">
        <f t="shared" ref="BO40:BO43" si="118">BO39</f>
        <v>129.77162786137328</v>
      </c>
      <c r="BP40" s="808">
        <f t="shared" ref="BP40:BP43" si="119">BP39</f>
        <v>-56.122632756816515</v>
      </c>
      <c r="BQ40" s="807">
        <f t="shared" ref="BQ40:BQ43" si="120">BQ39</f>
        <v>4.7559385189121439</v>
      </c>
      <c r="BR40" s="808">
        <f t="shared" ref="BR40:BR43" si="121">BR39</f>
        <v>4.7459385189121468</v>
      </c>
      <c r="BS40" s="324">
        <f>MIN(1,(Slen!I36-H$36)/(Slen!I36-Slen!J36))</f>
        <v>1</v>
      </c>
      <c r="BT40" s="324">
        <f>MIN(1,(Slen!I19-H$36)/(Slen!I19-Slen!J19))</f>
        <v>1</v>
      </c>
      <c r="BU40" s="748">
        <f>MIN(50,Slen!K36*(1.7-IF(LEFT(MAIN!D$21)="N",1,BP40/BO40))/SQRT(H$36))</f>
        <v>50</v>
      </c>
      <c r="BV40" s="748">
        <f>MIN(50,Slen!K19*(1.7-IF(LEFT(MAIN!D$22)="N",1,BR40/BQ40))/SQRT(H$36))</f>
        <v>44.849755971166175</v>
      </c>
      <c r="BW40" s="748">
        <f>MIN(50,Slen!K36*(1.7-IF(LEFT(MAIN!D$21)="N",1,AR40/AQ40))/SQRT(H$36))</f>
        <v>50</v>
      </c>
      <c r="BX40" s="748">
        <f>MIN(50,Slen!K19*(1.7-IF(LEFT(MAIN!D$22)="N",1,AT40/AS40))/SQRT(H$36))</f>
        <v>50</v>
      </c>
      <c r="BY40" s="324">
        <f>IF(AND(MAIN!C$11&lt;=2,Slen!G36&lt;=75,1000*ABS(BO40)/MAIN!C$44&gt;=MAIN!C$13),1,MAX(1,1+F10*T$36))</f>
        <v>1.6012088579434463</v>
      </c>
      <c r="BZ40" s="324">
        <f>IF(AND(MAIN!C$11&lt;=2,Slen!G19&lt;=75,1000*ABS(BQ40)/MAIN!C$44&gt;=MAIN!C$14),1,MAX(1,1+G10*T$36))</f>
        <v>1.4250995926541479</v>
      </c>
      <c r="CA40" s="403">
        <f t="shared" si="100"/>
        <v>6.729280985193924E-6</v>
      </c>
      <c r="CB40" s="403">
        <f t="shared" si="100"/>
        <v>2.7593343065922141E-5</v>
      </c>
      <c r="CC40" s="403">
        <f>1000*IF(Slen!G36&gt;BU40,E$36*CA40*(Slen!G$29/1000)^2/IF(MAIN!D$44=MAIN!F$44,8,PI()^2),0)</f>
        <v>0</v>
      </c>
      <c r="CD40" s="403">
        <f>1000*IF(Slen!G19&gt;BV40,E$36*CB40*(Slen!G$12/1000)^2/IF(MAIN!E$44=MAIN!G$44,8,PI()^2),0)</f>
        <v>0</v>
      </c>
      <c r="CE40" s="403">
        <f>1000*IF(Slen!G36&gt;BW40,E$36*CA40*(Slen!G$29/1000)^2/IF(MAIN!D$44=MAIN!F$44,8,PI()^2),0)</f>
        <v>0</v>
      </c>
      <c r="CF40" s="403">
        <f>1000*IF(Slen!G19&gt;BX40,E$36*CB40*(Slen!G$12/1000)^2/IF(MAIN!E$44=MAIN!G$44,8,PI()^2),0)</f>
        <v>0</v>
      </c>
      <c r="CG40" s="261">
        <f t="shared" si="113"/>
        <v>0.10675116831299516</v>
      </c>
      <c r="CH40" s="261">
        <f t="shared" si="101"/>
        <v>0.11966451845244813</v>
      </c>
      <c r="CI40" s="304" t="str">
        <f t="shared" si="114"/>
        <v>Z</v>
      </c>
      <c r="CJ40" s="261">
        <f t="shared" si="115"/>
        <v>0.12383940249316075</v>
      </c>
      <c r="CK40" s="261">
        <f t="shared" si="116"/>
        <v>0.10257628427228255</v>
      </c>
    </row>
    <row r="41" spans="2:105" ht="18">
      <c r="B41" s="367">
        <f t="shared" si="90"/>
        <v>20</v>
      </c>
      <c r="C41" s="412">
        <f t="shared" si="90"/>
        <v>8982.6783962200461</v>
      </c>
      <c r="D41" s="304">
        <f t="shared" si="91"/>
        <v>0.19919316297614881</v>
      </c>
      <c r="E41" s="304" t="str">
        <f>IF(AND(D41&lt;=1,E36&lt;=C41,D$11&gt;=F36),"ok","Fails")</f>
        <v>ok</v>
      </c>
      <c r="F41" s="304">
        <f>IF(AND(E41="ok",SUM(F42:F43)=0),B41,0)</f>
        <v>0</v>
      </c>
      <c r="G41" s="324">
        <f>MIN(1,(Slen!I37-H$36)/(Slen!I37-Slen!J37))</f>
        <v>1</v>
      </c>
      <c r="H41" s="324">
        <f>MIN(1,(Slen!I20-H$36)/(Slen!I20-Slen!J20))</f>
        <v>1</v>
      </c>
      <c r="I41" s="825">
        <f>MIN(50,Slen!K37*(1.7-IF(LEFT(MAIN!D$21)="N",1,AN41/AM41))/SQRT(H$36))</f>
        <v>50</v>
      </c>
      <c r="J41" s="826">
        <f>MIN(50,Slen!K20*(1.7-IF(LEFT(MAIN!D$22)="N",1,AP41/AO41))/SQRT(H$36))</f>
        <v>42.401246745701386</v>
      </c>
      <c r="K41" s="324">
        <f>IF(AND(MAIN!C$11&lt;=2,Slen!G37&lt;=75,1000*ABS(Cases!AM$38)/MAIN!C$44&gt;=MAIN!C$13),1,MAX(1,1+F11*T$16))</f>
        <v>1.6012088579434463</v>
      </c>
      <c r="L41" s="324">
        <f>IF(AND(MAIN!C$11&lt;=2,Slen!G20&lt;=75,1000*ABS(Cases!AO$38)/MAIN!C$44&gt;=MAIN!C$14),1,MAX(1,1+G11*T$16))</f>
        <v>1.4250995926541479</v>
      </c>
      <c r="M41" s="403">
        <f>G41*K41*H$11</f>
        <v>6.7146775108336949E-6</v>
      </c>
      <c r="N41" s="403">
        <f>H41*L41*I$11</f>
        <v>2.7319599583125293E-5</v>
      </c>
      <c r="O41" s="403">
        <f>1000*IF(Slen!G37&gt;I41,E$36*M41*(Slen!G$29/1000)^2/IF(MAIN!D$44=MAIN!F$44,8,PI()^2),0)</f>
        <v>0</v>
      </c>
      <c r="P41" s="403">
        <f>1000*IF(Slen!G20&gt;J41,E$36*N41*(Slen!G$12/1000)^2/IF(MAIN!E$44=MAIN!G$44,8,PI()^2),0)</f>
        <v>0</v>
      </c>
      <c r="Q41" s="796">
        <f t="shared" si="102"/>
        <v>124.694734508658</v>
      </c>
      <c r="R41" s="629">
        <f t="shared" si="103"/>
        <v>14.710938341181979</v>
      </c>
      <c r="S41" s="630">
        <f t="shared" si="92"/>
        <v>5.35646458608173E-3</v>
      </c>
      <c r="T41" s="630">
        <f t="shared" si="93"/>
        <v>2.1818896373897275E-2</v>
      </c>
      <c r="U41" s="322">
        <f>IF(E36&gt;E$11,0,AA41+AC41*(E36-AB41)/AD41)</f>
        <v>947.80676155446224</v>
      </c>
      <c r="V41" s="322">
        <f>IF(E36&gt;E$11,0,AE41+AG41*(E36-AF41)/AH41)</f>
        <v>217.51505839634859</v>
      </c>
      <c r="W41" s="403">
        <f>1000*MAIN!C$44/J11</f>
        <v>7.9495142042164096E-2</v>
      </c>
      <c r="X41" s="261">
        <f t="shared" si="94"/>
        <v>1</v>
      </c>
      <c r="Y41" s="403">
        <f t="shared" si="95"/>
        <v>0.19919316297614881</v>
      </c>
      <c r="Z41" s="409" t="str">
        <f t="shared" si="96"/>
        <v>Z</v>
      </c>
      <c r="AA41" s="413">
        <f>HLOOKUP(E36,Ycal!D$215:BO$216,2)</f>
        <v>916.44016088388548</v>
      </c>
      <c r="AB41" s="322">
        <f>HLOOKUP(E36,Ycal!D$215:BO$216,1)</f>
        <v>659.75075369752381</v>
      </c>
      <c r="AC41" s="322">
        <f>HLOOKUP(E36,Ycal!D$215:BO$220,5)</f>
        <v>37.749991817571299</v>
      </c>
      <c r="AD41" s="414">
        <f>HLOOKUP(E36,Ycal!D$215:BO$220,4)</f>
        <v>91.221378330192806</v>
      </c>
      <c r="AE41" s="413">
        <f>HLOOKUP(E36,Zcal!D$215:BO$216,2)</f>
        <v>208.8990695085503</v>
      </c>
      <c r="AF41" s="322">
        <f>HLOOKUP(E36,Zcal!D$215:BO$216,1)</f>
        <v>653.53740836086217</v>
      </c>
      <c r="AG41" s="322">
        <f>HLOOKUP(E36,Zcal!D$215:BO$220,5)</f>
        <v>12.01120484318696</v>
      </c>
      <c r="AH41" s="414">
        <f>HLOOKUP(E36,Zcal!D$215:BO$220,4)</f>
        <v>114.32616973991435</v>
      </c>
      <c r="AJ41" s="794">
        <f xml:space="preserve"> IF(OR(MAIN!E$29="BOTH AXES",Z41 ="Y"),         MAX(P$35,BI41),     BM41)</f>
        <v>124.694734508658</v>
      </c>
      <c r="AK41" s="677">
        <f xml:space="preserve">       IF(OR(MAIN!E$29="BOTH AXES",Z41 ="Z"),    MAX(R$35,BJ41),           BL41)</f>
        <v>14.710938341181979</v>
      </c>
      <c r="AL41" s="672" t="str">
        <f t="shared" si="97"/>
        <v>Z</v>
      </c>
      <c r="AM41" s="639">
        <f t="shared" si="98"/>
        <v>124.694734508658</v>
      </c>
      <c r="AN41" s="640">
        <f t="shared" si="104"/>
        <v>-61.199526109531803</v>
      </c>
      <c r="AO41" s="639">
        <f t="shared" si="99"/>
        <v>4.7559385189121439</v>
      </c>
      <c r="AP41" s="640">
        <f t="shared" si="105"/>
        <v>4.7459385189121468</v>
      </c>
      <c r="AQ41" s="743">
        <f t="shared" si="106"/>
        <v>124.694734508658</v>
      </c>
      <c r="AR41" s="744">
        <f t="shared" si="107"/>
        <v>-61.199526109531803</v>
      </c>
      <c r="AS41" s="743">
        <f t="shared" si="108"/>
        <v>0.01</v>
      </c>
      <c r="AT41" s="744">
        <f t="shared" si="108"/>
        <v>2.2957635792408801E-15</v>
      </c>
      <c r="AU41" s="760">
        <f t="shared" si="117"/>
        <v>50.337030261382068</v>
      </c>
      <c r="AV41" s="761">
        <f t="shared" si="117"/>
        <v>6.0000000000009187E-3</v>
      </c>
      <c r="AW41" s="760">
        <f t="shared" si="117"/>
        <v>124.694734508658</v>
      </c>
      <c r="AX41" s="761">
        <f t="shared" si="117"/>
        <v>0.01</v>
      </c>
      <c r="AY41" s="760">
        <f t="shared" si="117"/>
        <v>-61.199526109531803</v>
      </c>
      <c r="AZ41" s="761">
        <f t="shared" si="117"/>
        <v>2.2957635792408801E-15</v>
      </c>
      <c r="BA41" s="767">
        <f t="shared" si="117"/>
        <v>55.413923614097357</v>
      </c>
      <c r="BB41" s="768">
        <f t="shared" si="117"/>
        <v>4.7519385189121452</v>
      </c>
      <c r="BC41" s="767">
        <f t="shared" si="117"/>
        <v>129.77162786137328</v>
      </c>
      <c r="BD41" s="768">
        <f t="shared" si="117"/>
        <v>4.7559385189121439</v>
      </c>
      <c r="BE41" s="767">
        <f t="shared" si="117"/>
        <v>-56.122632756816515</v>
      </c>
      <c r="BF41" s="768">
        <f t="shared" si="117"/>
        <v>4.7459385189121468</v>
      </c>
      <c r="BG41" s="767">
        <f t="shared" si="112"/>
        <v>129.77162786137328</v>
      </c>
      <c r="BH41" s="799">
        <f t="shared" si="112"/>
        <v>4.7559385189121439</v>
      </c>
      <c r="BI41" s="767">
        <f>IF(MAIN!D$21="N",CC41+ABS(BO41),MAX(BA41+CC41,BC41,  ABS(BE41-   IF(DB$20="Top",Slen!N$28,Slen!N$27)   *CC41/2-2*P$36)             ))</f>
        <v>129.77162786137328</v>
      </c>
      <c r="BJ41" s="768">
        <f>IF(MAIN!D$22="N",CD41+ABS(BQ41),MAX(BB41+CD41,BD41,     ABS(BF41-     IF(DC$20="Top",Slen!N$11,Slen!N$10)   *CD41/2-2*R$36)              ))</f>
        <v>4.7559385189121439</v>
      </c>
      <c r="BK41" s="767">
        <f>IF(MAIN!D$21="N",CC41+ABS(BO41),MAX(BA41+CC41,BC41,  ABS(BE41-    IF(DB$20="Top",Slen!N$28,Slen!N$27)   *CC41/2-2*P$36)             ))</f>
        <v>129.77162786137328</v>
      </c>
      <c r="BL41" s="768">
        <f>IF(MAIN!D$22="N",CD41+ABS(AS41),MAX(AV41+CF41,AX41,   ABS(AZ41-   IF(DC$20="Top",Slen!N$11,Slen!N$10)    *CF41/2)                    ))</f>
        <v>0.01</v>
      </c>
      <c r="BM41" s="767">
        <f>IF(MAIN!D$21="N",CC41+ABS(AQ41),MAX(AU41+CE41,AW41,   ABS(AY41-     IF(DB$20="Top",Slen!N$28,Slen!N$27)    *CE41/2)             ))</f>
        <v>124.694734508658</v>
      </c>
      <c r="BN41" s="768">
        <f>IF(MAIN!D$22="N",CD41+ABS(BQ41),MAX(BB41+CD41,BD41,   ABS(BF41-   IF(DC$20="Top",Slen!N$11,Slen!N$10)   *CD41/2-2*R$36)                ))</f>
        <v>4.7559385189121439</v>
      </c>
      <c r="BO41" s="811">
        <f t="shared" si="118"/>
        <v>129.77162786137328</v>
      </c>
      <c r="BP41" s="808">
        <f t="shared" si="119"/>
        <v>-56.122632756816515</v>
      </c>
      <c r="BQ41" s="807">
        <f t="shared" si="120"/>
        <v>4.7559385189121439</v>
      </c>
      <c r="BR41" s="808">
        <f t="shared" si="121"/>
        <v>4.7459385189121468</v>
      </c>
      <c r="BS41" s="324">
        <f>MIN(1,(Slen!I37-H$36)/(Slen!I37-Slen!J37))</f>
        <v>1</v>
      </c>
      <c r="BT41" s="324">
        <f>MIN(1,(Slen!I20-H$36)/(Slen!I20-Slen!J20))</f>
        <v>1</v>
      </c>
      <c r="BU41" s="748">
        <f>MIN(50,Slen!K37*(1.7-IF(LEFT(MAIN!D$21)="N",1,BP41/BO41))/SQRT(H$36))</f>
        <v>50</v>
      </c>
      <c r="BV41" s="748">
        <f>MIN(50,Slen!K20*(1.7-IF(LEFT(MAIN!D$22)="N",1,BR41/BQ41))/SQRT(H$36))</f>
        <v>42.401246745701386</v>
      </c>
      <c r="BW41" s="748">
        <f>MIN(50,Slen!K37*(1.7-IF(LEFT(MAIN!D$21)="N",1,AR41/AQ41))/SQRT(H$36))</f>
        <v>50</v>
      </c>
      <c r="BX41" s="748">
        <f>MIN(50,Slen!K20*(1.7-IF(LEFT(MAIN!D$22)="N",1,AT41/AS41))/SQRT(H$36))</f>
        <v>50</v>
      </c>
      <c r="BY41" s="324">
        <f>IF(AND(MAIN!C$11&lt;=2,Slen!G37&lt;=75,1000*ABS(BO41)/MAIN!C$44&gt;=MAIN!C$13),1,MAX(1,1+F11*T$36))</f>
        <v>1.6012088579434463</v>
      </c>
      <c r="BZ41" s="324">
        <f>IF(AND(MAIN!C$11&lt;=2,Slen!G20&lt;=75,1000*ABS(BQ41)/MAIN!C$44&gt;=MAIN!C$14),1,MAX(1,1+G11*T$36))</f>
        <v>1.4250995926541479</v>
      </c>
      <c r="CA41" s="403">
        <f t="shared" si="100"/>
        <v>6.7146775108336949E-6</v>
      </c>
      <c r="CB41" s="403">
        <f t="shared" si="100"/>
        <v>2.7319599583125293E-5</v>
      </c>
      <c r="CC41" s="403">
        <f>1000*IF(Slen!G37&gt;BU41,E$36*CA41*(Slen!G$29/1000)^2/IF(MAIN!D$44=MAIN!F$44,8,PI()^2),0)</f>
        <v>0</v>
      </c>
      <c r="CD41" s="403">
        <f>1000*IF(Slen!G20&gt;BV41,E$36*CB41*(Slen!G$12/1000)^2/IF(MAIN!E$44=MAIN!G$44,8,PI()^2),0)</f>
        <v>0</v>
      </c>
      <c r="CE41" s="403">
        <f>1000*IF(Slen!G37&gt;BW41,E$36*CA41*(Slen!G$29/1000)^2/IF(MAIN!D$44=MAIN!F$44,8,PI()^2),0)</f>
        <v>0</v>
      </c>
      <c r="CF41" s="403">
        <f>1000*IF(Slen!G20&gt;BX41,E$36*CB41*(Slen!G$12/1000)^2/IF(MAIN!E$44=MAIN!G$44,8,PI()^2),0)</f>
        <v>0</v>
      </c>
      <c r="CG41" s="261">
        <f t="shared" si="113"/>
        <v>0.13696378569194298</v>
      </c>
      <c r="CH41" s="261">
        <f t="shared" si="101"/>
        <v>0.15342621747975851</v>
      </c>
      <c r="CI41" s="304" t="str">
        <f t="shared" si="114"/>
        <v>Z</v>
      </c>
      <c r="CJ41" s="261">
        <f t="shared" si="115"/>
        <v>0.15878268206584023</v>
      </c>
      <c r="CK41" s="261">
        <f t="shared" si="116"/>
        <v>0.13160732110586126</v>
      </c>
    </row>
    <row r="42" spans="2:105" ht="18">
      <c r="B42" s="367">
        <f t="shared" si="90"/>
        <v>16</v>
      </c>
      <c r="C42" s="412">
        <f t="shared" si="90"/>
        <v>8686.5141735808302</v>
      </c>
      <c r="D42" s="304">
        <f t="shared" si="91"/>
        <v>0.24766290012059552</v>
      </c>
      <c r="E42" s="304" t="str">
        <f>IF(AND(D42&lt;=1,E36&lt;=C42,D$12&gt;=F36),"ok","Fails")</f>
        <v>ok</v>
      </c>
      <c r="F42" s="304">
        <f>IF(AND(E42="ok",SUM(F43:F43)=0),B42,0)</f>
        <v>0</v>
      </c>
      <c r="G42" s="324">
        <f>MIN(1,(Slen!I38-H$36)/(Slen!I38-Slen!J38))</f>
        <v>1</v>
      </c>
      <c r="H42" s="324">
        <f>MIN(1,(Slen!I21-H$36)/(Slen!I21-Slen!J21))</f>
        <v>1</v>
      </c>
      <c r="I42" s="825">
        <f>MIN(50,Slen!K38*(1.7-IF(LEFT(MAIN!D$21)="N",1,AN42/AM42))/SQRT(H$36))</f>
        <v>50</v>
      </c>
      <c r="J42" s="826">
        <f>MIN(50,Slen!K21*(1.7-IF(LEFT(MAIN!D$22)="N",1,AP42/AO42))/SQRT(H$36))</f>
        <v>40.7570779023293</v>
      </c>
      <c r="K42" s="324">
        <f>IF(AND(MAIN!C$11&lt;=2,Slen!G38&lt;=75,1000*ABS(Cases!AM$38)/MAIN!C$44&gt;=MAIN!C$13),1,MAX(1,1+F12*T$16))</f>
        <v>1.6012088579434463</v>
      </c>
      <c r="L42" s="324">
        <f>IF(AND(MAIN!C$11&lt;=2,Slen!G21&lt;=75,1000*ABS(Cases!AO$38)/MAIN!C$44&gt;=MAIN!C$14),1,MAX(1,1+G12*T$16))</f>
        <v>1.4250995926541479</v>
      </c>
      <c r="M42" s="403">
        <f>G42*K42*H$12</f>
        <v>6.7030402881112786E-6</v>
      </c>
      <c r="N42" s="403">
        <f>H42*L42*I$12</f>
        <v>2.7104484625777852E-5</v>
      </c>
      <c r="O42" s="403">
        <f>1000*IF(Slen!G38&gt;I42,E$36*M42*(Slen!G$29/1000)^2/IF(MAIN!D$44=MAIN!F$44,8,PI()^2),0)</f>
        <v>0</v>
      </c>
      <c r="P42" s="403">
        <f>1000*IF(Slen!G21&gt;J42,E$36*N42*(Slen!G$12/1000)^2/IF(MAIN!E$44=MAIN!G$44,8,PI()^2),0)</f>
        <v>0</v>
      </c>
      <c r="Q42" s="796">
        <f t="shared" si="102"/>
        <v>124.694734508658</v>
      </c>
      <c r="R42" s="629">
        <f t="shared" si="103"/>
        <v>14.710938341181979</v>
      </c>
      <c r="S42" s="630">
        <f t="shared" si="92"/>
        <v>6.7050655209307652E-3</v>
      </c>
      <c r="T42" s="630">
        <f t="shared" si="93"/>
        <v>2.6769856662405972E-2</v>
      </c>
      <c r="U42" s="322">
        <f>IF(E36&gt;E$12,0,AA42+AC42*(E36-AB42)/AD42)</f>
        <v>757.17281760589526</v>
      </c>
      <c r="V42" s="322">
        <f>IF(E36&gt;E$12,0,AE42+AG42*(E36-AF42)/AH42)</f>
        <v>177.28666158967761</v>
      </c>
      <c r="W42" s="403">
        <f>1000*MAIN!C$44/J12</f>
        <v>8.3024969349145827E-2</v>
      </c>
      <c r="X42" s="261">
        <f t="shared" si="94"/>
        <v>1</v>
      </c>
      <c r="Y42" s="403">
        <f t="shared" si="95"/>
        <v>0.24766290012059552</v>
      </c>
      <c r="Z42" s="409" t="str">
        <f t="shared" si="96"/>
        <v>Z</v>
      </c>
      <c r="AA42" s="413">
        <f>HLOOKUP(E36,Ycal!D$267:BO$268,2)</f>
        <v>718.92985375913327</v>
      </c>
      <c r="AB42" s="322">
        <f>HLOOKUP(E36,Ycal!D$267:BO$268,1)</f>
        <v>649.5913565253162</v>
      </c>
      <c r="AC42" s="322">
        <f>HLOOKUP(E36,Ycal!D$267:BO$272,5)</f>
        <v>41.106016921580704</v>
      </c>
      <c r="AD42" s="414">
        <f>HLOOKUP(E36,Ycal!D$267:BO$272,4)</f>
        <v>92.390609157893209</v>
      </c>
      <c r="AE42" s="413">
        <f>HLOOKUP(E36,Zcal!D$267:BO$268,2)</f>
        <v>173.32964506384815</v>
      </c>
      <c r="AF42" s="322">
        <f>HLOOKUP(E36,Zcal!D$267:BO$268,1)</f>
        <v>699.07956913170847</v>
      </c>
      <c r="AG42" s="322">
        <f>HLOOKUP(E36,Zcal!D$267:BO$272,5)</f>
        <v>11.684897677572394</v>
      </c>
      <c r="AH42" s="414">
        <f>HLOOKUP(E36,Zcal!D$267:BO$272,4)</f>
        <v>107.6864921646162</v>
      </c>
      <c r="AJ42" s="794">
        <f xml:space="preserve"> IF(OR(MAIN!E$29="BOTH AXES",Z42 ="Y"),         MAX(P$35,BI42),     BM42)</f>
        <v>124.694734508658</v>
      </c>
      <c r="AK42" s="677">
        <f xml:space="preserve">       IF(OR(MAIN!E$29="BOTH AXES",Z42 ="Z"),    MAX(R$35,BJ42),           BL42)</f>
        <v>14.710938341181979</v>
      </c>
      <c r="AL42" s="672" t="str">
        <f t="shared" si="97"/>
        <v>Z</v>
      </c>
      <c r="AM42" s="639">
        <f t="shared" si="98"/>
        <v>124.694734508658</v>
      </c>
      <c r="AN42" s="640">
        <f t="shared" si="104"/>
        <v>-61.199526109531803</v>
      </c>
      <c r="AO42" s="639">
        <f t="shared" si="99"/>
        <v>4.7559385189121439</v>
      </c>
      <c r="AP42" s="640">
        <f t="shared" si="105"/>
        <v>4.7459385189121468</v>
      </c>
      <c r="AQ42" s="743">
        <f t="shared" si="106"/>
        <v>124.694734508658</v>
      </c>
      <c r="AR42" s="744">
        <f t="shared" si="107"/>
        <v>-61.199526109531803</v>
      </c>
      <c r="AS42" s="743">
        <f t="shared" si="108"/>
        <v>0.01</v>
      </c>
      <c r="AT42" s="744">
        <f t="shared" si="108"/>
        <v>2.2957635792408801E-15</v>
      </c>
      <c r="AU42" s="760">
        <f t="shared" si="117"/>
        <v>50.337030261382068</v>
      </c>
      <c r="AV42" s="761">
        <f t="shared" si="117"/>
        <v>6.0000000000009187E-3</v>
      </c>
      <c r="AW42" s="760">
        <f t="shared" si="117"/>
        <v>124.694734508658</v>
      </c>
      <c r="AX42" s="761">
        <f t="shared" si="117"/>
        <v>0.01</v>
      </c>
      <c r="AY42" s="760">
        <f t="shared" si="117"/>
        <v>-61.199526109531803</v>
      </c>
      <c r="AZ42" s="761">
        <f t="shared" si="117"/>
        <v>2.2957635792408801E-15</v>
      </c>
      <c r="BA42" s="767">
        <f t="shared" si="117"/>
        <v>55.413923614097357</v>
      </c>
      <c r="BB42" s="768">
        <f t="shared" si="117"/>
        <v>4.7519385189121452</v>
      </c>
      <c r="BC42" s="767">
        <f t="shared" si="117"/>
        <v>129.77162786137328</v>
      </c>
      <c r="BD42" s="768">
        <f t="shared" si="117"/>
        <v>4.7559385189121439</v>
      </c>
      <c r="BE42" s="767">
        <f t="shared" si="117"/>
        <v>-56.122632756816515</v>
      </c>
      <c r="BF42" s="768">
        <f t="shared" si="117"/>
        <v>4.7459385189121468</v>
      </c>
      <c r="BG42" s="767">
        <f t="shared" si="112"/>
        <v>129.77162786137328</v>
      </c>
      <c r="BH42" s="799">
        <f t="shared" si="112"/>
        <v>4.7559385189121439</v>
      </c>
      <c r="BI42" s="767">
        <f>IF(MAIN!D$21="N",CC42+ABS(BO42),MAX(BA42+CC42,BC42,  ABS(BE42-   IF(DB$20="Top",Slen!N$28,Slen!N$27)   *CC42/2-2*P$36)             ))</f>
        <v>129.77162786137328</v>
      </c>
      <c r="BJ42" s="768">
        <f>IF(MAIN!D$22="N",CD42+ABS(BQ42),MAX(BB42+CD42,BD42,     ABS(BF42-     IF(DC$20="Top",Slen!N$11,Slen!N$10)   *CD42/2-2*R$36)              ))</f>
        <v>4.7559385189121439</v>
      </c>
      <c r="BK42" s="767">
        <f>IF(MAIN!D$21="N",CC42+ABS(BO42),MAX(BA42+CC42,BC42,  ABS(BE42-    IF(DB$20="Top",Slen!N$28,Slen!N$27)   *CC42/2-2*P$36)             ))</f>
        <v>129.77162786137328</v>
      </c>
      <c r="BL42" s="768">
        <f>IF(MAIN!D$22="N",CD42+ABS(AS42),MAX(AV42+CF42,AX42,   ABS(AZ42-   IF(DC$20="Top",Slen!N$11,Slen!N$10)    *CF42/2)                    ))</f>
        <v>0.01</v>
      </c>
      <c r="BM42" s="767">
        <f>IF(MAIN!D$21="N",CC42+ABS(AQ42),MAX(AU42+CE42,AW42,   ABS(AY42-     IF(DB$20="Top",Slen!N$28,Slen!N$27)    *CE42/2)             ))</f>
        <v>124.694734508658</v>
      </c>
      <c r="BN42" s="768">
        <f>IF(MAIN!D$22="N",CD42+ABS(BQ42),MAX(BB42+CD42,BD42,   ABS(BF42-   IF(DC$20="Top",Slen!N$11,Slen!N$10)   *CD42/2-2*R$36)                ))</f>
        <v>4.7559385189121439</v>
      </c>
      <c r="BO42" s="811">
        <f t="shared" si="118"/>
        <v>129.77162786137328</v>
      </c>
      <c r="BP42" s="808">
        <f t="shared" si="119"/>
        <v>-56.122632756816515</v>
      </c>
      <c r="BQ42" s="807">
        <f t="shared" si="120"/>
        <v>4.7559385189121439</v>
      </c>
      <c r="BR42" s="808">
        <f t="shared" si="121"/>
        <v>4.7459385189121468</v>
      </c>
      <c r="BS42" s="324">
        <f>MIN(1,(Slen!I38-H$36)/(Slen!I38-Slen!J38))</f>
        <v>1</v>
      </c>
      <c r="BT42" s="324">
        <f>MIN(1,(Slen!I21-H$36)/(Slen!I21-Slen!J21))</f>
        <v>1</v>
      </c>
      <c r="BU42" s="748">
        <f>MIN(50,Slen!K38*(1.7-IF(LEFT(MAIN!D$21)="N",1,BP42/BO42))/SQRT(H$36))</f>
        <v>50</v>
      </c>
      <c r="BV42" s="748">
        <f>MIN(50,Slen!K21*(1.7-IF(LEFT(MAIN!D$22)="N",1,BR42/BQ42))/SQRT(H$36))</f>
        <v>40.7570779023293</v>
      </c>
      <c r="BW42" s="748">
        <f>MIN(50,Slen!K38*(1.7-IF(LEFT(MAIN!D$21)="N",1,AR42/AQ42))/SQRT(H$36))</f>
        <v>50</v>
      </c>
      <c r="BX42" s="748">
        <f>MIN(50,Slen!K21*(1.7-IF(LEFT(MAIN!D$22)="N",1,AT42/AS42))/SQRT(H$36))</f>
        <v>50</v>
      </c>
      <c r="BY42" s="324">
        <f>IF(AND(MAIN!C$11&lt;=2,Slen!G38&lt;=75,1000*ABS(BO42)/MAIN!C$44&gt;=MAIN!C$13),1,MAX(1,1+F12*T$36))</f>
        <v>1.6012088579434463</v>
      </c>
      <c r="BZ42" s="324">
        <f>IF(AND(MAIN!C$11&lt;=2,Slen!G21&lt;=75,1000*ABS(BQ42)/MAIN!C$44&gt;=MAIN!C$14),1,MAX(1,1+G12*T$36))</f>
        <v>1.4250995926541479</v>
      </c>
      <c r="CA42" s="403">
        <f t="shared" si="100"/>
        <v>6.7030402881112786E-6</v>
      </c>
      <c r="CB42" s="403">
        <f t="shared" si="100"/>
        <v>2.7104484625777852E-5</v>
      </c>
      <c r="CC42" s="403">
        <f>1000*IF(Slen!G38&gt;BU42,E$36*CA42*(Slen!G$29/1000)^2/IF(MAIN!D$44=MAIN!F$44,8,PI()^2),0)</f>
        <v>0</v>
      </c>
      <c r="CD42" s="403">
        <f>1000*IF(Slen!G21&gt;BV42,E$36*CB42*(Slen!G$12/1000)^2/IF(MAIN!E$44=MAIN!G$44,8,PI()^2),0)</f>
        <v>0</v>
      </c>
      <c r="CE42" s="403">
        <f>1000*IF(Slen!G38&gt;BW42,E$36*CA42*(Slen!G$29/1000)^2/IF(MAIN!D$44=MAIN!F$44,8,PI()^2),0)</f>
        <v>0</v>
      </c>
      <c r="CF42" s="403">
        <f>1000*IF(Slen!G21&gt;BX42,E$36*CB42*(Slen!G$12/1000)^2/IF(MAIN!E$44=MAIN!G$44,8,PI()^2),0)</f>
        <v>0</v>
      </c>
      <c r="CG42" s="261">
        <f t="shared" si="113"/>
        <v>0.17144611348771521</v>
      </c>
      <c r="CH42" s="261">
        <f t="shared" si="101"/>
        <v>0.19151090462919043</v>
      </c>
      <c r="CI42" s="304" t="str">
        <f t="shared" si="114"/>
        <v>Z</v>
      </c>
      <c r="CJ42" s="261">
        <f t="shared" si="115"/>
        <v>0.19821597015012118</v>
      </c>
      <c r="CK42" s="261">
        <f t="shared" si="116"/>
        <v>0.16474104796678446</v>
      </c>
    </row>
    <row r="43" spans="2:105" ht="18">
      <c r="B43" s="367">
        <f t="shared" si="90"/>
        <v>16</v>
      </c>
      <c r="C43" s="415">
        <f t="shared" si="90"/>
        <v>8686.5141735808302</v>
      </c>
      <c r="D43" s="416">
        <f t="shared" si="91"/>
        <v>0.24766290012059552</v>
      </c>
      <c r="E43" s="416" t="str">
        <f>IF(AND(D43&lt;=1,E36&lt;=C43,D$13&gt;=F36),"ok","Fails")</f>
        <v>ok</v>
      </c>
      <c r="F43" s="416">
        <f>IF(E43="ok",B43,0)</f>
        <v>16</v>
      </c>
      <c r="G43" s="269">
        <f>MIN(1,(Slen!I39-H$36)/(Slen!I39-Slen!J39))</f>
        <v>1</v>
      </c>
      <c r="H43" s="269">
        <f>MIN(1,(Slen!I22-H$36)/(Slen!I22-Slen!J22))</f>
        <v>1</v>
      </c>
      <c r="I43" s="827">
        <f>MIN(50,Slen!K39*(1.7-IF(LEFT(MAIN!D$21)="N",1,AN43/AM43))/SQRT(H$36))</f>
        <v>50</v>
      </c>
      <c r="J43" s="828">
        <f>MIN(50,Slen!K22*(1.7-IF(LEFT(MAIN!D$22)="N",1,AP43/AO43))/SQRT(H$36))</f>
        <v>40.7570779023293</v>
      </c>
      <c r="K43" s="269">
        <f>IF(AND(MAIN!C$11&lt;=2,Slen!G39&lt;=75,1000*ABS(Cases!AM$38)/MAIN!C$44&gt;=MAIN!C$13),1,MAX(1,1+F13*T$16))</f>
        <v>1.6012088579434463</v>
      </c>
      <c r="L43" s="269">
        <f>IF(AND(MAIN!C$11&lt;=2,Slen!G22&lt;=75,1000*ABS(Cases!AO$38)/MAIN!C$44&gt;=MAIN!C$14),1,MAX(1,1+G13*T$16))</f>
        <v>1.4250995926541479</v>
      </c>
      <c r="M43" s="406">
        <f>G43*K43*H$13</f>
        <v>6.7030402881112786E-6</v>
      </c>
      <c r="N43" s="406">
        <f>H43*L43*I$13</f>
        <v>2.7104484625777852E-5</v>
      </c>
      <c r="O43" s="406">
        <f>1000*IF(Slen!G39&gt;I43,E$36*M43*(Slen!G$29/1000)^2/IF(MAIN!D$44=MAIN!F$44,8,PI()^2),0)</f>
        <v>0</v>
      </c>
      <c r="P43" s="406">
        <f>1000*IF(Slen!G22&gt;J43,E$36*N43*(Slen!G$12/1000)^2/IF(MAIN!E$44=MAIN!G$44,8,PI()^2),0)</f>
        <v>0</v>
      </c>
      <c r="Q43" s="797">
        <f t="shared" si="102"/>
        <v>124.694734508658</v>
      </c>
      <c r="R43" s="798">
        <f t="shared" si="103"/>
        <v>14.710938341181979</v>
      </c>
      <c r="S43" s="632">
        <f t="shared" si="92"/>
        <v>6.7050655209307652E-3</v>
      </c>
      <c r="T43" s="632">
        <f t="shared" si="93"/>
        <v>2.6769856662405972E-2</v>
      </c>
      <c r="U43" s="266">
        <f>IF(E36&gt;E$13,0,AA43+AC43*(E36-AB43)/AD43)</f>
        <v>757.17281760589526</v>
      </c>
      <c r="V43" s="266">
        <f>IF(E36&gt;E$13,0,AE43+AG43*(E36-AF43)/AH43)</f>
        <v>177.28666158967761</v>
      </c>
      <c r="W43" s="406">
        <f>1000*MAIN!C$44/J13</f>
        <v>8.3024969349145827E-2</v>
      </c>
      <c r="X43" s="325">
        <f t="shared" si="94"/>
        <v>1</v>
      </c>
      <c r="Y43" s="406">
        <f t="shared" si="95"/>
        <v>0.24766290012059552</v>
      </c>
      <c r="Z43" s="409" t="str">
        <f t="shared" si="96"/>
        <v>Z</v>
      </c>
      <c r="AA43" s="417">
        <f>HLOOKUP(E36,Ycal!D$319:BO$320,2)</f>
        <v>718.92985375913327</v>
      </c>
      <c r="AB43" s="266">
        <f>HLOOKUP(E36,Ycal!D$319:BO$320,1)</f>
        <v>649.5913565253162</v>
      </c>
      <c r="AC43" s="266">
        <f>HLOOKUP(E36,Ycal!D$319:BO$323,5)</f>
        <v>41.106016921580704</v>
      </c>
      <c r="AD43" s="418">
        <f>HLOOKUP(E36,Ycal!D$319:BO$323,4)</f>
        <v>92.390609157893209</v>
      </c>
      <c r="AE43" s="417">
        <f>HLOOKUP(E36,Zcal!D$319:BO$320,2)</f>
        <v>173.32964506384815</v>
      </c>
      <c r="AF43" s="266">
        <f>HLOOKUP(E36,Zcal!D$319:BO$320,1)</f>
        <v>699.07956913170847</v>
      </c>
      <c r="AG43" s="266">
        <f>HLOOKUP(E36,Zcal!D$319:BO$323,5)</f>
        <v>11.684897677572394</v>
      </c>
      <c r="AH43" s="418">
        <f>HLOOKUP(E36,Zcal!D$319:BO$323,4)</f>
        <v>107.6864921646162</v>
      </c>
      <c r="AJ43" s="794">
        <f xml:space="preserve"> IF(OR(MAIN!E$29="BOTH AXES",Z43 ="Y"),         MAX(P$35,BI43),     BM43)</f>
        <v>124.694734508658</v>
      </c>
      <c r="AK43" s="677">
        <f xml:space="preserve">       IF(OR(MAIN!E$29="BOTH AXES",Z43 ="Z"),    MAX(R$35,BJ43),           BL43)</f>
        <v>14.710938341181979</v>
      </c>
      <c r="AL43" s="672" t="str">
        <f t="shared" si="97"/>
        <v>Z</v>
      </c>
      <c r="AM43" s="641">
        <f t="shared" si="98"/>
        <v>124.694734508658</v>
      </c>
      <c r="AN43" s="642">
        <f t="shared" si="104"/>
        <v>-61.199526109531803</v>
      </c>
      <c r="AO43" s="641">
        <f t="shared" si="99"/>
        <v>4.7559385189121439</v>
      </c>
      <c r="AP43" s="642">
        <f t="shared" si="105"/>
        <v>4.7459385189121468</v>
      </c>
      <c r="AQ43" s="745">
        <f t="shared" si="106"/>
        <v>124.694734508658</v>
      </c>
      <c r="AR43" s="746">
        <f t="shared" si="107"/>
        <v>-61.199526109531803</v>
      </c>
      <c r="AS43" s="745">
        <f t="shared" si="108"/>
        <v>0.01</v>
      </c>
      <c r="AT43" s="746">
        <f t="shared" si="108"/>
        <v>2.2957635792408801E-15</v>
      </c>
      <c r="AU43" s="762">
        <f t="shared" si="117"/>
        <v>50.337030261382068</v>
      </c>
      <c r="AV43" s="763">
        <f t="shared" si="117"/>
        <v>6.0000000000009187E-3</v>
      </c>
      <c r="AW43" s="762">
        <f>AW42</f>
        <v>124.694734508658</v>
      </c>
      <c r="AX43" s="763">
        <f>AX42</f>
        <v>0.01</v>
      </c>
      <c r="AY43" s="762">
        <f t="shared" ref="AY43:AZ43" si="122">AY42</f>
        <v>-61.199526109531803</v>
      </c>
      <c r="AZ43" s="763">
        <f t="shared" si="122"/>
        <v>2.2957635792408801E-15</v>
      </c>
      <c r="BA43" s="769">
        <f t="shared" si="117"/>
        <v>55.413923614097357</v>
      </c>
      <c r="BB43" s="770">
        <f t="shared" si="117"/>
        <v>4.7519385189121452</v>
      </c>
      <c r="BC43" s="769">
        <f t="shared" si="117"/>
        <v>129.77162786137328</v>
      </c>
      <c r="BD43" s="770">
        <f t="shared" si="117"/>
        <v>4.7559385189121439</v>
      </c>
      <c r="BE43" s="769">
        <f t="shared" si="117"/>
        <v>-56.122632756816515</v>
      </c>
      <c r="BF43" s="770">
        <f t="shared" si="117"/>
        <v>4.7459385189121468</v>
      </c>
      <c r="BG43" s="769">
        <f t="shared" si="112"/>
        <v>129.77162786137328</v>
      </c>
      <c r="BH43" s="800">
        <f t="shared" si="112"/>
        <v>4.7559385189121439</v>
      </c>
      <c r="BI43" s="769">
        <f>IF(MAIN!D$21="N",CC43+ABS(BO43),MAX(BA43+CC43,BC43,  ABS(BE43-   IF(DB$20="Top",Slen!N$28,Slen!N$27)   *CC43/2-2*P$36)             ))</f>
        <v>129.77162786137328</v>
      </c>
      <c r="BJ43" s="770">
        <f>IF(MAIN!D$22="N",CD43+ABS(BQ43),MAX(BB43+CD43,BD43,     ABS(BF43-     IF(DC$20="Top",Slen!N$11,Slen!N$10)   *CD43/2-2*R$36)              ))</f>
        <v>4.7559385189121439</v>
      </c>
      <c r="BK43" s="769">
        <f>IF(MAIN!D$21="N",CC43+ABS(BO43),MAX(BA43+CC43,BC43,  ABS(BE43-    IF(DB$20="Top",Slen!N$28,Slen!N$27)   *CC43/2-2*P$36)             ))</f>
        <v>129.77162786137328</v>
      </c>
      <c r="BL43" s="770">
        <f>IF(MAIN!D$22="N",CD43+ABS(AS43),MAX(AV43+CF43,AX43,   ABS(AZ43-   IF(DC$20="Top",Slen!N$11,Slen!N$10)    *CF43/2)                    ))</f>
        <v>0.01</v>
      </c>
      <c r="BM43" s="769">
        <f>IF(MAIN!D$21="N",CC43+ABS(AQ43),MAX(AU43+CE43,AW43,   ABS(AY43-     IF(DB$20="Top",Slen!N$28,Slen!N$27)    *CE43/2)             ))</f>
        <v>124.694734508658</v>
      </c>
      <c r="BN43" s="770">
        <f>IF(MAIN!D$22="N",CD43+ABS(BQ43),MAX(BB43+CD43,BD43,   ABS(BF43-   IF(DC$20="Top",Slen!N$11,Slen!N$10)   *CD43/2-2*R$36)                ))</f>
        <v>4.7559385189121439</v>
      </c>
      <c r="BO43" s="813">
        <f t="shared" si="118"/>
        <v>129.77162786137328</v>
      </c>
      <c r="BP43" s="810">
        <f t="shared" si="119"/>
        <v>-56.122632756816515</v>
      </c>
      <c r="BQ43" s="809">
        <f t="shared" si="120"/>
        <v>4.7559385189121439</v>
      </c>
      <c r="BR43" s="810">
        <f t="shared" si="121"/>
        <v>4.7459385189121468</v>
      </c>
      <c r="BS43" s="324">
        <f>MIN(1,(Slen!I39-H$36)/(Slen!I39-Slen!J39))</f>
        <v>1</v>
      </c>
      <c r="BT43" s="324">
        <f>MIN(1,(Slen!I22-H$36)/(Slen!I22-Slen!J22))</f>
        <v>1</v>
      </c>
      <c r="BU43" s="748">
        <f>MIN(50,Slen!K39*(1.7-IF(LEFT(MAIN!D$21)="N",1,BP43/BO43))/SQRT(H$36))</f>
        <v>50</v>
      </c>
      <c r="BV43" s="748">
        <f>MIN(50,Slen!K22*(1.7-IF(LEFT(MAIN!D$22)="N",1,BR43/BQ43))/SQRT(H$36))</f>
        <v>40.7570779023293</v>
      </c>
      <c r="BW43" s="748">
        <f>MIN(50,Slen!K39*(1.7-IF(LEFT(MAIN!D$21)="N",1,AR43/AQ43))/SQRT(H$36))</f>
        <v>50</v>
      </c>
      <c r="BX43" s="748">
        <f>MIN(50,Slen!K22*(1.7-IF(LEFT(MAIN!D$22)="N",1,AT43/AS43))/SQRT(H$36))</f>
        <v>50</v>
      </c>
      <c r="BY43" s="324">
        <f>IF(AND(MAIN!C$11&lt;=2,Slen!G39&lt;=75,1000*ABS(BO43)/MAIN!C$44&gt;=MAIN!C$13),1,MAX(1,1+F13*T$36))</f>
        <v>1.6012088579434463</v>
      </c>
      <c r="BZ43" s="324">
        <f>IF(AND(MAIN!C$11&lt;=2,Slen!G22&lt;=75,1000*ABS(BQ43)/MAIN!C$44&gt;=MAIN!C$14),1,MAX(1,1+G13*T$36))</f>
        <v>1.4250995926541479</v>
      </c>
      <c r="CA43" s="403">
        <f t="shared" si="100"/>
        <v>6.7030402881112786E-6</v>
      </c>
      <c r="CB43" s="403">
        <f t="shared" si="100"/>
        <v>2.7104484625777852E-5</v>
      </c>
      <c r="CC43" s="403">
        <f>1000*IF(Slen!G39&gt;BU43,E$36*CA43*(Slen!G$29/1000)^2/IF(MAIN!D$44=MAIN!F$44,8,PI()^2),0)</f>
        <v>0</v>
      </c>
      <c r="CD43" s="403">
        <f>1000*IF(Slen!G22&gt;BV43,E$36*CB43*(Slen!G$12/1000)^2/IF(MAIN!E$44=MAIN!G$44,8,PI()^2),0)</f>
        <v>0</v>
      </c>
      <c r="CE43" s="403">
        <f>1000*IF(Slen!G39&gt;BW43,E$36*CA43*(Slen!G$29/1000)^2/IF(MAIN!D$44=MAIN!F$44,8,PI()^2),0)</f>
        <v>0</v>
      </c>
      <c r="CF43" s="403">
        <f>1000*IF(Slen!G22&gt;BX43,E$36*CB43*(Slen!G$12/1000)^2/IF(MAIN!E$44=MAIN!G$44,8,PI()^2),0)</f>
        <v>0</v>
      </c>
      <c r="CG43" s="261">
        <f t="shared" si="113"/>
        <v>0.17144611348771521</v>
      </c>
      <c r="CH43" s="261">
        <f t="shared" si="101"/>
        <v>0.19151090462919043</v>
      </c>
      <c r="CI43" s="304" t="str">
        <f t="shared" si="114"/>
        <v>Z</v>
      </c>
      <c r="CJ43" s="261">
        <f t="shared" si="115"/>
        <v>0.19821597015012118</v>
      </c>
      <c r="CK43" s="261">
        <f t="shared" si="116"/>
        <v>0.16474104796678446</v>
      </c>
    </row>
    <row r="44" spans="2:105" ht="18">
      <c r="D44" s="43"/>
      <c r="E44" s="43"/>
      <c r="F44" s="391">
        <f>IF(E36=0,0,MAX(F38:F43))</f>
        <v>16</v>
      </c>
      <c r="G44" s="47">
        <f>VLOOKUP(F44,F38:G43,2,0)</f>
        <v>1</v>
      </c>
      <c r="H44" s="47">
        <f>VLOOKUP(F44,F38:H43,3,0)</f>
        <v>1</v>
      </c>
      <c r="I44" s="47">
        <f>VLOOKUP(F44,F38:I43,4,0)</f>
        <v>50</v>
      </c>
      <c r="J44" s="47">
        <f>VLOOKUP(F44,F38:J43,5,0)</f>
        <v>40.7570779023293</v>
      </c>
      <c r="K44" s="380"/>
      <c r="L44" s="380"/>
      <c r="M44" s="380"/>
      <c r="N44" s="380"/>
      <c r="O44" s="380"/>
      <c r="P44" s="380"/>
      <c r="Q44" s="272">
        <f>IF(E36&gt;C38,"N&gt;Nuz",VLOOKUP(F44,F38:Q43,12,0))</f>
        <v>124.694734508658</v>
      </c>
      <c r="R44" s="272">
        <f>IF(E36&gt;C38,"N&gt;Nuz",VLOOKUP(F44,F38:R43,13,0))</f>
        <v>14.710938341181979</v>
      </c>
      <c r="U44" s="377">
        <f>IF(E36&gt;C38,"N&gt;Nuz",VLOOKUP(F44,F38:U43,16,0))</f>
        <v>757.17281760589526</v>
      </c>
      <c r="V44" s="377">
        <f>IF(E36&gt;C38,"N&gt;Nuz",VLOOKUP(F44,F38:V43,17,0))</f>
        <v>177.28666158967761</v>
      </c>
      <c r="W44" s="377"/>
      <c r="X44" s="378">
        <f>VLOOKUP(F44,F38:X43,19,0)</f>
        <v>1</v>
      </c>
      <c r="Y44" s="378">
        <f>IF(E36&gt;C38,"N/A",VLOOKUP(F44,F38:Y43,20,0))</f>
        <v>0.24766290012059552</v>
      </c>
      <c r="Z44" s="378" t="str">
        <f>IF(E36&gt;C38,"N/A",VLOOKUP(F44,F38:Z43,21,0))</f>
        <v>Z</v>
      </c>
      <c r="BU44" s="47">
        <f>VLOOKUP(F44,F38:BX43,68,0)</f>
        <v>50</v>
      </c>
      <c r="BV44" s="47">
        <f>VLOOKUP(F44,F38:BX43,69,0)</f>
        <v>40.7570779023293</v>
      </c>
      <c r="BW44" s="47">
        <f>VLOOKUP(F44,F38:BX43,70,0)</f>
        <v>50</v>
      </c>
      <c r="BX44" s="47">
        <f>VLOOKUP(F44,F38:BX43,71,0)</f>
        <v>50</v>
      </c>
      <c r="CG44" s="378"/>
      <c r="CH44" s="378"/>
      <c r="CI44" s="378" t="str">
        <f>VLOOKUP(F44,F38:CI43,82,0)</f>
        <v>Z</v>
      </c>
    </row>
    <row r="45" spans="2:105" ht="19.5">
      <c r="B45" s="390" t="s">
        <v>90</v>
      </c>
      <c r="D45" s="43"/>
      <c r="E45" s="43"/>
      <c r="F45" s="369" t="s">
        <v>175</v>
      </c>
      <c r="G45" s="43"/>
      <c r="H45" s="381"/>
      <c r="I45" s="726" t="s">
        <v>411</v>
      </c>
      <c r="J45" s="726" t="s">
        <v>411</v>
      </c>
      <c r="K45" s="381"/>
      <c r="L45" s="381"/>
      <c r="M45" s="381"/>
      <c r="N45" s="381"/>
      <c r="O45" s="45" t="s">
        <v>288</v>
      </c>
      <c r="P45" s="366">
        <f>L$10*E46</f>
        <v>0</v>
      </c>
      <c r="Q45" s="45" t="s">
        <v>258</v>
      </c>
      <c r="R45" s="366">
        <f>L$11*E46</f>
        <v>0</v>
      </c>
      <c r="U45" s="45"/>
      <c r="V45" s="370"/>
      <c r="W45" s="370"/>
      <c r="X45" s="370"/>
      <c r="Z45" s="43"/>
      <c r="AA45" s="43"/>
      <c r="AB45" s="43"/>
      <c r="AC45" s="43"/>
      <c r="AD45" s="43"/>
      <c r="AE45" s="43"/>
    </row>
    <row r="46" spans="2:105" ht="21.75">
      <c r="B46" s="391">
        <f>MAIN!B45</f>
        <v>4</v>
      </c>
      <c r="C46" s="371"/>
      <c r="D46" s="372" t="s">
        <v>77</v>
      </c>
      <c r="E46" s="373">
        <f>MAIN!C45</f>
        <v>0</v>
      </c>
      <c r="F46" s="311">
        <f>Refs!F$17*E46*1000/Ycal!C$10</f>
        <v>0</v>
      </c>
      <c r="G46" s="374" t="s">
        <v>130</v>
      </c>
      <c r="H46" s="50">
        <f>1000*E46/L$7</f>
        <v>0</v>
      </c>
      <c r="I46" s="726" t="e">
        <f>(1.7-IF(LEFT(MAIN!D$21)="N",1,             VLOOKUP(F54,F48:AN53,35,FALSE)                  /              VLOOKUP(F54,F48:AM53,34,FALSE)         ))</f>
        <v>#N/A</v>
      </c>
      <c r="J46" s="726" t="e">
        <f>(1.7-IF(LEFT(MAIN!D$22)="N",1,         VLOOKUP(F54,F48:AP53,37,FALSE)  /               VLOOKUP(F54,F48:AO53,36,FALSE)             ))</f>
        <v>#N/A</v>
      </c>
      <c r="K46" s="374" t="s">
        <v>287</v>
      </c>
      <c r="L46" s="667" t="e">
        <f>MAX(ABS(0.6*AM48+0.4*AN48),(ABS(0.4*AM48)))</f>
        <v>#DIV/0!</v>
      </c>
      <c r="M46" s="374" t="s">
        <v>256</v>
      </c>
      <c r="N46" s="668" t="e">
        <f>MAX(ABS(0.6*AO48+0.4*AP48),(ABS(0.4*AO48)))</f>
        <v>#DIV/0!</v>
      </c>
      <c r="O46" s="375" t="s">
        <v>289</v>
      </c>
      <c r="P46" s="366">
        <f>L$8*E46*Slen!G$29/2000</f>
        <v>0</v>
      </c>
      <c r="Q46" s="375" t="s">
        <v>257</v>
      </c>
      <c r="R46" s="366">
        <f>L$9*E46*Slen!G$12/2000</f>
        <v>0</v>
      </c>
      <c r="S46" s="368" t="s">
        <v>132</v>
      </c>
      <c r="T46" s="376">
        <f>T36</f>
        <v>1.2100000000000002</v>
      </c>
      <c r="U46" s="45" t="s">
        <v>354</v>
      </c>
      <c r="V46" s="373" t="e">
        <f>VLOOKUP(F54,$M$8:$N$13,2)</f>
        <v>#N/A</v>
      </c>
      <c r="W46" s="312"/>
      <c r="X46" s="312"/>
      <c r="Y46" s="394" t="s">
        <v>137</v>
      </c>
      <c r="Z46" s="45"/>
      <c r="AA46" s="1306" t="s">
        <v>296</v>
      </c>
      <c r="AB46" s="1307"/>
      <c r="AC46" s="1307"/>
      <c r="AD46" s="1308"/>
      <c r="AE46" s="1306" t="s">
        <v>268</v>
      </c>
      <c r="AF46" s="1307"/>
      <c r="AG46" s="1307"/>
      <c r="AH46" s="1308"/>
      <c r="AM46" s="802">
        <f>IF(MAIN!D45=0,0.01,MAIN!D45)</f>
        <v>0.01</v>
      </c>
      <c r="AN46" s="802">
        <f>IF(MAIN!F45=0,0.01,MAIN!F45)</f>
        <v>0.01</v>
      </c>
      <c r="AO46" s="802">
        <f>IF(MAIN!E45=0,0.01,MAIN!E45)</f>
        <v>0.01</v>
      </c>
      <c r="AP46" s="802">
        <f>IF(MAIN!G45=0,0.01,MAIN!G45)</f>
        <v>0.01</v>
      </c>
      <c r="AU46" s="1296" t="s">
        <v>566</v>
      </c>
      <c r="AV46" s="1297"/>
      <c r="AW46" s="1296" t="s">
        <v>568</v>
      </c>
      <c r="AX46" s="1297"/>
      <c r="AY46" s="1296" t="s">
        <v>656</v>
      </c>
      <c r="AZ46" s="1297"/>
      <c r="BA46" s="1296" t="s">
        <v>567</v>
      </c>
      <c r="BB46" s="1297"/>
      <c r="BC46" s="1296" t="s">
        <v>568</v>
      </c>
      <c r="BD46" s="1297"/>
      <c r="BE46" s="1296" t="s">
        <v>656</v>
      </c>
      <c r="BF46" s="1297"/>
      <c r="BG46" s="1296" t="s">
        <v>561</v>
      </c>
      <c r="BH46" s="1297"/>
      <c r="BI46" s="1296" t="s">
        <v>561</v>
      </c>
      <c r="BJ46" s="1297"/>
      <c r="BK46" s="1296" t="s">
        <v>573</v>
      </c>
      <c r="BL46" s="1297"/>
      <c r="BM46" s="1296" t="s">
        <v>573</v>
      </c>
      <c r="BN46" s="1297"/>
      <c r="BO46" s="802">
        <f>AM46</f>
        <v>0.01</v>
      </c>
      <c r="BP46" s="803">
        <f>AN46</f>
        <v>0.01</v>
      </c>
      <c r="BQ46" s="803">
        <f>AO46</f>
        <v>0.01</v>
      </c>
      <c r="BR46" s="804">
        <f>AP46</f>
        <v>0.01</v>
      </c>
      <c r="BS46" s="374" t="s">
        <v>130</v>
      </c>
      <c r="BT46" s="50">
        <f>1000*E46/L$7</f>
        <v>0</v>
      </c>
      <c r="BU46" s="726" t="s">
        <v>646</v>
      </c>
      <c r="BV46" s="726" t="s">
        <v>646</v>
      </c>
      <c r="BW46" s="726" t="s">
        <v>647</v>
      </c>
      <c r="BX46" s="726" t="s">
        <v>647</v>
      </c>
      <c r="CC46" s="726" t="s">
        <v>646</v>
      </c>
      <c r="CD46" s="726" t="s">
        <v>646</v>
      </c>
      <c r="CE46" s="726" t="s">
        <v>647</v>
      </c>
      <c r="CF46" s="726" t="s">
        <v>647</v>
      </c>
    </row>
    <row r="47" spans="2:105" ht="20.25">
      <c r="C47" s="313" t="s">
        <v>51</v>
      </c>
      <c r="D47" s="392" t="s">
        <v>144</v>
      </c>
      <c r="E47" s="313" t="s">
        <v>78</v>
      </c>
      <c r="G47" s="314" t="s">
        <v>290</v>
      </c>
      <c r="H47" s="315" t="s">
        <v>263</v>
      </c>
      <c r="I47" s="747" t="s">
        <v>227</v>
      </c>
      <c r="J47" s="747" t="s">
        <v>291</v>
      </c>
      <c r="K47" s="315" t="s">
        <v>284</v>
      </c>
      <c r="L47" s="315" t="s">
        <v>260</v>
      </c>
      <c r="M47" s="315" t="s">
        <v>292</v>
      </c>
      <c r="N47" s="315" t="s">
        <v>264</v>
      </c>
      <c r="O47" s="315" t="s">
        <v>293</v>
      </c>
      <c r="P47" s="315" t="s">
        <v>265</v>
      </c>
      <c r="Q47" s="315" t="s">
        <v>294</v>
      </c>
      <c r="R47" s="315" t="s">
        <v>266</v>
      </c>
      <c r="S47" s="315" t="s">
        <v>463</v>
      </c>
      <c r="T47" s="315" t="s">
        <v>464</v>
      </c>
      <c r="U47" s="315" t="s">
        <v>295</v>
      </c>
      <c r="V47" s="315" t="s">
        <v>267</v>
      </c>
      <c r="W47" s="315" t="s">
        <v>228</v>
      </c>
      <c r="X47" s="315" t="s">
        <v>93</v>
      </c>
      <c r="Y47" s="393" t="s">
        <v>138</v>
      </c>
      <c r="Z47" s="660" t="s">
        <v>79</v>
      </c>
      <c r="AA47" s="395" t="s">
        <v>229</v>
      </c>
      <c r="AB47" s="396" t="s">
        <v>80</v>
      </c>
      <c r="AC47" s="396" t="s">
        <v>81</v>
      </c>
      <c r="AD47" s="397" t="s">
        <v>82</v>
      </c>
      <c r="AE47" s="395" t="s">
        <v>229</v>
      </c>
      <c r="AF47" s="396" t="s">
        <v>80</v>
      </c>
      <c r="AG47" s="396" t="s">
        <v>81</v>
      </c>
      <c r="AH47" s="397" t="s">
        <v>82</v>
      </c>
      <c r="AJ47" s="314" t="s">
        <v>365</v>
      </c>
      <c r="AK47" s="359" t="s">
        <v>366</v>
      </c>
      <c r="AL47" s="724">
        <v>4</v>
      </c>
      <c r="AM47" s="675" t="s">
        <v>215</v>
      </c>
      <c r="AN47" s="676" t="s">
        <v>216</v>
      </c>
      <c r="AO47" s="675" t="s">
        <v>278</v>
      </c>
      <c r="AP47" s="676" t="s">
        <v>279</v>
      </c>
      <c r="AQ47" s="146" t="s">
        <v>215</v>
      </c>
      <c r="AR47" s="147" t="s">
        <v>216</v>
      </c>
      <c r="AS47" s="146" t="s">
        <v>278</v>
      </c>
      <c r="AT47" s="147" t="s">
        <v>279</v>
      </c>
      <c r="AU47" s="146" t="s">
        <v>558</v>
      </c>
      <c r="AV47" s="147" t="s">
        <v>559</v>
      </c>
      <c r="AW47" s="764" t="s">
        <v>95</v>
      </c>
      <c r="AX47" s="764" t="s">
        <v>560</v>
      </c>
      <c r="AY47" s="764" t="s">
        <v>95</v>
      </c>
      <c r="AZ47" s="764" t="s">
        <v>560</v>
      </c>
      <c r="BA47" s="764" t="s">
        <v>95</v>
      </c>
      <c r="BB47" s="764" t="s">
        <v>560</v>
      </c>
      <c r="BC47" s="764" t="s">
        <v>95</v>
      </c>
      <c r="BD47" s="764" t="s">
        <v>560</v>
      </c>
      <c r="BE47" s="764" t="s">
        <v>95</v>
      </c>
      <c r="BF47" s="764" t="s">
        <v>560</v>
      </c>
      <c r="BG47" s="764" t="s">
        <v>95</v>
      </c>
      <c r="BH47" s="764" t="s">
        <v>560</v>
      </c>
      <c r="BI47" s="676" t="s">
        <v>95</v>
      </c>
      <c r="BJ47" s="676" t="s">
        <v>560</v>
      </c>
      <c r="BK47" s="676" t="s">
        <v>95</v>
      </c>
      <c r="BL47" s="676" t="s">
        <v>560</v>
      </c>
      <c r="BM47" s="676" t="s">
        <v>95</v>
      </c>
      <c r="BN47" s="676" t="s">
        <v>560</v>
      </c>
      <c r="BO47" s="771" t="s">
        <v>562</v>
      </c>
      <c r="BP47" s="772" t="s">
        <v>563</v>
      </c>
      <c r="BQ47" s="771" t="s">
        <v>564</v>
      </c>
      <c r="BR47" s="772" t="s">
        <v>565</v>
      </c>
      <c r="BS47" s="678" t="s">
        <v>290</v>
      </c>
      <c r="BT47" s="747" t="s">
        <v>263</v>
      </c>
      <c r="BU47" s="747" t="s">
        <v>227</v>
      </c>
      <c r="BV47" s="747" t="s">
        <v>291</v>
      </c>
      <c r="BW47" s="747" t="s">
        <v>227</v>
      </c>
      <c r="BX47" s="747" t="s">
        <v>291</v>
      </c>
      <c r="BY47" s="747" t="s">
        <v>284</v>
      </c>
      <c r="BZ47" s="747" t="s">
        <v>260</v>
      </c>
      <c r="CA47" s="747" t="s">
        <v>292</v>
      </c>
      <c r="CB47" s="747" t="s">
        <v>264</v>
      </c>
      <c r="CC47" s="747" t="s">
        <v>293</v>
      </c>
      <c r="CD47" s="747" t="s">
        <v>265</v>
      </c>
      <c r="CE47" s="747" t="s">
        <v>293</v>
      </c>
      <c r="CF47" s="747" t="s">
        <v>265</v>
      </c>
      <c r="CG47" s="394" t="s">
        <v>79</v>
      </c>
      <c r="CH47" s="394" t="s">
        <v>79</v>
      </c>
      <c r="CI47" s="394" t="s">
        <v>79</v>
      </c>
      <c r="CJ47" s="394" t="s">
        <v>79</v>
      </c>
      <c r="CK47" s="394" t="s">
        <v>79</v>
      </c>
    </row>
    <row r="48" spans="2:105" ht="18">
      <c r="B48" s="367">
        <f t="shared" ref="B48:C53" si="123">B38</f>
        <v>40</v>
      </c>
      <c r="C48" s="408">
        <f t="shared" si="123"/>
        <v>11450.713584880188</v>
      </c>
      <c r="D48" s="409" t="e">
        <f t="shared" ref="D48:D53" si="124">IF(ISERROR(U48),0,Y48)</f>
        <v>#DIV/0!</v>
      </c>
      <c r="E48" s="409" t="e">
        <f>IF(AND(D48&lt;=1,E46&lt;=C48,D$8&gt;=F46),"ok","Fails")</f>
        <v>#DIV/0!</v>
      </c>
      <c r="F48" s="409" t="e">
        <f>IF(AND(E48="ok",SUM(F49:F53)=0),B48,0)</f>
        <v>#DIV/0!</v>
      </c>
      <c r="G48" s="321">
        <f>MIN(1,(Slen!I34-H$46)/(Slen!I34-Slen!J34))</f>
        <v>1</v>
      </c>
      <c r="H48" s="321">
        <f>MIN(1,(Slen!I17-H$46)/(Slen!I17-Slen!J17))</f>
        <v>1</v>
      </c>
      <c r="I48" s="823" t="e">
        <f>MIN(50,Slen!K34*(1.7-IF(LEFT(MAIN!D$21)="N",1,AN48/AM48))/SQRT(H$46))</f>
        <v>#DIV/0!</v>
      </c>
      <c r="J48" s="824" t="e">
        <f>MIN(50,Slen!K17*(1.7-IF(LEFT(MAIN!D$22)="N",1,AP48/AO48))/SQRT(H$46))</f>
        <v>#DIV/0!</v>
      </c>
      <c r="K48" s="321" t="e">
        <f>IF(AND(MAIN!C$11&lt;=2,Slen!G34&lt;=75,1000*ABS(Cases!AM$48)/MAIN!C$45&gt;=MAIN!C$13),1,MAX(1,1+F8*T$16))</f>
        <v>#DIV/0!</v>
      </c>
      <c r="L48" s="321" t="e">
        <f>IF(AND(MAIN!C$11&lt;=2,Slen!G17&lt;=75,1000*ABS(Cases!AO$48)/MAIN!C$45&gt;=MAIN!C$14),1,MAX(1,1+G8*T$16))</f>
        <v>#DIV/0!</v>
      </c>
      <c r="M48" s="400" t="e">
        <f>G48*K48*H$8</f>
        <v>#DIV/0!</v>
      </c>
      <c r="N48" s="400" t="e">
        <f>H48*L48*I$8</f>
        <v>#DIV/0!</v>
      </c>
      <c r="O48" s="400" t="e">
        <f>1000*IF(Slen!G34&gt;I48,E$46*M48*(Slen!G$29/1000)^2/IF(MAIN!D$45=MAIN!F$45,8,PI()^2),0)</f>
        <v>#DIV/0!</v>
      </c>
      <c r="P48" s="400" t="e">
        <f>1000*IF(Slen!G17&gt;J48,E$46*N48*(Slen!G$12/1000)^2/IF(MAIN!E$45=MAIN!G$45,8,PI()^2),0)</f>
        <v>#DIV/0!</v>
      </c>
      <c r="Q48" s="628" t="e">
        <f t="shared" ref="Q48:Q53" si="125">MAX(IF(MAX(P$45,AJ48)/U48&gt;=MAX(R$45,AK48)/V48,P$45,0),AJ48)</f>
        <v>#DIV/0!</v>
      </c>
      <c r="R48" s="628" t="e">
        <f t="shared" ref="R48:R53" si="126">MAX(IF(MAX(R$45,AK48)/U48&gt;MAX(P$45,AJ48)/V48,R$45,0),AK48)</f>
        <v>#DIV/0!</v>
      </c>
      <c r="S48" s="622">
        <f t="shared" ref="S48:S53" si="127">P$46/U48</f>
        <v>0</v>
      </c>
      <c r="T48" s="622">
        <f t="shared" ref="T48:T53" si="128">R$46/V48</f>
        <v>0</v>
      </c>
      <c r="U48" s="319">
        <f>IF(E46&gt;E$8,0,AA48+AC48*(E46-AB48)/AD48)</f>
        <v>2058.3820557739205</v>
      </c>
      <c r="V48" s="319">
        <f>IF(E46&gt;E$8,0,AE48+AG48*(E46-AF48)/AH48)</f>
        <v>442.28414415291883</v>
      </c>
      <c r="W48" s="400">
        <f>1000*MAIN!C$45/J8</f>
        <v>0</v>
      </c>
      <c r="X48" s="318">
        <f t="shared" ref="X48:X53" si="129">IF(W48&lt;0.7,MAX(1,(10*W48+11)/12),MIN(2,(5*W48+1)/3))</f>
        <v>1</v>
      </c>
      <c r="Y48" s="400" t="e">
        <f t="shared" ref="Y48:Y53" si="130">IF(OR(U48=0,V48=0),0,(Q48/U48)^X48+(R48/V48)^X48)</f>
        <v>#DIV/0!</v>
      </c>
      <c r="Z48" s="409" t="e">
        <f t="shared" ref="Z48:Z53" si="131">CI48</f>
        <v>#DIV/0!</v>
      </c>
      <c r="AA48" s="410">
        <f>HLOOKUP(E46,Ycal!D$59:BO$60,2)</f>
        <v>2038.9509733954485</v>
      </c>
      <c r="AB48" s="319">
        <f>HLOOKUP(E46,Ycal!D$59:BO$60,1)</f>
        <v>-77.539796281250432</v>
      </c>
      <c r="AC48" s="319">
        <f>HLOOKUP(E46,Ycal!D$59:BO$63,5)</f>
        <v>50.05157712844607</v>
      </c>
      <c r="AD48" s="411">
        <f>HLOOKUP(E46,Ycal!D$59:BO$63,4)</f>
        <v>199.73097836252396</v>
      </c>
      <c r="AE48" s="410">
        <f>HLOOKUP(E46,Zcal!D$59:BO$60,2)</f>
        <v>431.16901943469492</v>
      </c>
      <c r="AF48" s="319">
        <f>HLOOKUP(E46,Zcal!D$59:BO$60,1)</f>
        <v>-122.25447379972087</v>
      </c>
      <c r="AG48" s="319">
        <f>HLOOKUP(E46,Zcal!D$59:BO$63,5)</f>
        <v>12.647841784195066</v>
      </c>
      <c r="AH48" s="411">
        <f>HLOOKUP(E46,Zcal!D$59:BO$63,4)</f>
        <v>139.11272084007436</v>
      </c>
      <c r="AJ48" s="794" t="e">
        <f xml:space="preserve"> IF(OR(MAIN!E$29="BOTH AXES",Z48 ="Y"),         MAX(P$45,BI48),     BM48)</f>
        <v>#DIV/0!</v>
      </c>
      <c r="AK48" s="677" t="e">
        <f xml:space="preserve">       IF(OR(MAIN!E$29="BOTH AXES",Z48 ="Z"),    MAX(R$45,BJ48),           BL48)</f>
        <v>#DIV/0!</v>
      </c>
      <c r="AL48" s="672" t="e">
        <f t="shared" ref="AL48:AL53" si="132">Z48</f>
        <v>#DIV/0!</v>
      </c>
      <c r="AM48" s="637" t="e">
        <f t="shared" ref="AM48:AM53" si="133">IF(ABS(AM$46)&gt;=ABS(AN$46),AM$46,AN$46)+IF(Z48="Y",P$46,0)*SIGN(IF(ABS(AM$46)&gt;=ABS(AN$46),AM$46,AN$46))</f>
        <v>#DIV/0!</v>
      </c>
      <c r="AN48" s="638" t="e">
        <f xml:space="preserve">              IF(ABS(AM$46)&gt;=ABS(AN$46),AN$46,AM$46)+IF(Z48="Y",P$46,0)*SIGN(IF(ABS(AM$46)&gt;=ABS(AN$46),AM$46,AN$46))</f>
        <v>#DIV/0!</v>
      </c>
      <c r="AO48" s="637" t="e">
        <f t="shared" ref="AO48:AO53" si="134">IF(ABS(AO$46)&gt;=ABS(AP$46),AO$46,AP$46)+IF(Z48="Z",R$46,0)*SIGN(IF(ABS(AO$46)&gt;=ABS(AP$46),AO$46,AP$46))</f>
        <v>#DIV/0!</v>
      </c>
      <c r="AP48" s="638" t="e">
        <f xml:space="preserve">  IF(ABS(AO$46)&gt;=ABS(AP$46),AP$46,AO$46)+IF(Z48="Z",R$46,0)*SIGN(IF(ABS(AO$46)&gt;=ABS(AP$46),AO$46,AP$46))</f>
        <v>#DIV/0!</v>
      </c>
      <c r="AQ48" s="741">
        <f>MAX(ABS(AM46),ABS(AN46))*(IF(ABS(AM46)&gt;=ABS(AN46),SIGN(AM46),SIGN(AN46)))</f>
        <v>0.01</v>
      </c>
      <c r="AR48" s="742">
        <f>MIN(ABS(AM46),ABS(AN46))*(IF(ABS(AM46)&lt;ABS(AN46),SIGN(AM46),SIGN(AN46)))</f>
        <v>0.01</v>
      </c>
      <c r="AS48" s="741">
        <f>MAX(ABS(AO46),ABS(AP46))*(IF(ABS(AO46)&gt;=ABS(AP46),SIGN(AO46),SIGN(AP46)))</f>
        <v>0.01</v>
      </c>
      <c r="AT48" s="742">
        <f>MIN(ABS(AO46),ABS(AP46))*(IF(ABS(AO46)&lt;ABS(AP46),SIGN(AO46),SIGN(AP46)))</f>
        <v>0.01</v>
      </c>
      <c r="AU48" s="758">
        <f>MAX(ABS(0.6*AQ48+0.4*AR48),ABS(0.4*AQ48))</f>
        <v>0.01</v>
      </c>
      <c r="AV48" s="759">
        <f>MAX(ABS(0.6*AS48+0.4*AT48),ABS(0.4*AS48))</f>
        <v>0.01</v>
      </c>
      <c r="AW48" s="758">
        <f>MAX(ABS(AQ48),ABS(AR48))</f>
        <v>0.01</v>
      </c>
      <c r="AX48" s="759">
        <f>MAX(ABS(AS48),ABS(AT48))</f>
        <v>0.01</v>
      </c>
      <c r="AY48" s="758">
        <f>ABS(AR48)*IF(SIGN(AQ48)=SIGN(AR48),1,-1)</f>
        <v>0.01</v>
      </c>
      <c r="AZ48" s="759">
        <f>ABS(AT48)*IF(SIGN(AS48)=SIGN(AT48),1,-1)</f>
        <v>0.01</v>
      </c>
      <c r="BA48" s="765">
        <f>MAX(ABS(0.6*AQ48+0.4*AR48)+P46,ABS(0.4*AQ48)+0.4*P46)</f>
        <v>0.01</v>
      </c>
      <c r="BB48" s="766">
        <f>MAX(ABS(0.6*AS48+0.4*AT48)+R46,ABS(0.4*AS48)+0.4*R46)</f>
        <v>0.01</v>
      </c>
      <c r="BC48" s="765">
        <f>MAX(ABS(AQ48),ABS(AR48))+P46</f>
        <v>0.01</v>
      </c>
      <c r="BD48" s="766">
        <f>MAX(ABS(AS48),ABS(AT48))+R46</f>
        <v>0.01</v>
      </c>
      <c r="BE48" s="765">
        <f xml:space="preserve">           AY48+     P46</f>
        <v>0.01</v>
      </c>
      <c r="BF48" s="766">
        <f xml:space="preserve">           AZ48+        R46</f>
        <v>0.01</v>
      </c>
      <c r="BG48" s="765">
        <f>MAX(BA48,BC48)</f>
        <v>0.01</v>
      </c>
      <c r="BH48" s="801">
        <f>MAX(BB48,BD48)</f>
        <v>0.01</v>
      </c>
      <c r="BI48" s="765" t="e">
        <f>IF(MAIN!D$21="N",CC48+ABS(BO48),MAX(BA48+CC48,BC48,  ABS(BE48-   IF(DB$21="Top",Slen!N$28,Slen!N$27)   *CC48/2-2*P$46)             ))</f>
        <v>#DIV/0!</v>
      </c>
      <c r="BJ48" s="766" t="e">
        <f>IF(MAIN!D$22="N",CD48+ABS(BQ48),MAX(BB48+CD48,BD48,     ABS(BF48-     IF(DC$21="Top",Slen!N$11,Slen!N$10)   *CD48/2-2*R$46)              ))</f>
        <v>#DIV/0!</v>
      </c>
      <c r="BK48" s="765" t="e">
        <f>IF(MAIN!D$21="N",CC48+ABS(BO48),MAX(BA48+CC48,BC48,  ABS(BE48-    IF(DB$21="Top",Slen!N$28,Slen!N$27)   *CC48/2-2*P$46)             ))</f>
        <v>#DIV/0!</v>
      </c>
      <c r="BL48" s="766" t="e">
        <f>IF(MAIN!D$22="N",CD48+ABS(AS48),MAX(AV48+CF48,AX48,   ABS(AZ48-   IF(DC$21="Top",Slen!N$11,Slen!N$10)    *CF48/2)                    ))</f>
        <v>#DIV/0!</v>
      </c>
      <c r="BM48" s="765" t="e">
        <f>IF(MAIN!D$21="N",CC48+ABS(AQ48),MAX(AU48+CE48,AW48,   ABS(AY48-     IF(DB$21="Top",Slen!N$28,Slen!N$27)    *CE48/2)             ))</f>
        <v>#DIV/0!</v>
      </c>
      <c r="BN48" s="766" t="e">
        <f>IF(MAIN!D$22="N",CD48+ABS(BQ48),MAX(BB48+CD48,BD48,   ABS(BF48-   IF(DC$21="Top",Slen!N$11,Slen!N$10)   *CD48/2-2*R$46)                ))</f>
        <v>#DIV/0!</v>
      </c>
      <c r="BO48" s="812">
        <f xml:space="preserve">         IF(ABS(AM46)&gt;=ABS(AN46),AM46,AN46)+P46*SIGN(IF(ABS(AM46)&gt;=ABS(AN46),AM46,AN46))</f>
        <v>0.01</v>
      </c>
      <c r="BP48" s="806">
        <f xml:space="preserve">         IF(ABS(AM46)&gt;=ABS(AN46),AN46,AM46)+P46*SIGN(IF(ABS(AM46)&gt;=ABS(AN46),AM46,AN46))</f>
        <v>0.01</v>
      </c>
      <c r="BQ48" s="805">
        <f xml:space="preserve">         IF(ABS(AO46)&gt;=ABS(AP46),AO46,AP46)+R46   *SIGN(IF(ABS(AO46)&gt;=ABS(AP46),AO46,AP46))</f>
        <v>0.01</v>
      </c>
      <c r="BR48" s="806">
        <f>IF(ABS(AO46)&gt;=ABS(AP46),AP46,AO46)+R46*SIGN(IF(ABS(AO46)&gt;=ABS(AP46),AO46,AP46))</f>
        <v>0.01</v>
      </c>
      <c r="BS48" s="324">
        <f>MIN(1,(Slen!I34-H$46)/(Slen!I34-Slen!J34))</f>
        <v>1</v>
      </c>
      <c r="BT48" s="324">
        <f>MIN(1,(Slen!I17-H$46)/(Slen!I17-Slen!J17))</f>
        <v>1</v>
      </c>
      <c r="BU48" s="748" t="e">
        <f>MIN(50,Slen!K34*(1.7-IF(LEFT(MAIN!D$21)="N",1,BP48/BO48))/SQRT(H$46))</f>
        <v>#DIV/0!</v>
      </c>
      <c r="BV48" s="748" t="e">
        <f>MIN(50,Slen!K17*(1.7-IF(LEFT(MAIN!D$22)="N",1,BR48/BQ48))/SQRT(H$46))</f>
        <v>#DIV/0!</v>
      </c>
      <c r="BW48" s="748" t="e">
        <f>MIN(50,Slen!K34*(1.7-IF(LEFT(MAIN!D$21)="N",1,AR48/AQ48))/SQRT(H$46))</f>
        <v>#DIV/0!</v>
      </c>
      <c r="BX48" s="748" t="e">
        <f>MIN(50,Slen!K17*(1.7-IF(LEFT(MAIN!D$22)="N",1,AT48/AS48))/SQRT(H$46))</f>
        <v>#DIV/0!</v>
      </c>
      <c r="BY48" s="324" t="e">
        <f>IF(AND(MAIN!C$11&lt;=2,Slen!G34&lt;=75,1000*ABS(BO48)/MAIN!C$45&gt;=MAIN!C$13),1,MAX(1,1+F8*T$46))</f>
        <v>#DIV/0!</v>
      </c>
      <c r="BZ48" s="324" t="e">
        <f>IF(AND(MAIN!C$11&lt;=2,Slen!G17&lt;=75,1000*ABS(BQ48)/MAIN!C$45&gt;=MAIN!C$14),1,MAX(1,1+G8*T$46))</f>
        <v>#DIV/0!</v>
      </c>
      <c r="CA48" s="403" t="e">
        <f t="shared" ref="CA48:CB53" si="135">BS48*BY48*H8</f>
        <v>#DIV/0!</v>
      </c>
      <c r="CB48" s="403" t="e">
        <f t="shared" si="135"/>
        <v>#DIV/0!</v>
      </c>
      <c r="CC48" s="403" t="e">
        <f>1000*IF(Slen!G34&gt;BU48,E$46*CA48*(Slen!G$29/1000)^2/IF(MAIN!D$45=MAIN!F$45,8,PI()^2),0)</f>
        <v>#DIV/0!</v>
      </c>
      <c r="CD48" s="403" t="e">
        <f>1000*IF(Slen!G17&gt;BV48,E$46*CB48*(Slen!G$12/1000)^2/IF(MAIN!E$45=MAIN!G$45,8,PI()^2),0)</f>
        <v>#DIV/0!</v>
      </c>
      <c r="CE48" s="403" t="e">
        <f>1000*IF(Slen!G34&gt;BW48,E$46*CA48*(Slen!G$29/1000)^2/IF(MAIN!D$45=MAIN!F$45,8,PI()^2),0)</f>
        <v>#DIV/0!</v>
      </c>
      <c r="CF48" s="403" t="e">
        <f>1000*IF(Slen!G17&gt;BX48,E$46*CB48*(Slen!G$12/1000)^2/IF(MAIN!E$45=MAIN!G$45,8,PI()^2),0)</f>
        <v>#DIV/0!</v>
      </c>
      <c r="CG48" s="261" t="e">
        <f>(BK48/U48)^X48+(BL48/V48)^X48</f>
        <v>#DIV/0!</v>
      </c>
      <c r="CH48" s="261" t="e">
        <f t="shared" ref="CH48:CH53" si="136">(BM48/U48)^X48+(BN48/V48)^X48</f>
        <v>#DIV/0!</v>
      </c>
      <c r="CI48" s="304" t="e">
        <f>IF(ISERROR(E8),0,    IF(AND(CK48&gt;CG48,CK48&gt;CH48),"NO",      IF(CG48&gt;      CH48,"Y","Z")))</f>
        <v>#DIV/0!</v>
      </c>
      <c r="CJ48" s="261" t="e">
        <f>(BI48/U48)^X48+(BJ48/V48)^X48</f>
        <v>#DIV/0!</v>
      </c>
      <c r="CK48" s="261" t="e">
        <f>(BM48/U48)^X48+(BL48/V48)^X48</f>
        <v>#DIV/0!</v>
      </c>
    </row>
    <row r="49" spans="2:89" ht="18">
      <c r="B49" s="367">
        <f t="shared" si="123"/>
        <v>32</v>
      </c>
      <c r="C49" s="412">
        <f t="shared" si="123"/>
        <v>10266.056694323323</v>
      </c>
      <c r="D49" s="304" t="e">
        <f t="shared" si="124"/>
        <v>#DIV/0!</v>
      </c>
      <c r="E49" s="304" t="e">
        <f>IF(AND(D49&lt;=1,E46&lt;=C49,D$9&gt;=F46),"ok","Fails")</f>
        <v>#DIV/0!</v>
      </c>
      <c r="F49" s="304" t="e">
        <f>IF(AND(E49="ok",SUM(F50:F53)=0),B49,0)</f>
        <v>#DIV/0!</v>
      </c>
      <c r="G49" s="324">
        <f>MIN(1,(Slen!I35-H$46)/(Slen!I35-Slen!J35))</f>
        <v>1</v>
      </c>
      <c r="H49" s="324">
        <f>MIN(1,(Slen!I18-H$46)/(Slen!I18-Slen!J18))</f>
        <v>1</v>
      </c>
      <c r="I49" s="825" t="e">
        <f>MIN(50,Slen!K35*(1.7-IF(LEFT(MAIN!D$21)="N",1,AN49/AM49))/SQRT(H$46))</f>
        <v>#DIV/0!</v>
      </c>
      <c r="J49" s="826" t="e">
        <f>MIN(50,Slen!K18*(1.7-IF(LEFT(MAIN!D$22)="N",1,AP49/AO49))/SQRT(H$46))</f>
        <v>#DIV/0!</v>
      </c>
      <c r="K49" s="324" t="e">
        <f>IF(AND(MAIN!C$11&lt;=2,Slen!G35&lt;=75,1000*ABS(Cases!AM$48)/MAIN!C$45&gt;=MAIN!C$13),1,MAX(1,1+F9*T$16))</f>
        <v>#DIV/0!</v>
      </c>
      <c r="L49" s="324" t="e">
        <f>IF(AND(MAIN!C$11&lt;=2,Slen!G18&lt;=75,1000*ABS(Cases!AO$48)/MAIN!C$45&gt;=MAIN!C$14),1,MAX(1,1+G9*T$16))</f>
        <v>#DIV/0!</v>
      </c>
      <c r="M49" s="403" t="e">
        <f>G49*K49*H$9</f>
        <v>#DIV/0!</v>
      </c>
      <c r="N49" s="403" t="e">
        <f>H49*L49*I$9</f>
        <v>#DIV/0!</v>
      </c>
      <c r="O49" s="403" t="e">
        <f>1000*IF(Slen!G35&gt;I49,E$46*M49*(Slen!G$29/1000)^2/IF(MAIN!D$45=MAIN!F$45,8,PI()^2),0)</f>
        <v>#DIV/0!</v>
      </c>
      <c r="P49" s="403" t="e">
        <f>1000*IF(Slen!G18&gt;J49,E$46*N49*(Slen!G$12/1000)^2/IF(MAIN!E$45=MAIN!G$45,8,PI()^2),0)</f>
        <v>#DIV/0!</v>
      </c>
      <c r="Q49" s="629" t="e">
        <f t="shared" si="125"/>
        <v>#DIV/0!</v>
      </c>
      <c r="R49" s="629" t="e">
        <f t="shared" si="126"/>
        <v>#DIV/0!</v>
      </c>
      <c r="S49" s="630">
        <f t="shared" si="127"/>
        <v>0</v>
      </c>
      <c r="T49" s="630">
        <f t="shared" si="128"/>
        <v>0</v>
      </c>
      <c r="U49" s="322">
        <f>IF(E46&gt;E$9,0,AA49+AC49*(E46-AB49)/AD49)</f>
        <v>1448.066726156602</v>
      </c>
      <c r="V49" s="322">
        <f>IF(E46&gt;E$9,0,AE49+AG49*(E46-AF49)/AH49)</f>
        <v>307.36563793252878</v>
      </c>
      <c r="W49" s="403">
        <f>1000*MAIN!C$45/J9</f>
        <v>0</v>
      </c>
      <c r="X49" s="261">
        <f t="shared" si="129"/>
        <v>1</v>
      </c>
      <c r="Y49" s="403" t="e">
        <f t="shared" si="130"/>
        <v>#DIV/0!</v>
      </c>
      <c r="Z49" s="409" t="e">
        <f t="shared" si="131"/>
        <v>#DIV/0!</v>
      </c>
      <c r="AA49" s="413">
        <f>HLOOKUP(E46,Ycal!D$111:BO$112,2)</f>
        <v>1433.5505793928455</v>
      </c>
      <c r="AB49" s="322">
        <f>HLOOKUP(E46,Ycal!D$111:BO$112,1)</f>
        <v>-50.611070171779488</v>
      </c>
      <c r="AC49" s="322">
        <f>HLOOKUP(E46,Ycal!D$111:BO$115,5)</f>
        <v>50.009973857426758</v>
      </c>
      <c r="AD49" s="414">
        <f>HLOOKUP(E46,Ycal!D$111:BO$115,4)</f>
        <v>174.36158075409801</v>
      </c>
      <c r="AE49" s="413">
        <f>HLOOKUP(E46,Zcal!D$111:BO$112,2)</f>
        <v>307.00549718855007</v>
      </c>
      <c r="AF49" s="322">
        <f>HLOOKUP(E46,Zcal!D$111:BO$112,1)</f>
        <v>-3.651485694919713</v>
      </c>
      <c r="AG49" s="322">
        <f>HLOOKUP(E46,Zcal!D$111:BO$115,5)</f>
        <v>14.648557357208745</v>
      </c>
      <c r="AH49" s="414">
        <f>HLOOKUP(E46,Zcal!D$111:BO$115,4)</f>
        <v>148.52248332173934</v>
      </c>
      <c r="AJ49" s="794" t="e">
        <f xml:space="preserve"> IF(OR(MAIN!E$29="BOTH AXES",Z49 ="Y"),         MAX(P$45,BI49),     BM49)</f>
        <v>#DIV/0!</v>
      </c>
      <c r="AK49" s="677" t="e">
        <f xml:space="preserve">       IF(OR(MAIN!E$29="BOTH AXES",Z49 ="Z"),    MAX(R$45,BJ49),           BL49)</f>
        <v>#DIV/0!</v>
      </c>
      <c r="AL49" s="672" t="e">
        <f t="shared" si="132"/>
        <v>#DIV/0!</v>
      </c>
      <c r="AM49" s="639" t="e">
        <f t="shared" si="133"/>
        <v>#DIV/0!</v>
      </c>
      <c r="AN49" s="640" t="e">
        <f t="shared" ref="AN49:AN53" si="137" xml:space="preserve">              IF(ABS(AM$46)&gt;=ABS(AN$46),AN$46,AM$46)+IF(Z49="Y",P$46,0)*SIGN(IF(ABS(AM$46)&gt;=ABS(AN$46),AM$46,AN$46))</f>
        <v>#DIV/0!</v>
      </c>
      <c r="AO49" s="639" t="e">
        <f t="shared" si="134"/>
        <v>#DIV/0!</v>
      </c>
      <c r="AP49" s="640" t="e">
        <f t="shared" ref="AP49:AP53" si="138" xml:space="preserve">  IF(ABS(AO$46)&gt;=ABS(AP$46),AP$46,AO$46)+IF(Z49="Z",R$46,0)*SIGN(IF(ABS(AO$46)&gt;=ABS(AP$46),AO$46,AP$46))</f>
        <v>#DIV/0!</v>
      </c>
      <c r="AQ49" s="743">
        <f t="shared" ref="AQ49:AQ53" si="139">AQ48</f>
        <v>0.01</v>
      </c>
      <c r="AR49" s="744">
        <f t="shared" ref="AR49:AR53" si="140">AR48</f>
        <v>0.01</v>
      </c>
      <c r="AS49" s="743">
        <f t="shared" ref="AS49:AT53" si="141">AS48</f>
        <v>0.01</v>
      </c>
      <c r="AT49" s="744">
        <f t="shared" ref="AT49" si="142">AT48</f>
        <v>0.01</v>
      </c>
      <c r="AU49" s="760">
        <f t="shared" ref="AU49:AV49" si="143">AU48</f>
        <v>0.01</v>
      </c>
      <c r="AV49" s="761">
        <f t="shared" si="143"/>
        <v>0.01</v>
      </c>
      <c r="AW49" s="760">
        <f>AW48</f>
        <v>0.01</v>
      </c>
      <c r="AX49" s="761">
        <f>AX48</f>
        <v>0.01</v>
      </c>
      <c r="AY49" s="760">
        <f>AY48</f>
        <v>0.01</v>
      </c>
      <c r="AZ49" s="761">
        <f>AZ48</f>
        <v>0.01</v>
      </c>
      <c r="BA49" s="767">
        <f t="shared" ref="BA49:BD49" si="144">BA48</f>
        <v>0.01</v>
      </c>
      <c r="BB49" s="768">
        <f t="shared" si="144"/>
        <v>0.01</v>
      </c>
      <c r="BC49" s="767">
        <f t="shared" si="144"/>
        <v>0.01</v>
      </c>
      <c r="BD49" s="768">
        <f t="shared" si="144"/>
        <v>0.01</v>
      </c>
      <c r="BE49" s="767">
        <f>BE48</f>
        <v>0.01</v>
      </c>
      <c r="BF49" s="768">
        <f>BF48</f>
        <v>0.01</v>
      </c>
      <c r="BG49" s="767">
        <f t="shared" ref="BG49:BH53" si="145">BG48</f>
        <v>0.01</v>
      </c>
      <c r="BH49" s="799">
        <f t="shared" si="145"/>
        <v>0.01</v>
      </c>
      <c r="BI49" s="767" t="e">
        <f>IF(MAIN!D$21="N",CC49+ABS(BO49),MAX(BA49+CC49,BC49,  ABS(BE49-   IF(DB$21="Top",Slen!N$28,Slen!N$27)   *CC49/2-2*P$46)             ))</f>
        <v>#DIV/0!</v>
      </c>
      <c r="BJ49" s="768" t="e">
        <f>IF(MAIN!D$22="N",CD49+ABS(BQ49),MAX(BB49+CD49,BD49,     ABS(BF49-     IF(DC$21="Top",Slen!N$11,Slen!N$10)   *CD49/2-2*R$46)              ))</f>
        <v>#DIV/0!</v>
      </c>
      <c r="BK49" s="767" t="e">
        <f>IF(MAIN!D$21="N",CC49+ABS(BO49),MAX(BA49+CC49,BC49,  ABS(BE49-    IF(DB$21="Top",Slen!N$28,Slen!N$27)   *CC49/2-2*P$46)             ))</f>
        <v>#DIV/0!</v>
      </c>
      <c r="BL49" s="768" t="e">
        <f>IF(MAIN!D$22="N",CD49+ABS(AS49),MAX(AV49+CF49,AX49,   ABS(AZ49-   IF(DC$21="Top",Slen!N$11,Slen!N$10)    *CF49/2)                    ))</f>
        <v>#DIV/0!</v>
      </c>
      <c r="BM49" s="767" t="e">
        <f>IF(MAIN!D$21="N",CC49+ABS(AQ49),MAX(AU49+CE49,AW49,   ABS(AY49-     IF(DB$21="Top",Slen!N$28,Slen!N$27)    *CE49/2)             ))</f>
        <v>#DIV/0!</v>
      </c>
      <c r="BN49" s="768" t="e">
        <f>IF(MAIN!D$22="N",CD49+ABS(BQ49),MAX(BB49+CD49,BD49,   ABS(BF49-   IF(DC$21="Top",Slen!N$11,Slen!N$10)   *CD49/2-2*R$46)                ))</f>
        <v>#DIV/0!</v>
      </c>
      <c r="BO49" s="811">
        <f>BO48</f>
        <v>0.01</v>
      </c>
      <c r="BP49" s="808">
        <f>BP48</f>
        <v>0.01</v>
      </c>
      <c r="BQ49" s="807">
        <f>BQ48</f>
        <v>0.01</v>
      </c>
      <c r="BR49" s="808">
        <f>BR48</f>
        <v>0.01</v>
      </c>
      <c r="BS49" s="324">
        <f>MIN(1,(Slen!I35-H$46)/(Slen!I35-Slen!J35))</f>
        <v>1</v>
      </c>
      <c r="BT49" s="324">
        <f>MIN(1,(Slen!I18-H$46)/(Slen!I18-Slen!J18))</f>
        <v>1</v>
      </c>
      <c r="BU49" s="748" t="e">
        <f>MIN(50,Slen!K35*(1.7-IF(LEFT(MAIN!D$21)="N",1,BP49/BO49))/SQRT(H$46))</f>
        <v>#DIV/0!</v>
      </c>
      <c r="BV49" s="748" t="e">
        <f>MIN(50,Slen!K18*(1.7-IF(LEFT(MAIN!D$22)="N",1,BR49/BQ49))/SQRT(H$46))</f>
        <v>#DIV/0!</v>
      </c>
      <c r="BW49" s="748" t="e">
        <f>MIN(50,Slen!K35*(1.7-IF(LEFT(MAIN!D$21)="N",1,AR49/AQ49))/SQRT(H$46))</f>
        <v>#DIV/0!</v>
      </c>
      <c r="BX49" s="748" t="e">
        <f>MIN(50,Slen!K18*(1.7-IF(LEFT(MAIN!D$22)="N",1,AT49/AS49))/SQRT(H$46))</f>
        <v>#DIV/0!</v>
      </c>
      <c r="BY49" s="324" t="e">
        <f>IF(AND(MAIN!C$11&lt;=2,Slen!G35&lt;=75,1000*ABS(BO49)/MAIN!C$45&gt;=MAIN!C$13),1,MAX(1,1+F9*T$46))</f>
        <v>#DIV/0!</v>
      </c>
      <c r="BZ49" s="324" t="e">
        <f>IF(AND(MAIN!C$11&lt;=2,Slen!G18&lt;=75,1000*ABS(BQ49)/MAIN!C$45&gt;=MAIN!C$14),1,MAX(1,1+G9*T$46))</f>
        <v>#DIV/0!</v>
      </c>
      <c r="CA49" s="403" t="e">
        <f t="shared" si="135"/>
        <v>#DIV/0!</v>
      </c>
      <c r="CB49" s="403" t="e">
        <f t="shared" si="135"/>
        <v>#DIV/0!</v>
      </c>
      <c r="CC49" s="403" t="e">
        <f>1000*IF(Slen!G35&gt;BU49,E$46*CA49*(Slen!G$29/1000)^2/IF(MAIN!D$45=MAIN!F$45,8,PI()^2),0)</f>
        <v>#DIV/0!</v>
      </c>
      <c r="CD49" s="403" t="e">
        <f>1000*IF(Slen!G18&gt;BV49,E$46*CB49*(Slen!G$12/1000)^2/IF(MAIN!E$45=MAIN!G$45,8,PI()^2),0)</f>
        <v>#DIV/0!</v>
      </c>
      <c r="CE49" s="403" t="e">
        <f>1000*IF(Slen!G35&gt;BW49,E$46*CA49*(Slen!G$29/1000)^2/IF(MAIN!D$45=MAIN!F$45,8,PI()^2),0)</f>
        <v>#DIV/0!</v>
      </c>
      <c r="CF49" s="403" t="e">
        <f>1000*IF(Slen!G18&gt;BX49,E$46*CB49*(Slen!G$12/1000)^2/IF(MAIN!E$45=MAIN!G$45,8,PI()^2),0)</f>
        <v>#DIV/0!</v>
      </c>
      <c r="CG49" s="261" t="e">
        <f t="shared" ref="CG49:CG53" si="146">(BK49/U49)^X49+(BL49/V49)^X49</f>
        <v>#DIV/0!</v>
      </c>
      <c r="CH49" s="261" t="e">
        <f t="shared" si="136"/>
        <v>#DIV/0!</v>
      </c>
      <c r="CI49" s="304" t="e">
        <f t="shared" ref="CI49:CI53" si="147">IF(ISERROR(E9),0,    IF(AND(CK49&gt;CG49,CK49&gt;CH49),"NO",      IF(CG49&gt;      CH49,"Y","Z")))</f>
        <v>#DIV/0!</v>
      </c>
      <c r="CJ49" s="261" t="e">
        <f t="shared" ref="CJ49:CJ53" si="148">(BI49/U49)^X49+(BJ49/V49)^X49</f>
        <v>#DIV/0!</v>
      </c>
      <c r="CK49" s="261" t="e">
        <f t="shared" ref="CK49:CK53" si="149">(BM49/U49)^X49+(BL49/V49)^X49</f>
        <v>#DIV/0!</v>
      </c>
    </row>
    <row r="50" spans="2:89" ht="18">
      <c r="B50" s="367">
        <f t="shared" si="123"/>
        <v>25</v>
      </c>
      <c r="C50" s="412">
        <f t="shared" si="123"/>
        <v>9445.4349940938246</v>
      </c>
      <c r="D50" s="304" t="e">
        <f t="shared" si="124"/>
        <v>#DIV/0!</v>
      </c>
      <c r="E50" s="304" t="e">
        <f>IF(AND(D50&lt;=1,E46&lt;=C50,D$10&gt;=F46),"ok","Fails")</f>
        <v>#DIV/0!</v>
      </c>
      <c r="F50" s="304" t="e">
        <f>IF(AND(E50="ok",SUM(F51:F53)=0),B50,0)</f>
        <v>#DIV/0!</v>
      </c>
      <c r="G50" s="324">
        <f>MIN(1,(Slen!I36-H$46)/(Slen!I36-Slen!J36))</f>
        <v>1</v>
      </c>
      <c r="H50" s="324">
        <f>MIN(1,(Slen!I19-H$46)/(Slen!I19-Slen!J19))</f>
        <v>1</v>
      </c>
      <c r="I50" s="825" t="e">
        <f>MIN(50,Slen!K36*(1.7-IF(LEFT(MAIN!D$21)="N",1,AN50/AM50))/SQRT(H$46))</f>
        <v>#DIV/0!</v>
      </c>
      <c r="J50" s="826" t="e">
        <f>MIN(50,Slen!K19*(1.7-IF(LEFT(MAIN!D$22)="N",1,AP50/AO50))/SQRT(H$46))</f>
        <v>#DIV/0!</v>
      </c>
      <c r="K50" s="324" t="e">
        <f>IF(AND(MAIN!C$11&lt;=2,Slen!G36&lt;=75,1000*ABS(Cases!AM$48)/MAIN!C$45&gt;=MAIN!C$13),1,MAX(1,1+F10*T$16))</f>
        <v>#DIV/0!</v>
      </c>
      <c r="L50" s="324" t="e">
        <f>IF(AND(MAIN!C$11&lt;=2,Slen!G19&lt;=75,1000*ABS(Cases!AO$48)/MAIN!C$45&gt;=MAIN!C$14),1,MAX(1,1+G10*T$16))</f>
        <v>#DIV/0!</v>
      </c>
      <c r="M50" s="403" t="e">
        <f>G50*K50*H$10</f>
        <v>#DIV/0!</v>
      </c>
      <c r="N50" s="403" t="e">
        <f>H50*L50*I$10</f>
        <v>#DIV/0!</v>
      </c>
      <c r="O50" s="403" t="e">
        <f>1000*IF(Slen!G36&gt;I50,E$46*M50*(Slen!G$29/1000)^2/IF(MAIN!D$45=MAIN!F$45,8,PI()^2),0)</f>
        <v>#DIV/0!</v>
      </c>
      <c r="P50" s="403" t="e">
        <f>1000*IF(Slen!G19&gt;J50,E$46*N50*(Slen!G$12/1000)^2/IF(MAIN!E$45=MAIN!G$45,8,PI()^2),0)</f>
        <v>#DIV/0!</v>
      </c>
      <c r="Q50" s="629" t="e">
        <f t="shared" si="125"/>
        <v>#DIV/0!</v>
      </c>
      <c r="R50" s="629" t="e">
        <f t="shared" si="126"/>
        <v>#DIV/0!</v>
      </c>
      <c r="S50" s="630">
        <f t="shared" si="127"/>
        <v>0</v>
      </c>
      <c r="T50" s="630">
        <f t="shared" si="128"/>
        <v>0</v>
      </c>
      <c r="U50" s="322">
        <f>IF(E46&gt;E$10,0,AA50+AC50*(E46-AB50)/AD50)</f>
        <v>925.93232395538928</v>
      </c>
      <c r="V50" s="322">
        <f>IF(E46&gt;E$10,0,AE50+AG50*(E46-AF50)/AH50)</f>
        <v>201.94270292656049</v>
      </c>
      <c r="W50" s="403">
        <f>1000*MAIN!C$45/J10</f>
        <v>0</v>
      </c>
      <c r="X50" s="261">
        <f t="shared" si="129"/>
        <v>1</v>
      </c>
      <c r="Y50" s="403" t="e">
        <f t="shared" si="130"/>
        <v>#DIV/0!</v>
      </c>
      <c r="Z50" s="409" t="e">
        <f t="shared" si="131"/>
        <v>#DIV/0!</v>
      </c>
      <c r="AA50" s="413">
        <f>HLOOKUP(E46,Ycal!D$163:BO$164,2)</f>
        <v>891.74644677133438</v>
      </c>
      <c r="AB50" s="322">
        <f>HLOOKUP(E46,Ycal!D$163:BO$164,1)</f>
        <v>-71.945844094742327</v>
      </c>
      <c r="AC50" s="322">
        <f>HLOOKUP(E46,Ycal!D$163:BO$168,5)</f>
        <v>42.67208689280119</v>
      </c>
      <c r="AD50" s="414">
        <f>HLOOKUP(E46,Ycal!D$163:BO$168,4)</f>
        <v>89.80548588113254</v>
      </c>
      <c r="AE50" s="413">
        <f>HLOOKUP(E46,Zcal!D$163:BO$164,2)</f>
        <v>185.97291827236458</v>
      </c>
      <c r="AF50" s="322">
        <f>HLOOKUP(E46,Zcal!D$163:BO$164,1)</f>
        <v>-151.81173587905965</v>
      </c>
      <c r="AG50" s="322">
        <f>HLOOKUP(E46,Zcal!D$163:BO$168,5)</f>
        <v>17.409746657893606</v>
      </c>
      <c r="AH50" s="414">
        <f>HLOOKUP(E46,Zcal!D$163:BO$168,4)</f>
        <v>165.5002818497658</v>
      </c>
      <c r="AJ50" s="794" t="e">
        <f xml:space="preserve"> IF(OR(MAIN!E$29="BOTH AXES",Z50 ="Y"),         MAX(P$45,BI50),     BM50)</f>
        <v>#DIV/0!</v>
      </c>
      <c r="AK50" s="677" t="e">
        <f xml:space="preserve">       IF(OR(MAIN!E$29="BOTH AXES",Z50 ="Z"),    MAX(R$45,BJ50),           BL50)</f>
        <v>#DIV/0!</v>
      </c>
      <c r="AL50" s="672" t="e">
        <f t="shared" si="132"/>
        <v>#DIV/0!</v>
      </c>
      <c r="AM50" s="639" t="e">
        <f t="shared" si="133"/>
        <v>#DIV/0!</v>
      </c>
      <c r="AN50" s="640" t="e">
        <f t="shared" si="137"/>
        <v>#DIV/0!</v>
      </c>
      <c r="AO50" s="639" t="e">
        <f t="shared" si="134"/>
        <v>#DIV/0!</v>
      </c>
      <c r="AP50" s="640" t="e">
        <f t="shared" si="138"/>
        <v>#DIV/0!</v>
      </c>
      <c r="AQ50" s="743">
        <f t="shared" si="139"/>
        <v>0.01</v>
      </c>
      <c r="AR50" s="744">
        <f t="shared" si="140"/>
        <v>0.01</v>
      </c>
      <c r="AS50" s="743">
        <f t="shared" si="141"/>
        <v>0.01</v>
      </c>
      <c r="AT50" s="744">
        <f t="shared" si="141"/>
        <v>0.01</v>
      </c>
      <c r="AU50" s="760">
        <f t="shared" ref="AU50:BF53" si="150">AU49</f>
        <v>0.01</v>
      </c>
      <c r="AV50" s="761">
        <f t="shared" si="150"/>
        <v>0.01</v>
      </c>
      <c r="AW50" s="760">
        <f t="shared" si="150"/>
        <v>0.01</v>
      </c>
      <c r="AX50" s="761">
        <f t="shared" si="150"/>
        <v>0.01</v>
      </c>
      <c r="AY50" s="760">
        <f t="shared" si="150"/>
        <v>0.01</v>
      </c>
      <c r="AZ50" s="761">
        <f t="shared" si="150"/>
        <v>0.01</v>
      </c>
      <c r="BA50" s="767">
        <f t="shared" si="150"/>
        <v>0.01</v>
      </c>
      <c r="BB50" s="768">
        <f t="shared" si="150"/>
        <v>0.01</v>
      </c>
      <c r="BC50" s="767">
        <f t="shared" si="150"/>
        <v>0.01</v>
      </c>
      <c r="BD50" s="768">
        <f t="shared" si="150"/>
        <v>0.01</v>
      </c>
      <c r="BE50" s="767">
        <f t="shared" si="150"/>
        <v>0.01</v>
      </c>
      <c r="BF50" s="768">
        <f t="shared" si="150"/>
        <v>0.01</v>
      </c>
      <c r="BG50" s="767">
        <f t="shared" si="145"/>
        <v>0.01</v>
      </c>
      <c r="BH50" s="799">
        <f t="shared" si="145"/>
        <v>0.01</v>
      </c>
      <c r="BI50" s="767" t="e">
        <f>IF(MAIN!D$21="N",CC50+ABS(BO50),MAX(BA50+CC50,BC50,  ABS(BE50-   IF(DB$21="Top",Slen!N$28,Slen!N$27)   *CC50/2-2*P$46)             ))</f>
        <v>#DIV/0!</v>
      </c>
      <c r="BJ50" s="768" t="e">
        <f>IF(MAIN!D$22="N",CD50+ABS(BQ50),MAX(BB50+CD50,BD50,     ABS(BF50-     IF(DC$21="Top",Slen!N$11,Slen!N$10)   *CD50/2-2*R$46)              ))</f>
        <v>#DIV/0!</v>
      </c>
      <c r="BK50" s="767" t="e">
        <f>IF(MAIN!D$21="N",CC50+ABS(BO50),MAX(BA50+CC50,BC50,  ABS(BE50-    IF(DB$21="Top",Slen!N$28,Slen!N$27)   *CC50/2-2*P$46)             ))</f>
        <v>#DIV/0!</v>
      </c>
      <c r="BL50" s="768" t="e">
        <f>IF(MAIN!D$22="N",CD50+ABS(AS50),MAX(AV50+CF50,AX50,   ABS(AZ50-   IF(DC$21="Top",Slen!N$11,Slen!N$10)    *CF50/2)                    ))</f>
        <v>#DIV/0!</v>
      </c>
      <c r="BM50" s="767" t="e">
        <f>IF(MAIN!D$21="N",CC50+ABS(AQ50),MAX(AU50+CE50,AW50,   ABS(AY50-     IF(DB$21="Top",Slen!N$28,Slen!N$27)    *CE50/2)             ))</f>
        <v>#DIV/0!</v>
      </c>
      <c r="BN50" s="768" t="e">
        <f>IF(MAIN!D$22="N",CD50+ABS(BQ50),MAX(BB50+CD50,BD50,   ABS(BF50-   IF(DC$21="Top",Slen!N$11,Slen!N$10)   *CD50/2-2*R$46)                ))</f>
        <v>#DIV/0!</v>
      </c>
      <c r="BO50" s="811">
        <f t="shared" ref="BO50:BO53" si="151">BO49</f>
        <v>0.01</v>
      </c>
      <c r="BP50" s="808">
        <f t="shared" ref="BP50:BP53" si="152">BP49</f>
        <v>0.01</v>
      </c>
      <c r="BQ50" s="807">
        <f t="shared" ref="BQ50:BQ53" si="153">BQ49</f>
        <v>0.01</v>
      </c>
      <c r="BR50" s="808">
        <f t="shared" ref="BR50:BR53" si="154">BR49</f>
        <v>0.01</v>
      </c>
      <c r="BS50" s="324">
        <f>MIN(1,(Slen!I36-H$46)/(Slen!I36-Slen!J36))</f>
        <v>1</v>
      </c>
      <c r="BT50" s="324">
        <f>MIN(1,(Slen!I19-H$46)/(Slen!I19-Slen!J19))</f>
        <v>1</v>
      </c>
      <c r="BU50" s="748" t="e">
        <f>MIN(50,Slen!K36*(1.7-IF(LEFT(MAIN!D$21)="N",1,BP50/BO50))/SQRT(H$46))</f>
        <v>#DIV/0!</v>
      </c>
      <c r="BV50" s="748" t="e">
        <f>MIN(50,Slen!K19*(1.7-IF(LEFT(MAIN!D$22)="N",1,BR50/BQ50))/SQRT(H$46))</f>
        <v>#DIV/0!</v>
      </c>
      <c r="BW50" s="748" t="e">
        <f>MIN(50,Slen!K36*(1.7-IF(LEFT(MAIN!D$21)="N",1,AR50/AQ50))/SQRT(H$46))</f>
        <v>#DIV/0!</v>
      </c>
      <c r="BX50" s="748" t="e">
        <f>MIN(50,Slen!K19*(1.7-IF(LEFT(MAIN!D$22)="N",1,AT50/AS50))/SQRT(H$46))</f>
        <v>#DIV/0!</v>
      </c>
      <c r="BY50" s="324" t="e">
        <f>IF(AND(MAIN!C$11&lt;=2,Slen!G36&lt;=75,1000*ABS(BO50)/MAIN!C$45&gt;=MAIN!C$13),1,MAX(1,1+F10*T$46))</f>
        <v>#DIV/0!</v>
      </c>
      <c r="BZ50" s="324" t="e">
        <f>IF(AND(MAIN!C$11&lt;=2,Slen!G19&lt;=75,1000*ABS(BQ50)/MAIN!C$45&gt;=MAIN!C$14),1,MAX(1,1+G10*T$46))</f>
        <v>#DIV/0!</v>
      </c>
      <c r="CA50" s="403" t="e">
        <f t="shared" si="135"/>
        <v>#DIV/0!</v>
      </c>
      <c r="CB50" s="403" t="e">
        <f t="shared" si="135"/>
        <v>#DIV/0!</v>
      </c>
      <c r="CC50" s="403" t="e">
        <f>1000*IF(Slen!G36&gt;BU50,E$46*CA50*(Slen!G$29/1000)^2/IF(MAIN!D$45=MAIN!F$45,8,PI()^2),0)</f>
        <v>#DIV/0!</v>
      </c>
      <c r="CD50" s="403" t="e">
        <f>1000*IF(Slen!G19&gt;BV50,E$46*CB50*(Slen!G$12/1000)^2/IF(MAIN!E$45=MAIN!G$45,8,PI()^2),0)</f>
        <v>#DIV/0!</v>
      </c>
      <c r="CE50" s="403" t="e">
        <f>1000*IF(Slen!G36&gt;BW50,E$46*CA50*(Slen!G$29/1000)^2/IF(MAIN!D$45=MAIN!F$45,8,PI()^2),0)</f>
        <v>#DIV/0!</v>
      </c>
      <c r="CF50" s="403" t="e">
        <f>1000*IF(Slen!G19&gt;BX50,E$46*CB50*(Slen!G$12/1000)^2/IF(MAIN!E$45=MAIN!G$45,8,PI()^2),0)</f>
        <v>#DIV/0!</v>
      </c>
      <c r="CG50" s="261" t="e">
        <f t="shared" si="146"/>
        <v>#DIV/0!</v>
      </c>
      <c r="CH50" s="261" t="e">
        <f t="shared" si="136"/>
        <v>#DIV/0!</v>
      </c>
      <c r="CI50" s="304" t="e">
        <f t="shared" si="147"/>
        <v>#DIV/0!</v>
      </c>
      <c r="CJ50" s="261" t="e">
        <f t="shared" si="148"/>
        <v>#DIV/0!</v>
      </c>
      <c r="CK50" s="261" t="e">
        <f t="shared" si="149"/>
        <v>#DIV/0!</v>
      </c>
    </row>
    <row r="51" spans="2:89" ht="18">
      <c r="B51" s="367">
        <f t="shared" si="123"/>
        <v>20</v>
      </c>
      <c r="C51" s="412">
        <f t="shared" si="123"/>
        <v>8982.6783962200461</v>
      </c>
      <c r="D51" s="304" t="e">
        <f t="shared" si="124"/>
        <v>#DIV/0!</v>
      </c>
      <c r="E51" s="304" t="e">
        <f>IF(AND(D51&lt;=1,E46&lt;=C51,D$11&gt;=F46),"ok","Fails")</f>
        <v>#DIV/0!</v>
      </c>
      <c r="F51" s="304" t="e">
        <f>IF(AND(E51="ok",SUM(F52:F53)=0),B51,0)</f>
        <v>#DIV/0!</v>
      </c>
      <c r="G51" s="324">
        <f>MIN(1,(Slen!I37-H$46)/(Slen!I37-Slen!J37))</f>
        <v>1</v>
      </c>
      <c r="H51" s="324">
        <f>MIN(1,(Slen!I20-H$46)/(Slen!I20-Slen!J20))</f>
        <v>1</v>
      </c>
      <c r="I51" s="825" t="e">
        <f>MIN(50,Slen!K37*(1.7-IF(LEFT(MAIN!D$21)="N",1,AN51/AM51))/SQRT(H$46))</f>
        <v>#DIV/0!</v>
      </c>
      <c r="J51" s="826" t="e">
        <f>MIN(50,Slen!K20*(1.7-IF(LEFT(MAIN!D$22)="N",1,AP51/AO51))/SQRT(H$46))</f>
        <v>#DIV/0!</v>
      </c>
      <c r="K51" s="324" t="e">
        <f>IF(AND(MAIN!C$11&lt;=2,Slen!G37&lt;=75,1000*ABS(Cases!AM$48)/MAIN!C$45&gt;=MAIN!C$13),1,MAX(1,1+F11*T$16))</f>
        <v>#DIV/0!</v>
      </c>
      <c r="L51" s="324" t="e">
        <f>IF(AND(MAIN!C$11&lt;=2,Slen!G20&lt;=75,1000*ABS(Cases!AO$48)/MAIN!C$45&gt;=MAIN!C$14),1,MAX(1,1+G11*T$16))</f>
        <v>#DIV/0!</v>
      </c>
      <c r="M51" s="403" t="e">
        <f>G51*K51*H$11</f>
        <v>#DIV/0!</v>
      </c>
      <c r="N51" s="403" t="e">
        <f>H51*L51*I$11</f>
        <v>#DIV/0!</v>
      </c>
      <c r="O51" s="403" t="e">
        <f>1000*IF(Slen!G37&gt;I51,E$46*M51*(Slen!G$29/1000)^2/IF(MAIN!D$45=MAIN!F$45,8,PI()^2),0)</f>
        <v>#DIV/0!</v>
      </c>
      <c r="P51" s="403" t="e">
        <f>1000*IF(Slen!G20&gt;J51,E$46*N51*(Slen!G$12/1000)^2/IF(MAIN!E$45=MAIN!G$45,8,PI()^2),0)</f>
        <v>#DIV/0!</v>
      </c>
      <c r="Q51" s="629" t="e">
        <f t="shared" si="125"/>
        <v>#DIV/0!</v>
      </c>
      <c r="R51" s="629" t="e">
        <f t="shared" si="126"/>
        <v>#DIV/0!</v>
      </c>
      <c r="S51" s="630">
        <f t="shared" si="127"/>
        <v>0</v>
      </c>
      <c r="T51" s="630">
        <f t="shared" si="128"/>
        <v>0</v>
      </c>
      <c r="U51" s="322">
        <f>IF(E46&gt;E$11,0,AA51+AC51*(E46-AB51)/AD51)</f>
        <v>605.89584145075457</v>
      </c>
      <c r="V51" s="322">
        <f>IF(E46&gt;E$11,0,AE51+AG51*(E46-AF51)/AH51)</f>
        <v>138.20454242596324</v>
      </c>
      <c r="W51" s="403">
        <f>1000*MAIN!C$45/J11</f>
        <v>0</v>
      </c>
      <c r="X51" s="261">
        <f t="shared" si="129"/>
        <v>1</v>
      </c>
      <c r="Y51" s="403" t="e">
        <f t="shared" si="130"/>
        <v>#DIV/0!</v>
      </c>
      <c r="Z51" s="409" t="e">
        <f t="shared" si="131"/>
        <v>#DIV/0!</v>
      </c>
      <c r="AA51" s="413">
        <f>HLOOKUP(E46,Ycal!D$215:BO$216,2)</f>
        <v>600.94891616049404</v>
      </c>
      <c r="AB51" s="322">
        <f>HLOOKUP(E46,Ycal!D$215:BO$216,1)</f>
        <v>-9.5542594363358795</v>
      </c>
      <c r="AC51" s="322">
        <f>HLOOKUP(E46,Ycal!D$215:BO$220,5)</f>
        <v>61.084751826835713</v>
      </c>
      <c r="AD51" s="414">
        <f>HLOOKUP(E46,Ycal!D$215:BO$220,4)</f>
        <v>117.97622408141137</v>
      </c>
      <c r="AE51" s="413">
        <f>HLOOKUP(E46,Zcal!D$215:BO$216,2)</f>
        <v>134.10740861040219</v>
      </c>
      <c r="AF51" s="322">
        <f>HLOOKUP(E46,Zcal!D$215:BO$216,1)</f>
        <v>-37.412802754648958</v>
      </c>
      <c r="AG51" s="322">
        <f>HLOOKUP(E46,Zcal!D$215:BO$220,5)</f>
        <v>17.567173162247229</v>
      </c>
      <c r="AH51" s="414">
        <f>HLOOKUP(E46,Zcal!D$215:BO$220,4)</f>
        <v>160.4138927510036</v>
      </c>
      <c r="AJ51" s="794" t="e">
        <f xml:space="preserve"> IF(OR(MAIN!E$29="BOTH AXES",Z51 ="Y"),         MAX(P$45,BI51),     BM51)</f>
        <v>#DIV/0!</v>
      </c>
      <c r="AK51" s="677" t="e">
        <f xml:space="preserve">       IF(OR(MAIN!E$29="BOTH AXES",Z51 ="Z"),    MAX(R$45,BJ51),           BL51)</f>
        <v>#DIV/0!</v>
      </c>
      <c r="AL51" s="672" t="e">
        <f t="shared" si="132"/>
        <v>#DIV/0!</v>
      </c>
      <c r="AM51" s="639" t="e">
        <f t="shared" si="133"/>
        <v>#DIV/0!</v>
      </c>
      <c r="AN51" s="640" t="e">
        <f t="shared" si="137"/>
        <v>#DIV/0!</v>
      </c>
      <c r="AO51" s="639" t="e">
        <f t="shared" si="134"/>
        <v>#DIV/0!</v>
      </c>
      <c r="AP51" s="640" t="e">
        <f t="shared" si="138"/>
        <v>#DIV/0!</v>
      </c>
      <c r="AQ51" s="743">
        <f t="shared" si="139"/>
        <v>0.01</v>
      </c>
      <c r="AR51" s="744">
        <f t="shared" si="140"/>
        <v>0.01</v>
      </c>
      <c r="AS51" s="743">
        <f t="shared" si="141"/>
        <v>0.01</v>
      </c>
      <c r="AT51" s="744">
        <f t="shared" si="141"/>
        <v>0.01</v>
      </c>
      <c r="AU51" s="760">
        <f t="shared" si="150"/>
        <v>0.01</v>
      </c>
      <c r="AV51" s="761">
        <f t="shared" si="150"/>
        <v>0.01</v>
      </c>
      <c r="AW51" s="760">
        <f t="shared" si="150"/>
        <v>0.01</v>
      </c>
      <c r="AX51" s="761">
        <f t="shared" si="150"/>
        <v>0.01</v>
      </c>
      <c r="AY51" s="760">
        <f t="shared" si="150"/>
        <v>0.01</v>
      </c>
      <c r="AZ51" s="761">
        <f t="shared" si="150"/>
        <v>0.01</v>
      </c>
      <c r="BA51" s="767">
        <f t="shared" si="150"/>
        <v>0.01</v>
      </c>
      <c r="BB51" s="768">
        <f t="shared" si="150"/>
        <v>0.01</v>
      </c>
      <c r="BC51" s="767">
        <f t="shared" si="150"/>
        <v>0.01</v>
      </c>
      <c r="BD51" s="768">
        <f t="shared" si="150"/>
        <v>0.01</v>
      </c>
      <c r="BE51" s="767">
        <f t="shared" si="150"/>
        <v>0.01</v>
      </c>
      <c r="BF51" s="768">
        <f t="shared" si="150"/>
        <v>0.01</v>
      </c>
      <c r="BG51" s="767">
        <f t="shared" si="145"/>
        <v>0.01</v>
      </c>
      <c r="BH51" s="799">
        <f t="shared" si="145"/>
        <v>0.01</v>
      </c>
      <c r="BI51" s="767" t="e">
        <f>IF(MAIN!D$21="N",CC51+ABS(BO51),MAX(BA51+CC51,BC51,  ABS(BE51-   IF(DB$21="Top",Slen!N$28,Slen!N$27)   *CC51/2-2*P$46)             ))</f>
        <v>#DIV/0!</v>
      </c>
      <c r="BJ51" s="768" t="e">
        <f>IF(MAIN!D$22="N",CD51+ABS(BQ51),MAX(BB51+CD51,BD51,     ABS(BF51-     IF(DC$21="Top",Slen!N$11,Slen!N$10)   *CD51/2-2*R$46)              ))</f>
        <v>#DIV/0!</v>
      </c>
      <c r="BK51" s="767" t="e">
        <f>IF(MAIN!D$21="N",CC51+ABS(BO51),MAX(BA51+CC51,BC51,  ABS(BE51-    IF(DB$21="Top",Slen!N$28,Slen!N$27)   *CC51/2-2*P$46)             ))</f>
        <v>#DIV/0!</v>
      </c>
      <c r="BL51" s="768" t="e">
        <f>IF(MAIN!D$22="N",CD51+ABS(AS51),MAX(AV51+CF51,AX51,   ABS(AZ51-   IF(DC$21="Top",Slen!N$11,Slen!N$10)    *CF51/2)                    ))</f>
        <v>#DIV/0!</v>
      </c>
      <c r="BM51" s="767" t="e">
        <f>IF(MAIN!D$21="N",CC51+ABS(AQ51),MAX(AU51+CE51,AW51,   ABS(AY51-     IF(DB$21="Top",Slen!N$28,Slen!N$27)    *CE51/2)             ))</f>
        <v>#DIV/0!</v>
      </c>
      <c r="BN51" s="768" t="e">
        <f>IF(MAIN!D$22="N",CD51+ABS(BQ51),MAX(BB51+CD51,BD51,   ABS(BF51-   IF(DC$21="Top",Slen!N$11,Slen!N$10)   *CD51/2-2*R$46)                ))</f>
        <v>#DIV/0!</v>
      </c>
      <c r="BO51" s="811">
        <f t="shared" si="151"/>
        <v>0.01</v>
      </c>
      <c r="BP51" s="808">
        <f t="shared" si="152"/>
        <v>0.01</v>
      </c>
      <c r="BQ51" s="807">
        <f t="shared" si="153"/>
        <v>0.01</v>
      </c>
      <c r="BR51" s="808">
        <f t="shared" si="154"/>
        <v>0.01</v>
      </c>
      <c r="BS51" s="324">
        <f>MIN(1,(Slen!I37-H$46)/(Slen!I37-Slen!J37))</f>
        <v>1</v>
      </c>
      <c r="BT51" s="324">
        <f>MIN(1,(Slen!I20-H$46)/(Slen!I20-Slen!J20))</f>
        <v>1</v>
      </c>
      <c r="BU51" s="748" t="e">
        <f>MIN(50,Slen!K37*(1.7-IF(LEFT(MAIN!D$21)="N",1,BP51/BO51))/SQRT(H$46))</f>
        <v>#DIV/0!</v>
      </c>
      <c r="BV51" s="748" t="e">
        <f>MIN(50,Slen!K20*(1.7-IF(LEFT(MAIN!D$22)="N",1,BR51/BQ51))/SQRT(H$46))</f>
        <v>#DIV/0!</v>
      </c>
      <c r="BW51" s="748" t="e">
        <f>MIN(50,Slen!K37*(1.7-IF(LEFT(MAIN!D$21)="N",1,AR51/AQ51))/SQRT(H$46))</f>
        <v>#DIV/0!</v>
      </c>
      <c r="BX51" s="748" t="e">
        <f>MIN(50,Slen!K20*(1.7-IF(LEFT(MAIN!D$22)="N",1,AT51/AS51))/SQRT(H$46))</f>
        <v>#DIV/0!</v>
      </c>
      <c r="BY51" s="324" t="e">
        <f>IF(AND(MAIN!C$11&lt;=2,Slen!G37&lt;=75,1000*ABS(BO51)/MAIN!C$45&gt;=MAIN!C$13),1,MAX(1,1+F11*T$46))</f>
        <v>#DIV/0!</v>
      </c>
      <c r="BZ51" s="324" t="e">
        <f>IF(AND(MAIN!C$11&lt;=2,Slen!G20&lt;=75,1000*ABS(BQ51)/MAIN!C$45&gt;=MAIN!C$14),1,MAX(1,1+G11*T$46))</f>
        <v>#DIV/0!</v>
      </c>
      <c r="CA51" s="403" t="e">
        <f t="shared" si="135"/>
        <v>#DIV/0!</v>
      </c>
      <c r="CB51" s="403" t="e">
        <f t="shared" si="135"/>
        <v>#DIV/0!</v>
      </c>
      <c r="CC51" s="403" t="e">
        <f>1000*IF(Slen!G37&gt;BU51,E$46*CA51*(Slen!G$29/1000)^2/IF(MAIN!D$45=MAIN!F$45,8,PI()^2),0)</f>
        <v>#DIV/0!</v>
      </c>
      <c r="CD51" s="403" t="e">
        <f>1000*IF(Slen!G20&gt;BV51,E$46*CB51*(Slen!G$12/1000)^2/IF(MAIN!E$45=MAIN!G$45,8,PI()^2),0)</f>
        <v>#DIV/0!</v>
      </c>
      <c r="CE51" s="403" t="e">
        <f>1000*IF(Slen!G37&gt;BW51,E$46*CA51*(Slen!G$29/1000)^2/IF(MAIN!D$45=MAIN!F$45,8,PI()^2),0)</f>
        <v>#DIV/0!</v>
      </c>
      <c r="CF51" s="403" t="e">
        <f>1000*IF(Slen!G20&gt;BX51,E$46*CB51*(Slen!G$12/1000)^2/IF(MAIN!E$45=MAIN!G$45,8,PI()^2),0)</f>
        <v>#DIV/0!</v>
      </c>
      <c r="CG51" s="261" t="e">
        <f t="shared" si="146"/>
        <v>#DIV/0!</v>
      </c>
      <c r="CH51" s="261" t="e">
        <f t="shared" si="136"/>
        <v>#DIV/0!</v>
      </c>
      <c r="CI51" s="304" t="e">
        <f t="shared" si="147"/>
        <v>#DIV/0!</v>
      </c>
      <c r="CJ51" s="261" t="e">
        <f t="shared" si="148"/>
        <v>#DIV/0!</v>
      </c>
      <c r="CK51" s="261" t="e">
        <f t="shared" si="149"/>
        <v>#DIV/0!</v>
      </c>
    </row>
    <row r="52" spans="2:89" ht="18">
      <c r="B52" s="367">
        <f t="shared" si="123"/>
        <v>16</v>
      </c>
      <c r="C52" s="412">
        <f t="shared" si="123"/>
        <v>8686.5141735808302</v>
      </c>
      <c r="D52" s="304" t="e">
        <f t="shared" si="124"/>
        <v>#DIV/0!</v>
      </c>
      <c r="E52" s="304" t="e">
        <f>IF(AND(D52&lt;=1,E46&lt;=C52,D$12&gt;=F46),"ok","Fails")</f>
        <v>#DIV/0!</v>
      </c>
      <c r="F52" s="304" t="e">
        <f>IF(AND(E52="ok",SUM(F53:F53)=0),B52,0)</f>
        <v>#DIV/0!</v>
      </c>
      <c r="G52" s="324">
        <f>MIN(1,(Slen!I38-H$46)/(Slen!I38-Slen!J38))</f>
        <v>1</v>
      </c>
      <c r="H52" s="324">
        <f>MIN(1,(Slen!I21-H$46)/(Slen!I21-Slen!J21))</f>
        <v>1</v>
      </c>
      <c r="I52" s="825" t="e">
        <f>MIN(50,Slen!K38*(1.7-IF(LEFT(MAIN!D$21)="N",1,AN52/AM52))/SQRT(H$46))</f>
        <v>#DIV/0!</v>
      </c>
      <c r="J52" s="826" t="e">
        <f>MIN(50,Slen!K21*(1.7-IF(LEFT(MAIN!D$22)="N",1,AP52/AO52))/SQRT(H$46))</f>
        <v>#DIV/0!</v>
      </c>
      <c r="K52" s="324" t="e">
        <f>IF(AND(MAIN!C$11&lt;=2,Slen!G38&lt;=75,1000*ABS(Cases!AM$48)/MAIN!C$45&gt;=MAIN!C$13),1,MAX(1,1+F12*T$16))</f>
        <v>#DIV/0!</v>
      </c>
      <c r="L52" s="324" t="e">
        <f>IF(AND(MAIN!C$11&lt;=2,Slen!G21&lt;=75,1000*ABS(Cases!AO$48)/MAIN!C$45&gt;=MAIN!C$14),1,MAX(1,1+G12*T$16))</f>
        <v>#DIV/0!</v>
      </c>
      <c r="M52" s="403" t="e">
        <f>G52*K52*H$12</f>
        <v>#DIV/0!</v>
      </c>
      <c r="N52" s="403" t="e">
        <f>H52*L52*I$12</f>
        <v>#DIV/0!</v>
      </c>
      <c r="O52" s="403" t="e">
        <f>1000*IF(Slen!G38&gt;I52,E$46*M52*(Slen!G$29/1000)^2/IF(MAIN!D$45=MAIN!F$45,8,PI()^2),0)</f>
        <v>#DIV/0!</v>
      </c>
      <c r="P52" s="403" t="e">
        <f>1000*IF(Slen!G21&gt;J52,E$46*N52*(Slen!G$12/1000)^2/IF(MAIN!E$45=MAIN!G$45,8,PI()^2),0)</f>
        <v>#DIV/0!</v>
      </c>
      <c r="Q52" s="629" t="e">
        <f t="shared" si="125"/>
        <v>#DIV/0!</v>
      </c>
      <c r="R52" s="629" t="e">
        <f t="shared" si="126"/>
        <v>#DIV/0!</v>
      </c>
      <c r="S52" s="630">
        <f t="shared" si="127"/>
        <v>0</v>
      </c>
      <c r="T52" s="630">
        <f t="shared" si="128"/>
        <v>0</v>
      </c>
      <c r="U52" s="322">
        <f>IF(E46&gt;E$12,0,AA52+AC52*(E46-AB52)/AD52)</f>
        <v>393.62259490056124</v>
      </c>
      <c r="V52" s="322">
        <f>IF(E46&gt;E$12,0,AE52+AG52*(E46-AF52)/AH52)</f>
        <v>94.821083632685131</v>
      </c>
      <c r="W52" s="403">
        <f>1000*MAIN!C$45/J12</f>
        <v>0</v>
      </c>
      <c r="X52" s="261">
        <f t="shared" si="129"/>
        <v>1</v>
      </c>
      <c r="Y52" s="403" t="e">
        <f t="shared" si="130"/>
        <v>#DIV/0!</v>
      </c>
      <c r="Z52" s="409" t="e">
        <f t="shared" si="131"/>
        <v>#DIV/0!</v>
      </c>
      <c r="AA52" s="413">
        <f>HLOOKUP(E46,Ycal!D$267:BO$268,2)</f>
        <v>347.21849314605964</v>
      </c>
      <c r="AB52" s="322">
        <f>HLOOKUP(E46,Ycal!D$267:BO$268,1)</f>
        <v>-85.267285421779036</v>
      </c>
      <c r="AC52" s="322">
        <f>HLOOKUP(E46,Ycal!D$267:BO$272,5)</f>
        <v>71.850465778665068</v>
      </c>
      <c r="AD52" s="414">
        <f>HLOOKUP(E46,Ycal!D$267:BO$272,4)</f>
        <v>132.02484137391758</v>
      </c>
      <c r="AE52" s="413">
        <f>HLOOKUP(E46,Zcal!D$267:BO$268,2)</f>
        <v>83.331946512325416</v>
      </c>
      <c r="AF52" s="322">
        <f>HLOOKUP(E46,Zcal!D$267:BO$268,1)</f>
        <v>-99.739801869670401</v>
      </c>
      <c r="AG52" s="322">
        <f>HLOOKUP(E46,Zcal!D$267:BO$272,5)</f>
        <v>16.782837445919711</v>
      </c>
      <c r="AH52" s="414">
        <f>HLOOKUP(E46,Zcal!D$267:BO$272,4)</f>
        <v>145.69561352876494</v>
      </c>
      <c r="AJ52" s="794" t="e">
        <f xml:space="preserve"> IF(OR(MAIN!E$29="BOTH AXES",Z52 ="Y"),         MAX(P$45,BI52),     BM52)</f>
        <v>#DIV/0!</v>
      </c>
      <c r="AK52" s="677" t="e">
        <f xml:space="preserve">       IF(OR(MAIN!E$29="BOTH AXES",Z52 ="Z"),    MAX(R$45,BJ52),           BL52)</f>
        <v>#DIV/0!</v>
      </c>
      <c r="AL52" s="672" t="e">
        <f t="shared" si="132"/>
        <v>#DIV/0!</v>
      </c>
      <c r="AM52" s="639" t="e">
        <f t="shared" si="133"/>
        <v>#DIV/0!</v>
      </c>
      <c r="AN52" s="640" t="e">
        <f t="shared" si="137"/>
        <v>#DIV/0!</v>
      </c>
      <c r="AO52" s="639" t="e">
        <f t="shared" si="134"/>
        <v>#DIV/0!</v>
      </c>
      <c r="AP52" s="640" t="e">
        <f t="shared" si="138"/>
        <v>#DIV/0!</v>
      </c>
      <c r="AQ52" s="743">
        <f t="shared" si="139"/>
        <v>0.01</v>
      </c>
      <c r="AR52" s="744">
        <f t="shared" si="140"/>
        <v>0.01</v>
      </c>
      <c r="AS52" s="743">
        <f t="shared" si="141"/>
        <v>0.01</v>
      </c>
      <c r="AT52" s="744">
        <f t="shared" si="141"/>
        <v>0.01</v>
      </c>
      <c r="AU52" s="760">
        <f t="shared" si="150"/>
        <v>0.01</v>
      </c>
      <c r="AV52" s="761">
        <f t="shared" si="150"/>
        <v>0.01</v>
      </c>
      <c r="AW52" s="760">
        <f t="shared" si="150"/>
        <v>0.01</v>
      </c>
      <c r="AX52" s="761">
        <f t="shared" si="150"/>
        <v>0.01</v>
      </c>
      <c r="AY52" s="760">
        <f t="shared" si="150"/>
        <v>0.01</v>
      </c>
      <c r="AZ52" s="761">
        <f t="shared" si="150"/>
        <v>0.01</v>
      </c>
      <c r="BA52" s="767">
        <f t="shared" si="150"/>
        <v>0.01</v>
      </c>
      <c r="BB52" s="768">
        <f t="shared" si="150"/>
        <v>0.01</v>
      </c>
      <c r="BC52" s="767">
        <f t="shared" si="150"/>
        <v>0.01</v>
      </c>
      <c r="BD52" s="768">
        <f t="shared" si="150"/>
        <v>0.01</v>
      </c>
      <c r="BE52" s="767">
        <f t="shared" si="150"/>
        <v>0.01</v>
      </c>
      <c r="BF52" s="768">
        <f t="shared" si="150"/>
        <v>0.01</v>
      </c>
      <c r="BG52" s="767">
        <f t="shared" si="145"/>
        <v>0.01</v>
      </c>
      <c r="BH52" s="799">
        <f t="shared" si="145"/>
        <v>0.01</v>
      </c>
      <c r="BI52" s="767" t="e">
        <f>IF(MAIN!D$21="N",CC52+ABS(BO52),MAX(BA52+CC52,BC52,  ABS(BE52-   IF(DB$21="Top",Slen!N$28,Slen!N$27)   *CC52/2-2*P$46)             ))</f>
        <v>#DIV/0!</v>
      </c>
      <c r="BJ52" s="768" t="e">
        <f>IF(MAIN!D$22="N",CD52+ABS(BQ52),MAX(BB52+CD52,BD52,     ABS(BF52-     IF(DC$21="Top",Slen!N$11,Slen!N$10)   *CD52/2-2*R$46)              ))</f>
        <v>#DIV/0!</v>
      </c>
      <c r="BK52" s="767" t="e">
        <f>IF(MAIN!D$21="N",CC52+ABS(BO52),MAX(BA52+CC52,BC52,  ABS(BE52-    IF(DB$21="Top",Slen!N$28,Slen!N$27)   *CC52/2-2*P$46)             ))</f>
        <v>#DIV/0!</v>
      </c>
      <c r="BL52" s="768" t="e">
        <f>IF(MAIN!D$22="N",CD52+ABS(AS52),MAX(AV52+CF52,AX52,   ABS(AZ52-   IF(DC$21="Top",Slen!N$11,Slen!N$10)    *CF52/2)                    ))</f>
        <v>#DIV/0!</v>
      </c>
      <c r="BM52" s="767" t="e">
        <f>IF(MAIN!D$21="N",CC52+ABS(AQ52),MAX(AU52+CE52,AW52,   ABS(AY52-     IF(DB$21="Top",Slen!N$28,Slen!N$27)    *CE52/2)             ))</f>
        <v>#DIV/0!</v>
      </c>
      <c r="BN52" s="768" t="e">
        <f>IF(MAIN!D$22="N",CD52+ABS(BQ52),MAX(BB52+CD52,BD52,   ABS(BF52-   IF(DC$21="Top",Slen!N$11,Slen!N$10)   *CD52/2-2*R$46)                ))</f>
        <v>#DIV/0!</v>
      </c>
      <c r="BO52" s="811">
        <f t="shared" si="151"/>
        <v>0.01</v>
      </c>
      <c r="BP52" s="808">
        <f t="shared" si="152"/>
        <v>0.01</v>
      </c>
      <c r="BQ52" s="807">
        <f t="shared" si="153"/>
        <v>0.01</v>
      </c>
      <c r="BR52" s="808">
        <f t="shared" si="154"/>
        <v>0.01</v>
      </c>
      <c r="BS52" s="324">
        <f>MIN(1,(Slen!I38-H$46)/(Slen!I38-Slen!J38))</f>
        <v>1</v>
      </c>
      <c r="BT52" s="324">
        <f>MIN(1,(Slen!I21-H$46)/(Slen!I21-Slen!J21))</f>
        <v>1</v>
      </c>
      <c r="BU52" s="748" t="e">
        <f>MIN(50,Slen!K38*(1.7-IF(LEFT(MAIN!D$21)="N",1,BP52/BO52))/SQRT(H$46))</f>
        <v>#DIV/0!</v>
      </c>
      <c r="BV52" s="748" t="e">
        <f>MIN(50,Slen!K21*(1.7-IF(LEFT(MAIN!D$22)="N",1,BR52/BQ52))/SQRT(H$46))</f>
        <v>#DIV/0!</v>
      </c>
      <c r="BW52" s="748" t="e">
        <f>MIN(50,Slen!K38*(1.7-IF(LEFT(MAIN!D$21)="N",1,AR52/AQ52))/SQRT(H$46))</f>
        <v>#DIV/0!</v>
      </c>
      <c r="BX52" s="748" t="e">
        <f>MIN(50,Slen!K21*(1.7-IF(LEFT(MAIN!D$22)="N",1,AT52/AS52))/SQRT(H$46))</f>
        <v>#DIV/0!</v>
      </c>
      <c r="BY52" s="324" t="e">
        <f>IF(AND(MAIN!C$11&lt;=2,Slen!G38&lt;=75,1000*ABS(BO52)/MAIN!C$45&gt;=MAIN!C$13),1,MAX(1,1+F12*T$46))</f>
        <v>#DIV/0!</v>
      </c>
      <c r="BZ52" s="324" t="e">
        <f>IF(AND(MAIN!C$11&lt;=2,Slen!G21&lt;=75,1000*ABS(BQ52)/MAIN!C$45&gt;=MAIN!C$14),1,MAX(1,1+G12*T$46))</f>
        <v>#DIV/0!</v>
      </c>
      <c r="CA52" s="403" t="e">
        <f t="shared" si="135"/>
        <v>#DIV/0!</v>
      </c>
      <c r="CB52" s="403" t="e">
        <f t="shared" si="135"/>
        <v>#DIV/0!</v>
      </c>
      <c r="CC52" s="403" t="e">
        <f>1000*IF(Slen!G38&gt;BU52,E$46*CA52*(Slen!G$29/1000)^2/IF(MAIN!D$45=MAIN!F$45,8,PI()^2),0)</f>
        <v>#DIV/0!</v>
      </c>
      <c r="CD52" s="403" t="e">
        <f>1000*IF(Slen!G21&gt;BV52,E$46*CB52*(Slen!G$12/1000)^2/IF(MAIN!E$45=MAIN!G$45,8,PI()^2),0)</f>
        <v>#DIV/0!</v>
      </c>
      <c r="CE52" s="403" t="e">
        <f>1000*IF(Slen!G38&gt;BW52,E$46*CA52*(Slen!G$29/1000)^2/IF(MAIN!D$45=MAIN!F$45,8,PI()^2),0)</f>
        <v>#DIV/0!</v>
      </c>
      <c r="CF52" s="403" t="e">
        <f>1000*IF(Slen!G21&gt;BX52,E$46*CB52*(Slen!G$12/1000)^2/IF(MAIN!E$45=MAIN!G$45,8,PI()^2),0)</f>
        <v>#DIV/0!</v>
      </c>
      <c r="CG52" s="261" t="e">
        <f t="shared" si="146"/>
        <v>#DIV/0!</v>
      </c>
      <c r="CH52" s="261" t="e">
        <f t="shared" si="136"/>
        <v>#DIV/0!</v>
      </c>
      <c r="CI52" s="304" t="e">
        <f t="shared" si="147"/>
        <v>#DIV/0!</v>
      </c>
      <c r="CJ52" s="261" t="e">
        <f t="shared" si="148"/>
        <v>#DIV/0!</v>
      </c>
      <c r="CK52" s="261" t="e">
        <f t="shared" si="149"/>
        <v>#DIV/0!</v>
      </c>
    </row>
    <row r="53" spans="2:89" ht="18">
      <c r="B53" s="367">
        <f t="shared" si="123"/>
        <v>16</v>
      </c>
      <c r="C53" s="415">
        <f t="shared" si="123"/>
        <v>8686.5141735808302</v>
      </c>
      <c r="D53" s="416" t="e">
        <f t="shared" si="124"/>
        <v>#DIV/0!</v>
      </c>
      <c r="E53" s="416" t="e">
        <f>IF(AND(D53&lt;=1,E46&lt;=C53,D$13&gt;=F46),"ok","Fails")</f>
        <v>#DIV/0!</v>
      </c>
      <c r="F53" s="416" t="e">
        <f>IF(E53="ok",B53,0)</f>
        <v>#DIV/0!</v>
      </c>
      <c r="G53" s="269">
        <f>MIN(1,(Slen!I39-H$46)/(Slen!I39-Slen!J39))</f>
        <v>1</v>
      </c>
      <c r="H53" s="269">
        <f>MIN(1,(Slen!I22-H$46)/(Slen!I22-Slen!J22))</f>
        <v>1</v>
      </c>
      <c r="I53" s="827" t="e">
        <f>MIN(50,Slen!K39*(1.7-IF(LEFT(MAIN!D$21)="N",1,AN53/AM53))/SQRT(H$46))</f>
        <v>#DIV/0!</v>
      </c>
      <c r="J53" s="828" t="e">
        <f>MIN(50,Slen!K22*(1.7-IF(LEFT(MAIN!D$22)="N",1,AP53/AO53))/SQRT(H$46))</f>
        <v>#DIV/0!</v>
      </c>
      <c r="K53" s="269" t="e">
        <f>IF(AND(MAIN!C$11&lt;=2,Slen!G39&lt;=75,1000*ABS(Cases!AM$48)/MAIN!C$45&gt;=MAIN!C$13),1,MAX(1,1+F13*T$16))</f>
        <v>#DIV/0!</v>
      </c>
      <c r="L53" s="269" t="e">
        <f>IF(AND(MAIN!C$11&lt;=2,Slen!G22&lt;=75,1000*ABS(Cases!AO$48)/MAIN!C$45&gt;=MAIN!C$14),1,MAX(1,1+G13*T$16))</f>
        <v>#DIV/0!</v>
      </c>
      <c r="M53" s="406" t="e">
        <f>G53*K53*H$13</f>
        <v>#DIV/0!</v>
      </c>
      <c r="N53" s="406" t="e">
        <f>H53*L53*I$13</f>
        <v>#DIV/0!</v>
      </c>
      <c r="O53" s="406" t="e">
        <f>1000*IF(Slen!G39&gt;I53,E$46*M53*(Slen!G$29/1000)^2/IF(MAIN!D$45=MAIN!F$45,8,PI()^2),0)</f>
        <v>#DIV/0!</v>
      </c>
      <c r="P53" s="406" t="e">
        <f>1000*IF(Slen!G22&gt;J53,E$46*N53*(Slen!G$12/1000)^2/IF(MAIN!E$45=MAIN!G$45,8,PI()^2),0)</f>
        <v>#DIV/0!</v>
      </c>
      <c r="Q53" s="631" t="e">
        <f t="shared" si="125"/>
        <v>#DIV/0!</v>
      </c>
      <c r="R53" s="631" t="e">
        <f t="shared" si="126"/>
        <v>#DIV/0!</v>
      </c>
      <c r="S53" s="632">
        <f t="shared" si="127"/>
        <v>0</v>
      </c>
      <c r="T53" s="632">
        <f t="shared" si="128"/>
        <v>0</v>
      </c>
      <c r="U53" s="266">
        <f>IF(E46&gt;E$13,0,AA53+AC53*(E46-AB53)/AD53)</f>
        <v>393.62259490056124</v>
      </c>
      <c r="V53" s="266">
        <f>IF(E46&gt;E$13,0,AE53+AG53*(E46-AF53)/AH53)</f>
        <v>94.821083632685131</v>
      </c>
      <c r="W53" s="406">
        <f>1000*MAIN!C$45/J13</f>
        <v>0</v>
      </c>
      <c r="X53" s="325">
        <f t="shared" si="129"/>
        <v>1</v>
      </c>
      <c r="Y53" s="406" t="e">
        <f t="shared" si="130"/>
        <v>#DIV/0!</v>
      </c>
      <c r="Z53" s="409" t="e">
        <f t="shared" si="131"/>
        <v>#DIV/0!</v>
      </c>
      <c r="AA53" s="417">
        <f>HLOOKUP(E46,Ycal!D$319:BO$320,2)</f>
        <v>347.21849314605964</v>
      </c>
      <c r="AB53" s="266">
        <f>HLOOKUP(E46,Ycal!D$319:BO$320,1)</f>
        <v>-85.267285421779036</v>
      </c>
      <c r="AC53" s="266">
        <f>HLOOKUP(E46,Ycal!D$319:BO$323,5)</f>
        <v>71.850465778665068</v>
      </c>
      <c r="AD53" s="418">
        <f>HLOOKUP(E46,Ycal!D$319:BO$323,4)</f>
        <v>132.02484137391758</v>
      </c>
      <c r="AE53" s="417">
        <f>HLOOKUP(E46,Zcal!D$319:BO$320,2)</f>
        <v>83.331946512325416</v>
      </c>
      <c r="AF53" s="266">
        <f>HLOOKUP(E46,Zcal!D$319:BO$320,1)</f>
        <v>-99.739801869670401</v>
      </c>
      <c r="AG53" s="266">
        <f>HLOOKUP(E46,Zcal!D$319:BO$323,5)</f>
        <v>16.782837445919711</v>
      </c>
      <c r="AH53" s="418">
        <f>HLOOKUP(E46,Zcal!D$319:BO$323,4)</f>
        <v>145.69561352876494</v>
      </c>
      <c r="AJ53" s="794" t="e">
        <f xml:space="preserve"> IF(OR(MAIN!E$29="BOTH AXES",Z53 ="Y"),         MAX(P$45,BI53),     BM53)</f>
        <v>#DIV/0!</v>
      </c>
      <c r="AK53" s="677" t="e">
        <f xml:space="preserve">       IF(OR(MAIN!E$29="BOTH AXES",Z53 ="Z"),    MAX(R$45,BJ53),           BL53)</f>
        <v>#DIV/0!</v>
      </c>
      <c r="AL53" s="672" t="e">
        <f t="shared" si="132"/>
        <v>#DIV/0!</v>
      </c>
      <c r="AM53" s="641" t="e">
        <f t="shared" si="133"/>
        <v>#DIV/0!</v>
      </c>
      <c r="AN53" s="642" t="e">
        <f t="shared" si="137"/>
        <v>#DIV/0!</v>
      </c>
      <c r="AO53" s="641" t="e">
        <f t="shared" si="134"/>
        <v>#DIV/0!</v>
      </c>
      <c r="AP53" s="642" t="e">
        <f t="shared" si="138"/>
        <v>#DIV/0!</v>
      </c>
      <c r="AQ53" s="745">
        <f t="shared" si="139"/>
        <v>0.01</v>
      </c>
      <c r="AR53" s="746">
        <f t="shared" si="140"/>
        <v>0.01</v>
      </c>
      <c r="AS53" s="745">
        <f t="shared" si="141"/>
        <v>0.01</v>
      </c>
      <c r="AT53" s="746">
        <f t="shared" si="141"/>
        <v>0.01</v>
      </c>
      <c r="AU53" s="762">
        <f t="shared" si="150"/>
        <v>0.01</v>
      </c>
      <c r="AV53" s="763">
        <f t="shared" si="150"/>
        <v>0.01</v>
      </c>
      <c r="AW53" s="762">
        <f>AW52</f>
        <v>0.01</v>
      </c>
      <c r="AX53" s="763">
        <f>AX52</f>
        <v>0.01</v>
      </c>
      <c r="AY53" s="762">
        <f t="shared" ref="AY53:AZ53" si="155">AY52</f>
        <v>0.01</v>
      </c>
      <c r="AZ53" s="763">
        <f t="shared" si="155"/>
        <v>0.01</v>
      </c>
      <c r="BA53" s="769">
        <f t="shared" si="150"/>
        <v>0.01</v>
      </c>
      <c r="BB53" s="770">
        <f t="shared" si="150"/>
        <v>0.01</v>
      </c>
      <c r="BC53" s="769">
        <f t="shared" si="150"/>
        <v>0.01</v>
      </c>
      <c r="BD53" s="770">
        <f t="shared" si="150"/>
        <v>0.01</v>
      </c>
      <c r="BE53" s="769">
        <f t="shared" si="150"/>
        <v>0.01</v>
      </c>
      <c r="BF53" s="770">
        <f t="shared" si="150"/>
        <v>0.01</v>
      </c>
      <c r="BG53" s="769">
        <f t="shared" si="145"/>
        <v>0.01</v>
      </c>
      <c r="BH53" s="800">
        <f t="shared" si="145"/>
        <v>0.01</v>
      </c>
      <c r="BI53" s="769" t="e">
        <f>IF(MAIN!D$21="N",CC53+ABS(BO53),MAX(BA53+CC53,BC53,  ABS(BE53-   IF(DB$21="Top",Slen!N$28,Slen!N$27)   *CC53/2-2*P$46)             ))</f>
        <v>#DIV/0!</v>
      </c>
      <c r="BJ53" s="770" t="e">
        <f>IF(MAIN!D$22="N",CD53+ABS(BQ53),MAX(BB53+CD53,BD53,     ABS(BF53-     IF(DC$21="Top",Slen!N$11,Slen!N$10)   *CD53/2-2*R$46)              ))</f>
        <v>#DIV/0!</v>
      </c>
      <c r="BK53" s="769" t="e">
        <f>IF(MAIN!D$21="N",CC53+ABS(BO53),MAX(BA53+CC53,BC53,  ABS(BE53-    IF(DB$21="Top",Slen!N$28,Slen!N$27)   *CC53/2-2*P$46)             ))</f>
        <v>#DIV/0!</v>
      </c>
      <c r="BL53" s="770" t="e">
        <f>IF(MAIN!D$22="N",CD53+ABS(AS53),MAX(AV53+CF53,AX53,   ABS(AZ53-   IF(DC$21="Top",Slen!N$11,Slen!N$10)    *CF53/2)                    ))</f>
        <v>#DIV/0!</v>
      </c>
      <c r="BM53" s="769" t="e">
        <f>IF(MAIN!D$21="N",CC53+ABS(AQ53),MAX(AU53+CE53,AW53,   ABS(AY53-     IF(DB$21="Top",Slen!N$28,Slen!N$27)    *CE53/2)             ))</f>
        <v>#DIV/0!</v>
      </c>
      <c r="BN53" s="770" t="e">
        <f>IF(MAIN!D$22="N",CD53+ABS(BQ53),MAX(BB53+CD53,BD53,   ABS(BF53-   IF(DC$21="Top",Slen!N$11,Slen!N$10)   *CD53/2-2*R$46)                ))</f>
        <v>#DIV/0!</v>
      </c>
      <c r="BO53" s="813">
        <f t="shared" si="151"/>
        <v>0.01</v>
      </c>
      <c r="BP53" s="810">
        <f t="shared" si="152"/>
        <v>0.01</v>
      </c>
      <c r="BQ53" s="809">
        <f t="shared" si="153"/>
        <v>0.01</v>
      </c>
      <c r="BR53" s="810">
        <f t="shared" si="154"/>
        <v>0.01</v>
      </c>
      <c r="BS53" s="324">
        <f>MIN(1,(Slen!I39-H$46)/(Slen!I39-Slen!J39))</f>
        <v>1</v>
      </c>
      <c r="BT53" s="324">
        <f>MIN(1,(Slen!I22-H$46)/(Slen!I22-Slen!J22))</f>
        <v>1</v>
      </c>
      <c r="BU53" s="748" t="e">
        <f>MIN(50,Slen!K39*(1.7-IF(LEFT(MAIN!D$21)="N",1,BP53/BO53))/SQRT(H$46))</f>
        <v>#DIV/0!</v>
      </c>
      <c r="BV53" s="748" t="e">
        <f>MIN(50,Slen!K22*(1.7-IF(LEFT(MAIN!D$22)="N",1,BR53/BQ53))/SQRT(H$46))</f>
        <v>#DIV/0!</v>
      </c>
      <c r="BW53" s="748" t="e">
        <f>MIN(50,Slen!K39*(1.7-IF(LEFT(MAIN!D$21)="N",1,AR53/AQ53))/SQRT(H$46))</f>
        <v>#DIV/0!</v>
      </c>
      <c r="BX53" s="748" t="e">
        <f>MIN(50,Slen!K22*(1.7-IF(LEFT(MAIN!D$22)="N",1,AT53/AS53))/SQRT(H$46))</f>
        <v>#DIV/0!</v>
      </c>
      <c r="BY53" s="324" t="e">
        <f>IF(AND(MAIN!C$11&lt;=2,Slen!G39&lt;=75,1000*ABS(BO53)/MAIN!C$45&gt;=MAIN!C$13),1,MAX(1,1+F13*T$46))</f>
        <v>#DIV/0!</v>
      </c>
      <c r="BZ53" s="324" t="e">
        <f>IF(AND(MAIN!C$11&lt;=2,Slen!G22&lt;=75,1000*ABS(BQ53)/MAIN!C$45&gt;=MAIN!C$14),1,MAX(1,1+G13*T$46))</f>
        <v>#DIV/0!</v>
      </c>
      <c r="CA53" s="403" t="e">
        <f t="shared" si="135"/>
        <v>#DIV/0!</v>
      </c>
      <c r="CB53" s="403" t="e">
        <f t="shared" si="135"/>
        <v>#DIV/0!</v>
      </c>
      <c r="CC53" s="403" t="e">
        <f>1000*IF(Slen!G39&gt;BU53,E$46*CA53*(Slen!G$29/1000)^2/IF(MAIN!D$45=MAIN!F$45,8,PI()^2),0)</f>
        <v>#DIV/0!</v>
      </c>
      <c r="CD53" s="403" t="e">
        <f>1000*IF(Slen!G22&gt;BV53,E$46*CB53*(Slen!G$12/1000)^2/IF(MAIN!E$45=MAIN!G$45,8,PI()^2),0)</f>
        <v>#DIV/0!</v>
      </c>
      <c r="CE53" s="403" t="e">
        <f>1000*IF(Slen!G39&gt;BW53,E$46*CA53*(Slen!G$29/1000)^2/IF(MAIN!D$45=MAIN!F$45,8,PI()^2),0)</f>
        <v>#DIV/0!</v>
      </c>
      <c r="CF53" s="403" t="e">
        <f>1000*IF(Slen!G22&gt;BX53,E$46*CB53*(Slen!G$12/1000)^2/IF(MAIN!E$45=MAIN!G$45,8,PI()^2),0)</f>
        <v>#DIV/0!</v>
      </c>
      <c r="CG53" s="261" t="e">
        <f t="shared" si="146"/>
        <v>#DIV/0!</v>
      </c>
      <c r="CH53" s="261" t="e">
        <f t="shared" si="136"/>
        <v>#DIV/0!</v>
      </c>
      <c r="CI53" s="304" t="e">
        <f t="shared" si="147"/>
        <v>#DIV/0!</v>
      </c>
      <c r="CJ53" s="261" t="e">
        <f t="shared" si="148"/>
        <v>#DIV/0!</v>
      </c>
      <c r="CK53" s="261" t="e">
        <f t="shared" si="149"/>
        <v>#DIV/0!</v>
      </c>
    </row>
    <row r="54" spans="2:89" ht="18">
      <c r="D54" s="43"/>
      <c r="E54" s="43"/>
      <c r="F54" s="391">
        <f>IF(E46=0,0,MAX(F48:F53))</f>
        <v>0</v>
      </c>
      <c r="G54" s="47" t="e">
        <f>VLOOKUP(F54,F48:G53,2,0)</f>
        <v>#N/A</v>
      </c>
      <c r="H54" s="47" t="e">
        <f>VLOOKUP(F54,F48:H53,3,0)</f>
        <v>#N/A</v>
      </c>
      <c r="I54" s="47" t="e">
        <f>VLOOKUP(F54,F48:I53,4,0)</f>
        <v>#N/A</v>
      </c>
      <c r="J54" s="47" t="e">
        <f>VLOOKUP(F54,F48:J53,5,0)</f>
        <v>#N/A</v>
      </c>
      <c r="K54" s="380"/>
      <c r="L54" s="380"/>
      <c r="M54" s="380"/>
      <c r="N54" s="380"/>
      <c r="O54" s="380"/>
      <c r="P54" s="380"/>
      <c r="Q54" s="272" t="e">
        <f>IF(E46&gt;C48,"N&gt;Nuz",VLOOKUP(F54,F48:Q53,12,0))</f>
        <v>#N/A</v>
      </c>
      <c r="R54" s="272" t="e">
        <f>IF(E46&gt;C48,"N&gt;Nuz",VLOOKUP(F54,F48:R53,13,0))</f>
        <v>#N/A</v>
      </c>
      <c r="U54" s="377" t="e">
        <f>IF(E46&gt;C48,"N&gt;Nuz",VLOOKUP(F54,F48:U53,16,0))</f>
        <v>#N/A</v>
      </c>
      <c r="V54" s="377" t="e">
        <f>IF(E46&gt;C48,"N&gt;Nuz",VLOOKUP(F54,F48:V53,17,0))</f>
        <v>#N/A</v>
      </c>
      <c r="W54" s="377"/>
      <c r="X54" s="378" t="e">
        <f>VLOOKUP(F54,F48:X53,19,0)</f>
        <v>#N/A</v>
      </c>
      <c r="Y54" s="378" t="e">
        <f>IF(E46&gt;C48,"N/A",VLOOKUP(F54,F48:Y53,20,0))</f>
        <v>#N/A</v>
      </c>
      <c r="Z54" s="378" t="e">
        <f>IF(E46&gt;C48,"N/A",VLOOKUP(F54,F48:Z53,21,0))</f>
        <v>#N/A</v>
      </c>
      <c r="BU54" s="47" t="e">
        <f>VLOOKUP(F54,F48:BX53,68,0)</f>
        <v>#N/A</v>
      </c>
      <c r="BV54" s="47" t="e">
        <f>VLOOKUP(F54,F48:BX53,69,0)</f>
        <v>#N/A</v>
      </c>
      <c r="BW54" s="47" t="e">
        <f>VLOOKUP(F54,F48:BX53,70,0)</f>
        <v>#N/A</v>
      </c>
      <c r="BX54" s="47" t="e">
        <f>VLOOKUP(F54,F48:BX53,71,0)</f>
        <v>#N/A</v>
      </c>
      <c r="CG54" s="378"/>
      <c r="CH54" s="378"/>
      <c r="CI54" s="378" t="e">
        <f>VLOOKUP(F54,F48:CI53,82,0)</f>
        <v>#N/A</v>
      </c>
    </row>
    <row r="55" spans="2:89" ht="19.5">
      <c r="B55" s="390" t="s">
        <v>90</v>
      </c>
      <c r="D55" s="43"/>
      <c r="E55" s="43"/>
      <c r="F55" s="369" t="s">
        <v>175</v>
      </c>
      <c r="G55" s="43"/>
      <c r="H55" s="381"/>
      <c r="I55" s="726" t="s">
        <v>411</v>
      </c>
      <c r="J55" s="726" t="s">
        <v>411</v>
      </c>
      <c r="K55" s="381"/>
      <c r="L55" s="381"/>
      <c r="M55" s="381"/>
      <c r="N55" s="381"/>
      <c r="O55" s="45" t="s">
        <v>288</v>
      </c>
      <c r="P55" s="366">
        <f>L$10*E56</f>
        <v>0</v>
      </c>
      <c r="Q55" s="45" t="s">
        <v>258</v>
      </c>
      <c r="R55" s="366">
        <f>L$11*E56</f>
        <v>0</v>
      </c>
      <c r="U55" s="45"/>
      <c r="V55" s="370"/>
      <c r="W55" s="370"/>
      <c r="X55" s="370"/>
      <c r="Z55" s="43"/>
      <c r="AA55" s="43"/>
      <c r="AB55" s="43"/>
      <c r="AC55" s="43"/>
      <c r="AD55" s="43"/>
      <c r="AE55" s="43"/>
    </row>
    <row r="56" spans="2:89" ht="21.75">
      <c r="B56" s="391">
        <f>MAIN!B46</f>
        <v>5</v>
      </c>
      <c r="C56" s="371"/>
      <c r="D56" s="372" t="s">
        <v>77</v>
      </c>
      <c r="E56" s="373">
        <f>MAIN!C46</f>
        <v>0</v>
      </c>
      <c r="F56" s="311">
        <f>Refs!F$17*E56*1000/Ycal!C$10</f>
        <v>0</v>
      </c>
      <c r="G56" s="374" t="s">
        <v>130</v>
      </c>
      <c r="H56" s="50">
        <f>1000*E56/L$7</f>
        <v>0</v>
      </c>
      <c r="I56" s="726" t="e">
        <f>(1.7-IF(LEFT(MAIN!D$21)="N",1,             VLOOKUP(F64,F58:AN63,35,FALSE)                  /              VLOOKUP(F64,F58:AM63,34,FALSE)         ))</f>
        <v>#N/A</v>
      </c>
      <c r="J56" s="726" t="e">
        <f>(1.7-IF(LEFT(MAIN!D$22)="N",1,         VLOOKUP(F64,F58:AP63,37,FALSE)  /               VLOOKUP(F64,F58:AO63,36,FALSE)             ))</f>
        <v>#N/A</v>
      </c>
      <c r="K56" s="374" t="s">
        <v>287</v>
      </c>
      <c r="L56" s="667" t="e">
        <f>MAX(ABS(0.6*AM58+0.4*AN58),(ABS(0.4*AM58)))</f>
        <v>#DIV/0!</v>
      </c>
      <c r="M56" s="374" t="s">
        <v>256</v>
      </c>
      <c r="N56" s="668" t="e">
        <f>MAX(ABS(0.6*AO58+0.4*AP58),(ABS(0.4*AO58)))</f>
        <v>#DIV/0!</v>
      </c>
      <c r="O56" s="375" t="s">
        <v>289</v>
      </c>
      <c r="P56" s="366">
        <f>L$8*E56*Slen!G$29/2000</f>
        <v>0</v>
      </c>
      <c r="Q56" s="375" t="s">
        <v>257</v>
      </c>
      <c r="R56" s="366">
        <f>L$9*E56*Slen!G$12/2000</f>
        <v>0</v>
      </c>
      <c r="S56" s="368" t="s">
        <v>132</v>
      </c>
      <c r="T56" s="376">
        <f>T46</f>
        <v>1.2100000000000002</v>
      </c>
      <c r="U56" s="45" t="s">
        <v>354</v>
      </c>
      <c r="V56" s="373" t="e">
        <f>VLOOKUP(F64,$M$8:$N$13,2)</f>
        <v>#N/A</v>
      </c>
      <c r="W56" s="312"/>
      <c r="X56" s="312"/>
      <c r="Y56" s="394" t="s">
        <v>137</v>
      </c>
      <c r="Z56" s="45"/>
      <c r="AA56" s="1306" t="s">
        <v>296</v>
      </c>
      <c r="AB56" s="1307"/>
      <c r="AC56" s="1307"/>
      <c r="AD56" s="1308"/>
      <c r="AE56" s="1306" t="s">
        <v>268</v>
      </c>
      <c r="AF56" s="1307"/>
      <c r="AG56" s="1307"/>
      <c r="AH56" s="1308"/>
      <c r="AM56" s="802">
        <f>IF(MAIN!D46=0,0.01,MAIN!D46)</f>
        <v>0.01</v>
      </c>
      <c r="AN56" s="802">
        <f>IF(MAIN!F46=0,0.01,MAIN!F46)</f>
        <v>0.01</v>
      </c>
      <c r="AO56" s="802">
        <f>IF(MAIN!E46=0,0.01,MAIN!E46)</f>
        <v>0.01</v>
      </c>
      <c r="AP56" s="802">
        <f>IF(MAIN!G46=0,0.01,MAIN!G46)</f>
        <v>0.01</v>
      </c>
      <c r="AU56" s="1296" t="s">
        <v>566</v>
      </c>
      <c r="AV56" s="1297"/>
      <c r="AW56" s="1296" t="s">
        <v>568</v>
      </c>
      <c r="AX56" s="1297"/>
      <c r="AY56" s="1296" t="s">
        <v>656</v>
      </c>
      <c r="AZ56" s="1297"/>
      <c r="BA56" s="1296" t="s">
        <v>567</v>
      </c>
      <c r="BB56" s="1297"/>
      <c r="BC56" s="1296" t="s">
        <v>568</v>
      </c>
      <c r="BD56" s="1297"/>
      <c r="BE56" s="1296" t="s">
        <v>656</v>
      </c>
      <c r="BF56" s="1297"/>
      <c r="BG56" s="1296" t="s">
        <v>561</v>
      </c>
      <c r="BH56" s="1297"/>
      <c r="BI56" s="1296" t="s">
        <v>561</v>
      </c>
      <c r="BJ56" s="1297"/>
      <c r="BK56" s="1296" t="s">
        <v>573</v>
      </c>
      <c r="BL56" s="1297"/>
      <c r="BM56" s="1296" t="s">
        <v>573</v>
      </c>
      <c r="BN56" s="1297"/>
      <c r="BO56" s="802">
        <f>AM56</f>
        <v>0.01</v>
      </c>
      <c r="BP56" s="803">
        <f>AN56</f>
        <v>0.01</v>
      </c>
      <c r="BQ56" s="803">
        <f>AO56</f>
        <v>0.01</v>
      </c>
      <c r="BR56" s="804">
        <f>AP56</f>
        <v>0.01</v>
      </c>
      <c r="BS56" s="374" t="s">
        <v>130</v>
      </c>
      <c r="BT56" s="50">
        <f>1000*E56/L$7</f>
        <v>0</v>
      </c>
      <c r="BU56" s="726" t="s">
        <v>646</v>
      </c>
      <c r="BV56" s="726" t="s">
        <v>646</v>
      </c>
      <c r="BW56" s="726" t="s">
        <v>647</v>
      </c>
      <c r="BX56" s="726" t="s">
        <v>647</v>
      </c>
      <c r="CC56" s="726" t="s">
        <v>646</v>
      </c>
      <c r="CD56" s="726" t="s">
        <v>646</v>
      </c>
      <c r="CE56" s="726" t="s">
        <v>647</v>
      </c>
      <c r="CF56" s="726" t="s">
        <v>647</v>
      </c>
    </row>
    <row r="57" spans="2:89" ht="20.25">
      <c r="C57" s="313" t="s">
        <v>51</v>
      </c>
      <c r="D57" s="392" t="s">
        <v>144</v>
      </c>
      <c r="E57" s="313" t="s">
        <v>78</v>
      </c>
      <c r="G57" s="314" t="s">
        <v>290</v>
      </c>
      <c r="H57" s="315" t="s">
        <v>263</v>
      </c>
      <c r="I57" s="747" t="s">
        <v>227</v>
      </c>
      <c r="J57" s="747" t="s">
        <v>291</v>
      </c>
      <c r="K57" s="315" t="s">
        <v>284</v>
      </c>
      <c r="L57" s="315" t="s">
        <v>260</v>
      </c>
      <c r="M57" s="315" t="s">
        <v>292</v>
      </c>
      <c r="N57" s="315" t="s">
        <v>264</v>
      </c>
      <c r="O57" s="315" t="s">
        <v>293</v>
      </c>
      <c r="P57" s="315" t="s">
        <v>265</v>
      </c>
      <c r="Q57" s="315" t="s">
        <v>294</v>
      </c>
      <c r="R57" s="315" t="s">
        <v>266</v>
      </c>
      <c r="S57" s="315" t="s">
        <v>463</v>
      </c>
      <c r="T57" s="315" t="s">
        <v>464</v>
      </c>
      <c r="U57" s="315" t="s">
        <v>295</v>
      </c>
      <c r="V57" s="315" t="s">
        <v>267</v>
      </c>
      <c r="W57" s="315" t="s">
        <v>228</v>
      </c>
      <c r="X57" s="315" t="s">
        <v>93</v>
      </c>
      <c r="Y57" s="393" t="s">
        <v>138</v>
      </c>
      <c r="Z57" s="660" t="s">
        <v>79</v>
      </c>
      <c r="AA57" s="395" t="s">
        <v>229</v>
      </c>
      <c r="AB57" s="396" t="s">
        <v>80</v>
      </c>
      <c r="AC57" s="396" t="s">
        <v>81</v>
      </c>
      <c r="AD57" s="397" t="s">
        <v>82</v>
      </c>
      <c r="AE57" s="395" t="s">
        <v>229</v>
      </c>
      <c r="AF57" s="396" t="s">
        <v>80</v>
      </c>
      <c r="AG57" s="396" t="s">
        <v>81</v>
      </c>
      <c r="AH57" s="397" t="s">
        <v>82</v>
      </c>
      <c r="AJ57" s="314" t="s">
        <v>365</v>
      </c>
      <c r="AK57" s="359" t="s">
        <v>366</v>
      </c>
      <c r="AL57" s="724">
        <v>5</v>
      </c>
      <c r="AM57" s="675" t="s">
        <v>215</v>
      </c>
      <c r="AN57" s="676" t="s">
        <v>216</v>
      </c>
      <c r="AO57" s="675" t="s">
        <v>278</v>
      </c>
      <c r="AP57" s="676" t="s">
        <v>279</v>
      </c>
      <c r="AQ57" s="146" t="s">
        <v>215</v>
      </c>
      <c r="AR57" s="147" t="s">
        <v>216</v>
      </c>
      <c r="AS57" s="146" t="s">
        <v>278</v>
      </c>
      <c r="AT57" s="147" t="s">
        <v>279</v>
      </c>
      <c r="AU57" s="146" t="s">
        <v>558</v>
      </c>
      <c r="AV57" s="147" t="s">
        <v>559</v>
      </c>
      <c r="AW57" s="764" t="s">
        <v>95</v>
      </c>
      <c r="AX57" s="764" t="s">
        <v>560</v>
      </c>
      <c r="AY57" s="764" t="s">
        <v>95</v>
      </c>
      <c r="AZ57" s="764" t="s">
        <v>560</v>
      </c>
      <c r="BA57" s="764" t="s">
        <v>95</v>
      </c>
      <c r="BB57" s="764" t="s">
        <v>560</v>
      </c>
      <c r="BC57" s="764" t="s">
        <v>95</v>
      </c>
      <c r="BD57" s="764" t="s">
        <v>560</v>
      </c>
      <c r="BE57" s="764" t="s">
        <v>95</v>
      </c>
      <c r="BF57" s="764" t="s">
        <v>560</v>
      </c>
      <c r="BG57" s="764" t="s">
        <v>95</v>
      </c>
      <c r="BH57" s="764" t="s">
        <v>560</v>
      </c>
      <c r="BI57" s="676" t="s">
        <v>95</v>
      </c>
      <c r="BJ57" s="676" t="s">
        <v>560</v>
      </c>
      <c r="BK57" s="676" t="s">
        <v>95</v>
      </c>
      <c r="BL57" s="676" t="s">
        <v>560</v>
      </c>
      <c r="BM57" s="676" t="s">
        <v>95</v>
      </c>
      <c r="BN57" s="676" t="s">
        <v>560</v>
      </c>
      <c r="BO57" s="771" t="s">
        <v>562</v>
      </c>
      <c r="BP57" s="772" t="s">
        <v>563</v>
      </c>
      <c r="BQ57" s="771" t="s">
        <v>564</v>
      </c>
      <c r="BR57" s="772" t="s">
        <v>565</v>
      </c>
      <c r="BS57" s="678" t="s">
        <v>290</v>
      </c>
      <c r="BT57" s="747" t="s">
        <v>263</v>
      </c>
      <c r="BU57" s="747" t="s">
        <v>227</v>
      </c>
      <c r="BV57" s="747" t="s">
        <v>291</v>
      </c>
      <c r="BW57" s="747" t="s">
        <v>227</v>
      </c>
      <c r="BX57" s="747" t="s">
        <v>291</v>
      </c>
      <c r="BY57" s="747" t="s">
        <v>284</v>
      </c>
      <c r="BZ57" s="747" t="s">
        <v>260</v>
      </c>
      <c r="CA57" s="747" t="s">
        <v>292</v>
      </c>
      <c r="CB57" s="747" t="s">
        <v>264</v>
      </c>
      <c r="CC57" s="747" t="s">
        <v>293</v>
      </c>
      <c r="CD57" s="747" t="s">
        <v>265</v>
      </c>
      <c r="CE57" s="747" t="s">
        <v>293</v>
      </c>
      <c r="CF57" s="747" t="s">
        <v>265</v>
      </c>
      <c r="CG57" s="394" t="s">
        <v>79</v>
      </c>
      <c r="CH57" s="394" t="s">
        <v>79</v>
      </c>
      <c r="CI57" s="394" t="s">
        <v>79</v>
      </c>
      <c r="CJ57" s="394" t="s">
        <v>79</v>
      </c>
      <c r="CK57" s="394" t="s">
        <v>79</v>
      </c>
    </row>
    <row r="58" spans="2:89" ht="18">
      <c r="B58" s="367">
        <f t="shared" ref="B58:C63" si="156">B48</f>
        <v>40</v>
      </c>
      <c r="C58" s="408">
        <f t="shared" si="156"/>
        <v>11450.713584880188</v>
      </c>
      <c r="D58" s="409" t="e">
        <f t="shared" ref="D58:D63" si="157">IF(ISERROR(U58),0,Y58)</f>
        <v>#DIV/0!</v>
      </c>
      <c r="E58" s="409" t="e">
        <f>IF(AND(D58&lt;=1,E56&lt;=C58,D$8&gt;=F56),"ok","Fails")</f>
        <v>#DIV/0!</v>
      </c>
      <c r="F58" s="409" t="e">
        <f>IF(AND(E58="ok",SUM(F59:F63)=0),B58,0)</f>
        <v>#DIV/0!</v>
      </c>
      <c r="G58" s="321">
        <f>MIN(1,(Slen!I34-H$56)/(Slen!I34-Slen!J34))</f>
        <v>1</v>
      </c>
      <c r="H58" s="321">
        <f>MIN(1,(Slen!I17-H$56)/(Slen!I17-Slen!J17))</f>
        <v>1</v>
      </c>
      <c r="I58" s="823" t="e">
        <f>MIN(50,Slen!K34*(1.7-IF(LEFT(MAIN!D$21)="N",1,AN58/AM58))/SQRT(H$56))</f>
        <v>#DIV/0!</v>
      </c>
      <c r="J58" s="824" t="e">
        <f>MIN(50,Slen!K17*(1.7-IF(LEFT(MAIN!D$22)="N",1,AP58/AO58))/SQRT(H$56))</f>
        <v>#DIV/0!</v>
      </c>
      <c r="K58" s="321" t="e">
        <f>IF(AND(MAIN!C$11&lt;=2,Slen!G34&lt;=75,1000*ABS(Cases!AM$58)/MAIN!C$46&gt;=MAIN!C$13),1,MAX(1,1+F8*T$16))</f>
        <v>#DIV/0!</v>
      </c>
      <c r="L58" s="321" t="e">
        <f>IF(AND(MAIN!C$11&lt;=2,Slen!G17&lt;=75,1000*ABS(Cases!AO$58)/MAIN!C$46&gt;=MAIN!C$14),1,MAX(1,1+G8*T$16))</f>
        <v>#DIV/0!</v>
      </c>
      <c r="M58" s="400" t="e">
        <f>G58*K58*H$8</f>
        <v>#DIV/0!</v>
      </c>
      <c r="N58" s="400" t="e">
        <f>H58*L58*I$8</f>
        <v>#DIV/0!</v>
      </c>
      <c r="O58" s="400" t="e">
        <f>1000*IF(Slen!G34&gt;I58,E$56*M58*(Slen!G$29/1000)^2/IF(MAIN!D$46=MAIN!F$46,8,PI()^2),0)</f>
        <v>#DIV/0!</v>
      </c>
      <c r="P58" s="400" t="e">
        <f>1000*IF(Slen!G17&gt;J58,E$56*N58*(Slen!G$12/1000)^2/IF(MAIN!E$46=MAIN!G$46,8,PI()^2),0)</f>
        <v>#DIV/0!</v>
      </c>
      <c r="Q58" s="628" t="e">
        <f t="shared" ref="Q58:Q63" si="158">MAX(IF(MAX(P$55,AJ58)/U58&gt;=MAX(R$55,AK58)/V58,P$55,0),AJ58)</f>
        <v>#DIV/0!</v>
      </c>
      <c r="R58" s="628" t="e">
        <f t="shared" ref="R58:R63" si="159">MAX(IF(MAX(R$55,AK58)/U58&gt;MAX(P$55,AJ58)/V58,R$55,0),AK58)</f>
        <v>#DIV/0!</v>
      </c>
      <c r="S58" s="622">
        <f t="shared" ref="S58:S63" si="160">P$56/U58</f>
        <v>0</v>
      </c>
      <c r="T58" s="622">
        <f t="shared" ref="T58:T63" si="161">R$56/V58</f>
        <v>0</v>
      </c>
      <c r="U58" s="319">
        <f>IF(E56&gt;E$8,0,AA58+AC58*(E56-AB58)/AD58)</f>
        <v>2058.3820557739205</v>
      </c>
      <c r="V58" s="319">
        <f>IF(E56&gt;E$8,0,AE58+AG58*(E56-AF58)/AH58)</f>
        <v>442.28414415291883</v>
      </c>
      <c r="W58" s="400">
        <f>1000*MAIN!C$46/J8</f>
        <v>0</v>
      </c>
      <c r="X58" s="318">
        <f t="shared" ref="X58:X63" si="162">IF(W58&lt;0.7,MAX(1,(10*W58+11)/12),MIN(2,(5*W58+1)/3))</f>
        <v>1</v>
      </c>
      <c r="Y58" s="400" t="e">
        <f t="shared" ref="Y58:Y63" si="163">IF(OR(U58=0,V58=0),0,(Q58/U58)^X58+(R58/V58)^X58)</f>
        <v>#DIV/0!</v>
      </c>
      <c r="Z58" s="409" t="e">
        <f t="shared" ref="Z58:Z63" si="164">CI58</f>
        <v>#DIV/0!</v>
      </c>
      <c r="AA58" s="410">
        <f>HLOOKUP(E56,Ycal!D$59:BO$60,2)</f>
        <v>2038.9509733954485</v>
      </c>
      <c r="AB58" s="319">
        <f>HLOOKUP(E56,Ycal!D$59:BO$60,1)</f>
        <v>-77.539796281250432</v>
      </c>
      <c r="AC58" s="319">
        <f>HLOOKUP(E56,Ycal!D$59:BO$63,5)</f>
        <v>50.05157712844607</v>
      </c>
      <c r="AD58" s="411">
        <f>HLOOKUP(E56,Ycal!D$59:BO$63,4)</f>
        <v>199.73097836252396</v>
      </c>
      <c r="AE58" s="410">
        <f>HLOOKUP(E56,Zcal!D$59:BO$60,2)</f>
        <v>431.16901943469492</v>
      </c>
      <c r="AF58" s="319">
        <f>HLOOKUP(E56,Zcal!D$59:BO$60,1)</f>
        <v>-122.25447379972087</v>
      </c>
      <c r="AG58" s="319">
        <f>HLOOKUP(E56,Zcal!D$59:BO$63,5)</f>
        <v>12.647841784195066</v>
      </c>
      <c r="AH58" s="411">
        <f>HLOOKUP(E56,Zcal!D$59:BO$63,4)</f>
        <v>139.11272084007436</v>
      </c>
      <c r="AJ58" s="794" t="e">
        <f xml:space="preserve"> IF(OR(MAIN!E$29="BOTH AXES",Z58 ="Y"),         MAX(P$55,BI58),     BM58)</f>
        <v>#DIV/0!</v>
      </c>
      <c r="AK58" s="677" t="e">
        <f xml:space="preserve">       IF(OR(MAIN!E$29="BOTH AXES",Z58 ="Z"),    MAX(R$55,BJ58),           BL58)</f>
        <v>#DIV/0!</v>
      </c>
      <c r="AL58" s="672" t="e">
        <f t="shared" ref="AL58:AL63" si="165">Z58</f>
        <v>#DIV/0!</v>
      </c>
      <c r="AM58" s="637" t="e">
        <f t="shared" ref="AM58:AM63" si="166">IF(ABS(AM$56)&gt;=ABS(AN$56),AM$56,AN$56)+IF(Z58="Y",P$56,0)*SIGN(IF(ABS(AM$56)&gt;=ABS(AN$56),AM$56,AN$56))</f>
        <v>#DIV/0!</v>
      </c>
      <c r="AN58" s="638" t="e">
        <f xml:space="preserve">              IF(ABS(AM$56)&gt;=ABS(AN$56),AN$56,AM$56)+IF(Z58="Y",P$56,0)*SIGN(IF(ABS(AM$56)&gt;=ABS(AN$56),AM$56,AN$56))</f>
        <v>#DIV/0!</v>
      </c>
      <c r="AO58" s="637" t="e">
        <f t="shared" ref="AO58:AO63" si="167">IF(ABS(AO$56)&gt;=ABS(AP$56),AO$56,AP$56)+IF(Z58="Z",R$56,0)*SIGN(IF(ABS(AO$56)&gt;=ABS(AP$56),AO$56,AP$56))</f>
        <v>#DIV/0!</v>
      </c>
      <c r="AP58" s="638" t="e">
        <f xml:space="preserve">  IF(ABS(AO$56)&gt;=ABS(AP$56),AP$56,AO$56)+IF(Z58="Z",R$56,0)*SIGN(IF(ABS(AO$56)&gt;=ABS(AP$56),AO$56,AP$56))</f>
        <v>#DIV/0!</v>
      </c>
      <c r="AQ58" s="741">
        <f>MAX(ABS(AM56),ABS(AN56))*(IF(ABS(AM56)&gt;=ABS(AN56),SIGN(AM56),SIGN(AN56)))</f>
        <v>0.01</v>
      </c>
      <c r="AR58" s="742">
        <f>MIN(ABS(AM56),ABS(AN56))*(IF(ABS(AM56)&lt;ABS(AN56),SIGN(AM56),SIGN(AN56)))</f>
        <v>0.01</v>
      </c>
      <c r="AS58" s="741">
        <f>MAX(ABS(AO56),ABS(AP56))*(IF(ABS(AO56)&gt;=ABS(AP56),SIGN(AO56),SIGN(AP56)))</f>
        <v>0.01</v>
      </c>
      <c r="AT58" s="742">
        <f>MIN(ABS(AO56),ABS(AP56))*(IF(ABS(AO56)&lt;ABS(AP56),SIGN(AO56),SIGN(AP56)))</f>
        <v>0.01</v>
      </c>
      <c r="AU58" s="758">
        <f>MAX(ABS(0.6*AQ58+0.4*AR58),ABS(0.4*AQ58))</f>
        <v>0.01</v>
      </c>
      <c r="AV58" s="759">
        <f>MAX(ABS(0.6*AS58+0.4*AT58),ABS(0.4*AS58))</f>
        <v>0.01</v>
      </c>
      <c r="AW58" s="758">
        <f>MAX(ABS(AQ58),ABS(AR58))</f>
        <v>0.01</v>
      </c>
      <c r="AX58" s="759">
        <f>MAX(ABS(AS58),ABS(AT58))</f>
        <v>0.01</v>
      </c>
      <c r="AY58" s="758">
        <f>ABS(AR58)*IF(SIGN(AQ58)=SIGN(AR58),1,-1)</f>
        <v>0.01</v>
      </c>
      <c r="AZ58" s="759">
        <f>ABS(AT58)*IF(SIGN(AS58)=SIGN(AT58),1,-1)</f>
        <v>0.01</v>
      </c>
      <c r="BA58" s="765">
        <f>MAX(ABS(0.6*AQ58+0.4*AR58)+P56,ABS(0.4*AQ58)+0.4*P56)</f>
        <v>0.01</v>
      </c>
      <c r="BB58" s="766">
        <f>MAX(ABS(0.6*AS58+0.4*AT58)+R56,ABS(0.4*AS58)+0.4*R56)</f>
        <v>0.01</v>
      </c>
      <c r="BC58" s="765">
        <f>MAX(ABS(AQ58),ABS(AR58))+P56</f>
        <v>0.01</v>
      </c>
      <c r="BD58" s="766">
        <f>MAX(ABS(AS58),ABS(AT58))+R56</f>
        <v>0.01</v>
      </c>
      <c r="BE58" s="765">
        <f xml:space="preserve">           AY58+     P56</f>
        <v>0.01</v>
      </c>
      <c r="BF58" s="766">
        <f xml:space="preserve">           AZ58+        R56</f>
        <v>0.01</v>
      </c>
      <c r="BG58" s="765">
        <f>MAX(BA58,BC58)</f>
        <v>0.01</v>
      </c>
      <c r="BH58" s="801">
        <f>MAX(BB58,BD58)</f>
        <v>0.01</v>
      </c>
      <c r="BI58" s="765" t="e">
        <f>IF(MAIN!D$21="N",CC58+ABS(BO58),MAX(BA58+CC58,BC58,  ABS(BE58-   IF(DB$22="Top",Slen!N$28,Slen!N$27)   *CC58/2-2*P$56)             ))</f>
        <v>#DIV/0!</v>
      </c>
      <c r="BJ58" s="766" t="e">
        <f>IF(MAIN!D$22="N",CD58+ABS(BQ58),MAX(BB58+CD58,BD58,     ABS(BF58-     IF(DC$22="Top",Slen!N$11,Slen!N$10)   *CD58/2-2*R$56)              ))</f>
        <v>#DIV/0!</v>
      </c>
      <c r="BK58" s="765" t="e">
        <f>IF(MAIN!D$21="N",CC58+ABS(BO58),MAX(BA58+CC58,BC58,  ABS(BE58-    IF(DB$22="Top",Slen!N$28,Slen!N$27)   *CC58/2-2*P$56)             ))</f>
        <v>#DIV/0!</v>
      </c>
      <c r="BL58" s="766" t="e">
        <f>IF(MAIN!D$22="N",CD58+ABS(AS58),MAX(AV58+CF58,AX58,   ABS(AZ58-   IF(DC$22="Top",Slen!N$11,Slen!N$10)    *CF58/2)                    ))</f>
        <v>#DIV/0!</v>
      </c>
      <c r="BM58" s="765" t="e">
        <f>IF(MAIN!D$21="N",CC58+ABS(AQ58),MAX(AU58+CE58,AW58,   ABS(AY58-     IF(DB$22="Top",Slen!N$28,Slen!N$27)    *CE58/2)             ))</f>
        <v>#DIV/0!</v>
      </c>
      <c r="BN58" s="766" t="e">
        <f>IF(MAIN!D$22="N",CD58+ABS(BQ58),MAX(BB58+CD58,BD58,   ABS(BF58-   IF(DC$22="Top",Slen!N$11,Slen!N$10)   *CD58/2-2*R$56)                ))</f>
        <v>#DIV/0!</v>
      </c>
      <c r="BO58" s="812">
        <f xml:space="preserve">         IF(ABS(AM56)&gt;=ABS(AN56),AM56,AN56)+P56*SIGN(IF(ABS(AM56)&gt;=ABS(AN56),AM56,AN56))</f>
        <v>0.01</v>
      </c>
      <c r="BP58" s="806">
        <f xml:space="preserve">         IF(ABS(AM56)&gt;=ABS(AN56),AN56,AM56)+P56*SIGN(IF(ABS(AM56)&gt;=ABS(AN56),AM56,AN56))</f>
        <v>0.01</v>
      </c>
      <c r="BQ58" s="805">
        <f xml:space="preserve">         IF(ABS(AO56)&gt;=ABS(AP56),AO56,AP56)+R56   *SIGN(IF(ABS(AO56)&gt;=ABS(AP56),AO56,AP56))</f>
        <v>0.01</v>
      </c>
      <c r="BR58" s="806">
        <f>IF(ABS(AO56)&gt;=ABS(AP56),AP56,AO56)+R56*SIGN(IF(ABS(AO56)&gt;=ABS(AP56),AO56,AP56))</f>
        <v>0.01</v>
      </c>
      <c r="BS58" s="324">
        <f>MIN(1,(Slen!I34-H$56)/(Slen!I34-Slen!J34))</f>
        <v>1</v>
      </c>
      <c r="BT58" s="324">
        <f>MIN(1,(Slen!I17-H$56)/(Slen!I17-Slen!J17))</f>
        <v>1</v>
      </c>
      <c r="BU58" s="748" t="e">
        <f>MIN(50,Slen!K34*(1.7-IF(LEFT(MAIN!D$21)="N",1,BP58/BO58))/SQRT(H$56))</f>
        <v>#DIV/0!</v>
      </c>
      <c r="BV58" s="748" t="e">
        <f>MIN(50,Slen!K17*(1.7-IF(LEFT(MAIN!D$22)="N",1,BR58/BQ58))/SQRT(H$56))</f>
        <v>#DIV/0!</v>
      </c>
      <c r="BW58" s="748" t="e">
        <f>MIN(50,Slen!K34*(1.7-IF(LEFT(MAIN!D$21)="N",1,AR58/AQ58))/SQRT(H$56))</f>
        <v>#DIV/0!</v>
      </c>
      <c r="BX58" s="748" t="e">
        <f>MIN(50,Slen!K17*(1.7-IF(LEFT(MAIN!D$22)="N",1,AT58/AS58))/SQRT(H$56))</f>
        <v>#DIV/0!</v>
      </c>
      <c r="BY58" s="324" t="e">
        <f>IF(AND(MAIN!C$11&lt;=2,Slen!G34&lt;=75,1000*ABS(BO58)/MAIN!C$46&gt;=MAIN!C$13),1,MAX(1,1+F8*T$56))</f>
        <v>#DIV/0!</v>
      </c>
      <c r="BZ58" s="324" t="e">
        <f>IF(AND(MAIN!C$11&lt;=2,Slen!G17&lt;=75,1000*ABS(BQ58)/MAIN!C$46&gt;=MAIN!C$14),1,MAX(1,1+G8*T$56))</f>
        <v>#DIV/0!</v>
      </c>
      <c r="CA58" s="403" t="e">
        <f t="shared" ref="CA58:CB63" si="168">BS58*BY58*H8</f>
        <v>#DIV/0!</v>
      </c>
      <c r="CB58" s="403" t="e">
        <f t="shared" si="168"/>
        <v>#DIV/0!</v>
      </c>
      <c r="CC58" s="403" t="e">
        <f>1000*IF(Slen!G34&gt;BU58,E$56*CA58*(Slen!G$29/1000)^2/IF(MAIN!D$46=MAIN!F$46,8,PI()^2),0)</f>
        <v>#DIV/0!</v>
      </c>
      <c r="CD58" s="403" t="e">
        <f>1000*IF(Slen!G17&gt;BV58,E$56*CB58*(Slen!G$12/1000)^2/IF(MAIN!E$46=MAIN!G$46,8,PI()^2),0)</f>
        <v>#DIV/0!</v>
      </c>
      <c r="CE58" s="403" t="e">
        <f>1000*IF(Slen!G34&gt;BW58,E$56*CA58*(Slen!G$29/1000)^2/IF(MAIN!D$46=MAIN!F$46,8,PI()^2),0)</f>
        <v>#DIV/0!</v>
      </c>
      <c r="CF58" s="403" t="e">
        <f>1000*IF(Slen!G17&gt;BX58,E$56*CB58*(Slen!G$12/1000)^2/IF(MAIN!E$46=MAIN!G$46,8,PI()^2),0)</f>
        <v>#DIV/0!</v>
      </c>
      <c r="CG58" s="261" t="e">
        <f>(BK58/U58)^X58+(BL58/V58)^X58</f>
        <v>#DIV/0!</v>
      </c>
      <c r="CH58" s="261" t="e">
        <f t="shared" ref="CH58:CH63" si="169">(BM58/U58)^X58+(BN58/V58)^X58</f>
        <v>#DIV/0!</v>
      </c>
      <c r="CI58" s="304" t="e">
        <f>IF(ISERROR(E8),0,    IF(AND(CK58&gt;CG58,CK58&gt;CH58),"NO",      IF(CG58&gt;      CH58,"Y","Z")))</f>
        <v>#DIV/0!</v>
      </c>
      <c r="CJ58" s="261" t="e">
        <f>(BI58/U58)^X58+(BJ58/V58)^X58</f>
        <v>#DIV/0!</v>
      </c>
      <c r="CK58" s="261" t="e">
        <f>(BM58/U58)^X58+(BL58/V58)^X58</f>
        <v>#DIV/0!</v>
      </c>
    </row>
    <row r="59" spans="2:89" ht="18">
      <c r="B59" s="367">
        <f t="shared" si="156"/>
        <v>32</v>
      </c>
      <c r="C59" s="412">
        <f t="shared" si="156"/>
        <v>10266.056694323323</v>
      </c>
      <c r="D59" s="304" t="e">
        <f t="shared" si="157"/>
        <v>#DIV/0!</v>
      </c>
      <c r="E59" s="304" t="e">
        <f>IF(AND(D59&lt;=1,E56&lt;=C59,D$9&gt;=F56),"ok","Fails")</f>
        <v>#DIV/0!</v>
      </c>
      <c r="F59" s="304" t="e">
        <f>IF(AND(E59="ok",SUM(F60:F63)=0),B59,0)</f>
        <v>#DIV/0!</v>
      </c>
      <c r="G59" s="324">
        <f>MIN(1,(Slen!I35-H$56)/(Slen!I35-Slen!J35))</f>
        <v>1</v>
      </c>
      <c r="H59" s="324">
        <f>MIN(1,(Slen!I18-H$56)/(Slen!I18-Slen!J18))</f>
        <v>1</v>
      </c>
      <c r="I59" s="825" t="e">
        <f>MIN(50,Slen!K35*(1.7-IF(LEFT(MAIN!D$21)="N",1,AN59/AM59))/SQRT(H$56))</f>
        <v>#DIV/0!</v>
      </c>
      <c r="J59" s="826" t="e">
        <f>MIN(50,Slen!K18*(1.7-IF(LEFT(MAIN!D$22)="N",1,AP59/AO59))/SQRT(H$56))</f>
        <v>#DIV/0!</v>
      </c>
      <c r="K59" s="324" t="e">
        <f>IF(AND(MAIN!C$11&lt;=2,Slen!G35&lt;=75,1000*ABS(Cases!AM$58)/MAIN!C$46&gt;=MAIN!C$13),1,MAX(1,1+F9*T$16))</f>
        <v>#DIV/0!</v>
      </c>
      <c r="L59" s="324" t="e">
        <f>IF(AND(MAIN!C$11&lt;=2,Slen!G18&lt;=75,1000*ABS(Cases!AO$58)/MAIN!C$46&gt;=MAIN!C$14),1,MAX(1,1+G9*T$16))</f>
        <v>#DIV/0!</v>
      </c>
      <c r="M59" s="403" t="e">
        <f>G59*K59*H$9</f>
        <v>#DIV/0!</v>
      </c>
      <c r="N59" s="403" t="e">
        <f>H59*L59*I$9</f>
        <v>#DIV/0!</v>
      </c>
      <c r="O59" s="403" t="e">
        <f>1000*IF(Slen!G35&gt;I59,E$56*M59*(Slen!G$29/1000)^2/IF(MAIN!D$46=MAIN!F$46,8,PI()^2),0)</f>
        <v>#DIV/0!</v>
      </c>
      <c r="P59" s="403" t="e">
        <f>1000*IF(Slen!G18&gt;J59,E$56*N59*(Slen!G$12/1000)^2/IF(MAIN!E$46=MAIN!G$46,8,PI()^2),0)</f>
        <v>#DIV/0!</v>
      </c>
      <c r="Q59" s="629" t="e">
        <f t="shared" si="158"/>
        <v>#DIV/0!</v>
      </c>
      <c r="R59" s="629" t="e">
        <f t="shared" si="159"/>
        <v>#DIV/0!</v>
      </c>
      <c r="S59" s="630">
        <f t="shared" si="160"/>
        <v>0</v>
      </c>
      <c r="T59" s="630">
        <f t="shared" si="161"/>
        <v>0</v>
      </c>
      <c r="U59" s="322">
        <f>IF(E56&gt;E$9,0,AA59+AC59*(E56-AB59)/AD59)</f>
        <v>1448.066726156602</v>
      </c>
      <c r="V59" s="322">
        <f>IF(E56&gt;E$9,0,AE59+AG59*(E56-AF59)/AH59)</f>
        <v>307.36563793252878</v>
      </c>
      <c r="W59" s="403">
        <f>1000*MAIN!C$46/J9</f>
        <v>0</v>
      </c>
      <c r="X59" s="261">
        <f t="shared" si="162"/>
        <v>1</v>
      </c>
      <c r="Y59" s="403" t="e">
        <f t="shared" si="163"/>
        <v>#DIV/0!</v>
      </c>
      <c r="Z59" s="409" t="e">
        <f t="shared" si="164"/>
        <v>#DIV/0!</v>
      </c>
      <c r="AA59" s="413">
        <f>HLOOKUP(E56,Ycal!D$111:BO$112,2)</f>
        <v>1433.5505793928455</v>
      </c>
      <c r="AB59" s="322">
        <f>HLOOKUP(E56,Ycal!D$111:BO$112,1)</f>
        <v>-50.611070171779488</v>
      </c>
      <c r="AC59" s="322">
        <f>HLOOKUP(E56,Ycal!D$111:BO$115,5)</f>
        <v>50.009973857426758</v>
      </c>
      <c r="AD59" s="414">
        <f>HLOOKUP(E56,Ycal!D$111:BO$115,4)</f>
        <v>174.36158075409801</v>
      </c>
      <c r="AE59" s="413">
        <f>HLOOKUP(E56,Zcal!D$111:BO$112,2)</f>
        <v>307.00549718855007</v>
      </c>
      <c r="AF59" s="322">
        <f>HLOOKUP(E56,Zcal!D$111:BO$112,1)</f>
        <v>-3.651485694919713</v>
      </c>
      <c r="AG59" s="322">
        <f>HLOOKUP(E56,Zcal!D$111:BO$115,5)</f>
        <v>14.648557357208745</v>
      </c>
      <c r="AH59" s="414">
        <f>HLOOKUP(E56,Zcal!D$111:BO$115,4)</f>
        <v>148.52248332173934</v>
      </c>
      <c r="AJ59" s="794" t="e">
        <f xml:space="preserve"> IF(OR(MAIN!E$29="BOTH AXES",Z59 ="Y"),         MAX(P$55,BI59),     BM59)</f>
        <v>#DIV/0!</v>
      </c>
      <c r="AK59" s="677" t="e">
        <f xml:space="preserve">       IF(OR(MAIN!E$29="BOTH AXES",Z59 ="Z"),    MAX(R$55,BJ59),           BL59)</f>
        <v>#DIV/0!</v>
      </c>
      <c r="AL59" s="672" t="e">
        <f t="shared" si="165"/>
        <v>#DIV/0!</v>
      </c>
      <c r="AM59" s="639" t="e">
        <f t="shared" si="166"/>
        <v>#DIV/0!</v>
      </c>
      <c r="AN59" s="640" t="e">
        <f t="shared" ref="AN59:AN63" si="170" xml:space="preserve">              IF(ABS(AM$56)&gt;=ABS(AN$56),AN$56,AM$56)+IF(Z59="Y",P$56,0)*SIGN(IF(ABS(AM$56)&gt;=ABS(AN$56),AM$56,AN$56))</f>
        <v>#DIV/0!</v>
      </c>
      <c r="AO59" s="639" t="e">
        <f t="shared" si="167"/>
        <v>#DIV/0!</v>
      </c>
      <c r="AP59" s="640" t="e">
        <f t="shared" ref="AP59:AP63" si="171" xml:space="preserve">  IF(ABS(AO$56)&gt;=ABS(AP$56),AP$56,AO$56)+IF(Z59="Z",R$56,0)*SIGN(IF(ABS(AO$56)&gt;=ABS(AP$56),AO$56,AP$56))</f>
        <v>#DIV/0!</v>
      </c>
      <c r="AQ59" s="743">
        <f t="shared" ref="AQ59:AQ63" si="172">AQ58</f>
        <v>0.01</v>
      </c>
      <c r="AR59" s="744">
        <f t="shared" ref="AR59:AR63" si="173">AR58</f>
        <v>0.01</v>
      </c>
      <c r="AS59" s="743">
        <f t="shared" ref="AS59:AT63" si="174">AS58</f>
        <v>0.01</v>
      </c>
      <c r="AT59" s="744">
        <f t="shared" ref="AT59" si="175">AT58</f>
        <v>0.01</v>
      </c>
      <c r="AU59" s="760">
        <f t="shared" ref="AU59:AV59" si="176">AU58</f>
        <v>0.01</v>
      </c>
      <c r="AV59" s="761">
        <f t="shared" si="176"/>
        <v>0.01</v>
      </c>
      <c r="AW59" s="760">
        <f>AW58</f>
        <v>0.01</v>
      </c>
      <c r="AX59" s="761">
        <f>AX58</f>
        <v>0.01</v>
      </c>
      <c r="AY59" s="760">
        <f>AY58</f>
        <v>0.01</v>
      </c>
      <c r="AZ59" s="761">
        <f>AZ58</f>
        <v>0.01</v>
      </c>
      <c r="BA59" s="767">
        <f t="shared" ref="BA59:BD59" si="177">BA58</f>
        <v>0.01</v>
      </c>
      <c r="BB59" s="768">
        <f t="shared" si="177"/>
        <v>0.01</v>
      </c>
      <c r="BC59" s="767">
        <f t="shared" si="177"/>
        <v>0.01</v>
      </c>
      <c r="BD59" s="768">
        <f t="shared" si="177"/>
        <v>0.01</v>
      </c>
      <c r="BE59" s="767">
        <f>BE58</f>
        <v>0.01</v>
      </c>
      <c r="BF59" s="768">
        <f>BF58</f>
        <v>0.01</v>
      </c>
      <c r="BG59" s="767">
        <f t="shared" ref="BG59:BH63" si="178">BG58</f>
        <v>0.01</v>
      </c>
      <c r="BH59" s="799">
        <f t="shared" si="178"/>
        <v>0.01</v>
      </c>
      <c r="BI59" s="767" t="e">
        <f>IF(MAIN!D$21="N",CC59+ABS(BO59),MAX(BA59+CC59,BC59,  ABS(BE59-   IF(DB$22="Top",Slen!N$28,Slen!N$27)   *CC59/2-2*P$56)             ))</f>
        <v>#DIV/0!</v>
      </c>
      <c r="BJ59" s="768" t="e">
        <f>IF(MAIN!D$22="N",CD59+ABS(BQ59),MAX(BB59+CD59,BD59,     ABS(BF59-     IF(DC$22="Top",Slen!N$11,Slen!N$10)   *CD59/2-2*R$56)              ))</f>
        <v>#DIV/0!</v>
      </c>
      <c r="BK59" s="767" t="e">
        <f>IF(MAIN!D$21="N",CC59+ABS(BO59),MAX(BA59+CC59,BC59,  ABS(BE59-    IF(DB$22="Top",Slen!N$28,Slen!N$27)   *CC59/2-2*P$56)             ))</f>
        <v>#DIV/0!</v>
      </c>
      <c r="BL59" s="768" t="e">
        <f>IF(MAIN!D$22="N",CD59+ABS(AS59),MAX(AV59+CF59,AX59,   ABS(AZ59-   IF(DC$22="Top",Slen!N$11,Slen!N$10)    *CF59/2)                    ))</f>
        <v>#DIV/0!</v>
      </c>
      <c r="BM59" s="767" t="e">
        <f>IF(MAIN!D$21="N",CC59+ABS(AQ59),MAX(AU59+CE59,AW59,   ABS(AY59-     IF(DB$22="Top",Slen!N$28,Slen!N$27)    *CE59/2)             ))</f>
        <v>#DIV/0!</v>
      </c>
      <c r="BN59" s="768" t="e">
        <f>IF(MAIN!D$22="N",CD59+ABS(BQ59),MAX(BB59+CD59,BD59,   ABS(BF59-   IF(DC$22="Top",Slen!N$11,Slen!N$10)   *CD59/2-2*R$56)                ))</f>
        <v>#DIV/0!</v>
      </c>
      <c r="BO59" s="811">
        <f>BO58</f>
        <v>0.01</v>
      </c>
      <c r="BP59" s="808">
        <f>BP58</f>
        <v>0.01</v>
      </c>
      <c r="BQ59" s="807">
        <f>BQ58</f>
        <v>0.01</v>
      </c>
      <c r="BR59" s="808">
        <f>BR58</f>
        <v>0.01</v>
      </c>
      <c r="BS59" s="324">
        <f>MIN(1,(Slen!I35-H$56)/(Slen!I35-Slen!J35))</f>
        <v>1</v>
      </c>
      <c r="BT59" s="324">
        <f>MIN(1,(Slen!I18-H$56)/(Slen!I18-Slen!J18))</f>
        <v>1</v>
      </c>
      <c r="BU59" s="748" t="e">
        <f>MIN(50,Slen!K35*(1.7-IF(LEFT(MAIN!D$21)="N",1,BP59/BO59))/SQRT(H$56))</f>
        <v>#DIV/0!</v>
      </c>
      <c r="BV59" s="748" t="e">
        <f>MIN(50,Slen!K18*(1.7-IF(LEFT(MAIN!D$22)="N",1,BR59/BQ59))/SQRT(H$56))</f>
        <v>#DIV/0!</v>
      </c>
      <c r="BW59" s="748" t="e">
        <f>MIN(50,Slen!K35*(1.7-IF(LEFT(MAIN!D$21)="N",1,AR59/AQ59))/SQRT(H$56))</f>
        <v>#DIV/0!</v>
      </c>
      <c r="BX59" s="748" t="e">
        <f>MIN(50,Slen!K18*(1.7-IF(LEFT(MAIN!D$22)="N",1,AT59/AS59))/SQRT(H$56))</f>
        <v>#DIV/0!</v>
      </c>
      <c r="BY59" s="324" t="e">
        <f>IF(AND(MAIN!C$11&lt;=2,Slen!G35&lt;=75,1000*ABS(BO59)/MAIN!C$46&gt;=MAIN!C$13),1,MAX(1,1+F9*T$56))</f>
        <v>#DIV/0!</v>
      </c>
      <c r="BZ59" s="324" t="e">
        <f>IF(AND(MAIN!C$11&lt;=2,Slen!G18&lt;=75,1000*ABS(BQ59)/MAIN!C$46&gt;=MAIN!C$14),1,MAX(1,1+G9*T$56))</f>
        <v>#DIV/0!</v>
      </c>
      <c r="CA59" s="403" t="e">
        <f t="shared" si="168"/>
        <v>#DIV/0!</v>
      </c>
      <c r="CB59" s="403" t="e">
        <f t="shared" si="168"/>
        <v>#DIV/0!</v>
      </c>
      <c r="CC59" s="403" t="e">
        <f>1000*IF(Slen!G35&gt;BU59,E$56*CA59*(Slen!G$29/1000)^2/IF(MAIN!D$46=MAIN!F$46,8,PI()^2),0)</f>
        <v>#DIV/0!</v>
      </c>
      <c r="CD59" s="403" t="e">
        <f>1000*IF(Slen!G18&gt;BV59,E$56*CB59*(Slen!G$12/1000)^2/IF(MAIN!E$46=MAIN!G$46,8,PI()^2),0)</f>
        <v>#DIV/0!</v>
      </c>
      <c r="CE59" s="403" t="e">
        <f>1000*IF(Slen!G35&gt;BW59,E$56*CA59*(Slen!G$29/1000)^2/IF(MAIN!D$46=MAIN!F$46,8,PI()^2),0)</f>
        <v>#DIV/0!</v>
      </c>
      <c r="CF59" s="403" t="e">
        <f>1000*IF(Slen!G18&gt;BX59,E$56*CB59*(Slen!G$12/1000)^2/IF(MAIN!E$46=MAIN!G$46,8,PI()^2),0)</f>
        <v>#DIV/0!</v>
      </c>
      <c r="CG59" s="261" t="e">
        <f t="shared" ref="CG59:CG63" si="179">(BK59/U59)^X59+(BL59/V59)^X59</f>
        <v>#DIV/0!</v>
      </c>
      <c r="CH59" s="261" t="e">
        <f t="shared" si="169"/>
        <v>#DIV/0!</v>
      </c>
      <c r="CI59" s="304" t="e">
        <f t="shared" ref="CI59:CI63" si="180">IF(ISERROR(E9),0,    IF(AND(CK59&gt;CG59,CK59&gt;CH59),"NO",      IF(CG59&gt;      CH59,"Y","Z")))</f>
        <v>#DIV/0!</v>
      </c>
      <c r="CJ59" s="261" t="e">
        <f t="shared" ref="CJ59:CJ63" si="181">(BI59/U59)^X59+(BJ59/V59)^X59</f>
        <v>#DIV/0!</v>
      </c>
      <c r="CK59" s="261" t="e">
        <f t="shared" ref="CK59:CK63" si="182">(BM59/U59)^X59+(BL59/V59)^X59</f>
        <v>#DIV/0!</v>
      </c>
    </row>
    <row r="60" spans="2:89" ht="18">
      <c r="B60" s="367">
        <f t="shared" si="156"/>
        <v>25</v>
      </c>
      <c r="C60" s="412">
        <f t="shared" si="156"/>
        <v>9445.4349940938246</v>
      </c>
      <c r="D60" s="304" t="e">
        <f t="shared" si="157"/>
        <v>#DIV/0!</v>
      </c>
      <c r="E60" s="304" t="e">
        <f>IF(AND(D60&lt;=1,E56&lt;=C60,D$10&gt;=F56),"ok","Fails")</f>
        <v>#DIV/0!</v>
      </c>
      <c r="F60" s="304" t="e">
        <f>IF(AND(E60="ok",SUM(F61:F63)=0),B60,0)</f>
        <v>#DIV/0!</v>
      </c>
      <c r="G60" s="324">
        <f>MIN(1,(Slen!I36-H$56)/(Slen!I36-Slen!J36))</f>
        <v>1</v>
      </c>
      <c r="H60" s="324">
        <f>MIN(1,(Slen!I19-H$56)/(Slen!I19-Slen!J19))</f>
        <v>1</v>
      </c>
      <c r="I60" s="825" t="e">
        <f>MIN(50,Slen!K36*(1.7-IF(LEFT(MAIN!D$21)="N",1,AN60/AM60))/SQRT(H$56))</f>
        <v>#DIV/0!</v>
      </c>
      <c r="J60" s="826" t="e">
        <f>MIN(50,Slen!K19*(1.7-IF(LEFT(MAIN!D$22)="N",1,AP60/AO60))/SQRT(H$56))</f>
        <v>#DIV/0!</v>
      </c>
      <c r="K60" s="324" t="e">
        <f>IF(AND(MAIN!C$11&lt;=2,Slen!G36&lt;=75,1000*ABS(Cases!AM$58)/MAIN!C$46&gt;=MAIN!C$13),1,MAX(1,1+F10*T$16))</f>
        <v>#DIV/0!</v>
      </c>
      <c r="L60" s="324" t="e">
        <f>IF(AND(MAIN!C$11&lt;=2,Slen!G19&lt;=75,1000*ABS(Cases!AO$58)/MAIN!C$46&gt;=MAIN!C$14),1,MAX(1,1+G10*T$16))</f>
        <v>#DIV/0!</v>
      </c>
      <c r="M60" s="403" t="e">
        <f>G60*K60*H$10</f>
        <v>#DIV/0!</v>
      </c>
      <c r="N60" s="403" t="e">
        <f>H60*L60*I$10</f>
        <v>#DIV/0!</v>
      </c>
      <c r="O60" s="403" t="e">
        <f>1000*IF(Slen!G36&gt;I60,E$56*M60*(Slen!G$29/1000)^2/IF(MAIN!D$46=MAIN!F$46,8,PI()^2),0)</f>
        <v>#DIV/0!</v>
      </c>
      <c r="P60" s="403" t="e">
        <f>1000*IF(Slen!G19&gt;J60,E$56*N60*(Slen!G$12/1000)^2/IF(MAIN!E$46=MAIN!G$46,8,PI()^2),0)</f>
        <v>#DIV/0!</v>
      </c>
      <c r="Q60" s="629" t="e">
        <f t="shared" si="158"/>
        <v>#DIV/0!</v>
      </c>
      <c r="R60" s="629" t="e">
        <f t="shared" si="159"/>
        <v>#DIV/0!</v>
      </c>
      <c r="S60" s="630">
        <f t="shared" si="160"/>
        <v>0</v>
      </c>
      <c r="T60" s="630">
        <f t="shared" si="161"/>
        <v>0</v>
      </c>
      <c r="U60" s="322">
        <f>IF(E56&gt;E$10,0,AA60+AC60*(E56-AB60)/AD60)</f>
        <v>925.93232395538928</v>
      </c>
      <c r="V60" s="322">
        <f>IF(E56&gt;E$10,0,AE60+AG60*(E56-AF60)/AH60)</f>
        <v>201.94270292656049</v>
      </c>
      <c r="W60" s="403">
        <f>1000*MAIN!C$46/J10</f>
        <v>0</v>
      </c>
      <c r="X60" s="261">
        <f t="shared" si="162"/>
        <v>1</v>
      </c>
      <c r="Y60" s="403" t="e">
        <f t="shared" si="163"/>
        <v>#DIV/0!</v>
      </c>
      <c r="Z60" s="409" t="e">
        <f t="shared" si="164"/>
        <v>#DIV/0!</v>
      </c>
      <c r="AA60" s="413">
        <f>HLOOKUP(E56,Ycal!D$163:BO$164,2)</f>
        <v>891.74644677133438</v>
      </c>
      <c r="AB60" s="322">
        <f>HLOOKUP(E56,Ycal!D$163:BO$164,1)</f>
        <v>-71.945844094742327</v>
      </c>
      <c r="AC60" s="322">
        <f>HLOOKUP(E56,Ycal!D$163:BO$168,5)</f>
        <v>42.67208689280119</v>
      </c>
      <c r="AD60" s="414">
        <f>HLOOKUP(E56,Ycal!D$163:BO$168,4)</f>
        <v>89.80548588113254</v>
      </c>
      <c r="AE60" s="413">
        <f>HLOOKUP(E56,Zcal!D$163:BO$164,2)</f>
        <v>185.97291827236458</v>
      </c>
      <c r="AF60" s="322">
        <f>HLOOKUP(E56,Zcal!D$163:BO$164,1)</f>
        <v>-151.81173587905965</v>
      </c>
      <c r="AG60" s="322">
        <f>HLOOKUP(E56,Zcal!D$163:BO$168,5)</f>
        <v>17.409746657893606</v>
      </c>
      <c r="AH60" s="414">
        <f>HLOOKUP(E56,Zcal!D$163:BO$168,4)</f>
        <v>165.5002818497658</v>
      </c>
      <c r="AJ60" s="794" t="e">
        <f xml:space="preserve"> IF(OR(MAIN!E$29="BOTH AXES",Z60 ="Y"),         MAX(P$55,BI60),     BM60)</f>
        <v>#DIV/0!</v>
      </c>
      <c r="AK60" s="677" t="e">
        <f xml:space="preserve">       IF(OR(MAIN!E$29="BOTH AXES",Z60 ="Z"),    MAX(R$55,BJ60),           BL60)</f>
        <v>#DIV/0!</v>
      </c>
      <c r="AL60" s="672" t="e">
        <f t="shared" si="165"/>
        <v>#DIV/0!</v>
      </c>
      <c r="AM60" s="639" t="e">
        <f t="shared" si="166"/>
        <v>#DIV/0!</v>
      </c>
      <c r="AN60" s="640" t="e">
        <f t="shared" si="170"/>
        <v>#DIV/0!</v>
      </c>
      <c r="AO60" s="639" t="e">
        <f t="shared" si="167"/>
        <v>#DIV/0!</v>
      </c>
      <c r="AP60" s="640" t="e">
        <f t="shared" si="171"/>
        <v>#DIV/0!</v>
      </c>
      <c r="AQ60" s="743">
        <f t="shared" si="172"/>
        <v>0.01</v>
      </c>
      <c r="AR60" s="744">
        <f t="shared" si="173"/>
        <v>0.01</v>
      </c>
      <c r="AS60" s="743">
        <f t="shared" si="174"/>
        <v>0.01</v>
      </c>
      <c r="AT60" s="744">
        <f t="shared" si="174"/>
        <v>0.01</v>
      </c>
      <c r="AU60" s="760">
        <f t="shared" ref="AU60:BF63" si="183">AU59</f>
        <v>0.01</v>
      </c>
      <c r="AV60" s="761">
        <f t="shared" si="183"/>
        <v>0.01</v>
      </c>
      <c r="AW60" s="760">
        <f t="shared" si="183"/>
        <v>0.01</v>
      </c>
      <c r="AX60" s="761">
        <f t="shared" si="183"/>
        <v>0.01</v>
      </c>
      <c r="AY60" s="760">
        <f t="shared" si="183"/>
        <v>0.01</v>
      </c>
      <c r="AZ60" s="761">
        <f t="shared" si="183"/>
        <v>0.01</v>
      </c>
      <c r="BA60" s="767">
        <f t="shared" si="183"/>
        <v>0.01</v>
      </c>
      <c r="BB60" s="768">
        <f t="shared" si="183"/>
        <v>0.01</v>
      </c>
      <c r="BC60" s="767">
        <f t="shared" si="183"/>
        <v>0.01</v>
      </c>
      <c r="BD60" s="768">
        <f t="shared" si="183"/>
        <v>0.01</v>
      </c>
      <c r="BE60" s="767">
        <f t="shared" si="183"/>
        <v>0.01</v>
      </c>
      <c r="BF60" s="768">
        <f t="shared" si="183"/>
        <v>0.01</v>
      </c>
      <c r="BG60" s="767">
        <f t="shared" si="178"/>
        <v>0.01</v>
      </c>
      <c r="BH60" s="799">
        <f t="shared" si="178"/>
        <v>0.01</v>
      </c>
      <c r="BI60" s="767" t="e">
        <f>IF(MAIN!D$21="N",CC60+ABS(BO60),MAX(BA60+CC60,BC60,  ABS(BE60-   IF(DB$22="Top",Slen!N$28,Slen!N$27)   *CC60/2-2*P$56)             ))</f>
        <v>#DIV/0!</v>
      </c>
      <c r="BJ60" s="768" t="e">
        <f>IF(MAIN!D$22="N",CD60+ABS(BQ60),MAX(BB60+CD60,BD60,     ABS(BF60-     IF(DC$22="Top",Slen!N$11,Slen!N$10)   *CD60/2-2*R$56)              ))</f>
        <v>#DIV/0!</v>
      </c>
      <c r="BK60" s="767" t="e">
        <f>IF(MAIN!D$21="N",CC60+ABS(BO60),MAX(BA60+CC60,BC60,  ABS(BE60-    IF(DB$22="Top",Slen!N$28,Slen!N$27)   *CC60/2-2*P$56)             ))</f>
        <v>#DIV/0!</v>
      </c>
      <c r="BL60" s="768" t="e">
        <f>IF(MAIN!D$22="N",CD60+ABS(AS60),MAX(AV60+CF60,AX60,   ABS(AZ60-   IF(DC$22="Top",Slen!N$11,Slen!N$10)    *CF60/2)                    ))</f>
        <v>#DIV/0!</v>
      </c>
      <c r="BM60" s="767" t="e">
        <f>IF(MAIN!D$21="N",CC60+ABS(AQ60),MAX(AU60+CE60,AW60,   ABS(AY60-     IF(DB$22="Top",Slen!N$28,Slen!N$27)    *CE60/2)             ))</f>
        <v>#DIV/0!</v>
      </c>
      <c r="BN60" s="768" t="e">
        <f>IF(MAIN!D$22="N",CD60+ABS(BQ60),MAX(BB60+CD60,BD60,   ABS(BF60-   IF(DC$22="Top",Slen!N$11,Slen!N$10)   *CD60/2-2*R$56)                ))</f>
        <v>#DIV/0!</v>
      </c>
      <c r="BO60" s="811">
        <f t="shared" ref="BO60:BO63" si="184">BO59</f>
        <v>0.01</v>
      </c>
      <c r="BP60" s="808">
        <f t="shared" ref="BP60:BP63" si="185">BP59</f>
        <v>0.01</v>
      </c>
      <c r="BQ60" s="807">
        <f t="shared" ref="BQ60:BQ63" si="186">BQ59</f>
        <v>0.01</v>
      </c>
      <c r="BR60" s="808">
        <f t="shared" ref="BR60:BR63" si="187">BR59</f>
        <v>0.01</v>
      </c>
      <c r="BS60" s="324">
        <f>MIN(1,(Slen!I36-H$56)/(Slen!I36-Slen!J36))</f>
        <v>1</v>
      </c>
      <c r="BT60" s="324">
        <f>MIN(1,(Slen!I19-H$56)/(Slen!I19-Slen!J19))</f>
        <v>1</v>
      </c>
      <c r="BU60" s="748" t="e">
        <f>MIN(50,Slen!K36*(1.7-IF(LEFT(MAIN!D$21)="N",1,BP60/BO60))/SQRT(H$56))</f>
        <v>#DIV/0!</v>
      </c>
      <c r="BV60" s="748" t="e">
        <f>MIN(50,Slen!K19*(1.7-IF(LEFT(MAIN!D$22)="N",1,BR60/BQ60))/SQRT(H$56))</f>
        <v>#DIV/0!</v>
      </c>
      <c r="BW60" s="748" t="e">
        <f>MIN(50,Slen!K36*(1.7-IF(LEFT(MAIN!D$21)="N",1,AR60/AQ60))/SQRT(H$56))</f>
        <v>#DIV/0!</v>
      </c>
      <c r="BX60" s="748" t="e">
        <f>MIN(50,Slen!K19*(1.7-IF(LEFT(MAIN!D$22)="N",1,AT60/AS60))/SQRT(H$56))</f>
        <v>#DIV/0!</v>
      </c>
      <c r="BY60" s="324" t="e">
        <f>IF(AND(MAIN!C$11&lt;=2,Slen!G36&lt;=75,1000*ABS(BO60)/MAIN!C$46&gt;=MAIN!C$13),1,MAX(1,1+F10*T$56))</f>
        <v>#DIV/0!</v>
      </c>
      <c r="BZ60" s="324" t="e">
        <f>IF(AND(MAIN!C$11&lt;=2,Slen!G19&lt;=75,1000*ABS(BQ60)/MAIN!C$46&gt;=MAIN!C$14),1,MAX(1,1+G10*T$56))</f>
        <v>#DIV/0!</v>
      </c>
      <c r="CA60" s="403" t="e">
        <f t="shared" si="168"/>
        <v>#DIV/0!</v>
      </c>
      <c r="CB60" s="403" t="e">
        <f t="shared" si="168"/>
        <v>#DIV/0!</v>
      </c>
      <c r="CC60" s="403" t="e">
        <f>1000*IF(Slen!G36&gt;BU60,E$56*CA60*(Slen!G$29/1000)^2/IF(MAIN!D$46=MAIN!F$46,8,PI()^2),0)</f>
        <v>#DIV/0!</v>
      </c>
      <c r="CD60" s="403" t="e">
        <f>1000*IF(Slen!G19&gt;BV60,E$56*CB60*(Slen!G$12/1000)^2/IF(MAIN!E$46=MAIN!G$46,8,PI()^2),0)</f>
        <v>#DIV/0!</v>
      </c>
      <c r="CE60" s="403" t="e">
        <f>1000*IF(Slen!G36&gt;BW60,E$56*CA60*(Slen!G$29/1000)^2/IF(MAIN!D$46=MAIN!F$46,8,PI()^2),0)</f>
        <v>#DIV/0!</v>
      </c>
      <c r="CF60" s="403" t="e">
        <f>1000*IF(Slen!G19&gt;BX60,E$56*CB60*(Slen!G$12/1000)^2/IF(MAIN!E$46=MAIN!G$46,8,PI()^2),0)</f>
        <v>#DIV/0!</v>
      </c>
      <c r="CG60" s="261" t="e">
        <f t="shared" si="179"/>
        <v>#DIV/0!</v>
      </c>
      <c r="CH60" s="261" t="e">
        <f t="shared" si="169"/>
        <v>#DIV/0!</v>
      </c>
      <c r="CI60" s="304" t="e">
        <f t="shared" si="180"/>
        <v>#DIV/0!</v>
      </c>
      <c r="CJ60" s="261" t="e">
        <f t="shared" si="181"/>
        <v>#DIV/0!</v>
      </c>
      <c r="CK60" s="261" t="e">
        <f t="shared" si="182"/>
        <v>#DIV/0!</v>
      </c>
    </row>
    <row r="61" spans="2:89" ht="18">
      <c r="B61" s="367">
        <f t="shared" si="156"/>
        <v>20</v>
      </c>
      <c r="C61" s="412">
        <f t="shared" si="156"/>
        <v>8982.6783962200461</v>
      </c>
      <c r="D61" s="304" t="e">
        <f t="shared" si="157"/>
        <v>#DIV/0!</v>
      </c>
      <c r="E61" s="304" t="e">
        <f>IF(AND(D61&lt;=1,E56&lt;=C61,D$11&gt;=F56),"ok","Fails")</f>
        <v>#DIV/0!</v>
      </c>
      <c r="F61" s="304" t="e">
        <f>IF(AND(E61="ok",SUM(F62:F63)=0),B61,0)</f>
        <v>#DIV/0!</v>
      </c>
      <c r="G61" s="324">
        <f>MIN(1,(Slen!I37-H$56)/(Slen!I37-Slen!J37))</f>
        <v>1</v>
      </c>
      <c r="H61" s="324">
        <f>MIN(1,(Slen!I20-H$56)/(Slen!I20-Slen!J20))</f>
        <v>1</v>
      </c>
      <c r="I61" s="825" t="e">
        <f>MIN(50,Slen!K37*(1.7-IF(LEFT(MAIN!D$21)="N",1,AN61/AM61))/SQRT(H$56))</f>
        <v>#DIV/0!</v>
      </c>
      <c r="J61" s="826" t="e">
        <f>MIN(50,Slen!K20*(1.7-IF(LEFT(MAIN!D$22)="N",1,AP61/AO61))/SQRT(H$56))</f>
        <v>#DIV/0!</v>
      </c>
      <c r="K61" s="324" t="e">
        <f>IF(AND(MAIN!C$11&lt;=2,Slen!G37&lt;=75,1000*ABS(Cases!AM$58)/MAIN!C$46&gt;=MAIN!C$13),1,MAX(1,1+F11*T$16))</f>
        <v>#DIV/0!</v>
      </c>
      <c r="L61" s="324" t="e">
        <f>IF(AND(MAIN!C$11&lt;=2,Slen!G20&lt;=75,1000*ABS(Cases!AO$58)/MAIN!C$46&gt;=MAIN!C$14),1,MAX(1,1+G11*T$16))</f>
        <v>#DIV/0!</v>
      </c>
      <c r="M61" s="403" t="e">
        <f>G61*K61*H$11</f>
        <v>#DIV/0!</v>
      </c>
      <c r="N61" s="403" t="e">
        <f>H61*L61*I$11</f>
        <v>#DIV/0!</v>
      </c>
      <c r="O61" s="403" t="e">
        <f>1000*IF(Slen!G37&gt;I61,E$56*M61*(Slen!G$29/1000)^2/IF(MAIN!D$46=MAIN!F$46,8,PI()^2),0)</f>
        <v>#DIV/0!</v>
      </c>
      <c r="P61" s="403" t="e">
        <f>1000*IF(Slen!G20&gt;J61,E$56*N61*(Slen!G$12/1000)^2/IF(MAIN!E$46=MAIN!G$46,8,PI()^2),0)</f>
        <v>#DIV/0!</v>
      </c>
      <c r="Q61" s="629" t="e">
        <f t="shared" si="158"/>
        <v>#DIV/0!</v>
      </c>
      <c r="R61" s="629" t="e">
        <f t="shared" si="159"/>
        <v>#DIV/0!</v>
      </c>
      <c r="S61" s="630">
        <f t="shared" si="160"/>
        <v>0</v>
      </c>
      <c r="T61" s="630">
        <f t="shared" si="161"/>
        <v>0</v>
      </c>
      <c r="U61" s="322">
        <f>IF(E56&gt;E$11,0,AA61+AC61*(E56-AB61)/AD61)</f>
        <v>605.89584145075457</v>
      </c>
      <c r="V61" s="322">
        <f>IF(E56&gt;E$11,0,AE61+AG61*(E56-AF61)/AH61)</f>
        <v>138.20454242596324</v>
      </c>
      <c r="W61" s="403">
        <f>1000*MAIN!C$46/J11</f>
        <v>0</v>
      </c>
      <c r="X61" s="261">
        <f t="shared" si="162"/>
        <v>1</v>
      </c>
      <c r="Y61" s="403" t="e">
        <f t="shared" si="163"/>
        <v>#DIV/0!</v>
      </c>
      <c r="Z61" s="409" t="e">
        <f t="shared" si="164"/>
        <v>#DIV/0!</v>
      </c>
      <c r="AA61" s="413">
        <f>HLOOKUP(E56,Ycal!D$215:BO$216,2)</f>
        <v>600.94891616049404</v>
      </c>
      <c r="AB61" s="322">
        <f>HLOOKUP(E56,Ycal!D$215:BO$216,1)</f>
        <v>-9.5542594363358795</v>
      </c>
      <c r="AC61" s="322">
        <f>HLOOKUP(E56,Ycal!D$215:BO$220,5)</f>
        <v>61.084751826835713</v>
      </c>
      <c r="AD61" s="414">
        <f>HLOOKUP(E56,Ycal!D$215:BO$220,4)</f>
        <v>117.97622408141137</v>
      </c>
      <c r="AE61" s="413">
        <f>HLOOKUP(E56,Zcal!D$215:BO$216,2)</f>
        <v>134.10740861040219</v>
      </c>
      <c r="AF61" s="322">
        <f>HLOOKUP(E56,Zcal!D$215:BO$216,1)</f>
        <v>-37.412802754648958</v>
      </c>
      <c r="AG61" s="322">
        <f>HLOOKUP(E56,Zcal!D$215:BO$220,5)</f>
        <v>17.567173162247229</v>
      </c>
      <c r="AH61" s="414">
        <f>HLOOKUP(E56,Zcal!D$215:BO$220,4)</f>
        <v>160.4138927510036</v>
      </c>
      <c r="AJ61" s="794" t="e">
        <f xml:space="preserve"> IF(OR(MAIN!E$29="BOTH AXES",Z61 ="Y"),         MAX(P$55,BI61),     BM61)</f>
        <v>#DIV/0!</v>
      </c>
      <c r="AK61" s="677" t="e">
        <f xml:space="preserve">       IF(OR(MAIN!E$29="BOTH AXES",Z61 ="Z"),    MAX(R$55,BJ61),           BL61)</f>
        <v>#DIV/0!</v>
      </c>
      <c r="AL61" s="672" t="e">
        <f t="shared" si="165"/>
        <v>#DIV/0!</v>
      </c>
      <c r="AM61" s="639" t="e">
        <f t="shared" si="166"/>
        <v>#DIV/0!</v>
      </c>
      <c r="AN61" s="640" t="e">
        <f t="shared" si="170"/>
        <v>#DIV/0!</v>
      </c>
      <c r="AO61" s="639" t="e">
        <f t="shared" si="167"/>
        <v>#DIV/0!</v>
      </c>
      <c r="AP61" s="640" t="e">
        <f t="shared" si="171"/>
        <v>#DIV/0!</v>
      </c>
      <c r="AQ61" s="743">
        <f t="shared" si="172"/>
        <v>0.01</v>
      </c>
      <c r="AR61" s="744">
        <f t="shared" si="173"/>
        <v>0.01</v>
      </c>
      <c r="AS61" s="743">
        <f t="shared" si="174"/>
        <v>0.01</v>
      </c>
      <c r="AT61" s="744">
        <f t="shared" si="174"/>
        <v>0.01</v>
      </c>
      <c r="AU61" s="760">
        <f t="shared" si="183"/>
        <v>0.01</v>
      </c>
      <c r="AV61" s="761">
        <f t="shared" si="183"/>
        <v>0.01</v>
      </c>
      <c r="AW61" s="760">
        <f t="shared" si="183"/>
        <v>0.01</v>
      </c>
      <c r="AX61" s="761">
        <f t="shared" si="183"/>
        <v>0.01</v>
      </c>
      <c r="AY61" s="760">
        <f t="shared" si="183"/>
        <v>0.01</v>
      </c>
      <c r="AZ61" s="761">
        <f t="shared" si="183"/>
        <v>0.01</v>
      </c>
      <c r="BA61" s="767">
        <f t="shared" si="183"/>
        <v>0.01</v>
      </c>
      <c r="BB61" s="768">
        <f t="shared" si="183"/>
        <v>0.01</v>
      </c>
      <c r="BC61" s="767">
        <f t="shared" si="183"/>
        <v>0.01</v>
      </c>
      <c r="BD61" s="768">
        <f t="shared" si="183"/>
        <v>0.01</v>
      </c>
      <c r="BE61" s="767">
        <f t="shared" si="183"/>
        <v>0.01</v>
      </c>
      <c r="BF61" s="768">
        <f t="shared" si="183"/>
        <v>0.01</v>
      </c>
      <c r="BG61" s="767">
        <f t="shared" si="178"/>
        <v>0.01</v>
      </c>
      <c r="BH61" s="799">
        <f t="shared" si="178"/>
        <v>0.01</v>
      </c>
      <c r="BI61" s="767" t="e">
        <f>IF(MAIN!D$21="N",CC61+ABS(BO61),MAX(BA61+CC61,BC61,  ABS(BE61-   IF(DB$22="Top",Slen!N$28,Slen!N$27)   *CC61/2-2*P$56)             ))</f>
        <v>#DIV/0!</v>
      </c>
      <c r="BJ61" s="768" t="e">
        <f>IF(MAIN!D$22="N",CD61+ABS(BQ61),MAX(BB61+CD61,BD61,     ABS(BF61-     IF(DC$22="Top",Slen!N$11,Slen!N$10)   *CD61/2-2*R$56)              ))</f>
        <v>#DIV/0!</v>
      </c>
      <c r="BK61" s="767" t="e">
        <f>IF(MAIN!D$21="N",CC61+ABS(BO61),MAX(BA61+CC61,BC61,  ABS(BE61-    IF(DB$22="Top",Slen!N$28,Slen!N$27)   *CC61/2-2*P$56)             ))</f>
        <v>#DIV/0!</v>
      </c>
      <c r="BL61" s="768" t="e">
        <f>IF(MAIN!D$22="N",CD61+ABS(AS61),MAX(AV61+CF61,AX61,   ABS(AZ61-   IF(DC$22="Top",Slen!N$11,Slen!N$10)    *CF61/2)                    ))</f>
        <v>#DIV/0!</v>
      </c>
      <c r="BM61" s="767" t="e">
        <f>IF(MAIN!D$21="N",CC61+ABS(AQ61),MAX(AU61+CE61,AW61,   ABS(AY61-     IF(DB$22="Top",Slen!N$28,Slen!N$27)    *CE61/2)             ))</f>
        <v>#DIV/0!</v>
      </c>
      <c r="BN61" s="768" t="e">
        <f>IF(MAIN!D$22="N",CD61+ABS(BQ61),MAX(BB61+CD61,BD61,   ABS(BF61-   IF(DC$22="Top",Slen!N$11,Slen!N$10)   *CD61/2-2*R$56)                ))</f>
        <v>#DIV/0!</v>
      </c>
      <c r="BO61" s="811">
        <f t="shared" si="184"/>
        <v>0.01</v>
      </c>
      <c r="BP61" s="808">
        <f t="shared" si="185"/>
        <v>0.01</v>
      </c>
      <c r="BQ61" s="807">
        <f t="shared" si="186"/>
        <v>0.01</v>
      </c>
      <c r="BR61" s="808">
        <f t="shared" si="187"/>
        <v>0.01</v>
      </c>
      <c r="BS61" s="324">
        <f>MIN(1,(Slen!I37-H$56)/(Slen!I37-Slen!J37))</f>
        <v>1</v>
      </c>
      <c r="BT61" s="324">
        <f>MIN(1,(Slen!I20-H$56)/(Slen!I20-Slen!J20))</f>
        <v>1</v>
      </c>
      <c r="BU61" s="748" t="e">
        <f>MIN(50,Slen!K37*(1.7-IF(LEFT(MAIN!D$21)="N",1,BP61/BO61))/SQRT(H$56))</f>
        <v>#DIV/0!</v>
      </c>
      <c r="BV61" s="748" t="e">
        <f>MIN(50,Slen!K20*(1.7-IF(LEFT(MAIN!D$22)="N",1,BR61/BQ61))/SQRT(H$56))</f>
        <v>#DIV/0!</v>
      </c>
      <c r="BW61" s="748" t="e">
        <f>MIN(50,Slen!K37*(1.7-IF(LEFT(MAIN!D$21)="N",1,AR61/AQ61))/SQRT(H$56))</f>
        <v>#DIV/0!</v>
      </c>
      <c r="BX61" s="748" t="e">
        <f>MIN(50,Slen!K20*(1.7-IF(LEFT(MAIN!D$22)="N",1,AT61/AS61))/SQRT(H$56))</f>
        <v>#DIV/0!</v>
      </c>
      <c r="BY61" s="324" t="e">
        <f>IF(AND(MAIN!C$11&lt;=2,Slen!G37&lt;=75,1000*ABS(BO61)/MAIN!C$46&gt;=MAIN!C$13),1,MAX(1,1+F11*T$56))</f>
        <v>#DIV/0!</v>
      </c>
      <c r="BZ61" s="324" t="e">
        <f>IF(AND(MAIN!C$11&lt;=2,Slen!G20&lt;=75,1000*ABS(BQ61)/MAIN!C$46&gt;=MAIN!C$14),1,MAX(1,1+G11*T$56))</f>
        <v>#DIV/0!</v>
      </c>
      <c r="CA61" s="403" t="e">
        <f t="shared" si="168"/>
        <v>#DIV/0!</v>
      </c>
      <c r="CB61" s="403" t="e">
        <f t="shared" si="168"/>
        <v>#DIV/0!</v>
      </c>
      <c r="CC61" s="403" t="e">
        <f>1000*IF(Slen!G37&gt;BU61,E$56*CA61*(Slen!G$29/1000)^2/IF(MAIN!D$46=MAIN!F$46,8,PI()^2),0)</f>
        <v>#DIV/0!</v>
      </c>
      <c r="CD61" s="403" t="e">
        <f>1000*IF(Slen!G20&gt;BV61,E$56*CB61*(Slen!G$12/1000)^2/IF(MAIN!E$46=MAIN!G$46,8,PI()^2),0)</f>
        <v>#DIV/0!</v>
      </c>
      <c r="CE61" s="403" t="e">
        <f>1000*IF(Slen!G37&gt;BW61,E$56*CA61*(Slen!G$29/1000)^2/IF(MAIN!D$46=MAIN!F$46,8,PI()^2),0)</f>
        <v>#DIV/0!</v>
      </c>
      <c r="CF61" s="403" t="e">
        <f>1000*IF(Slen!G20&gt;BX61,E$56*CB61*(Slen!G$12/1000)^2/IF(MAIN!E$46=MAIN!G$46,8,PI()^2),0)</f>
        <v>#DIV/0!</v>
      </c>
      <c r="CG61" s="261" t="e">
        <f t="shared" si="179"/>
        <v>#DIV/0!</v>
      </c>
      <c r="CH61" s="261" t="e">
        <f t="shared" si="169"/>
        <v>#DIV/0!</v>
      </c>
      <c r="CI61" s="304" t="e">
        <f t="shared" si="180"/>
        <v>#DIV/0!</v>
      </c>
      <c r="CJ61" s="261" t="e">
        <f t="shared" si="181"/>
        <v>#DIV/0!</v>
      </c>
      <c r="CK61" s="261" t="e">
        <f t="shared" si="182"/>
        <v>#DIV/0!</v>
      </c>
    </row>
    <row r="62" spans="2:89" ht="18">
      <c r="B62" s="367">
        <f t="shared" si="156"/>
        <v>16</v>
      </c>
      <c r="C62" s="412">
        <f t="shared" si="156"/>
        <v>8686.5141735808302</v>
      </c>
      <c r="D62" s="304" t="e">
        <f t="shared" si="157"/>
        <v>#DIV/0!</v>
      </c>
      <c r="E62" s="304" t="e">
        <f>IF(AND(D62&lt;=1,E56&lt;=C62,D$12&gt;=F56),"ok","Fails")</f>
        <v>#DIV/0!</v>
      </c>
      <c r="F62" s="304" t="e">
        <f>IF(AND(E62="ok",SUM(F63:F63)=0),B62,0)</f>
        <v>#DIV/0!</v>
      </c>
      <c r="G62" s="324">
        <f>MIN(1,(Slen!I38-H$56)/(Slen!I38-Slen!J38))</f>
        <v>1</v>
      </c>
      <c r="H62" s="324">
        <f>MIN(1,(Slen!I21-H$56)/(Slen!I21-Slen!J21))</f>
        <v>1</v>
      </c>
      <c r="I62" s="825" t="e">
        <f>MIN(50,Slen!K38*(1.7-IF(LEFT(MAIN!D$21)="N",1,AN62/AM62))/SQRT(H$56))</f>
        <v>#DIV/0!</v>
      </c>
      <c r="J62" s="826" t="e">
        <f>MIN(50,Slen!K21*(1.7-IF(LEFT(MAIN!D$22)="N",1,AP62/AO62))/SQRT(H$56))</f>
        <v>#DIV/0!</v>
      </c>
      <c r="K62" s="324" t="e">
        <f>IF(AND(MAIN!C$11&lt;=2,Slen!G38&lt;=75,1000*ABS(Cases!AM$58)/MAIN!C$46&gt;=MAIN!C$13),1,MAX(1,1+F12*T$16))</f>
        <v>#DIV/0!</v>
      </c>
      <c r="L62" s="324" t="e">
        <f>IF(AND(MAIN!C$11&lt;=2,Slen!G21&lt;=75,1000*ABS(Cases!AO$58)/MAIN!C$46&gt;=MAIN!C$14),1,MAX(1,1+G12*T$16))</f>
        <v>#DIV/0!</v>
      </c>
      <c r="M62" s="403" t="e">
        <f>G62*K62*H$12</f>
        <v>#DIV/0!</v>
      </c>
      <c r="N62" s="403" t="e">
        <f>H62*L62*I$12</f>
        <v>#DIV/0!</v>
      </c>
      <c r="O62" s="403" t="e">
        <f>1000*IF(Slen!G38&gt;I62,E$56*M62*(Slen!G$29/1000)^2/IF(MAIN!D$46=MAIN!F$46,8,PI()^2),0)</f>
        <v>#DIV/0!</v>
      </c>
      <c r="P62" s="403" t="e">
        <f>1000*IF(Slen!G21&gt;J62,E$56*N62*(Slen!G$12/1000)^2/IF(MAIN!E$46=MAIN!G$46,8,PI()^2),0)</f>
        <v>#DIV/0!</v>
      </c>
      <c r="Q62" s="629" t="e">
        <f t="shared" si="158"/>
        <v>#DIV/0!</v>
      </c>
      <c r="R62" s="629" t="e">
        <f t="shared" si="159"/>
        <v>#DIV/0!</v>
      </c>
      <c r="S62" s="630">
        <f t="shared" si="160"/>
        <v>0</v>
      </c>
      <c r="T62" s="630">
        <f t="shared" si="161"/>
        <v>0</v>
      </c>
      <c r="U62" s="322">
        <f>IF(E56&gt;E$12,0,AA62+AC62*(E56-AB62)/AD62)</f>
        <v>393.62259490056124</v>
      </c>
      <c r="V62" s="322">
        <f>IF(E56&gt;E$12,0,AE62+AG62*(E56-AF62)/AH62)</f>
        <v>94.821083632685131</v>
      </c>
      <c r="W62" s="403">
        <f>1000*MAIN!C$46/J12</f>
        <v>0</v>
      </c>
      <c r="X62" s="261">
        <f t="shared" si="162"/>
        <v>1</v>
      </c>
      <c r="Y62" s="403" t="e">
        <f t="shared" si="163"/>
        <v>#DIV/0!</v>
      </c>
      <c r="Z62" s="409" t="e">
        <f t="shared" si="164"/>
        <v>#DIV/0!</v>
      </c>
      <c r="AA62" s="413">
        <f>HLOOKUP(E56,Ycal!D$267:BO$268,2)</f>
        <v>347.21849314605964</v>
      </c>
      <c r="AB62" s="322">
        <f>HLOOKUP(E56,Ycal!D$267:BO$268,1)</f>
        <v>-85.267285421779036</v>
      </c>
      <c r="AC62" s="322">
        <f>HLOOKUP(E56,Ycal!D$267:BO$272,5)</f>
        <v>71.850465778665068</v>
      </c>
      <c r="AD62" s="414">
        <f>HLOOKUP(E56,Ycal!D$267:BO$272,4)</f>
        <v>132.02484137391758</v>
      </c>
      <c r="AE62" s="413">
        <f>HLOOKUP(E56,Zcal!D$267:BO$268,2)</f>
        <v>83.331946512325416</v>
      </c>
      <c r="AF62" s="322">
        <f>HLOOKUP(E56,Zcal!D$267:BO$268,1)</f>
        <v>-99.739801869670401</v>
      </c>
      <c r="AG62" s="322">
        <f>HLOOKUP(E56,Zcal!D$267:BO$272,5)</f>
        <v>16.782837445919711</v>
      </c>
      <c r="AH62" s="414">
        <f>HLOOKUP(E56,Zcal!D$267:BO$272,4)</f>
        <v>145.69561352876494</v>
      </c>
      <c r="AJ62" s="794" t="e">
        <f xml:space="preserve"> IF(OR(MAIN!E$29="BOTH AXES",Z62 ="Y"),         MAX(P$55,BI62),     BM62)</f>
        <v>#DIV/0!</v>
      </c>
      <c r="AK62" s="677" t="e">
        <f xml:space="preserve">       IF(OR(MAIN!E$29="BOTH AXES",Z62 ="Z"),    MAX(R$55,BJ62),           BL62)</f>
        <v>#DIV/0!</v>
      </c>
      <c r="AL62" s="672" t="e">
        <f t="shared" si="165"/>
        <v>#DIV/0!</v>
      </c>
      <c r="AM62" s="639" t="e">
        <f t="shared" si="166"/>
        <v>#DIV/0!</v>
      </c>
      <c r="AN62" s="640" t="e">
        <f t="shared" si="170"/>
        <v>#DIV/0!</v>
      </c>
      <c r="AO62" s="639" t="e">
        <f t="shared" si="167"/>
        <v>#DIV/0!</v>
      </c>
      <c r="AP62" s="640" t="e">
        <f t="shared" si="171"/>
        <v>#DIV/0!</v>
      </c>
      <c r="AQ62" s="743">
        <f t="shared" si="172"/>
        <v>0.01</v>
      </c>
      <c r="AR62" s="744">
        <f t="shared" si="173"/>
        <v>0.01</v>
      </c>
      <c r="AS62" s="743">
        <f t="shared" si="174"/>
        <v>0.01</v>
      </c>
      <c r="AT62" s="744">
        <f t="shared" si="174"/>
        <v>0.01</v>
      </c>
      <c r="AU62" s="760">
        <f t="shared" si="183"/>
        <v>0.01</v>
      </c>
      <c r="AV62" s="761">
        <f t="shared" si="183"/>
        <v>0.01</v>
      </c>
      <c r="AW62" s="760">
        <f t="shared" si="183"/>
        <v>0.01</v>
      </c>
      <c r="AX62" s="761">
        <f t="shared" si="183"/>
        <v>0.01</v>
      </c>
      <c r="AY62" s="760">
        <f t="shared" si="183"/>
        <v>0.01</v>
      </c>
      <c r="AZ62" s="761">
        <f t="shared" si="183"/>
        <v>0.01</v>
      </c>
      <c r="BA62" s="767">
        <f t="shared" si="183"/>
        <v>0.01</v>
      </c>
      <c r="BB62" s="768">
        <f t="shared" si="183"/>
        <v>0.01</v>
      </c>
      <c r="BC62" s="767">
        <f t="shared" si="183"/>
        <v>0.01</v>
      </c>
      <c r="BD62" s="768">
        <f t="shared" si="183"/>
        <v>0.01</v>
      </c>
      <c r="BE62" s="767">
        <f t="shared" si="183"/>
        <v>0.01</v>
      </c>
      <c r="BF62" s="768">
        <f t="shared" si="183"/>
        <v>0.01</v>
      </c>
      <c r="BG62" s="767">
        <f t="shared" si="178"/>
        <v>0.01</v>
      </c>
      <c r="BH62" s="799">
        <f t="shared" si="178"/>
        <v>0.01</v>
      </c>
      <c r="BI62" s="767" t="e">
        <f>IF(MAIN!D$21="N",CC62+ABS(BO62),MAX(BA62+CC62,BC62,  ABS(BE62-   IF(DB$22="Top",Slen!N$28,Slen!N$27)   *CC62/2-2*P$56)             ))</f>
        <v>#DIV/0!</v>
      </c>
      <c r="BJ62" s="768" t="e">
        <f>IF(MAIN!D$22="N",CD62+ABS(BQ62),MAX(BB62+CD62,BD62,     ABS(BF62-     IF(DC$22="Top",Slen!N$11,Slen!N$10)   *CD62/2-2*R$56)              ))</f>
        <v>#DIV/0!</v>
      </c>
      <c r="BK62" s="767" t="e">
        <f>IF(MAIN!D$21="N",CC62+ABS(BO62),MAX(BA62+CC62,BC62,  ABS(BE62-    IF(DB$22="Top",Slen!N$28,Slen!N$27)   *CC62/2-2*P$56)             ))</f>
        <v>#DIV/0!</v>
      </c>
      <c r="BL62" s="768" t="e">
        <f>IF(MAIN!D$22="N",CD62+ABS(AS62),MAX(AV62+CF62,AX62,   ABS(AZ62-   IF(DC$22="Top",Slen!N$11,Slen!N$10)    *CF62/2)                    ))</f>
        <v>#DIV/0!</v>
      </c>
      <c r="BM62" s="767" t="e">
        <f>IF(MAIN!D$21="N",CC62+ABS(AQ62),MAX(AU62+CE62,AW62,   ABS(AY62-     IF(DB$22="Top",Slen!N$28,Slen!N$27)    *CE62/2)             ))</f>
        <v>#DIV/0!</v>
      </c>
      <c r="BN62" s="768" t="e">
        <f>IF(MAIN!D$22="N",CD62+ABS(BQ62),MAX(BB62+CD62,BD62,   ABS(BF62-   IF(DC$22="Top",Slen!N$11,Slen!N$10)   *CD62/2-2*R$56)                ))</f>
        <v>#DIV/0!</v>
      </c>
      <c r="BO62" s="811">
        <f t="shared" si="184"/>
        <v>0.01</v>
      </c>
      <c r="BP62" s="808">
        <f t="shared" si="185"/>
        <v>0.01</v>
      </c>
      <c r="BQ62" s="807">
        <f t="shared" si="186"/>
        <v>0.01</v>
      </c>
      <c r="BR62" s="808">
        <f t="shared" si="187"/>
        <v>0.01</v>
      </c>
      <c r="BS62" s="324">
        <f>MIN(1,(Slen!I38-H$56)/(Slen!I38-Slen!J38))</f>
        <v>1</v>
      </c>
      <c r="BT62" s="324">
        <f>MIN(1,(Slen!I21-H$56)/(Slen!I21-Slen!J21))</f>
        <v>1</v>
      </c>
      <c r="BU62" s="748" t="e">
        <f>MIN(50,Slen!K38*(1.7-IF(LEFT(MAIN!D$21)="N",1,BP62/BO62))/SQRT(H$56))</f>
        <v>#DIV/0!</v>
      </c>
      <c r="BV62" s="748" t="e">
        <f>MIN(50,Slen!K21*(1.7-IF(LEFT(MAIN!D$22)="N",1,BR62/BQ62))/SQRT(H$56))</f>
        <v>#DIV/0!</v>
      </c>
      <c r="BW62" s="748" t="e">
        <f>MIN(50,Slen!K38*(1.7-IF(LEFT(MAIN!D$21)="N",1,AR62/AQ62))/SQRT(H$56))</f>
        <v>#DIV/0!</v>
      </c>
      <c r="BX62" s="748" t="e">
        <f>MIN(50,Slen!K21*(1.7-IF(LEFT(MAIN!D$22)="N",1,AT62/AS62))/SQRT(H$56))</f>
        <v>#DIV/0!</v>
      </c>
      <c r="BY62" s="324" t="e">
        <f>IF(AND(MAIN!C$11&lt;=2,Slen!G38&lt;=75,1000*ABS(BO62)/MAIN!C$46&gt;=MAIN!C$13),1,MAX(1,1+F12*T$56))</f>
        <v>#DIV/0!</v>
      </c>
      <c r="BZ62" s="324" t="e">
        <f>IF(AND(MAIN!C$11&lt;=2,Slen!G21&lt;=75,1000*ABS(BQ62)/MAIN!C$46&gt;=MAIN!C$14),1,MAX(1,1+G12*T$56))</f>
        <v>#DIV/0!</v>
      </c>
      <c r="CA62" s="403" t="e">
        <f t="shared" si="168"/>
        <v>#DIV/0!</v>
      </c>
      <c r="CB62" s="403" t="e">
        <f t="shared" si="168"/>
        <v>#DIV/0!</v>
      </c>
      <c r="CC62" s="403" t="e">
        <f>1000*IF(Slen!G38&gt;BU62,E$56*CA62*(Slen!G$29/1000)^2/IF(MAIN!D$46=MAIN!F$46,8,PI()^2),0)</f>
        <v>#DIV/0!</v>
      </c>
      <c r="CD62" s="403" t="e">
        <f>1000*IF(Slen!G21&gt;BV62,E$56*CB62*(Slen!G$12/1000)^2/IF(MAIN!E$46=MAIN!G$46,8,PI()^2),0)</f>
        <v>#DIV/0!</v>
      </c>
      <c r="CE62" s="403" t="e">
        <f>1000*IF(Slen!G38&gt;BW62,E$56*CA62*(Slen!G$29/1000)^2/IF(MAIN!D$46=MAIN!F$46,8,PI()^2),0)</f>
        <v>#DIV/0!</v>
      </c>
      <c r="CF62" s="403" t="e">
        <f>1000*IF(Slen!G21&gt;BX62,E$56*CB62*(Slen!G$12/1000)^2/IF(MAIN!E$46=MAIN!G$46,8,PI()^2),0)</f>
        <v>#DIV/0!</v>
      </c>
      <c r="CG62" s="261" t="e">
        <f t="shared" si="179"/>
        <v>#DIV/0!</v>
      </c>
      <c r="CH62" s="261" t="e">
        <f t="shared" si="169"/>
        <v>#DIV/0!</v>
      </c>
      <c r="CI62" s="304" t="e">
        <f t="shared" si="180"/>
        <v>#DIV/0!</v>
      </c>
      <c r="CJ62" s="261" t="e">
        <f t="shared" si="181"/>
        <v>#DIV/0!</v>
      </c>
      <c r="CK62" s="261" t="e">
        <f t="shared" si="182"/>
        <v>#DIV/0!</v>
      </c>
    </row>
    <row r="63" spans="2:89" ht="18">
      <c r="B63" s="367">
        <f t="shared" si="156"/>
        <v>16</v>
      </c>
      <c r="C63" s="415">
        <f t="shared" si="156"/>
        <v>8686.5141735808302</v>
      </c>
      <c r="D63" s="416" t="e">
        <f t="shared" si="157"/>
        <v>#DIV/0!</v>
      </c>
      <c r="E63" s="416" t="e">
        <f>IF(AND(D63&lt;=1,E56&lt;=C63,D$13&gt;=F56),"ok","Fails")</f>
        <v>#DIV/0!</v>
      </c>
      <c r="F63" s="416" t="e">
        <f>IF(E63="ok",B63,0)</f>
        <v>#DIV/0!</v>
      </c>
      <c r="G63" s="269">
        <f>MIN(1,(Slen!I39-H$56)/(Slen!I39-Slen!J39))</f>
        <v>1</v>
      </c>
      <c r="H63" s="269">
        <f>MIN(1,(Slen!I22-H$56)/(Slen!I22-Slen!J22))</f>
        <v>1</v>
      </c>
      <c r="I63" s="827" t="e">
        <f>MIN(50,Slen!K39*(1.7-IF(LEFT(MAIN!D$21)="N",1,AN63/AM63))/SQRT(H$56))</f>
        <v>#DIV/0!</v>
      </c>
      <c r="J63" s="828" t="e">
        <f>MIN(50,Slen!K22*(1.7-IF(LEFT(MAIN!D$22)="N",1,AP63/AO63))/SQRT(H$56))</f>
        <v>#DIV/0!</v>
      </c>
      <c r="K63" s="269" t="e">
        <f>IF(AND(MAIN!C$11&lt;=2,Slen!G39&lt;=75,1000*ABS(Cases!AM$58)/MAIN!C$46&gt;=MAIN!C$13),1,MAX(1,1+F13*T$16))</f>
        <v>#DIV/0!</v>
      </c>
      <c r="L63" s="269" t="e">
        <f>IF(AND(MAIN!C$11&lt;=2,Slen!G22&lt;=75,1000*ABS(Cases!AO$58)/MAIN!C$46&gt;=MAIN!C$14),1,MAX(1,1+G13*T$16))</f>
        <v>#DIV/0!</v>
      </c>
      <c r="M63" s="406" t="e">
        <f>G63*K63*H$13</f>
        <v>#DIV/0!</v>
      </c>
      <c r="N63" s="406" t="e">
        <f>H63*L63*I$13</f>
        <v>#DIV/0!</v>
      </c>
      <c r="O63" s="406" t="e">
        <f>1000*IF(Slen!G39&gt;I63,E$56*M63*(Slen!G$29/1000)^2/IF(MAIN!D$46=MAIN!F$46,8,PI()^2),0)</f>
        <v>#DIV/0!</v>
      </c>
      <c r="P63" s="406" t="e">
        <f>1000*IF(Slen!G22&gt;J63,E$56*N63*(Slen!G$12/1000)^2/IF(MAIN!E$46=MAIN!G$46,8,PI()^2),0)</f>
        <v>#DIV/0!</v>
      </c>
      <c r="Q63" s="631" t="e">
        <f t="shared" si="158"/>
        <v>#DIV/0!</v>
      </c>
      <c r="R63" s="631" t="e">
        <f t="shared" si="159"/>
        <v>#DIV/0!</v>
      </c>
      <c r="S63" s="632">
        <f t="shared" si="160"/>
        <v>0</v>
      </c>
      <c r="T63" s="632">
        <f t="shared" si="161"/>
        <v>0</v>
      </c>
      <c r="U63" s="266">
        <f>IF(E56&gt;E$13,0,AA63+AC63*(E56-AB63)/AD63)</f>
        <v>393.62259490056124</v>
      </c>
      <c r="V63" s="266">
        <f>IF(E56&gt;E$13,0,AE63+AG63*(E56-AF63)/AH63)</f>
        <v>94.821083632685131</v>
      </c>
      <c r="W63" s="406">
        <f>1000*MAIN!C$46/J13</f>
        <v>0</v>
      </c>
      <c r="X63" s="325">
        <f t="shared" si="162"/>
        <v>1</v>
      </c>
      <c r="Y63" s="406" t="e">
        <f t="shared" si="163"/>
        <v>#DIV/0!</v>
      </c>
      <c r="Z63" s="409" t="e">
        <f t="shared" si="164"/>
        <v>#DIV/0!</v>
      </c>
      <c r="AA63" s="417">
        <f>HLOOKUP(E56,Ycal!D$319:BO$320,2)</f>
        <v>347.21849314605964</v>
      </c>
      <c r="AB63" s="266">
        <f>HLOOKUP(E56,Ycal!D$319:BO$320,1)</f>
        <v>-85.267285421779036</v>
      </c>
      <c r="AC63" s="266">
        <f>HLOOKUP(E56,Ycal!D$319:BO$323,5)</f>
        <v>71.850465778665068</v>
      </c>
      <c r="AD63" s="418">
        <f>HLOOKUP(E56,Ycal!D$319:BO$323,4)</f>
        <v>132.02484137391758</v>
      </c>
      <c r="AE63" s="417">
        <f>HLOOKUP(E56,Zcal!D$319:BO$320,2)</f>
        <v>83.331946512325416</v>
      </c>
      <c r="AF63" s="266">
        <f>HLOOKUP(E56,Zcal!D$319:BO$320,1)</f>
        <v>-99.739801869670401</v>
      </c>
      <c r="AG63" s="266">
        <f>HLOOKUP(E56,Zcal!D$319:BO$323,5)</f>
        <v>16.782837445919711</v>
      </c>
      <c r="AH63" s="418">
        <f>HLOOKUP(E56,Zcal!D$319:BO$323,4)</f>
        <v>145.69561352876494</v>
      </c>
      <c r="AJ63" s="794" t="e">
        <f xml:space="preserve"> IF(OR(MAIN!E$29="BOTH AXES",Z63 ="Y"),         MAX(P$55,BI63),     BM63)</f>
        <v>#DIV/0!</v>
      </c>
      <c r="AK63" s="677" t="e">
        <f xml:space="preserve">       IF(OR(MAIN!E$29="BOTH AXES",Z63 ="Z"),    MAX(R$55,BJ63),           BL63)</f>
        <v>#DIV/0!</v>
      </c>
      <c r="AL63" s="672" t="e">
        <f t="shared" si="165"/>
        <v>#DIV/0!</v>
      </c>
      <c r="AM63" s="641" t="e">
        <f t="shared" si="166"/>
        <v>#DIV/0!</v>
      </c>
      <c r="AN63" s="642" t="e">
        <f t="shared" si="170"/>
        <v>#DIV/0!</v>
      </c>
      <c r="AO63" s="641" t="e">
        <f t="shared" si="167"/>
        <v>#DIV/0!</v>
      </c>
      <c r="AP63" s="642" t="e">
        <f t="shared" si="171"/>
        <v>#DIV/0!</v>
      </c>
      <c r="AQ63" s="745">
        <f t="shared" si="172"/>
        <v>0.01</v>
      </c>
      <c r="AR63" s="746">
        <f t="shared" si="173"/>
        <v>0.01</v>
      </c>
      <c r="AS63" s="745">
        <f t="shared" si="174"/>
        <v>0.01</v>
      </c>
      <c r="AT63" s="746">
        <f t="shared" si="174"/>
        <v>0.01</v>
      </c>
      <c r="AU63" s="762">
        <f t="shared" si="183"/>
        <v>0.01</v>
      </c>
      <c r="AV63" s="763">
        <f t="shared" si="183"/>
        <v>0.01</v>
      </c>
      <c r="AW63" s="762">
        <f>AW62</f>
        <v>0.01</v>
      </c>
      <c r="AX63" s="763">
        <f>AX62</f>
        <v>0.01</v>
      </c>
      <c r="AY63" s="762">
        <f t="shared" ref="AY63:AZ63" si="188">AY62</f>
        <v>0.01</v>
      </c>
      <c r="AZ63" s="763">
        <f t="shared" si="188"/>
        <v>0.01</v>
      </c>
      <c r="BA63" s="769">
        <f t="shared" si="183"/>
        <v>0.01</v>
      </c>
      <c r="BB63" s="770">
        <f t="shared" si="183"/>
        <v>0.01</v>
      </c>
      <c r="BC63" s="769">
        <f t="shared" si="183"/>
        <v>0.01</v>
      </c>
      <c r="BD63" s="770">
        <f t="shared" si="183"/>
        <v>0.01</v>
      </c>
      <c r="BE63" s="769">
        <f t="shared" si="183"/>
        <v>0.01</v>
      </c>
      <c r="BF63" s="770">
        <f t="shared" si="183"/>
        <v>0.01</v>
      </c>
      <c r="BG63" s="769">
        <f t="shared" si="178"/>
        <v>0.01</v>
      </c>
      <c r="BH63" s="800">
        <f t="shared" si="178"/>
        <v>0.01</v>
      </c>
      <c r="BI63" s="769" t="e">
        <f>IF(MAIN!D$21="N",CC63+ABS(BO63),MAX(BA63+CC63,BC63,  ABS(BE63-   IF(DB$22="Top",Slen!N$28,Slen!N$27)   *CC63/2-2*P$56)             ))</f>
        <v>#DIV/0!</v>
      </c>
      <c r="BJ63" s="770" t="e">
        <f>IF(MAIN!D$22="N",CD63+ABS(BQ63),MAX(BB63+CD63,BD63,     ABS(BF63-     IF(DC$22="Top",Slen!N$11,Slen!N$10)   *CD63/2-2*R$56)              ))</f>
        <v>#DIV/0!</v>
      </c>
      <c r="BK63" s="769" t="e">
        <f>IF(MAIN!D$21="N",CC63+ABS(BO63),MAX(BA63+CC63,BC63,  ABS(BE63-    IF(DB$22="Top",Slen!N$28,Slen!N$27)   *CC63/2-2*P$56)             ))</f>
        <v>#DIV/0!</v>
      </c>
      <c r="BL63" s="770" t="e">
        <f>IF(MAIN!D$22="N",CD63+ABS(AS63),MAX(AV63+CF63,AX63,   ABS(AZ63-   IF(DC$22="Top",Slen!N$11,Slen!N$10)    *CF63/2)                    ))</f>
        <v>#DIV/0!</v>
      </c>
      <c r="BM63" s="769" t="e">
        <f>IF(MAIN!D$21="N",CC63+ABS(AQ63),MAX(AU63+CE63,AW63,   ABS(AY63-     IF(DB$22="Top",Slen!N$28,Slen!N$27)    *CE63/2)             ))</f>
        <v>#DIV/0!</v>
      </c>
      <c r="BN63" s="770" t="e">
        <f>IF(MAIN!D$22="N",CD63+ABS(BQ63),MAX(BB63+CD63,BD63,   ABS(BF63-   IF(DC$22="Top",Slen!N$11,Slen!N$10)   *CD63/2-2*R$56)                ))</f>
        <v>#DIV/0!</v>
      </c>
      <c r="BO63" s="813">
        <f t="shared" si="184"/>
        <v>0.01</v>
      </c>
      <c r="BP63" s="810">
        <f t="shared" si="185"/>
        <v>0.01</v>
      </c>
      <c r="BQ63" s="809">
        <f t="shared" si="186"/>
        <v>0.01</v>
      </c>
      <c r="BR63" s="810">
        <f t="shared" si="187"/>
        <v>0.01</v>
      </c>
      <c r="BS63" s="324">
        <f>MIN(1,(Slen!I39-H$56)/(Slen!I39-Slen!J39))</f>
        <v>1</v>
      </c>
      <c r="BT63" s="324">
        <f>MIN(1,(Slen!I22-H$56)/(Slen!I22-Slen!J22))</f>
        <v>1</v>
      </c>
      <c r="BU63" s="748" t="e">
        <f>MIN(50,Slen!K39*(1.7-IF(LEFT(MAIN!D$21)="N",1,BP63/BO63))/SQRT(H$56))</f>
        <v>#DIV/0!</v>
      </c>
      <c r="BV63" s="748" t="e">
        <f>MIN(50,Slen!K22*(1.7-IF(LEFT(MAIN!D$22)="N",1,BR63/BQ63))/SQRT(H$56))</f>
        <v>#DIV/0!</v>
      </c>
      <c r="BW63" s="748" t="e">
        <f>MIN(50,Slen!K39*(1.7-IF(LEFT(MAIN!D$21)="N",1,AR63/AQ63))/SQRT(H$56))</f>
        <v>#DIV/0!</v>
      </c>
      <c r="BX63" s="748" t="e">
        <f>MIN(50,Slen!K22*(1.7-IF(LEFT(MAIN!D$22)="N",1,AT63/AS63))/SQRT(H$56))</f>
        <v>#DIV/0!</v>
      </c>
      <c r="BY63" s="324" t="e">
        <f>IF(AND(MAIN!C$11&lt;=2,Slen!G39&lt;=75,1000*ABS(BO63)/MAIN!C$46&gt;=MAIN!C$13),1,MAX(1,1+F13*T$56))</f>
        <v>#DIV/0!</v>
      </c>
      <c r="BZ63" s="324" t="e">
        <f>IF(AND(MAIN!C$11&lt;=2,Slen!G22&lt;=75,1000*ABS(BQ63)/MAIN!C$46&gt;=MAIN!C$14),1,MAX(1,1+G13*T$56))</f>
        <v>#DIV/0!</v>
      </c>
      <c r="CA63" s="403" t="e">
        <f t="shared" si="168"/>
        <v>#DIV/0!</v>
      </c>
      <c r="CB63" s="403" t="e">
        <f t="shared" si="168"/>
        <v>#DIV/0!</v>
      </c>
      <c r="CC63" s="403" t="e">
        <f>1000*IF(Slen!G39&gt;BU63,E$56*CA63*(Slen!G$29/1000)^2/IF(MAIN!D$46=MAIN!F$46,8,PI()^2),0)</f>
        <v>#DIV/0!</v>
      </c>
      <c r="CD63" s="403" t="e">
        <f>1000*IF(Slen!G22&gt;BV63,E$56*CB63*(Slen!G$12/1000)^2/IF(MAIN!E$46=MAIN!G$46,8,PI()^2),0)</f>
        <v>#DIV/0!</v>
      </c>
      <c r="CE63" s="403" t="e">
        <f>1000*IF(Slen!G39&gt;BW63,E$56*CA63*(Slen!G$29/1000)^2/IF(MAIN!D$46=MAIN!F$46,8,PI()^2),0)</f>
        <v>#DIV/0!</v>
      </c>
      <c r="CF63" s="403" t="e">
        <f>1000*IF(Slen!G22&gt;BX63,E$56*CB63*(Slen!G$12/1000)^2/IF(MAIN!E$46=MAIN!G$46,8,PI()^2),0)</f>
        <v>#DIV/0!</v>
      </c>
      <c r="CG63" s="261" t="e">
        <f t="shared" si="179"/>
        <v>#DIV/0!</v>
      </c>
      <c r="CH63" s="261" t="e">
        <f t="shared" si="169"/>
        <v>#DIV/0!</v>
      </c>
      <c r="CI63" s="304" t="e">
        <f t="shared" si="180"/>
        <v>#DIV/0!</v>
      </c>
      <c r="CJ63" s="261" t="e">
        <f t="shared" si="181"/>
        <v>#DIV/0!</v>
      </c>
      <c r="CK63" s="261" t="e">
        <f t="shared" si="182"/>
        <v>#DIV/0!</v>
      </c>
    </row>
    <row r="64" spans="2:89" ht="18">
      <c r="B64" s="528"/>
      <c r="C64" s="528"/>
      <c r="D64" s="43"/>
      <c r="E64" s="43"/>
      <c r="F64" s="391">
        <f>IF(E56=0,0,MAX(F58:F63))</f>
        <v>0</v>
      </c>
      <c r="G64" s="47" t="e">
        <f>VLOOKUP(F64,F58:G63,2,0)</f>
        <v>#N/A</v>
      </c>
      <c r="H64" s="47" t="e">
        <f>VLOOKUP(F64,F58:H63,3,0)</f>
        <v>#N/A</v>
      </c>
      <c r="I64" s="47" t="e">
        <f>VLOOKUP(F64,F58:I63,4,0)</f>
        <v>#N/A</v>
      </c>
      <c r="J64" s="47" t="e">
        <f>VLOOKUP(F64,F58:J63,5,0)</f>
        <v>#N/A</v>
      </c>
      <c r="K64" s="380"/>
      <c r="L64" s="380"/>
      <c r="M64" s="380"/>
      <c r="N64" s="380"/>
      <c r="O64" s="380"/>
      <c r="P64" s="380"/>
      <c r="Q64" s="272" t="e">
        <f>IF(E56&gt;C58,"N&gt;Nuz",VLOOKUP(F64,F58:Q63,12,0))</f>
        <v>#N/A</v>
      </c>
      <c r="R64" s="272" t="e">
        <f>IF(E56&gt;C58,"N&gt;Nuz",VLOOKUP(F64,F58:R63,13,0))</f>
        <v>#N/A</v>
      </c>
      <c r="U64" s="377" t="e">
        <f>IF(E56&gt;C58,"N&gt;Nuz",VLOOKUP(F64,F58:U63,16,0))</f>
        <v>#N/A</v>
      </c>
      <c r="V64" s="377" t="e">
        <f>IF(E56&gt;C58,"N&gt;Nuz",VLOOKUP(F64,F58:V63,17,0))</f>
        <v>#N/A</v>
      </c>
      <c r="W64" s="377"/>
      <c r="X64" s="378" t="e">
        <f>VLOOKUP(F64,F58:X63,19,0)</f>
        <v>#N/A</v>
      </c>
      <c r="Y64" s="378" t="e">
        <f>IF(E56&gt;C58,"N/A",VLOOKUP(F64,F58:Y63,20,0))</f>
        <v>#N/A</v>
      </c>
      <c r="Z64" s="378" t="e">
        <f>IF(E56&gt;C58,"N/A",VLOOKUP(F64,F58:Z63,21,0))</f>
        <v>#N/A</v>
      </c>
      <c r="BU64" s="47" t="e">
        <f>VLOOKUP(F64,F58:BX63,68,0)</f>
        <v>#N/A</v>
      </c>
      <c r="BV64" s="47" t="e">
        <f>VLOOKUP(F64,F58:BX63,69,0)</f>
        <v>#N/A</v>
      </c>
      <c r="BW64" s="47" t="e">
        <f>VLOOKUP(F64,F58:BX63,70,0)</f>
        <v>#N/A</v>
      </c>
      <c r="BX64" s="47" t="e">
        <f>VLOOKUP(F64,F58:BX63,71,0)</f>
        <v>#N/A</v>
      </c>
      <c r="CG64" s="378"/>
      <c r="CH64" s="378"/>
      <c r="CI64" s="378" t="e">
        <f>VLOOKUP(F64,F58:CI63,82,0)</f>
        <v>#N/A</v>
      </c>
    </row>
    <row r="65" spans="2:89" ht="19.5">
      <c r="B65" s="390" t="s">
        <v>90</v>
      </c>
      <c r="D65" s="43"/>
      <c r="E65" s="43"/>
      <c r="F65" s="369" t="s">
        <v>175</v>
      </c>
      <c r="G65" s="43"/>
      <c r="H65" s="381"/>
      <c r="I65" s="726" t="s">
        <v>411</v>
      </c>
      <c r="J65" s="726" t="s">
        <v>411</v>
      </c>
      <c r="K65" s="381"/>
      <c r="L65" s="381"/>
      <c r="M65" s="381"/>
      <c r="N65" s="381"/>
      <c r="O65" s="45" t="s">
        <v>288</v>
      </c>
      <c r="P65" s="366">
        <f>L$10*E66</f>
        <v>0</v>
      </c>
      <c r="Q65" s="45" t="s">
        <v>258</v>
      </c>
      <c r="R65" s="366">
        <f>L$11*E66</f>
        <v>0</v>
      </c>
      <c r="U65" s="45"/>
      <c r="V65" s="370"/>
      <c r="W65" s="370"/>
      <c r="X65" s="370"/>
      <c r="Z65" s="43"/>
      <c r="AA65" s="43"/>
      <c r="AB65" s="43"/>
      <c r="AC65" s="43"/>
      <c r="AD65" s="43"/>
      <c r="AE65" s="43"/>
    </row>
    <row r="66" spans="2:89" ht="21.75">
      <c r="B66" s="391">
        <f>MAIN!B47</f>
        <v>6</v>
      </c>
      <c r="C66" s="371"/>
      <c r="D66" s="372" t="s">
        <v>77</v>
      </c>
      <c r="E66" s="373">
        <f>MAIN!C47</f>
        <v>0</v>
      </c>
      <c r="F66" s="311">
        <f>Refs!F$17*E66*1000/Ycal!C$10</f>
        <v>0</v>
      </c>
      <c r="G66" s="374" t="s">
        <v>130</v>
      </c>
      <c r="H66" s="50">
        <f>1000*E66/L$7</f>
        <v>0</v>
      </c>
      <c r="I66" s="726" t="e">
        <f>(1.7-IF(LEFT(MAIN!D$21)="N",1,             VLOOKUP(F74,F68:AN73,35,FALSE)                  /              VLOOKUP(F74,F68:AM73,34,FALSE)         ))</f>
        <v>#N/A</v>
      </c>
      <c r="J66" s="726" t="e">
        <f>(1.7-IF(LEFT(MAIN!D$22)="N",1,         VLOOKUP(F74,F68:AP73,37,FALSE)  /               VLOOKUP(F74,F68:AO73,36,FALSE)             ))</f>
        <v>#N/A</v>
      </c>
      <c r="K66" s="374" t="s">
        <v>287</v>
      </c>
      <c r="L66" s="667" t="e">
        <f>MAX(ABS(0.6*AM68+0.4*AN68),(ABS(0.4*AM68)))</f>
        <v>#DIV/0!</v>
      </c>
      <c r="M66" s="374" t="s">
        <v>256</v>
      </c>
      <c r="N66" s="668" t="e">
        <f>MAX(ABS(0.6*AO68+0.4*AP68),(ABS(0.4*AO68)))</f>
        <v>#DIV/0!</v>
      </c>
      <c r="O66" s="375" t="s">
        <v>289</v>
      </c>
      <c r="P66" s="366">
        <f>L$8*E66*Slen!G$29/2000</f>
        <v>0</v>
      </c>
      <c r="Q66" s="375" t="s">
        <v>257</v>
      </c>
      <c r="R66" s="366">
        <f>L$9*E66*Slen!G$12/2000</f>
        <v>0</v>
      </c>
      <c r="S66" s="368" t="s">
        <v>132</v>
      </c>
      <c r="T66" s="376">
        <f>T56</f>
        <v>1.2100000000000002</v>
      </c>
      <c r="U66" s="45" t="s">
        <v>354</v>
      </c>
      <c r="V66" s="373" t="e">
        <f>VLOOKUP(F74,$M$8:$N$13,2)</f>
        <v>#N/A</v>
      </c>
      <c r="W66" s="312"/>
      <c r="X66" s="312"/>
      <c r="Y66" s="394" t="s">
        <v>137</v>
      </c>
      <c r="Z66" s="45"/>
      <c r="AA66" s="1306" t="s">
        <v>296</v>
      </c>
      <c r="AB66" s="1307"/>
      <c r="AC66" s="1307"/>
      <c r="AD66" s="1308"/>
      <c r="AE66" s="1306" t="s">
        <v>268</v>
      </c>
      <c r="AF66" s="1307"/>
      <c r="AG66" s="1307"/>
      <c r="AH66" s="1308"/>
      <c r="AM66" s="802">
        <f>IF(MAIN!D47=0,0.01,MAIN!D47)</f>
        <v>0.01</v>
      </c>
      <c r="AN66" s="802">
        <f>IF(MAIN!F47=0,0.01,MAIN!F47)</f>
        <v>0.01</v>
      </c>
      <c r="AO66" s="802">
        <f>IF(MAIN!E47=0,0.01,MAIN!E47)</f>
        <v>0.01</v>
      </c>
      <c r="AP66" s="802">
        <f>IF(MAIN!G47=0,0.01,MAIN!G47)</f>
        <v>0.01</v>
      </c>
      <c r="AU66" s="1296" t="s">
        <v>566</v>
      </c>
      <c r="AV66" s="1297"/>
      <c r="AW66" s="1296" t="s">
        <v>568</v>
      </c>
      <c r="AX66" s="1297"/>
      <c r="AY66" s="1296" t="s">
        <v>656</v>
      </c>
      <c r="AZ66" s="1297"/>
      <c r="BA66" s="1296" t="s">
        <v>567</v>
      </c>
      <c r="BB66" s="1297"/>
      <c r="BC66" s="1296" t="s">
        <v>568</v>
      </c>
      <c r="BD66" s="1297"/>
      <c r="BE66" s="1296" t="s">
        <v>656</v>
      </c>
      <c r="BF66" s="1297"/>
      <c r="BG66" s="1296" t="s">
        <v>561</v>
      </c>
      <c r="BH66" s="1297"/>
      <c r="BI66" s="1296" t="s">
        <v>561</v>
      </c>
      <c r="BJ66" s="1297"/>
      <c r="BK66" s="1296" t="s">
        <v>573</v>
      </c>
      <c r="BL66" s="1297"/>
      <c r="BM66" s="1296" t="s">
        <v>573</v>
      </c>
      <c r="BN66" s="1297"/>
      <c r="BO66" s="802">
        <f>AM66</f>
        <v>0.01</v>
      </c>
      <c r="BP66" s="803">
        <f>AN66</f>
        <v>0.01</v>
      </c>
      <c r="BQ66" s="803">
        <f>AO66</f>
        <v>0.01</v>
      </c>
      <c r="BR66" s="804">
        <f>AP66</f>
        <v>0.01</v>
      </c>
      <c r="BS66" s="374" t="s">
        <v>130</v>
      </c>
      <c r="BT66" s="50">
        <f>1000*E66/L$7</f>
        <v>0</v>
      </c>
      <c r="BU66" s="726" t="s">
        <v>646</v>
      </c>
      <c r="BV66" s="726" t="s">
        <v>646</v>
      </c>
      <c r="BW66" s="726" t="s">
        <v>647</v>
      </c>
      <c r="BX66" s="726" t="s">
        <v>647</v>
      </c>
      <c r="CC66" s="726" t="s">
        <v>646</v>
      </c>
      <c r="CD66" s="726" t="s">
        <v>646</v>
      </c>
      <c r="CE66" s="726" t="s">
        <v>647</v>
      </c>
      <c r="CF66" s="726" t="s">
        <v>647</v>
      </c>
    </row>
    <row r="67" spans="2:89" ht="20.25">
      <c r="C67" s="313" t="s">
        <v>51</v>
      </c>
      <c r="D67" s="392" t="s">
        <v>144</v>
      </c>
      <c r="E67" s="313" t="s">
        <v>78</v>
      </c>
      <c r="G67" s="314" t="s">
        <v>290</v>
      </c>
      <c r="H67" s="315" t="s">
        <v>263</v>
      </c>
      <c r="I67" s="747" t="s">
        <v>227</v>
      </c>
      <c r="J67" s="747" t="s">
        <v>291</v>
      </c>
      <c r="K67" s="315" t="s">
        <v>284</v>
      </c>
      <c r="L67" s="315" t="s">
        <v>260</v>
      </c>
      <c r="M67" s="315" t="s">
        <v>292</v>
      </c>
      <c r="N67" s="315" t="s">
        <v>264</v>
      </c>
      <c r="O67" s="315" t="s">
        <v>293</v>
      </c>
      <c r="P67" s="315" t="s">
        <v>265</v>
      </c>
      <c r="Q67" s="315" t="s">
        <v>294</v>
      </c>
      <c r="R67" s="315" t="s">
        <v>266</v>
      </c>
      <c r="S67" s="315" t="s">
        <v>463</v>
      </c>
      <c r="T67" s="315" t="s">
        <v>464</v>
      </c>
      <c r="U67" s="315" t="s">
        <v>295</v>
      </c>
      <c r="V67" s="315" t="s">
        <v>267</v>
      </c>
      <c r="W67" s="315" t="s">
        <v>228</v>
      </c>
      <c r="X67" s="315" t="s">
        <v>93</v>
      </c>
      <c r="Y67" s="393" t="s">
        <v>138</v>
      </c>
      <c r="Z67" s="660" t="s">
        <v>79</v>
      </c>
      <c r="AA67" s="395" t="s">
        <v>229</v>
      </c>
      <c r="AB67" s="396" t="s">
        <v>80</v>
      </c>
      <c r="AC67" s="396" t="s">
        <v>81</v>
      </c>
      <c r="AD67" s="397" t="s">
        <v>82</v>
      </c>
      <c r="AE67" s="395" t="s">
        <v>229</v>
      </c>
      <c r="AF67" s="396" t="s">
        <v>80</v>
      </c>
      <c r="AG67" s="396" t="s">
        <v>81</v>
      </c>
      <c r="AH67" s="397" t="s">
        <v>82</v>
      </c>
      <c r="AJ67" s="314" t="s">
        <v>365</v>
      </c>
      <c r="AK67" s="359" t="s">
        <v>366</v>
      </c>
      <c r="AL67" s="724">
        <v>6</v>
      </c>
      <c r="AM67" s="675" t="s">
        <v>215</v>
      </c>
      <c r="AN67" s="676" t="s">
        <v>216</v>
      </c>
      <c r="AO67" s="675" t="s">
        <v>278</v>
      </c>
      <c r="AP67" s="676" t="s">
        <v>279</v>
      </c>
      <c r="AQ67" s="146" t="s">
        <v>215</v>
      </c>
      <c r="AR67" s="147" t="s">
        <v>216</v>
      </c>
      <c r="AS67" s="146" t="s">
        <v>278</v>
      </c>
      <c r="AT67" s="147" t="s">
        <v>279</v>
      </c>
      <c r="AU67" s="146" t="s">
        <v>558</v>
      </c>
      <c r="AV67" s="147" t="s">
        <v>559</v>
      </c>
      <c r="AW67" s="764" t="s">
        <v>95</v>
      </c>
      <c r="AX67" s="764" t="s">
        <v>560</v>
      </c>
      <c r="AY67" s="764" t="s">
        <v>95</v>
      </c>
      <c r="AZ67" s="764" t="s">
        <v>560</v>
      </c>
      <c r="BA67" s="764" t="s">
        <v>95</v>
      </c>
      <c r="BB67" s="764" t="s">
        <v>560</v>
      </c>
      <c r="BC67" s="764" t="s">
        <v>95</v>
      </c>
      <c r="BD67" s="764" t="s">
        <v>560</v>
      </c>
      <c r="BE67" s="764" t="s">
        <v>95</v>
      </c>
      <c r="BF67" s="764" t="s">
        <v>560</v>
      </c>
      <c r="BG67" s="764" t="s">
        <v>95</v>
      </c>
      <c r="BH67" s="764" t="s">
        <v>560</v>
      </c>
      <c r="BI67" s="676" t="s">
        <v>95</v>
      </c>
      <c r="BJ67" s="676" t="s">
        <v>560</v>
      </c>
      <c r="BK67" s="676" t="s">
        <v>95</v>
      </c>
      <c r="BL67" s="676" t="s">
        <v>560</v>
      </c>
      <c r="BM67" s="676" t="s">
        <v>95</v>
      </c>
      <c r="BN67" s="676" t="s">
        <v>560</v>
      </c>
      <c r="BO67" s="771" t="s">
        <v>562</v>
      </c>
      <c r="BP67" s="772" t="s">
        <v>563</v>
      </c>
      <c r="BQ67" s="771" t="s">
        <v>564</v>
      </c>
      <c r="BR67" s="772" t="s">
        <v>565</v>
      </c>
      <c r="BS67" s="678" t="s">
        <v>290</v>
      </c>
      <c r="BT67" s="747" t="s">
        <v>263</v>
      </c>
      <c r="BU67" s="747" t="s">
        <v>227</v>
      </c>
      <c r="BV67" s="747" t="s">
        <v>291</v>
      </c>
      <c r="BW67" s="747" t="s">
        <v>227</v>
      </c>
      <c r="BX67" s="747" t="s">
        <v>291</v>
      </c>
      <c r="BY67" s="747" t="s">
        <v>284</v>
      </c>
      <c r="BZ67" s="747" t="s">
        <v>260</v>
      </c>
      <c r="CA67" s="747" t="s">
        <v>292</v>
      </c>
      <c r="CB67" s="747" t="s">
        <v>264</v>
      </c>
      <c r="CC67" s="747" t="s">
        <v>293</v>
      </c>
      <c r="CD67" s="747" t="s">
        <v>265</v>
      </c>
      <c r="CE67" s="747" t="s">
        <v>293</v>
      </c>
      <c r="CF67" s="747" t="s">
        <v>265</v>
      </c>
      <c r="CG67" s="394" t="s">
        <v>79</v>
      </c>
      <c r="CH67" s="394" t="s">
        <v>79</v>
      </c>
      <c r="CI67" s="394" t="s">
        <v>79</v>
      </c>
      <c r="CJ67" s="394" t="s">
        <v>79</v>
      </c>
      <c r="CK67" s="394" t="s">
        <v>79</v>
      </c>
    </row>
    <row r="68" spans="2:89" ht="18">
      <c r="B68" s="367">
        <f t="shared" ref="B68:C73" si="189">B58</f>
        <v>40</v>
      </c>
      <c r="C68" s="408">
        <f t="shared" si="189"/>
        <v>11450.713584880188</v>
      </c>
      <c r="D68" s="409" t="e">
        <f t="shared" ref="D68:D73" si="190">IF(ISERROR(U68),0,Y68)</f>
        <v>#DIV/0!</v>
      </c>
      <c r="E68" s="409" t="e">
        <f>IF(AND(D68&lt;=1,E66&lt;=C68,D$8&gt;=F66),"ok","Fails")</f>
        <v>#DIV/0!</v>
      </c>
      <c r="F68" s="409" t="e">
        <f>IF(AND(E68="ok",SUM(F69:F73)=0),B68,0)</f>
        <v>#DIV/0!</v>
      </c>
      <c r="G68" s="321">
        <f>MIN(1,(Slen!I34-H$66)/(Slen!I34-Slen!J34))</f>
        <v>1</v>
      </c>
      <c r="H68" s="321">
        <f>MIN(1,(Slen!I17-H$66)/(Slen!I17-Slen!J17))</f>
        <v>1</v>
      </c>
      <c r="I68" s="823" t="e">
        <f>MIN(50,Slen!K34*(1.7-IF(LEFT(MAIN!D$21)="N",1,AN68/AM68))/SQRT(H$66))</f>
        <v>#DIV/0!</v>
      </c>
      <c r="J68" s="824" t="e">
        <f>MIN(50,Slen!K17*(1.7-IF(LEFT(MAIN!D$22)="N",1,AP68/AO68))/SQRT(H$66))</f>
        <v>#DIV/0!</v>
      </c>
      <c r="K68" s="321" t="e">
        <f>IF(AND(MAIN!C$11&lt;=2,Slen!G34&lt;=75,1000*ABS(Cases!AM$68)/MAIN!C$47&gt;=MAIN!C$13),1,MAX(1,1+F8*T$16))</f>
        <v>#DIV/0!</v>
      </c>
      <c r="L68" s="321" t="e">
        <f>IF(AND(MAIN!C$11&lt;=2,Slen!G17&lt;=75,1000*ABS(Cases!AO$68)/MAIN!C$47&gt;=MAIN!C$14),1,MAX(1,1+G8*T$16))</f>
        <v>#DIV/0!</v>
      </c>
      <c r="M68" s="400" t="e">
        <f>G68*K68*H$8</f>
        <v>#DIV/0!</v>
      </c>
      <c r="N68" s="400" t="e">
        <f>H68*L68*I$8</f>
        <v>#DIV/0!</v>
      </c>
      <c r="O68" s="400" t="e">
        <f>1000*IF(Slen!G34&gt;I68,E$66*M68*(Slen!G$29/1000)^2/IF(MAIN!D$47=MAIN!F$47,8,PI()^2),0)</f>
        <v>#DIV/0!</v>
      </c>
      <c r="P68" s="400" t="e">
        <f>1000*IF(Slen!G17&gt;J68,E$66*N68*(Slen!G$12/1000)^2/IF(MAIN!E$47=MAIN!G$47,8,PI()^2),0)</f>
        <v>#DIV/0!</v>
      </c>
      <c r="Q68" s="628" t="e">
        <f t="shared" ref="Q68:Q73" si="191">MAX(IF(MAX(P$65,AJ68)/U68&gt;=MAX(R$65,AK68)/V68,P$65,0),AJ68)</f>
        <v>#DIV/0!</v>
      </c>
      <c r="R68" s="628" t="e">
        <f t="shared" ref="R68:R73" si="192">MAX(IF(MAX(R$65,AK68)/U68&gt;MAX(P$65,AJ68)/V68,R$65,0),AK68)</f>
        <v>#DIV/0!</v>
      </c>
      <c r="S68" s="622">
        <f t="shared" ref="S68:S73" si="193">P$66/U68</f>
        <v>0</v>
      </c>
      <c r="T68" s="622">
        <f t="shared" ref="T68:T73" si="194">R$66/V68</f>
        <v>0</v>
      </c>
      <c r="U68" s="319">
        <f>IF(E66&gt;E$8,0,AA68+AC68*(E66-AB68)/AD68)</f>
        <v>2058.3820557739205</v>
      </c>
      <c r="V68" s="319">
        <f>IF(E66&gt;E$8,0,AE68+AG68*(E66-AF68)/AH68)</f>
        <v>442.28414415291883</v>
      </c>
      <c r="W68" s="400">
        <f>1000*MAIN!C$47/J8</f>
        <v>0</v>
      </c>
      <c r="X68" s="318">
        <f t="shared" ref="X68:X73" si="195">IF(W68&lt;0.7,MAX(1,(10*W68+11)/12),MIN(2,(5*W68+1)/3))</f>
        <v>1</v>
      </c>
      <c r="Y68" s="400" t="e">
        <f t="shared" ref="Y68:Y73" si="196">IF(OR(U68=0,V68=0),0,(Q68/U68)^X68+(R68/V68)^X68)</f>
        <v>#DIV/0!</v>
      </c>
      <c r="Z68" s="409" t="e">
        <f t="shared" ref="Z68:Z73" si="197">CI68</f>
        <v>#DIV/0!</v>
      </c>
      <c r="AA68" s="410">
        <f>HLOOKUP(E66,Ycal!D$59:BO$60,2)</f>
        <v>2038.9509733954485</v>
      </c>
      <c r="AB68" s="319">
        <f>HLOOKUP(E66,Ycal!D$59:BO$60,1)</f>
        <v>-77.539796281250432</v>
      </c>
      <c r="AC68" s="319">
        <f>HLOOKUP(E66,Ycal!D$59:BO$63,5)</f>
        <v>50.05157712844607</v>
      </c>
      <c r="AD68" s="411">
        <f>HLOOKUP(E66,Ycal!D$59:BO$63,4)</f>
        <v>199.73097836252396</v>
      </c>
      <c r="AE68" s="410">
        <f>HLOOKUP(E66,Zcal!D$59:BO$60,2)</f>
        <v>431.16901943469492</v>
      </c>
      <c r="AF68" s="319">
        <f>HLOOKUP(E66,Zcal!D$59:BO$60,1)</f>
        <v>-122.25447379972087</v>
      </c>
      <c r="AG68" s="319">
        <f>HLOOKUP(E66,Zcal!D$59:BO$63,5)</f>
        <v>12.647841784195066</v>
      </c>
      <c r="AH68" s="411">
        <f>HLOOKUP(E66,Zcal!D$59:BO$63,4)</f>
        <v>139.11272084007436</v>
      </c>
      <c r="AJ68" s="794" t="e">
        <f xml:space="preserve"> IF(OR(MAIN!E$29="BOTH AXES",Z68 ="Y"),         MAX(P$65,BI68),     BM68)</f>
        <v>#DIV/0!</v>
      </c>
      <c r="AK68" s="677" t="e">
        <f xml:space="preserve">       IF(OR(MAIN!E$29="BOTH AXES",Z68 ="Z"),    MAX(R$65,BJ68),           BL68)</f>
        <v>#DIV/0!</v>
      </c>
      <c r="AL68" s="672" t="e">
        <f t="shared" ref="AL68:AL73" si="198">Z68</f>
        <v>#DIV/0!</v>
      </c>
      <c r="AM68" s="637" t="e">
        <f t="shared" ref="AM68:AM73" si="199">IF(ABS(AM$66)&gt;=ABS(AN$66),AM$66,AN$66)+IF(Z68="Y",P$66,0)*SIGN(IF(ABS(AM$66)&gt;=ABS(AN$66),AM$66,AN$66))</f>
        <v>#DIV/0!</v>
      </c>
      <c r="AN68" s="638" t="e">
        <f xml:space="preserve">              IF(ABS(AM$66)&gt;=ABS(AN$66),AN$66,AM$66)+IF(Z68="Y",P$66,0)*SIGN(IF(ABS(AM$66)&gt;=ABS(AN$66),AM$66,AN$66))</f>
        <v>#DIV/0!</v>
      </c>
      <c r="AO68" s="738" t="e">
        <f t="shared" ref="AO68:AO73" si="200">IF(ABS(AO$66)&gt;=ABS(AP$66),AO$66,AP$66)+IF(Z68="Z",R$66,0)*SIGN(IF(ABS(AO$66)&gt;=ABS(AP$66),AO$66,AP$66))</f>
        <v>#DIV/0!</v>
      </c>
      <c r="AP68" s="638" t="e">
        <f xml:space="preserve">  IF(ABS(AO$66)&gt;=ABS(AP$66),AP$66,AO$66)+IF(Z68="Z",R$66,0)*SIGN(IF(ABS(AO$66)&gt;=ABS(AP$66),AO$66,AP$56))</f>
        <v>#DIV/0!</v>
      </c>
      <c r="AQ68" s="741">
        <f>MAX(ABS(AM66),ABS(AN66))*(IF(ABS(AM66)&gt;=ABS(AN66),SIGN(AM66),SIGN(AN66)))</f>
        <v>0.01</v>
      </c>
      <c r="AR68" s="742">
        <f>MIN(ABS(AM66),ABS(AN66))*(IF(ABS(AM66)&lt;ABS(AN66),SIGN(AM66),SIGN(AN66)))</f>
        <v>0.01</v>
      </c>
      <c r="AS68" s="741">
        <f>MAX(ABS(AO66),ABS(AP66))*(IF(ABS(AO66)&gt;=ABS(AP66),SIGN(AO66),SIGN(AP66)))</f>
        <v>0.01</v>
      </c>
      <c r="AT68" s="742">
        <f>MIN(ABS(AO66),ABS(AP66))*(IF(ABS(AO66)&lt;ABS(AP66),SIGN(AO66),SIGN(AP66)))</f>
        <v>0.01</v>
      </c>
      <c r="AU68" s="758">
        <f>MAX(ABS(0.6*AQ68+0.4*AR68),ABS(0.4*AQ68))</f>
        <v>0.01</v>
      </c>
      <c r="AV68" s="759">
        <f>MAX(ABS(0.6*AS68+0.4*AT68),ABS(0.4*AS68))</f>
        <v>0.01</v>
      </c>
      <c r="AW68" s="758">
        <f>MAX(ABS(AQ68),ABS(AR68))</f>
        <v>0.01</v>
      </c>
      <c r="AX68" s="759">
        <f>MAX(ABS(AS68),ABS(AT68))</f>
        <v>0.01</v>
      </c>
      <c r="AY68" s="758">
        <f>ABS(AR68)*IF(SIGN(AQ68)=SIGN(AR68),1,-1)</f>
        <v>0.01</v>
      </c>
      <c r="AZ68" s="759">
        <f>ABS(AT68)*IF(SIGN(AS68)=SIGN(AT68),1,-1)</f>
        <v>0.01</v>
      </c>
      <c r="BA68" s="765">
        <f>MAX(ABS(0.6*AQ68+0.4*AR68)+P66,ABS(0.4*AQ68)+0.4*P66)</f>
        <v>0.01</v>
      </c>
      <c r="BB68" s="766">
        <f>MAX(ABS(0.6*AS68+0.4*AT68)+R66,ABS(0.4*AS68)+0.4*R66)</f>
        <v>0.01</v>
      </c>
      <c r="BC68" s="765">
        <f>MAX(ABS(AQ68),ABS(AR68))+P66</f>
        <v>0.01</v>
      </c>
      <c r="BD68" s="766">
        <f>MAX(ABS(AS68),ABS(AT68))+R66</f>
        <v>0.01</v>
      </c>
      <c r="BE68" s="765">
        <f xml:space="preserve">           AY68+     P66</f>
        <v>0.01</v>
      </c>
      <c r="BF68" s="766">
        <f xml:space="preserve">           AZ68+        R66</f>
        <v>0.01</v>
      </c>
      <c r="BG68" s="765">
        <f>MAX(BA68,BC68)</f>
        <v>0.01</v>
      </c>
      <c r="BH68" s="801">
        <f>MAX(BB68,BD68)</f>
        <v>0.01</v>
      </c>
      <c r="BI68" s="765" t="e">
        <f>IF(MAIN!D$21="N",CC68+ABS(BO68),MAX(BA68+CC68,BC68,  ABS(BE68-   IF(DB$23="Top",Slen!N$28,Slen!N$27)   *CC68/2-2*P$66)             ))</f>
        <v>#DIV/0!</v>
      </c>
      <c r="BJ68" s="766" t="e">
        <f>IF(MAIN!D$22="N",CD68+ABS(BQ68),MAX(BB68+CD68,BD68,     ABS(BF68-     IF(DC$23="Top",Slen!N$11,Slen!N$10)   *CD68/2-2*R$66)              ))</f>
        <v>#DIV/0!</v>
      </c>
      <c r="BK68" s="765" t="e">
        <f>IF(MAIN!D$21="N",CC68+ABS(BO68),MAX(BA68+CC68,BC68,  ABS(BE68-    IF(DB$23="Top",Slen!N$28,Slen!N$27)   *CC68/2-2*P$66)             ))</f>
        <v>#DIV/0!</v>
      </c>
      <c r="BL68" s="766" t="e">
        <f>IF(MAIN!D$22="N",CD68+ABS(AS68),MAX(AV68+CF68,AX68,   ABS(AZ68-   IF(DC$23="Top",Slen!N$11,Slen!N$10)    *CF68/2)                    ))</f>
        <v>#DIV/0!</v>
      </c>
      <c r="BM68" s="765" t="e">
        <f>IF(MAIN!D$21="N",CC68+ABS(AQ68),MAX(AU68+CE68,AW68,   ABS(AY68-     IF(DB$23="Top",Slen!N$28,Slen!N$27)    *CE68/2)             ))</f>
        <v>#DIV/0!</v>
      </c>
      <c r="BN68" s="766" t="e">
        <f>IF(MAIN!D$22="N",CD68+ABS(BQ68),MAX(BB68+CD68,BD68,   ABS(BF68-   IF(DC$23="Top",Slen!N$11,Slen!N$10)   *CD68/2-2*R$66)                ))</f>
        <v>#DIV/0!</v>
      </c>
      <c r="BO68" s="812">
        <f xml:space="preserve">         IF(ABS(AM66)&gt;=ABS(AN66),AM66,AN66)+P66*SIGN(IF(ABS(AM66)&gt;=ABS(AN66),AM66,AN66))</f>
        <v>0.01</v>
      </c>
      <c r="BP68" s="806">
        <f xml:space="preserve">         IF(ABS(AM66)&gt;=ABS(AN66),AN66,AM66)+P66*SIGN(IF(ABS(AM66)&gt;=ABS(AN66),AM66,AN66))</f>
        <v>0.01</v>
      </c>
      <c r="BQ68" s="805">
        <f xml:space="preserve">         IF(ABS(AO66)&gt;=ABS(AP66),AO66,AP66)+R66   *SIGN(IF(ABS(AO66)&gt;=ABS(AP66),AO66,AP66))</f>
        <v>0.01</v>
      </c>
      <c r="BR68" s="806">
        <f>IF(ABS(AO66)&gt;=ABS(AP66),AP66,AO66)+R66*SIGN(IF(ABS(AO66)&gt;=ABS(AP66),AO66,AP66))</f>
        <v>0.01</v>
      </c>
      <c r="BS68" s="324">
        <f>MIN(1,(Slen!I34-H$66)/(Slen!I34-Slen!J34))</f>
        <v>1</v>
      </c>
      <c r="BT68" s="324">
        <f>MIN(1,(Slen!I17-H$66)/(Slen!I17-Slen!J17))</f>
        <v>1</v>
      </c>
      <c r="BU68" s="748" t="e">
        <f>MIN(50,Slen!K34*(1.7-IF(LEFT(MAIN!D$21)="N",1,BP68/BO68))/SQRT(H$66))</f>
        <v>#DIV/0!</v>
      </c>
      <c r="BV68" s="748" t="e">
        <f>MIN(50,Slen!K17*(1.7-IF(LEFT(MAIN!D$22)="N",1,BR68/BQ68))/SQRT(H$66))</f>
        <v>#DIV/0!</v>
      </c>
      <c r="BW68" s="748" t="e">
        <f>MIN(50,Slen!K34*(1.7-IF(LEFT(MAIN!D$21)="N",1,AR68/AQ68))/SQRT(H$66))</f>
        <v>#DIV/0!</v>
      </c>
      <c r="BX68" s="748" t="e">
        <f>MIN(50,Slen!K17*(1.7-IF(LEFT(MAIN!D$22)="N",1,AT68/AS68))/SQRT(H$66))</f>
        <v>#DIV/0!</v>
      </c>
      <c r="BY68" s="324" t="e">
        <f>IF(AND(MAIN!C$11&lt;=2,Slen!G34&lt;=75,1000*ABS(BO68)/MAIN!C$47&gt;=MAIN!C$13),1,MAX(1,1+F8*T$66))</f>
        <v>#DIV/0!</v>
      </c>
      <c r="BZ68" s="324" t="e">
        <f>IF(AND(MAIN!C$11&lt;=2,Slen!G17&lt;=75,1000*ABS(BQ68)/MAIN!C$47&gt;=MAIN!C$14),1,MAX(1,1+G8*T$66))</f>
        <v>#DIV/0!</v>
      </c>
      <c r="CA68" s="403" t="e">
        <f t="shared" ref="CA68:CB73" si="201">BS68*BY68*H8</f>
        <v>#DIV/0!</v>
      </c>
      <c r="CB68" s="403" t="e">
        <f t="shared" si="201"/>
        <v>#DIV/0!</v>
      </c>
      <c r="CC68" s="403" t="e">
        <f>1000*IF(Slen!G34&gt;BU68,E$66*CA68*(Slen!G$29/1000)^2/IF(MAIN!D$47=MAIN!F$47,8,PI()^2),0)</f>
        <v>#DIV/0!</v>
      </c>
      <c r="CD68" s="403" t="e">
        <f>1000*IF(Slen!G17&gt;BV68,E$66*CB68*(Slen!G$12/1000)^2/IF(MAIN!E$47=MAIN!G$47,8,PI()^2),0)</f>
        <v>#DIV/0!</v>
      </c>
      <c r="CE68" s="403" t="e">
        <f>1000*IF(Slen!G34&gt;BW68,E$66*CA68*(Slen!G$29/1000)^2/IF(MAIN!D$47=MAIN!F$47,8,PI()^2),0)</f>
        <v>#DIV/0!</v>
      </c>
      <c r="CF68" s="403" t="e">
        <f>1000*IF(Slen!G17&gt;BX68,E$66*CB68*(Slen!G$12/1000)^2/IF(MAIN!E$47=MAIN!G$47,8,PI()^2),0)</f>
        <v>#DIV/0!</v>
      </c>
      <c r="CG68" s="261" t="e">
        <f>(BK68/U68)^X68+(BL68/V68)^X68</f>
        <v>#DIV/0!</v>
      </c>
      <c r="CH68" s="261" t="e">
        <f t="shared" ref="CH68:CH73" si="202">(BM68/U68)^X68+(BN68/V68)^X68</f>
        <v>#DIV/0!</v>
      </c>
      <c r="CI68" s="304" t="e">
        <f>IF(ISERROR(E8),0,    IF(AND(CK68&gt;CG68,CK68&gt;CH68),"NO",      IF(CG68&gt;      CH68,"Y","Z")))</f>
        <v>#DIV/0!</v>
      </c>
      <c r="CJ68" s="261" t="e">
        <f>(BI68/U68)^X68+(BJ68/V68)^X68</f>
        <v>#DIV/0!</v>
      </c>
      <c r="CK68" s="261" t="e">
        <f>(BM68/U68)^X68+(BL68/V68)^X68</f>
        <v>#DIV/0!</v>
      </c>
    </row>
    <row r="69" spans="2:89" ht="18">
      <c r="B69" s="367">
        <f t="shared" si="189"/>
        <v>32</v>
      </c>
      <c r="C69" s="412">
        <f t="shared" si="189"/>
        <v>10266.056694323323</v>
      </c>
      <c r="D69" s="304" t="e">
        <f t="shared" si="190"/>
        <v>#DIV/0!</v>
      </c>
      <c r="E69" s="304" t="e">
        <f>IF(AND(D69&lt;=1,E66&lt;=C69,D$9&gt;=F66),"ok","Fails")</f>
        <v>#DIV/0!</v>
      </c>
      <c r="F69" s="304" t="e">
        <f>IF(AND(E69="ok",SUM(F70:F73)=0),B69,0)</f>
        <v>#DIV/0!</v>
      </c>
      <c r="G69" s="324">
        <f>MIN(1,(Slen!I35-H$66)/(Slen!I35-Slen!J35))</f>
        <v>1</v>
      </c>
      <c r="H69" s="324">
        <f>MIN(1,(Slen!I18-H$66)/(Slen!I18-Slen!J18))</f>
        <v>1</v>
      </c>
      <c r="I69" s="825" t="e">
        <f>MIN(50,Slen!K35*(1.7-IF(LEFT(MAIN!D$21)="N",1,AN69/AM69))/SQRT(H$66))</f>
        <v>#DIV/0!</v>
      </c>
      <c r="J69" s="826" t="e">
        <f>MIN(50,Slen!K18*(1.7-IF(LEFT(MAIN!D$22)="N",1,AP69/AO69))/SQRT(H$66))</f>
        <v>#DIV/0!</v>
      </c>
      <c r="K69" s="324" t="e">
        <f>IF(AND(MAIN!C$11&lt;=2,Slen!G35&lt;=75,1000*ABS(Cases!AM$68)/MAIN!C$47&gt;=MAIN!C$13),1,MAX(1,1+F9*T$16))</f>
        <v>#DIV/0!</v>
      </c>
      <c r="L69" s="324" t="e">
        <f>IF(AND(MAIN!C$11&lt;=2,Slen!G18&lt;=75,1000*ABS(Cases!AO$68)/MAIN!C$47&gt;=MAIN!C$14),1,MAX(1,1+G9*T$16))</f>
        <v>#DIV/0!</v>
      </c>
      <c r="M69" s="403" t="e">
        <f>G69*K69*H$9</f>
        <v>#DIV/0!</v>
      </c>
      <c r="N69" s="403" t="e">
        <f>H69*L69*I$9</f>
        <v>#DIV/0!</v>
      </c>
      <c r="O69" s="403" t="e">
        <f>1000*IF(Slen!G35&gt;I69,E$66*M69*(Slen!G$29/1000)^2/IF(MAIN!D$47=MAIN!F$47,8,PI()^2),0)</f>
        <v>#DIV/0!</v>
      </c>
      <c r="P69" s="403" t="e">
        <f>1000*IF(Slen!G18&gt;J69,E$66*N69*(Slen!G$12/1000)^2/IF(MAIN!E$47=MAIN!G$47,8,PI()^2),0)</f>
        <v>#DIV/0!</v>
      </c>
      <c r="Q69" s="629" t="e">
        <f t="shared" si="191"/>
        <v>#DIV/0!</v>
      </c>
      <c r="R69" s="629" t="e">
        <f t="shared" si="192"/>
        <v>#DIV/0!</v>
      </c>
      <c r="S69" s="630">
        <f t="shared" si="193"/>
        <v>0</v>
      </c>
      <c r="T69" s="630">
        <f t="shared" si="194"/>
        <v>0</v>
      </c>
      <c r="U69" s="322">
        <f>IF(E66&gt;E$9,0,AA69+AC69*(E66-AB69)/AD69)</f>
        <v>1448.066726156602</v>
      </c>
      <c r="V69" s="322">
        <f>IF(E66&gt;E$9,0,AE69+AG69*(E66-AF69)/AH69)</f>
        <v>307.36563793252878</v>
      </c>
      <c r="W69" s="403">
        <f>1000*MAIN!C$47/J9</f>
        <v>0</v>
      </c>
      <c r="X69" s="261">
        <f t="shared" si="195"/>
        <v>1</v>
      </c>
      <c r="Y69" s="403" t="e">
        <f t="shared" si="196"/>
        <v>#DIV/0!</v>
      </c>
      <c r="Z69" s="409" t="e">
        <f t="shared" si="197"/>
        <v>#DIV/0!</v>
      </c>
      <c r="AA69" s="413">
        <f>HLOOKUP(E66,Ycal!D$111:BO$112,2)</f>
        <v>1433.5505793928455</v>
      </c>
      <c r="AB69" s="322">
        <f>HLOOKUP(E66,Ycal!D$111:BO$112,1)</f>
        <v>-50.611070171779488</v>
      </c>
      <c r="AC69" s="322">
        <f>HLOOKUP(E66,Ycal!D$111:BO$115,5)</f>
        <v>50.009973857426758</v>
      </c>
      <c r="AD69" s="414">
        <f>HLOOKUP(E66,Ycal!D$111:BO$115,4)</f>
        <v>174.36158075409801</v>
      </c>
      <c r="AE69" s="413">
        <f>HLOOKUP(E66,Zcal!D$111:BO$112,2)</f>
        <v>307.00549718855007</v>
      </c>
      <c r="AF69" s="322">
        <f>HLOOKUP(E66,Zcal!D$111:BO$112,1)</f>
        <v>-3.651485694919713</v>
      </c>
      <c r="AG69" s="322">
        <f>HLOOKUP(E66,Zcal!D$111:BO$115,5)</f>
        <v>14.648557357208745</v>
      </c>
      <c r="AH69" s="414">
        <f>HLOOKUP(E66,Zcal!D$111:BO$115,4)</f>
        <v>148.52248332173934</v>
      </c>
      <c r="AJ69" s="794" t="e">
        <f xml:space="preserve"> IF(OR(MAIN!E$29="BOTH AXES",Z69 ="Y"),         MAX(P$65,BI69),     BM69)</f>
        <v>#DIV/0!</v>
      </c>
      <c r="AK69" s="677" t="e">
        <f xml:space="preserve">       IF(OR(MAIN!E$29="BOTH AXES",Z69 ="Z"),    MAX(R$65,BJ69),           BL69)</f>
        <v>#DIV/0!</v>
      </c>
      <c r="AL69" s="672" t="e">
        <f t="shared" si="198"/>
        <v>#DIV/0!</v>
      </c>
      <c r="AM69" s="639" t="e">
        <f t="shared" si="199"/>
        <v>#DIV/0!</v>
      </c>
      <c r="AN69" s="640" t="e">
        <f t="shared" ref="AN69:AN73" si="203" xml:space="preserve">              IF(ABS(AM$66)&gt;=ABS(AN$66),AN$66,AM$66)+IF(Z69="Y",P$66,0)*SIGN(IF(ABS(AM$66)&gt;=ABS(AN$66),AM$66,AN$66))</f>
        <v>#DIV/0!</v>
      </c>
      <c r="AO69" s="739" t="e">
        <f t="shared" si="200"/>
        <v>#DIV/0!</v>
      </c>
      <c r="AP69" s="640" t="e">
        <f t="shared" ref="AP69:AP73" si="204" xml:space="preserve">  IF(ABS(AO$66)&gt;=ABS(AP$66),AP$66,AO$66)+IF(Z69="Z",R$66,0)*SIGN(IF(ABS(AO$66)&gt;=ABS(AP$66),AO$66,AP$56))</f>
        <v>#DIV/0!</v>
      </c>
      <c r="AQ69" s="743">
        <f t="shared" ref="AQ69:AQ73" si="205">AQ68</f>
        <v>0.01</v>
      </c>
      <c r="AR69" s="744">
        <f t="shared" ref="AR69:AR73" si="206">AR68</f>
        <v>0.01</v>
      </c>
      <c r="AS69" s="743">
        <f t="shared" ref="AS69:AT73" si="207">AS68</f>
        <v>0.01</v>
      </c>
      <c r="AT69" s="744">
        <f t="shared" ref="AT69" si="208">AT68</f>
        <v>0.01</v>
      </c>
      <c r="AU69" s="760">
        <f t="shared" ref="AU69:AV69" si="209">AU68</f>
        <v>0.01</v>
      </c>
      <c r="AV69" s="761">
        <f t="shared" si="209"/>
        <v>0.01</v>
      </c>
      <c r="AW69" s="760">
        <f>AW68</f>
        <v>0.01</v>
      </c>
      <c r="AX69" s="761">
        <f>AX68</f>
        <v>0.01</v>
      </c>
      <c r="AY69" s="760">
        <f>AY68</f>
        <v>0.01</v>
      </c>
      <c r="AZ69" s="761">
        <f>AZ68</f>
        <v>0.01</v>
      </c>
      <c r="BA69" s="767">
        <f t="shared" ref="BA69:BD69" si="210">BA68</f>
        <v>0.01</v>
      </c>
      <c r="BB69" s="768">
        <f t="shared" si="210"/>
        <v>0.01</v>
      </c>
      <c r="BC69" s="767">
        <f t="shared" si="210"/>
        <v>0.01</v>
      </c>
      <c r="BD69" s="768">
        <f t="shared" si="210"/>
        <v>0.01</v>
      </c>
      <c r="BE69" s="767">
        <f>BE68</f>
        <v>0.01</v>
      </c>
      <c r="BF69" s="768">
        <f>BF68</f>
        <v>0.01</v>
      </c>
      <c r="BG69" s="767">
        <f t="shared" ref="BG69:BH73" si="211">BG68</f>
        <v>0.01</v>
      </c>
      <c r="BH69" s="799">
        <f t="shared" si="211"/>
        <v>0.01</v>
      </c>
      <c r="BI69" s="767" t="e">
        <f>IF(MAIN!D$21="N",CC69+ABS(BO69),MAX(BA69+CC69,BC69,  ABS(BE69-   IF(DB$23="Top",Slen!N$28,Slen!N$27)   *CC69/2-2*P$66)             ))</f>
        <v>#DIV/0!</v>
      </c>
      <c r="BJ69" s="768" t="e">
        <f>IF(MAIN!D$22="N",CD69+ABS(BQ69),MAX(BB69+CD69,BD69,     ABS(BF69-     IF(DC$23="Top",Slen!N$11,Slen!N$10)   *CD69/2-2*R$66)              ))</f>
        <v>#DIV/0!</v>
      </c>
      <c r="BK69" s="767" t="e">
        <f>IF(MAIN!D$21="N",CC69+ABS(BO69),MAX(BA69+CC69,BC69,  ABS(BE69-    IF(DB$23="Top",Slen!N$28,Slen!N$27)   *CC69/2-2*P$66)             ))</f>
        <v>#DIV/0!</v>
      </c>
      <c r="BL69" s="768" t="e">
        <f>IF(MAIN!D$22="N",CD69+ABS(AS69),MAX(AV69+CF69,AX69,   ABS(AZ69-   IF(DC$23="Top",Slen!N$11,Slen!N$10)    *CF69/2)                    ))</f>
        <v>#DIV/0!</v>
      </c>
      <c r="BM69" s="767" t="e">
        <f>IF(MAIN!D$21="N",CC69+ABS(AQ69),MAX(AU69+CE69,AW69,   ABS(AY69-     IF(DB$23="Top",Slen!N$28,Slen!N$27)    *CE69/2)             ))</f>
        <v>#DIV/0!</v>
      </c>
      <c r="BN69" s="768" t="e">
        <f>IF(MAIN!D$22="N",CD69+ABS(BQ69),MAX(BB69+CD69,BD69,   ABS(BF69-   IF(DC$23="Top",Slen!N$11,Slen!N$10)   *CD69/2-2*R$66)                ))</f>
        <v>#DIV/0!</v>
      </c>
      <c r="BO69" s="811">
        <f>BO68</f>
        <v>0.01</v>
      </c>
      <c r="BP69" s="808">
        <f>BP68</f>
        <v>0.01</v>
      </c>
      <c r="BQ69" s="807">
        <f>BQ68</f>
        <v>0.01</v>
      </c>
      <c r="BR69" s="808">
        <f>BR68</f>
        <v>0.01</v>
      </c>
      <c r="BS69" s="324">
        <f>MIN(1,(Slen!I35-H$66)/(Slen!I35-Slen!J35))</f>
        <v>1</v>
      </c>
      <c r="BT69" s="324">
        <f>MIN(1,(Slen!I18-H$66)/(Slen!I18-Slen!J18))</f>
        <v>1</v>
      </c>
      <c r="BU69" s="748" t="e">
        <f>MIN(50,Slen!K35*(1.7-IF(LEFT(MAIN!D$21)="N",1,BP69/BO69))/SQRT(H$66))</f>
        <v>#DIV/0!</v>
      </c>
      <c r="BV69" s="748" t="e">
        <f>MIN(50,Slen!K18*(1.7-IF(LEFT(MAIN!D$22)="N",1,BR69/BQ69))/SQRT(H$66))</f>
        <v>#DIV/0!</v>
      </c>
      <c r="BW69" s="748" t="e">
        <f>MIN(50,Slen!K35*(1.7-IF(LEFT(MAIN!D$21)="N",1,AR69/AQ69))/SQRT(H$66))</f>
        <v>#DIV/0!</v>
      </c>
      <c r="BX69" s="748" t="e">
        <f>MIN(50,Slen!K18*(1.7-IF(LEFT(MAIN!D$22)="N",1,AT69/AS69))/SQRT(H$66))</f>
        <v>#DIV/0!</v>
      </c>
      <c r="BY69" s="324" t="e">
        <f>IF(AND(MAIN!C$11&lt;=2,Slen!G35&lt;=75,1000*ABS(BO69)/MAIN!C$47&gt;=MAIN!C$13),1,MAX(1,1+F9*T$66))</f>
        <v>#DIV/0!</v>
      </c>
      <c r="BZ69" s="324" t="e">
        <f>IF(AND(MAIN!C$11&lt;=2,Slen!G18&lt;=75,1000*ABS(BQ69)/MAIN!C$47&gt;=MAIN!C$14),1,MAX(1,1+G9*T$66))</f>
        <v>#DIV/0!</v>
      </c>
      <c r="CA69" s="403" t="e">
        <f t="shared" si="201"/>
        <v>#DIV/0!</v>
      </c>
      <c r="CB69" s="403" t="e">
        <f t="shared" si="201"/>
        <v>#DIV/0!</v>
      </c>
      <c r="CC69" s="403" t="e">
        <f>1000*IF(Slen!G35&gt;BU69,E$66*CA69*(Slen!G$29/1000)^2/IF(MAIN!D$47=MAIN!F$47,8,PI()^2),0)</f>
        <v>#DIV/0!</v>
      </c>
      <c r="CD69" s="403" t="e">
        <f>1000*IF(Slen!G18&gt;BV69,E$66*CB69*(Slen!G$12/1000)^2/IF(MAIN!E$47=MAIN!G$47,8,PI()^2),0)</f>
        <v>#DIV/0!</v>
      </c>
      <c r="CE69" s="403" t="e">
        <f>1000*IF(Slen!G35&gt;BW69,E$66*CA69*(Slen!G$29/1000)^2/IF(MAIN!D$47=MAIN!F$47,8,PI()^2),0)</f>
        <v>#DIV/0!</v>
      </c>
      <c r="CF69" s="403" t="e">
        <f>1000*IF(Slen!G18&gt;BX69,E$66*CB69*(Slen!G$12/1000)^2/IF(MAIN!E$47=MAIN!G$47,8,PI()^2),0)</f>
        <v>#DIV/0!</v>
      </c>
      <c r="CG69" s="261" t="e">
        <f t="shared" ref="CG69:CG73" si="212">(BK69/U69)^X69+(BL69/V69)^X69</f>
        <v>#DIV/0!</v>
      </c>
      <c r="CH69" s="261" t="e">
        <f t="shared" si="202"/>
        <v>#DIV/0!</v>
      </c>
      <c r="CI69" s="304" t="e">
        <f t="shared" ref="CI69:CI73" si="213">IF(ISERROR(E9),0,    IF(AND(CK69&gt;CG69,CK69&gt;CH69),"NO",      IF(CG69&gt;      CH69,"Y","Z")))</f>
        <v>#DIV/0!</v>
      </c>
      <c r="CJ69" s="261" t="e">
        <f t="shared" ref="CJ69:CJ73" si="214">(BI69/U69)^X69+(BJ69/V69)^X69</f>
        <v>#DIV/0!</v>
      </c>
      <c r="CK69" s="261" t="e">
        <f t="shared" ref="CK69:CK73" si="215">(BM69/U69)^X69+(BL69/V69)^X69</f>
        <v>#DIV/0!</v>
      </c>
    </row>
    <row r="70" spans="2:89" ht="18">
      <c r="B70" s="367">
        <f t="shared" si="189"/>
        <v>25</v>
      </c>
      <c r="C70" s="412">
        <f t="shared" si="189"/>
        <v>9445.4349940938246</v>
      </c>
      <c r="D70" s="304" t="e">
        <f t="shared" si="190"/>
        <v>#DIV/0!</v>
      </c>
      <c r="E70" s="304" t="e">
        <f>IF(AND(D70&lt;=1,E66&lt;=C70,D$10&gt;=F66),"ok","Fails")</f>
        <v>#DIV/0!</v>
      </c>
      <c r="F70" s="304" t="e">
        <f>IF(AND(E70="ok",SUM(F71:F73)=0),B70,0)</f>
        <v>#DIV/0!</v>
      </c>
      <c r="G70" s="324">
        <f>MIN(1,(Slen!I36-H$66)/(Slen!I36-Slen!J36))</f>
        <v>1</v>
      </c>
      <c r="H70" s="324">
        <f>MIN(1,(Slen!I19-H$66)/(Slen!I19-Slen!J19))</f>
        <v>1</v>
      </c>
      <c r="I70" s="825" t="e">
        <f>MIN(50,Slen!K36*(1.7-IF(LEFT(MAIN!D$21)="N",1,AN70/AM70))/SQRT(H$66))</f>
        <v>#DIV/0!</v>
      </c>
      <c r="J70" s="826" t="e">
        <f>MIN(50,Slen!K19*(1.7-IF(LEFT(MAIN!D$22)="N",1,AP70/AO70))/SQRT(H$66))</f>
        <v>#DIV/0!</v>
      </c>
      <c r="K70" s="324" t="e">
        <f>IF(AND(MAIN!C$11&lt;=2,Slen!G36&lt;=75,1000*ABS(Cases!AM$68)/MAIN!C$47&gt;=MAIN!C$13),1,MAX(1,1+F10*T$16))</f>
        <v>#DIV/0!</v>
      </c>
      <c r="L70" s="324" t="e">
        <f>IF(AND(MAIN!C$11&lt;=2,Slen!G19&lt;=75,1000*ABS(Cases!AO$68)/MAIN!C$47&gt;=MAIN!C$14),1,MAX(1,1+G10*T$16))</f>
        <v>#DIV/0!</v>
      </c>
      <c r="M70" s="403" t="e">
        <f>G70*K70*H$10</f>
        <v>#DIV/0!</v>
      </c>
      <c r="N70" s="403" t="e">
        <f>H70*L70*I$10</f>
        <v>#DIV/0!</v>
      </c>
      <c r="O70" s="403" t="e">
        <f>1000*IF(Slen!G36&gt;I70,E$66*M70*(Slen!G$29/1000)^2/IF(MAIN!D$47=MAIN!F$47,8,PI()^2),0)</f>
        <v>#DIV/0!</v>
      </c>
      <c r="P70" s="403" t="e">
        <f>1000*IF(Slen!G19&gt;J70,E$66*N70*(Slen!G$12/1000)^2/IF(MAIN!E$47=MAIN!G$47,8,PI()^2),0)</f>
        <v>#DIV/0!</v>
      </c>
      <c r="Q70" s="629" t="e">
        <f t="shared" si="191"/>
        <v>#DIV/0!</v>
      </c>
      <c r="R70" s="629" t="e">
        <f t="shared" si="192"/>
        <v>#DIV/0!</v>
      </c>
      <c r="S70" s="630">
        <f t="shared" si="193"/>
        <v>0</v>
      </c>
      <c r="T70" s="630">
        <f t="shared" si="194"/>
        <v>0</v>
      </c>
      <c r="U70" s="322">
        <f>IF(E66&gt;E$10,0,AA70+AC70*(E66-AB70)/AD70)</f>
        <v>925.93232395538928</v>
      </c>
      <c r="V70" s="322">
        <f>IF(E66&gt;E$10,0,AE70+AG70*(E66-AF70)/AH70)</f>
        <v>201.94270292656049</v>
      </c>
      <c r="W70" s="403">
        <f>1000*MAIN!C$47/J10</f>
        <v>0</v>
      </c>
      <c r="X70" s="261">
        <f t="shared" si="195"/>
        <v>1</v>
      </c>
      <c r="Y70" s="403" t="e">
        <f t="shared" si="196"/>
        <v>#DIV/0!</v>
      </c>
      <c r="Z70" s="409" t="e">
        <f t="shared" si="197"/>
        <v>#DIV/0!</v>
      </c>
      <c r="AA70" s="413">
        <f>HLOOKUP(E66,Ycal!D$163:BO$164,2)</f>
        <v>891.74644677133438</v>
      </c>
      <c r="AB70" s="322">
        <f>HLOOKUP(E66,Ycal!D$163:BO$164,1)</f>
        <v>-71.945844094742327</v>
      </c>
      <c r="AC70" s="322">
        <f>HLOOKUP(E66,Ycal!D$163:BO$168,5)</f>
        <v>42.67208689280119</v>
      </c>
      <c r="AD70" s="414">
        <f>HLOOKUP(E66,Ycal!D$163:BO$168,4)</f>
        <v>89.80548588113254</v>
      </c>
      <c r="AE70" s="413">
        <f>HLOOKUP(E66,Zcal!D$163:BO$164,2)</f>
        <v>185.97291827236458</v>
      </c>
      <c r="AF70" s="322">
        <f>HLOOKUP(E66,Zcal!D$163:BO$164,1)</f>
        <v>-151.81173587905965</v>
      </c>
      <c r="AG70" s="322">
        <f>HLOOKUP(E66,Zcal!D$163:BO$168,5)</f>
        <v>17.409746657893606</v>
      </c>
      <c r="AH70" s="414">
        <f>HLOOKUP(E66,Zcal!D$163:BO$168,4)</f>
        <v>165.5002818497658</v>
      </c>
      <c r="AJ70" s="794" t="e">
        <f xml:space="preserve"> IF(OR(MAIN!E$29="BOTH AXES",Z70 ="Y"),         MAX(P$65,BI70),     BM70)</f>
        <v>#DIV/0!</v>
      </c>
      <c r="AK70" s="677" t="e">
        <f xml:space="preserve">       IF(OR(MAIN!E$29="BOTH AXES",Z70 ="Z"),    MAX(R$65,BJ70),           BL70)</f>
        <v>#DIV/0!</v>
      </c>
      <c r="AL70" s="672" t="e">
        <f t="shared" si="198"/>
        <v>#DIV/0!</v>
      </c>
      <c r="AM70" s="639" t="e">
        <f t="shared" si="199"/>
        <v>#DIV/0!</v>
      </c>
      <c r="AN70" s="640" t="e">
        <f t="shared" si="203"/>
        <v>#DIV/0!</v>
      </c>
      <c r="AO70" s="739" t="e">
        <f t="shared" si="200"/>
        <v>#DIV/0!</v>
      </c>
      <c r="AP70" s="640" t="e">
        <f t="shared" si="204"/>
        <v>#DIV/0!</v>
      </c>
      <c r="AQ70" s="743">
        <f t="shared" si="205"/>
        <v>0.01</v>
      </c>
      <c r="AR70" s="744">
        <f t="shared" si="206"/>
        <v>0.01</v>
      </c>
      <c r="AS70" s="743">
        <f t="shared" si="207"/>
        <v>0.01</v>
      </c>
      <c r="AT70" s="744">
        <f t="shared" si="207"/>
        <v>0.01</v>
      </c>
      <c r="AU70" s="760">
        <f t="shared" ref="AU70:BF73" si="216">AU69</f>
        <v>0.01</v>
      </c>
      <c r="AV70" s="761">
        <f t="shared" si="216"/>
        <v>0.01</v>
      </c>
      <c r="AW70" s="760">
        <f t="shared" si="216"/>
        <v>0.01</v>
      </c>
      <c r="AX70" s="761">
        <f t="shared" si="216"/>
        <v>0.01</v>
      </c>
      <c r="AY70" s="760">
        <f t="shared" si="216"/>
        <v>0.01</v>
      </c>
      <c r="AZ70" s="761">
        <f t="shared" si="216"/>
        <v>0.01</v>
      </c>
      <c r="BA70" s="767">
        <f t="shared" si="216"/>
        <v>0.01</v>
      </c>
      <c r="BB70" s="768">
        <f t="shared" si="216"/>
        <v>0.01</v>
      </c>
      <c r="BC70" s="767">
        <f t="shared" si="216"/>
        <v>0.01</v>
      </c>
      <c r="BD70" s="768">
        <f t="shared" si="216"/>
        <v>0.01</v>
      </c>
      <c r="BE70" s="767">
        <f t="shared" si="216"/>
        <v>0.01</v>
      </c>
      <c r="BF70" s="768">
        <f t="shared" si="216"/>
        <v>0.01</v>
      </c>
      <c r="BG70" s="767">
        <f t="shared" si="211"/>
        <v>0.01</v>
      </c>
      <c r="BH70" s="799">
        <f t="shared" si="211"/>
        <v>0.01</v>
      </c>
      <c r="BI70" s="767" t="e">
        <f>IF(MAIN!D$21="N",CC70+ABS(BO70),MAX(BA70+CC70,BC70,  ABS(BE70-   IF(DB$23="Top",Slen!N$28,Slen!N$27)   *CC70/2-2*P$66)             ))</f>
        <v>#DIV/0!</v>
      </c>
      <c r="BJ70" s="768" t="e">
        <f>IF(MAIN!D$22="N",CD70+ABS(BQ70),MAX(BB70+CD70,BD70,     ABS(BF70-     IF(DC$23="Top",Slen!N$11,Slen!N$10)   *CD70/2-2*R$66)              ))</f>
        <v>#DIV/0!</v>
      </c>
      <c r="BK70" s="767" t="e">
        <f>IF(MAIN!D$21="N",CC70+ABS(BO70),MAX(BA70+CC70,BC70,  ABS(BE70-    IF(DB$23="Top",Slen!N$28,Slen!N$27)   *CC70/2-2*P$66)             ))</f>
        <v>#DIV/0!</v>
      </c>
      <c r="BL70" s="768" t="e">
        <f>IF(MAIN!D$22="N",CD70+ABS(AS70),MAX(AV70+CF70,AX70,   ABS(AZ70-   IF(DC$23="Top",Slen!N$11,Slen!N$10)    *CF70/2)                    ))</f>
        <v>#DIV/0!</v>
      </c>
      <c r="BM70" s="767" t="e">
        <f>IF(MAIN!D$21="N",CC70+ABS(AQ70),MAX(AU70+CE70,AW70,   ABS(AY70-     IF(DB$23="Top",Slen!N$28,Slen!N$27)    *CE70/2)             ))</f>
        <v>#DIV/0!</v>
      </c>
      <c r="BN70" s="768" t="e">
        <f>IF(MAIN!D$22="N",CD70+ABS(BQ70),MAX(BB70+CD70,BD70,   ABS(BF70-   IF(DC$23="Top",Slen!N$11,Slen!N$10)   *CD70/2-2*R$66)                ))</f>
        <v>#DIV/0!</v>
      </c>
      <c r="BO70" s="811">
        <f t="shared" ref="BO70:BO73" si="217">BO69</f>
        <v>0.01</v>
      </c>
      <c r="BP70" s="808">
        <f t="shared" ref="BP70:BP73" si="218">BP69</f>
        <v>0.01</v>
      </c>
      <c r="BQ70" s="807">
        <f t="shared" ref="BQ70:BQ73" si="219">BQ69</f>
        <v>0.01</v>
      </c>
      <c r="BR70" s="808">
        <f t="shared" ref="BR70:BR73" si="220">BR69</f>
        <v>0.01</v>
      </c>
      <c r="BS70" s="324">
        <f>MIN(1,(Slen!I36-H$66)/(Slen!I36-Slen!J36))</f>
        <v>1</v>
      </c>
      <c r="BT70" s="324">
        <f>MIN(1,(Slen!I19-H$66)/(Slen!I19-Slen!J19))</f>
        <v>1</v>
      </c>
      <c r="BU70" s="748" t="e">
        <f>MIN(50,Slen!K36*(1.7-IF(LEFT(MAIN!D$21)="N",1,BP70/BO70))/SQRT(H$66))</f>
        <v>#DIV/0!</v>
      </c>
      <c r="BV70" s="748" t="e">
        <f>MIN(50,Slen!K19*(1.7-IF(LEFT(MAIN!D$22)="N",1,BR70/BQ70))/SQRT(H$66))</f>
        <v>#DIV/0!</v>
      </c>
      <c r="BW70" s="748" t="e">
        <f>MIN(50,Slen!K36*(1.7-IF(LEFT(MAIN!D$21)="N",1,AR70/AQ70))/SQRT(H$66))</f>
        <v>#DIV/0!</v>
      </c>
      <c r="BX70" s="748" t="e">
        <f>MIN(50,Slen!K19*(1.7-IF(LEFT(MAIN!D$22)="N",1,AT70/AS70))/SQRT(H$66))</f>
        <v>#DIV/0!</v>
      </c>
      <c r="BY70" s="324" t="e">
        <f>IF(AND(MAIN!C$11&lt;=2,Slen!G36&lt;=75,1000*ABS(BO70)/MAIN!C$47&gt;=MAIN!C$13),1,MAX(1,1+F10*T$66))</f>
        <v>#DIV/0!</v>
      </c>
      <c r="BZ70" s="324" t="e">
        <f>IF(AND(MAIN!C$11&lt;=2,Slen!G19&lt;=75,1000*ABS(BQ70)/MAIN!C$47&gt;=MAIN!C$14),1,MAX(1,1+G10*T$66))</f>
        <v>#DIV/0!</v>
      </c>
      <c r="CA70" s="403" t="e">
        <f t="shared" si="201"/>
        <v>#DIV/0!</v>
      </c>
      <c r="CB70" s="403" t="e">
        <f t="shared" si="201"/>
        <v>#DIV/0!</v>
      </c>
      <c r="CC70" s="403" t="e">
        <f>1000*IF(Slen!G36&gt;BU70,E$66*CA70*(Slen!G$29/1000)^2/IF(MAIN!D$47=MAIN!F$47,8,PI()^2),0)</f>
        <v>#DIV/0!</v>
      </c>
      <c r="CD70" s="403" t="e">
        <f>1000*IF(Slen!G19&gt;BV70,E$66*CB70*(Slen!G$12/1000)^2/IF(MAIN!E$47=MAIN!G$47,8,PI()^2),0)</f>
        <v>#DIV/0!</v>
      </c>
      <c r="CE70" s="403" t="e">
        <f>1000*IF(Slen!G36&gt;BW70,E$66*CA70*(Slen!G$29/1000)^2/IF(MAIN!D$47=MAIN!F$47,8,PI()^2),0)</f>
        <v>#DIV/0!</v>
      </c>
      <c r="CF70" s="403" t="e">
        <f>1000*IF(Slen!G19&gt;BX70,E$66*CB70*(Slen!G$12/1000)^2/IF(MAIN!E$47=MAIN!G$47,8,PI()^2),0)</f>
        <v>#DIV/0!</v>
      </c>
      <c r="CG70" s="261" t="e">
        <f t="shared" si="212"/>
        <v>#DIV/0!</v>
      </c>
      <c r="CH70" s="261" t="e">
        <f t="shared" si="202"/>
        <v>#DIV/0!</v>
      </c>
      <c r="CI70" s="304" t="e">
        <f t="shared" si="213"/>
        <v>#DIV/0!</v>
      </c>
      <c r="CJ70" s="261" t="e">
        <f t="shared" si="214"/>
        <v>#DIV/0!</v>
      </c>
      <c r="CK70" s="261" t="e">
        <f t="shared" si="215"/>
        <v>#DIV/0!</v>
      </c>
    </row>
    <row r="71" spans="2:89" ht="18">
      <c r="B71" s="367">
        <f t="shared" si="189"/>
        <v>20</v>
      </c>
      <c r="C71" s="412">
        <f t="shared" si="189"/>
        <v>8982.6783962200461</v>
      </c>
      <c r="D71" s="304" t="e">
        <f t="shared" si="190"/>
        <v>#DIV/0!</v>
      </c>
      <c r="E71" s="304" t="e">
        <f>IF(AND(D71&lt;=1,E66&lt;=C71,D$11&gt;=F66),"ok","Fails")</f>
        <v>#DIV/0!</v>
      </c>
      <c r="F71" s="304" t="e">
        <f>IF(AND(E71="ok",SUM(F72:F73)=0),B71,0)</f>
        <v>#DIV/0!</v>
      </c>
      <c r="G71" s="324">
        <f>MIN(1,(Slen!I37-H$66)/(Slen!I37-Slen!J37))</f>
        <v>1</v>
      </c>
      <c r="H71" s="324">
        <f>MIN(1,(Slen!I20-H$66)/(Slen!I20-Slen!J20))</f>
        <v>1</v>
      </c>
      <c r="I71" s="825" t="e">
        <f>MIN(50,Slen!K37*(1.7-IF(LEFT(MAIN!D$21)="N",1,AN71/AM71))/SQRT(H$66))</f>
        <v>#DIV/0!</v>
      </c>
      <c r="J71" s="826" t="e">
        <f>MIN(50,Slen!K20*(1.7-IF(LEFT(MAIN!D$22)="N",1,AP71/AO71))/SQRT(H$66))</f>
        <v>#DIV/0!</v>
      </c>
      <c r="K71" s="324" t="e">
        <f>IF(AND(MAIN!C$11&lt;=2,Slen!G37&lt;=75,1000*ABS(Cases!AM$68)/MAIN!C$47&gt;=MAIN!C$13),1,MAX(1,1+F11*T$16))</f>
        <v>#DIV/0!</v>
      </c>
      <c r="L71" s="324" t="e">
        <f>IF(AND(MAIN!C$11&lt;=2,Slen!G20&lt;=75,1000*ABS(Cases!AO$68)/MAIN!C$47&gt;=MAIN!C$14),1,MAX(1,1+G11*T$16))</f>
        <v>#DIV/0!</v>
      </c>
      <c r="M71" s="403" t="e">
        <f>G71*K71*H$11</f>
        <v>#DIV/0!</v>
      </c>
      <c r="N71" s="403" t="e">
        <f>H71*L71*I$11</f>
        <v>#DIV/0!</v>
      </c>
      <c r="O71" s="403" t="e">
        <f>1000*IF(Slen!G37&gt;I71,E$66*M71*(Slen!G$29/1000)^2/IF(MAIN!D$47=MAIN!F$47,8,PI()^2),0)</f>
        <v>#DIV/0!</v>
      </c>
      <c r="P71" s="403" t="e">
        <f>1000*IF(Slen!G20&gt;J71,E$66*N71*(Slen!G$12/1000)^2/IF(MAIN!E$47=MAIN!G$47,8,PI()^2),0)</f>
        <v>#DIV/0!</v>
      </c>
      <c r="Q71" s="629" t="e">
        <f t="shared" si="191"/>
        <v>#DIV/0!</v>
      </c>
      <c r="R71" s="629" t="e">
        <f t="shared" si="192"/>
        <v>#DIV/0!</v>
      </c>
      <c r="S71" s="630">
        <f t="shared" si="193"/>
        <v>0</v>
      </c>
      <c r="T71" s="630">
        <f t="shared" si="194"/>
        <v>0</v>
      </c>
      <c r="U71" s="322">
        <f>IF(E66&gt;E$11,0,AA71+AC71*(E66-AB71)/AD71)</f>
        <v>605.89584145075457</v>
      </c>
      <c r="V71" s="322">
        <f>IF(E66&gt;E$11,0,AE71+AG71*(E66-AF71)/AH71)</f>
        <v>138.20454242596324</v>
      </c>
      <c r="W71" s="403">
        <f>1000*MAIN!C$47/J11</f>
        <v>0</v>
      </c>
      <c r="X71" s="261">
        <f t="shared" si="195"/>
        <v>1</v>
      </c>
      <c r="Y71" s="403" t="e">
        <f t="shared" si="196"/>
        <v>#DIV/0!</v>
      </c>
      <c r="Z71" s="409" t="e">
        <f t="shared" si="197"/>
        <v>#DIV/0!</v>
      </c>
      <c r="AA71" s="413">
        <f>HLOOKUP(E66,Ycal!D$215:BO$216,2)</f>
        <v>600.94891616049404</v>
      </c>
      <c r="AB71" s="322">
        <f>HLOOKUP(E66,Ycal!D$215:BO$216,1)</f>
        <v>-9.5542594363358795</v>
      </c>
      <c r="AC71" s="322">
        <f>HLOOKUP(E66,Ycal!D$215:BO$220,5)</f>
        <v>61.084751826835713</v>
      </c>
      <c r="AD71" s="414">
        <f>HLOOKUP(E66,Ycal!D$215:BO$220,4)</f>
        <v>117.97622408141137</v>
      </c>
      <c r="AE71" s="413">
        <f>HLOOKUP(E66,Zcal!D$215:BO$216,2)</f>
        <v>134.10740861040219</v>
      </c>
      <c r="AF71" s="322">
        <f>HLOOKUP(E66,Zcal!D$215:BO$216,1)</f>
        <v>-37.412802754648958</v>
      </c>
      <c r="AG71" s="322">
        <f>HLOOKUP(E66,Zcal!D$215:BO$220,5)</f>
        <v>17.567173162247229</v>
      </c>
      <c r="AH71" s="414">
        <f>HLOOKUP(E66,Zcal!D$215:BO$220,4)</f>
        <v>160.4138927510036</v>
      </c>
      <c r="AJ71" s="794" t="e">
        <f xml:space="preserve"> IF(OR(MAIN!E$29="BOTH AXES",Z71 ="Y"),         MAX(P$65,BI71),     BM71)</f>
        <v>#DIV/0!</v>
      </c>
      <c r="AK71" s="677" t="e">
        <f xml:space="preserve">       IF(OR(MAIN!E$29="BOTH AXES",Z71 ="Z"),    MAX(R$65,BJ71),           BL71)</f>
        <v>#DIV/0!</v>
      </c>
      <c r="AL71" s="672" t="e">
        <f t="shared" si="198"/>
        <v>#DIV/0!</v>
      </c>
      <c r="AM71" s="639" t="e">
        <f t="shared" si="199"/>
        <v>#DIV/0!</v>
      </c>
      <c r="AN71" s="640" t="e">
        <f t="shared" si="203"/>
        <v>#DIV/0!</v>
      </c>
      <c r="AO71" s="739" t="e">
        <f t="shared" si="200"/>
        <v>#DIV/0!</v>
      </c>
      <c r="AP71" s="640" t="e">
        <f t="shared" si="204"/>
        <v>#DIV/0!</v>
      </c>
      <c r="AQ71" s="743">
        <f t="shared" si="205"/>
        <v>0.01</v>
      </c>
      <c r="AR71" s="744">
        <f t="shared" si="206"/>
        <v>0.01</v>
      </c>
      <c r="AS71" s="743">
        <f t="shared" si="207"/>
        <v>0.01</v>
      </c>
      <c r="AT71" s="744">
        <f t="shared" si="207"/>
        <v>0.01</v>
      </c>
      <c r="AU71" s="760">
        <f t="shared" si="216"/>
        <v>0.01</v>
      </c>
      <c r="AV71" s="761">
        <f t="shared" si="216"/>
        <v>0.01</v>
      </c>
      <c r="AW71" s="760">
        <f t="shared" si="216"/>
        <v>0.01</v>
      </c>
      <c r="AX71" s="761">
        <f t="shared" si="216"/>
        <v>0.01</v>
      </c>
      <c r="AY71" s="760">
        <f t="shared" si="216"/>
        <v>0.01</v>
      </c>
      <c r="AZ71" s="761">
        <f t="shared" si="216"/>
        <v>0.01</v>
      </c>
      <c r="BA71" s="767">
        <f t="shared" si="216"/>
        <v>0.01</v>
      </c>
      <c r="BB71" s="768">
        <f t="shared" si="216"/>
        <v>0.01</v>
      </c>
      <c r="BC71" s="767">
        <f t="shared" si="216"/>
        <v>0.01</v>
      </c>
      <c r="BD71" s="768">
        <f t="shared" si="216"/>
        <v>0.01</v>
      </c>
      <c r="BE71" s="767">
        <f t="shared" si="216"/>
        <v>0.01</v>
      </c>
      <c r="BF71" s="768">
        <f t="shared" si="216"/>
        <v>0.01</v>
      </c>
      <c r="BG71" s="767">
        <f t="shared" si="211"/>
        <v>0.01</v>
      </c>
      <c r="BH71" s="799">
        <f t="shared" si="211"/>
        <v>0.01</v>
      </c>
      <c r="BI71" s="767" t="e">
        <f>IF(MAIN!D$21="N",CC71+ABS(BO71),MAX(BA71+CC71,BC71,  ABS(BE71-   IF(DB$23="Top",Slen!N$28,Slen!N$27)   *CC71/2-2*P$66)             ))</f>
        <v>#DIV/0!</v>
      </c>
      <c r="BJ71" s="768" t="e">
        <f>IF(MAIN!D$22="N",CD71+ABS(BQ71),MAX(BB71+CD71,BD71,     ABS(BF71-     IF(DC$23="Top",Slen!N$11,Slen!N$10)   *CD71/2-2*R$66)              ))</f>
        <v>#DIV/0!</v>
      </c>
      <c r="BK71" s="767" t="e">
        <f>IF(MAIN!D$21="N",CC71+ABS(BO71),MAX(BA71+CC71,BC71,  ABS(BE71-    IF(DB$23="Top",Slen!N$28,Slen!N$27)   *CC71/2-2*P$66)             ))</f>
        <v>#DIV/0!</v>
      </c>
      <c r="BL71" s="768" t="e">
        <f>IF(MAIN!D$22="N",CD71+ABS(AS71),MAX(AV71+CF71,AX71,   ABS(AZ71-   IF(DC$23="Top",Slen!N$11,Slen!N$10)    *CF71/2)                    ))</f>
        <v>#DIV/0!</v>
      </c>
      <c r="BM71" s="767" t="e">
        <f>IF(MAIN!D$21="N",CC71+ABS(AQ71),MAX(AU71+CE71,AW71,   ABS(AY71-     IF(DB$23="Top",Slen!N$28,Slen!N$27)    *CE71/2)             ))</f>
        <v>#DIV/0!</v>
      </c>
      <c r="BN71" s="768" t="e">
        <f>IF(MAIN!D$22="N",CD71+ABS(BQ71),MAX(BB71+CD71,BD71,   ABS(BF71-   IF(DC$23="Top",Slen!N$11,Slen!N$10)   *CD71/2-2*R$66)                ))</f>
        <v>#DIV/0!</v>
      </c>
      <c r="BO71" s="811">
        <f t="shared" si="217"/>
        <v>0.01</v>
      </c>
      <c r="BP71" s="808">
        <f t="shared" si="218"/>
        <v>0.01</v>
      </c>
      <c r="BQ71" s="807">
        <f t="shared" si="219"/>
        <v>0.01</v>
      </c>
      <c r="BR71" s="808">
        <f t="shared" si="220"/>
        <v>0.01</v>
      </c>
      <c r="BS71" s="324">
        <f>MIN(1,(Slen!I37-H$66)/(Slen!I37-Slen!J37))</f>
        <v>1</v>
      </c>
      <c r="BT71" s="324">
        <f>MIN(1,(Slen!I20-H$66)/(Slen!I20-Slen!J20))</f>
        <v>1</v>
      </c>
      <c r="BU71" s="748" t="e">
        <f>MIN(50,Slen!K37*(1.7-IF(LEFT(MAIN!D$21)="N",1,BP71/BO71))/SQRT(H$66))</f>
        <v>#DIV/0!</v>
      </c>
      <c r="BV71" s="748" t="e">
        <f>MIN(50,Slen!K20*(1.7-IF(LEFT(MAIN!D$22)="N",1,BR71/BQ71))/SQRT(H$66))</f>
        <v>#DIV/0!</v>
      </c>
      <c r="BW71" s="748" t="e">
        <f>MIN(50,Slen!K37*(1.7-IF(LEFT(MAIN!D$21)="N",1,AR71/AQ71))/SQRT(H$66))</f>
        <v>#DIV/0!</v>
      </c>
      <c r="BX71" s="748" t="e">
        <f>MIN(50,Slen!K20*(1.7-IF(LEFT(MAIN!D$22)="N",1,AT71/AS71))/SQRT(H$66))</f>
        <v>#DIV/0!</v>
      </c>
      <c r="BY71" s="324" t="e">
        <f>IF(AND(MAIN!C$11&lt;=2,Slen!G37&lt;=75,1000*ABS(BO71)/MAIN!C$47&gt;=MAIN!C$13),1,MAX(1,1+F11*T$66))</f>
        <v>#DIV/0!</v>
      </c>
      <c r="BZ71" s="324" t="e">
        <f>IF(AND(MAIN!C$11&lt;=2,Slen!G20&lt;=75,1000*ABS(BQ71)/MAIN!C$47&gt;=MAIN!C$14),1,MAX(1,1+G11*T$66))</f>
        <v>#DIV/0!</v>
      </c>
      <c r="CA71" s="403" t="e">
        <f t="shared" si="201"/>
        <v>#DIV/0!</v>
      </c>
      <c r="CB71" s="403" t="e">
        <f t="shared" si="201"/>
        <v>#DIV/0!</v>
      </c>
      <c r="CC71" s="403" t="e">
        <f>1000*IF(Slen!G37&gt;BU71,E$66*CA71*(Slen!G$29/1000)^2/IF(MAIN!D$47=MAIN!F$47,8,PI()^2),0)</f>
        <v>#DIV/0!</v>
      </c>
      <c r="CD71" s="403" t="e">
        <f>1000*IF(Slen!G20&gt;BV71,E$66*CB71*(Slen!G$12/1000)^2/IF(MAIN!E$47=MAIN!G$47,8,PI()^2),0)</f>
        <v>#DIV/0!</v>
      </c>
      <c r="CE71" s="403" t="e">
        <f>1000*IF(Slen!G37&gt;BW71,E$66*CA71*(Slen!G$29/1000)^2/IF(MAIN!D$47=MAIN!F$47,8,PI()^2),0)</f>
        <v>#DIV/0!</v>
      </c>
      <c r="CF71" s="403" t="e">
        <f>1000*IF(Slen!G20&gt;BX71,E$66*CB71*(Slen!G$12/1000)^2/IF(MAIN!E$47=MAIN!G$47,8,PI()^2),0)</f>
        <v>#DIV/0!</v>
      </c>
      <c r="CG71" s="261" t="e">
        <f t="shared" si="212"/>
        <v>#DIV/0!</v>
      </c>
      <c r="CH71" s="261" t="e">
        <f t="shared" si="202"/>
        <v>#DIV/0!</v>
      </c>
      <c r="CI71" s="304" t="e">
        <f t="shared" si="213"/>
        <v>#DIV/0!</v>
      </c>
      <c r="CJ71" s="261" t="e">
        <f t="shared" si="214"/>
        <v>#DIV/0!</v>
      </c>
      <c r="CK71" s="261" t="e">
        <f t="shared" si="215"/>
        <v>#DIV/0!</v>
      </c>
    </row>
    <row r="72" spans="2:89" ht="18">
      <c r="B72" s="367">
        <f t="shared" si="189"/>
        <v>16</v>
      </c>
      <c r="C72" s="412">
        <f t="shared" si="189"/>
        <v>8686.5141735808302</v>
      </c>
      <c r="D72" s="304" t="e">
        <f t="shared" si="190"/>
        <v>#DIV/0!</v>
      </c>
      <c r="E72" s="304" t="e">
        <f>IF(AND(D72&lt;=1,E66&lt;=C72,D$12&gt;=F66),"ok","Fails")</f>
        <v>#DIV/0!</v>
      </c>
      <c r="F72" s="304" t="e">
        <f>IF(AND(E72="ok",SUM(F73:F73)=0),B72,0)</f>
        <v>#DIV/0!</v>
      </c>
      <c r="G72" s="324">
        <f>MIN(1,(Slen!I38-H$66)/(Slen!I38-Slen!J38))</f>
        <v>1</v>
      </c>
      <c r="H72" s="324">
        <f>MIN(1,(Slen!I21-H$66)/(Slen!I21-Slen!J21))</f>
        <v>1</v>
      </c>
      <c r="I72" s="825" t="e">
        <f>MIN(50,Slen!K38*(1.7-IF(LEFT(MAIN!D$21)="N",1,AN72/AM72))/SQRT(H$66))</f>
        <v>#DIV/0!</v>
      </c>
      <c r="J72" s="826" t="e">
        <f>MIN(50,Slen!K21*(1.7-IF(LEFT(MAIN!D$22)="N",1,AP72/AO72))/SQRT(H$66))</f>
        <v>#DIV/0!</v>
      </c>
      <c r="K72" s="324" t="e">
        <f>IF(AND(MAIN!C$11&lt;=2,Slen!G38&lt;=75,1000*ABS(Cases!AM$68)/MAIN!C$47&gt;=MAIN!C$13),1,MAX(1,1+F12*T$16))</f>
        <v>#DIV/0!</v>
      </c>
      <c r="L72" s="324" t="e">
        <f>IF(AND(MAIN!C$11&lt;=2,Slen!G21&lt;=75,1000*ABS(Cases!AO$68)/MAIN!C$47&gt;=MAIN!C$14),1,MAX(1,1+G12*T$16))</f>
        <v>#DIV/0!</v>
      </c>
      <c r="M72" s="403" t="e">
        <f>G72*K72*H$12</f>
        <v>#DIV/0!</v>
      </c>
      <c r="N72" s="403" t="e">
        <f>H72*L72*I$12</f>
        <v>#DIV/0!</v>
      </c>
      <c r="O72" s="403" t="e">
        <f>1000*IF(Slen!G38&gt;I72,E$66*M72*(Slen!G$29/1000)^2/IF(MAIN!D$47=MAIN!F$47,8,PI()^2),0)</f>
        <v>#DIV/0!</v>
      </c>
      <c r="P72" s="403" t="e">
        <f>1000*IF(Slen!G21&gt;J72,E$66*N72*(Slen!G$12/1000)^2/IF(MAIN!E$47=MAIN!G$47,8,PI()^2),0)</f>
        <v>#DIV/0!</v>
      </c>
      <c r="Q72" s="629" t="e">
        <f t="shared" si="191"/>
        <v>#DIV/0!</v>
      </c>
      <c r="R72" s="629" t="e">
        <f t="shared" si="192"/>
        <v>#DIV/0!</v>
      </c>
      <c r="S72" s="630">
        <f t="shared" si="193"/>
        <v>0</v>
      </c>
      <c r="T72" s="630">
        <f t="shared" si="194"/>
        <v>0</v>
      </c>
      <c r="U72" s="322">
        <f>IF(E66&gt;E$12,0,AA72+AC72*(E66-AB72)/AD72)</f>
        <v>393.62259490056124</v>
      </c>
      <c r="V72" s="322">
        <f>IF(E66&gt;E$12,0,AE72+AG72*(E66-AF72)/AH72)</f>
        <v>94.821083632685131</v>
      </c>
      <c r="W72" s="403">
        <f>1000*MAIN!C$47/J12</f>
        <v>0</v>
      </c>
      <c r="X72" s="261">
        <f t="shared" si="195"/>
        <v>1</v>
      </c>
      <c r="Y72" s="403" t="e">
        <f t="shared" si="196"/>
        <v>#DIV/0!</v>
      </c>
      <c r="Z72" s="409" t="e">
        <f t="shared" si="197"/>
        <v>#DIV/0!</v>
      </c>
      <c r="AA72" s="413">
        <f>HLOOKUP(E66,Ycal!D$267:BO$268,2)</f>
        <v>347.21849314605964</v>
      </c>
      <c r="AB72" s="322">
        <f>HLOOKUP(E66,Ycal!D$267:BO$268,1)</f>
        <v>-85.267285421779036</v>
      </c>
      <c r="AC72" s="322">
        <f>HLOOKUP(E66,Ycal!D$267:BO$272,5)</f>
        <v>71.850465778665068</v>
      </c>
      <c r="AD72" s="414">
        <f>HLOOKUP(E66,Ycal!D$267:BO$272,4)</f>
        <v>132.02484137391758</v>
      </c>
      <c r="AE72" s="413">
        <f>HLOOKUP(E66,Zcal!D$267:BO$268,2)</f>
        <v>83.331946512325416</v>
      </c>
      <c r="AF72" s="322">
        <f>HLOOKUP(E66,Zcal!D$267:BO$268,1)</f>
        <v>-99.739801869670401</v>
      </c>
      <c r="AG72" s="322">
        <f>HLOOKUP(E66,Zcal!D$267:BO$272,5)</f>
        <v>16.782837445919711</v>
      </c>
      <c r="AH72" s="414">
        <f>HLOOKUP(E66,Zcal!D$267:BO$272,4)</f>
        <v>145.69561352876494</v>
      </c>
      <c r="AJ72" s="794" t="e">
        <f xml:space="preserve"> IF(OR(MAIN!E$29="BOTH AXES",Z72 ="Y"),         MAX(P$65,BI72),     BM72)</f>
        <v>#DIV/0!</v>
      </c>
      <c r="AK72" s="677" t="e">
        <f xml:space="preserve">       IF(OR(MAIN!E$29="BOTH AXES",Z72 ="Z"),    MAX(R$65,BJ72),           BL72)</f>
        <v>#DIV/0!</v>
      </c>
      <c r="AL72" s="672" t="e">
        <f t="shared" si="198"/>
        <v>#DIV/0!</v>
      </c>
      <c r="AM72" s="639" t="e">
        <f t="shared" si="199"/>
        <v>#DIV/0!</v>
      </c>
      <c r="AN72" s="640" t="e">
        <f t="shared" si="203"/>
        <v>#DIV/0!</v>
      </c>
      <c r="AO72" s="739" t="e">
        <f t="shared" si="200"/>
        <v>#DIV/0!</v>
      </c>
      <c r="AP72" s="640" t="e">
        <f t="shared" si="204"/>
        <v>#DIV/0!</v>
      </c>
      <c r="AQ72" s="743">
        <f t="shared" si="205"/>
        <v>0.01</v>
      </c>
      <c r="AR72" s="744">
        <f t="shared" si="206"/>
        <v>0.01</v>
      </c>
      <c r="AS72" s="743">
        <f t="shared" si="207"/>
        <v>0.01</v>
      </c>
      <c r="AT72" s="744">
        <f t="shared" si="207"/>
        <v>0.01</v>
      </c>
      <c r="AU72" s="760">
        <f t="shared" si="216"/>
        <v>0.01</v>
      </c>
      <c r="AV72" s="761">
        <f t="shared" si="216"/>
        <v>0.01</v>
      </c>
      <c r="AW72" s="760">
        <f t="shared" si="216"/>
        <v>0.01</v>
      </c>
      <c r="AX72" s="761">
        <f t="shared" si="216"/>
        <v>0.01</v>
      </c>
      <c r="AY72" s="760">
        <f t="shared" si="216"/>
        <v>0.01</v>
      </c>
      <c r="AZ72" s="761">
        <f t="shared" si="216"/>
        <v>0.01</v>
      </c>
      <c r="BA72" s="767">
        <f t="shared" si="216"/>
        <v>0.01</v>
      </c>
      <c r="BB72" s="768">
        <f t="shared" si="216"/>
        <v>0.01</v>
      </c>
      <c r="BC72" s="767">
        <f t="shared" si="216"/>
        <v>0.01</v>
      </c>
      <c r="BD72" s="768">
        <f t="shared" si="216"/>
        <v>0.01</v>
      </c>
      <c r="BE72" s="767">
        <f t="shared" si="216"/>
        <v>0.01</v>
      </c>
      <c r="BF72" s="768">
        <f t="shared" si="216"/>
        <v>0.01</v>
      </c>
      <c r="BG72" s="767">
        <f t="shared" si="211"/>
        <v>0.01</v>
      </c>
      <c r="BH72" s="799">
        <f t="shared" si="211"/>
        <v>0.01</v>
      </c>
      <c r="BI72" s="767" t="e">
        <f>IF(MAIN!D$21="N",CC72+ABS(BO72),MAX(BA72+CC72,BC72,  ABS(BE72-   IF(DB$23="Top",Slen!N$28,Slen!N$27)   *CC72/2-2*P$66)             ))</f>
        <v>#DIV/0!</v>
      </c>
      <c r="BJ72" s="768" t="e">
        <f>IF(MAIN!D$22="N",CD72+ABS(BQ72),MAX(BB72+CD72,BD72,     ABS(BF72-     IF(DC$23="Top",Slen!N$11,Slen!N$10)   *CD72/2-2*R$66)              ))</f>
        <v>#DIV/0!</v>
      </c>
      <c r="BK72" s="767" t="e">
        <f>IF(MAIN!D$21="N",CC72+ABS(BO72),MAX(BA72+CC72,BC72,  ABS(BE72-    IF(DB$23="Top",Slen!N$28,Slen!N$27)   *CC72/2-2*P$66)             ))</f>
        <v>#DIV/0!</v>
      </c>
      <c r="BL72" s="768" t="e">
        <f>IF(MAIN!D$22="N",CD72+ABS(AS72),MAX(AV72+CF72,AX72,   ABS(AZ72-   IF(DC$23="Top",Slen!N$11,Slen!N$10)    *CF72/2)                    ))</f>
        <v>#DIV/0!</v>
      </c>
      <c r="BM72" s="767" t="e">
        <f>IF(MAIN!D$21="N",CC72+ABS(AQ72),MAX(AU72+CE72,AW72,   ABS(AY72-     IF(DB$23="Top",Slen!N$28,Slen!N$27)    *CE72/2)             ))</f>
        <v>#DIV/0!</v>
      </c>
      <c r="BN72" s="768" t="e">
        <f>IF(MAIN!D$22="N",CD72+ABS(BQ72),MAX(BB72+CD72,BD72,   ABS(BF72-   IF(DC$23="Top",Slen!N$11,Slen!N$10)   *CD72/2-2*R$66)                ))</f>
        <v>#DIV/0!</v>
      </c>
      <c r="BO72" s="811">
        <f t="shared" si="217"/>
        <v>0.01</v>
      </c>
      <c r="BP72" s="808">
        <f t="shared" si="218"/>
        <v>0.01</v>
      </c>
      <c r="BQ72" s="807">
        <f t="shared" si="219"/>
        <v>0.01</v>
      </c>
      <c r="BR72" s="808">
        <f t="shared" si="220"/>
        <v>0.01</v>
      </c>
      <c r="BS72" s="324">
        <f>MIN(1,(Slen!I38-H$66)/(Slen!I38-Slen!J38))</f>
        <v>1</v>
      </c>
      <c r="BT72" s="324">
        <f>MIN(1,(Slen!I21-H$66)/(Slen!I21-Slen!J21))</f>
        <v>1</v>
      </c>
      <c r="BU72" s="748" t="e">
        <f>MIN(50,Slen!K38*(1.7-IF(LEFT(MAIN!D$21)="N",1,BP72/BO72))/SQRT(H$66))</f>
        <v>#DIV/0!</v>
      </c>
      <c r="BV72" s="748" t="e">
        <f>MIN(50,Slen!K21*(1.7-IF(LEFT(MAIN!D$22)="N",1,BR72/BQ72))/SQRT(H$66))</f>
        <v>#DIV/0!</v>
      </c>
      <c r="BW72" s="748" t="e">
        <f>MIN(50,Slen!K38*(1.7-IF(LEFT(MAIN!D$21)="N",1,AR72/AQ72))/SQRT(H$66))</f>
        <v>#DIV/0!</v>
      </c>
      <c r="BX72" s="748" t="e">
        <f>MIN(50,Slen!K21*(1.7-IF(LEFT(MAIN!D$22)="N",1,AT72/AS72))/SQRT(H$66))</f>
        <v>#DIV/0!</v>
      </c>
      <c r="BY72" s="324" t="e">
        <f>IF(AND(MAIN!C$11&lt;=2,Slen!G38&lt;=75,1000*ABS(BO72)/MAIN!C$47&gt;=MAIN!C$13),1,MAX(1,1+F12*T$66))</f>
        <v>#DIV/0!</v>
      </c>
      <c r="BZ72" s="324" t="e">
        <f>IF(AND(MAIN!C$11&lt;=2,Slen!G21&lt;=75,1000*ABS(BQ72)/MAIN!C$47&gt;=MAIN!C$14),1,MAX(1,1+G12*T$66))</f>
        <v>#DIV/0!</v>
      </c>
      <c r="CA72" s="403" t="e">
        <f t="shared" si="201"/>
        <v>#DIV/0!</v>
      </c>
      <c r="CB72" s="403" t="e">
        <f t="shared" si="201"/>
        <v>#DIV/0!</v>
      </c>
      <c r="CC72" s="403" t="e">
        <f>1000*IF(Slen!G38&gt;BU72,E$66*CA72*(Slen!G$29/1000)^2/IF(MAIN!D$47=MAIN!F$47,8,PI()^2),0)</f>
        <v>#DIV/0!</v>
      </c>
      <c r="CD72" s="403" t="e">
        <f>1000*IF(Slen!G21&gt;BV72,E$66*CB72*(Slen!G$12/1000)^2/IF(MAIN!E$47=MAIN!G$47,8,PI()^2),0)</f>
        <v>#DIV/0!</v>
      </c>
      <c r="CE72" s="403" t="e">
        <f>1000*IF(Slen!G38&gt;BW72,E$66*CA72*(Slen!G$29/1000)^2/IF(MAIN!D$47=MAIN!F$47,8,PI()^2),0)</f>
        <v>#DIV/0!</v>
      </c>
      <c r="CF72" s="403" t="e">
        <f>1000*IF(Slen!G21&gt;BX72,E$66*CB72*(Slen!G$12/1000)^2/IF(MAIN!E$47=MAIN!G$47,8,PI()^2),0)</f>
        <v>#DIV/0!</v>
      </c>
      <c r="CG72" s="261" t="e">
        <f t="shared" si="212"/>
        <v>#DIV/0!</v>
      </c>
      <c r="CH72" s="261" t="e">
        <f t="shared" si="202"/>
        <v>#DIV/0!</v>
      </c>
      <c r="CI72" s="304" t="e">
        <f t="shared" si="213"/>
        <v>#DIV/0!</v>
      </c>
      <c r="CJ72" s="261" t="e">
        <f t="shared" si="214"/>
        <v>#DIV/0!</v>
      </c>
      <c r="CK72" s="261" t="e">
        <f t="shared" si="215"/>
        <v>#DIV/0!</v>
      </c>
    </row>
    <row r="73" spans="2:89" ht="18">
      <c r="B73" s="367">
        <f t="shared" si="189"/>
        <v>16</v>
      </c>
      <c r="C73" s="415">
        <f t="shared" si="189"/>
        <v>8686.5141735808302</v>
      </c>
      <c r="D73" s="416" t="e">
        <f t="shared" si="190"/>
        <v>#DIV/0!</v>
      </c>
      <c r="E73" s="416" t="e">
        <f>IF(AND(D73&lt;=1,E66&lt;=C73,D$13&gt;=F66),"ok","Fails")</f>
        <v>#DIV/0!</v>
      </c>
      <c r="F73" s="416" t="e">
        <f>IF(E73="ok",B73,0)</f>
        <v>#DIV/0!</v>
      </c>
      <c r="G73" s="269">
        <f>MIN(1,(Slen!I39-H$66)/(Slen!I39-Slen!J39))</f>
        <v>1</v>
      </c>
      <c r="H73" s="269">
        <f>MIN(1,(Slen!I22-H$66)/(Slen!I22-Slen!J22))</f>
        <v>1</v>
      </c>
      <c r="I73" s="827" t="e">
        <f>MIN(50,Slen!K39*(1.7-IF(LEFT(MAIN!D$21)="N",1,AN73/AM73))/SQRT(H$66))</f>
        <v>#DIV/0!</v>
      </c>
      <c r="J73" s="828" t="e">
        <f>MIN(50,Slen!K22*(1.7-IF(LEFT(MAIN!D$22)="N",1,AP73/AO73))/SQRT(H$66))</f>
        <v>#DIV/0!</v>
      </c>
      <c r="K73" s="269" t="e">
        <f>IF(AND(MAIN!C$11&lt;=2,Slen!G39&lt;=75,1000*ABS(Cases!AM$68)/MAIN!C$47&gt;=MAIN!C$13),1,MAX(1,1+F13*T$16))</f>
        <v>#DIV/0!</v>
      </c>
      <c r="L73" s="269" t="e">
        <f>IF(AND(MAIN!C$11&lt;=2,Slen!G22&lt;=75,1000*ABS(Cases!AO$68)/MAIN!C$47&gt;=MAIN!C$14),1,MAX(1,1+G13*T$16))</f>
        <v>#DIV/0!</v>
      </c>
      <c r="M73" s="406" t="e">
        <f>G73*K73*H$13</f>
        <v>#DIV/0!</v>
      </c>
      <c r="N73" s="406" t="e">
        <f>H73*L73*I$13</f>
        <v>#DIV/0!</v>
      </c>
      <c r="O73" s="406" t="e">
        <f>1000*IF(Slen!G39&gt;I73,E$66*M73*(Slen!G$29/1000)^2/IF(MAIN!D$47=MAIN!F$47,8,PI()^2),0)</f>
        <v>#DIV/0!</v>
      </c>
      <c r="P73" s="406" t="e">
        <f>1000*IF(Slen!G22&gt;J73,E$66*N73*(Slen!G$12/1000)^2/IF(MAIN!E$47=MAIN!G$47,8,PI()^2),0)</f>
        <v>#DIV/0!</v>
      </c>
      <c r="Q73" s="631" t="e">
        <f t="shared" si="191"/>
        <v>#DIV/0!</v>
      </c>
      <c r="R73" s="631" t="e">
        <f t="shared" si="192"/>
        <v>#DIV/0!</v>
      </c>
      <c r="S73" s="632">
        <f t="shared" si="193"/>
        <v>0</v>
      </c>
      <c r="T73" s="632">
        <f t="shared" si="194"/>
        <v>0</v>
      </c>
      <c r="U73" s="266">
        <f>IF(E66&gt;E$13,0,AA73+AC73*(E66-AB73)/AD73)</f>
        <v>393.62259490056124</v>
      </c>
      <c r="V73" s="266">
        <f>IF(E66&gt;E$13,0,AE73+AG73*(E66-AF73)/AH73)</f>
        <v>94.821083632685131</v>
      </c>
      <c r="W73" s="406">
        <f>1000*MAIN!C$47/J13</f>
        <v>0</v>
      </c>
      <c r="X73" s="325">
        <f t="shared" si="195"/>
        <v>1</v>
      </c>
      <c r="Y73" s="406" t="e">
        <f t="shared" si="196"/>
        <v>#DIV/0!</v>
      </c>
      <c r="Z73" s="409" t="e">
        <f t="shared" si="197"/>
        <v>#DIV/0!</v>
      </c>
      <c r="AA73" s="417">
        <f>HLOOKUP(E66,Ycal!D$319:BO$320,2)</f>
        <v>347.21849314605964</v>
      </c>
      <c r="AB73" s="266">
        <f>HLOOKUP(E66,Ycal!D$319:BO$320,1)</f>
        <v>-85.267285421779036</v>
      </c>
      <c r="AC73" s="266">
        <f>HLOOKUP(E66,Ycal!D$319:BO$323,5)</f>
        <v>71.850465778665068</v>
      </c>
      <c r="AD73" s="418">
        <f>HLOOKUP(E66,Ycal!D$319:BO$323,4)</f>
        <v>132.02484137391758</v>
      </c>
      <c r="AE73" s="417">
        <f>HLOOKUP(E66,Zcal!D$319:BO$320,2)</f>
        <v>83.331946512325416</v>
      </c>
      <c r="AF73" s="266">
        <f>HLOOKUP(E66,Zcal!D$319:BO$320,1)</f>
        <v>-99.739801869670401</v>
      </c>
      <c r="AG73" s="266">
        <f>HLOOKUP(E66,Zcal!D$319:BO$323,5)</f>
        <v>16.782837445919711</v>
      </c>
      <c r="AH73" s="418">
        <f>HLOOKUP(E66,Zcal!D$319:BO$323,4)</f>
        <v>145.69561352876494</v>
      </c>
      <c r="AJ73" s="794" t="e">
        <f xml:space="preserve"> IF(OR(MAIN!E$29="BOTH AXES",Z73 ="Y"),         MAX(P$65,BI73),     BM73)</f>
        <v>#DIV/0!</v>
      </c>
      <c r="AK73" s="677" t="e">
        <f xml:space="preserve">       IF(OR(MAIN!E$29="BOTH AXES",Z73 ="Z"),    MAX(R$65,BJ73),           BL73)</f>
        <v>#DIV/0!</v>
      </c>
      <c r="AL73" s="672" t="e">
        <f t="shared" si="198"/>
        <v>#DIV/0!</v>
      </c>
      <c r="AM73" s="641" t="e">
        <f t="shared" si="199"/>
        <v>#DIV/0!</v>
      </c>
      <c r="AN73" s="642" t="e">
        <f t="shared" si="203"/>
        <v>#DIV/0!</v>
      </c>
      <c r="AO73" s="740" t="e">
        <f t="shared" si="200"/>
        <v>#DIV/0!</v>
      </c>
      <c r="AP73" s="642" t="e">
        <f t="shared" si="204"/>
        <v>#DIV/0!</v>
      </c>
      <c r="AQ73" s="745">
        <f t="shared" si="205"/>
        <v>0.01</v>
      </c>
      <c r="AR73" s="746">
        <f t="shared" si="206"/>
        <v>0.01</v>
      </c>
      <c r="AS73" s="745">
        <f t="shared" si="207"/>
        <v>0.01</v>
      </c>
      <c r="AT73" s="746">
        <f t="shared" si="207"/>
        <v>0.01</v>
      </c>
      <c r="AU73" s="762">
        <f t="shared" si="216"/>
        <v>0.01</v>
      </c>
      <c r="AV73" s="763">
        <f t="shared" si="216"/>
        <v>0.01</v>
      </c>
      <c r="AW73" s="762">
        <f>AW72</f>
        <v>0.01</v>
      </c>
      <c r="AX73" s="763">
        <f>AX72</f>
        <v>0.01</v>
      </c>
      <c r="AY73" s="762">
        <f t="shared" ref="AY73:AZ73" si="221">AY72</f>
        <v>0.01</v>
      </c>
      <c r="AZ73" s="763">
        <f t="shared" si="221"/>
        <v>0.01</v>
      </c>
      <c r="BA73" s="769">
        <f t="shared" si="216"/>
        <v>0.01</v>
      </c>
      <c r="BB73" s="770">
        <f t="shared" si="216"/>
        <v>0.01</v>
      </c>
      <c r="BC73" s="769">
        <f t="shared" si="216"/>
        <v>0.01</v>
      </c>
      <c r="BD73" s="770">
        <f t="shared" si="216"/>
        <v>0.01</v>
      </c>
      <c r="BE73" s="769">
        <f t="shared" si="216"/>
        <v>0.01</v>
      </c>
      <c r="BF73" s="770">
        <f t="shared" si="216"/>
        <v>0.01</v>
      </c>
      <c r="BG73" s="769">
        <f t="shared" si="211"/>
        <v>0.01</v>
      </c>
      <c r="BH73" s="800">
        <f t="shared" si="211"/>
        <v>0.01</v>
      </c>
      <c r="BI73" s="769" t="e">
        <f>IF(MAIN!D$21="N",CC73+ABS(BO73),MAX(BA73+CC73,BC73,  ABS(BE73-   IF(DB$23="Top",Slen!N$28,Slen!N$27)   *CC73/2-2*P$66)             ))</f>
        <v>#DIV/0!</v>
      </c>
      <c r="BJ73" s="770" t="e">
        <f>IF(MAIN!D$22="N",CD73+ABS(BQ73),MAX(BB73+CD73,BD73,     ABS(BF73-     IF(DC$23="Top",Slen!N$11,Slen!N$10)   *CD73/2-2*R$66)              ))</f>
        <v>#DIV/0!</v>
      </c>
      <c r="BK73" s="769" t="e">
        <f>IF(MAIN!D$21="N",CC73+ABS(BO73),MAX(BA73+CC73,BC73,  ABS(BE73-    IF(DB$23="Top",Slen!N$28,Slen!N$27)   *CC73/2-2*P$66)             ))</f>
        <v>#DIV/0!</v>
      </c>
      <c r="BL73" s="770" t="e">
        <f>IF(MAIN!D$22="N",CD73+ABS(AS73),MAX(AV73+CF73,AX73,   ABS(AZ73-   IF(DC$23="Top",Slen!N$11,Slen!N$10)    *CF73/2)                    ))</f>
        <v>#DIV/0!</v>
      </c>
      <c r="BM73" s="769" t="e">
        <f>IF(MAIN!D$21="N",CC73+ABS(AQ73),MAX(AU73+CE73,AW73,   ABS(AY73-     IF(DB$23="Top",Slen!N$28,Slen!N$27)    *CE73/2)             ))</f>
        <v>#DIV/0!</v>
      </c>
      <c r="BN73" s="770" t="e">
        <f>IF(MAIN!D$22="N",CD73+ABS(BQ73),MAX(BB73+CD73,BD73,   ABS(BF73-   IF(DC$23="Top",Slen!N$11,Slen!N$10)   *CD73/2-2*R$66)                ))</f>
        <v>#DIV/0!</v>
      </c>
      <c r="BO73" s="813">
        <f t="shared" si="217"/>
        <v>0.01</v>
      </c>
      <c r="BP73" s="810">
        <f t="shared" si="218"/>
        <v>0.01</v>
      </c>
      <c r="BQ73" s="809">
        <f t="shared" si="219"/>
        <v>0.01</v>
      </c>
      <c r="BR73" s="810">
        <f t="shared" si="220"/>
        <v>0.01</v>
      </c>
      <c r="BS73" s="324">
        <f>MIN(1,(Slen!I39-H$66)/(Slen!I39-Slen!J39))</f>
        <v>1</v>
      </c>
      <c r="BT73" s="324">
        <f>MIN(1,(Slen!I22-H$66)/(Slen!I22-Slen!J22))</f>
        <v>1</v>
      </c>
      <c r="BU73" s="748" t="e">
        <f>MIN(50,Slen!K39*(1.7-IF(LEFT(MAIN!D$21)="N",1,BP73/BO73))/SQRT(H$66))</f>
        <v>#DIV/0!</v>
      </c>
      <c r="BV73" s="748" t="e">
        <f>MIN(50,Slen!K22*(1.7-IF(LEFT(MAIN!D$22)="N",1,BR73/BQ73))/SQRT(H$66))</f>
        <v>#DIV/0!</v>
      </c>
      <c r="BW73" s="748" t="e">
        <f>MIN(50,Slen!K39*(1.7-IF(LEFT(MAIN!D$21)="N",1,AR73/AQ73))/SQRT(H$66))</f>
        <v>#DIV/0!</v>
      </c>
      <c r="BX73" s="748" t="e">
        <f>MIN(50,Slen!K22*(1.7-IF(LEFT(MAIN!D$22)="N",1,AT73/AS73))/SQRT(H$66))</f>
        <v>#DIV/0!</v>
      </c>
      <c r="BY73" s="324" t="e">
        <f>IF(AND(MAIN!C$11&lt;=2,Slen!G39&lt;=75,1000*ABS(BO73)/MAIN!C$47&gt;=MAIN!C$13),1,MAX(1,1+F13*T$66))</f>
        <v>#DIV/0!</v>
      </c>
      <c r="BZ73" s="324" t="e">
        <f>IF(AND(MAIN!C$11&lt;=2,Slen!G22&lt;=75,1000*ABS(BQ73)/MAIN!C$47&gt;=MAIN!C$14),1,MAX(1,1+G13*T$66))</f>
        <v>#DIV/0!</v>
      </c>
      <c r="CA73" s="403" t="e">
        <f t="shared" si="201"/>
        <v>#DIV/0!</v>
      </c>
      <c r="CB73" s="403" t="e">
        <f t="shared" si="201"/>
        <v>#DIV/0!</v>
      </c>
      <c r="CC73" s="403" t="e">
        <f>1000*IF(Slen!G39&gt;BU73,E$66*CA73*(Slen!G$29/1000)^2/IF(MAIN!D$47=MAIN!F$47,8,PI()^2),0)</f>
        <v>#DIV/0!</v>
      </c>
      <c r="CD73" s="403" t="e">
        <f>1000*IF(Slen!G22&gt;BV73,E$66*CB73*(Slen!G$12/1000)^2/IF(MAIN!E$47=MAIN!G$47,8,PI()^2),0)</f>
        <v>#DIV/0!</v>
      </c>
      <c r="CE73" s="403" t="e">
        <f>1000*IF(Slen!G39&gt;BW73,E$66*CA73*(Slen!G$29/1000)^2/IF(MAIN!D$47=MAIN!F$47,8,PI()^2),0)</f>
        <v>#DIV/0!</v>
      </c>
      <c r="CF73" s="403" t="e">
        <f>1000*IF(Slen!G22&gt;BX73,E$66*CB73*(Slen!G$12/1000)^2/IF(MAIN!E$47=MAIN!G$47,8,PI()^2),0)</f>
        <v>#DIV/0!</v>
      </c>
      <c r="CG73" s="261" t="e">
        <f t="shared" si="212"/>
        <v>#DIV/0!</v>
      </c>
      <c r="CH73" s="261" t="e">
        <f t="shared" si="202"/>
        <v>#DIV/0!</v>
      </c>
      <c r="CI73" s="304" t="e">
        <f t="shared" si="213"/>
        <v>#DIV/0!</v>
      </c>
      <c r="CJ73" s="261" t="e">
        <f t="shared" si="214"/>
        <v>#DIV/0!</v>
      </c>
      <c r="CK73" s="261" t="e">
        <f t="shared" si="215"/>
        <v>#DIV/0!</v>
      </c>
    </row>
    <row r="74" spans="2:89" ht="18">
      <c r="D74" s="43"/>
      <c r="E74" s="43"/>
      <c r="F74" s="391">
        <f>IF(E66=0,0,MAX(F68:F73))</f>
        <v>0</v>
      </c>
      <c r="G74" s="47" t="e">
        <f>VLOOKUP(F74,F68:G73,2,0)</f>
        <v>#N/A</v>
      </c>
      <c r="H74" s="47" t="e">
        <f>VLOOKUP(F74,F68:H73,3,0)</f>
        <v>#N/A</v>
      </c>
      <c r="I74" s="47" t="e">
        <f>VLOOKUP(F74,F68:I73,4,0)</f>
        <v>#N/A</v>
      </c>
      <c r="J74" s="47" t="e">
        <f>VLOOKUP(F74,F68:J73,5,0)</f>
        <v>#N/A</v>
      </c>
      <c r="K74" s="43"/>
      <c r="L74" s="43"/>
      <c r="M74" s="43"/>
      <c r="N74" s="43"/>
      <c r="O74" s="43"/>
      <c r="P74" s="43"/>
      <c r="Q74" s="272" t="e">
        <f>IF(E66&gt;C68,"N&gt;Nuz",VLOOKUP(F74,F68:Q73,12,0))</f>
        <v>#N/A</v>
      </c>
      <c r="R74" s="272" t="e">
        <f>IF(E66&gt;C68,"N&gt;Nuz",VLOOKUP(F74,F68:R73,13,0))</f>
        <v>#N/A</v>
      </c>
      <c r="U74" s="377" t="e">
        <f>IF(E66&gt;C68,"N&gt;Nuz",VLOOKUP(F74,F68:U73,16,0))</f>
        <v>#N/A</v>
      </c>
      <c r="V74" s="377" t="e">
        <f>IF(E66&gt;C68,"N&gt;Nuz",VLOOKUP(F74,F68:V73,17,0))</f>
        <v>#N/A</v>
      </c>
      <c r="W74" s="377"/>
      <c r="X74" s="378" t="e">
        <f>VLOOKUP(F74,F68:X73,19,0)</f>
        <v>#N/A</v>
      </c>
      <c r="Y74" s="378" t="e">
        <f>IF(E66&gt;C68,"N/A",VLOOKUP(F74,F68:Y73,20,0))</f>
        <v>#N/A</v>
      </c>
      <c r="Z74" s="378" t="e">
        <f>IF(E66&gt;C68,"N/A",VLOOKUP(F74,F68:Z73,21,0))</f>
        <v>#N/A</v>
      </c>
      <c r="BU74" s="47" t="e">
        <f>VLOOKUP(F74,F68:BX73,68,0)</f>
        <v>#N/A</v>
      </c>
      <c r="BV74" s="47" t="e">
        <f>VLOOKUP(F74,F68:BX73,69,0)</f>
        <v>#N/A</v>
      </c>
      <c r="BW74" s="47" t="e">
        <f>VLOOKUP(F74,F68:BX73,70,0)</f>
        <v>#N/A</v>
      </c>
      <c r="BX74" s="47" t="e">
        <f>VLOOKUP(F74,F68:BX73,71,0)</f>
        <v>#N/A</v>
      </c>
      <c r="CG74" s="378"/>
      <c r="CH74" s="378"/>
      <c r="CI74" s="378" t="e">
        <f>VLOOKUP(F74,F68:CI73,82,0)</f>
        <v>#N/A</v>
      </c>
      <c r="CJ74" s="378"/>
      <c r="CK74" s="378"/>
    </row>
    <row r="76" spans="2:89" ht="15">
      <c r="J76" s="643"/>
    </row>
    <row r="78" spans="2:89" ht="15">
      <c r="J78" s="47"/>
    </row>
  </sheetData>
  <customSheetViews>
    <customSheetView guid="{065FF312-67E2-4E5F-894A-2CE2F41260A3}" scale="75" fitToPage="1">
      <pageMargins left="0.23622047244094491" right="0.23622047244094491" top="0.23622047244094491" bottom="0.23622047244094491" header="0" footer="0"/>
      <printOptions horizontalCentered="1"/>
      <pageSetup paperSize="9" scale="43" orientation="landscape" horizontalDpi="300" verticalDpi="300" r:id="rId1"/>
      <headerFooter alignWithMargins="0"/>
    </customSheetView>
  </customSheetViews>
  <mergeCells count="160">
    <mergeCell ref="DL13:DM13"/>
    <mergeCell ref="DL14:DM14"/>
    <mergeCell ref="AY46:AZ46"/>
    <mergeCell ref="AY56:AZ56"/>
    <mergeCell ref="AY66:AZ66"/>
    <mergeCell ref="AW46:AX46"/>
    <mergeCell ref="AW56:AX56"/>
    <mergeCell ref="AW66:AX66"/>
    <mergeCell ref="BE36:BF36"/>
    <mergeCell ref="BE46:BF46"/>
    <mergeCell ref="BE56:BF56"/>
    <mergeCell ref="BE66:BF66"/>
    <mergeCell ref="BK46:BL46"/>
    <mergeCell ref="BM46:BN46"/>
    <mergeCell ref="BK56:BL56"/>
    <mergeCell ref="BM56:BN56"/>
    <mergeCell ref="BK66:BL66"/>
    <mergeCell ref="BM66:BN66"/>
    <mergeCell ref="CC15:CF15"/>
    <mergeCell ref="BO14:BR14"/>
    <mergeCell ref="BO15:BR15"/>
    <mergeCell ref="BG16:BH16"/>
    <mergeCell ref="BI46:BJ46"/>
    <mergeCell ref="BI56:BJ56"/>
    <mergeCell ref="BE9:BF9"/>
    <mergeCell ref="BE26:BF26"/>
    <mergeCell ref="AY13:AZ13"/>
    <mergeCell ref="AY14:AZ14"/>
    <mergeCell ref="AY15:AZ15"/>
    <mergeCell ref="AY16:AZ16"/>
    <mergeCell ref="AY12:AZ12"/>
    <mergeCell ref="AY26:AZ26"/>
    <mergeCell ref="AY36:AZ36"/>
    <mergeCell ref="BA10:BB10"/>
    <mergeCell ref="BC10:BD10"/>
    <mergeCell ref="BC16:BD16"/>
    <mergeCell ref="BA11:BB11"/>
    <mergeCell ref="BE10:BF10"/>
    <mergeCell ref="BE11:BF11"/>
    <mergeCell ref="BE12:BF12"/>
    <mergeCell ref="BE13:BF13"/>
    <mergeCell ref="BE14:BF14"/>
    <mergeCell ref="BE15:BF15"/>
    <mergeCell ref="BE16:BF16"/>
    <mergeCell ref="BC9:BD9"/>
    <mergeCell ref="M7:P7"/>
    <mergeCell ref="AA36:AD36"/>
    <mergeCell ref="AE36:AH36"/>
    <mergeCell ref="AA16:AD16"/>
    <mergeCell ref="AE16:AH16"/>
    <mergeCell ref="AA26:AD26"/>
    <mergeCell ref="AE26:AH26"/>
    <mergeCell ref="BC15:BD15"/>
    <mergeCell ref="BC11:BD11"/>
    <mergeCell ref="BC14:BD14"/>
    <mergeCell ref="BA14:BB14"/>
    <mergeCell ref="BA15:BB15"/>
    <mergeCell ref="BA12:BB12"/>
    <mergeCell ref="BC12:BD12"/>
    <mergeCell ref="BA13:BB13"/>
    <mergeCell ref="BC13:BD13"/>
    <mergeCell ref="BA9:BB9"/>
    <mergeCell ref="AW12:AX12"/>
    <mergeCell ref="AW26:AX26"/>
    <mergeCell ref="AW13:AX13"/>
    <mergeCell ref="AA66:AD66"/>
    <mergeCell ref="AE66:AH66"/>
    <mergeCell ref="AA46:AD46"/>
    <mergeCell ref="AE46:AH46"/>
    <mergeCell ref="AA56:AD56"/>
    <mergeCell ref="AE56:AH56"/>
    <mergeCell ref="AU26:AV26"/>
    <mergeCell ref="AU36:AV36"/>
    <mergeCell ref="AU46:AV46"/>
    <mergeCell ref="AU56:AV56"/>
    <mergeCell ref="AU66:AV66"/>
    <mergeCell ref="AF5:AG5"/>
    <mergeCell ref="AM14:AP14"/>
    <mergeCell ref="AQ14:AT14"/>
    <mergeCell ref="AM15:AP15"/>
    <mergeCell ref="AU16:AV16"/>
    <mergeCell ref="AU13:AV13"/>
    <mergeCell ref="AQ15:AT15"/>
    <mergeCell ref="AU15:AV15"/>
    <mergeCell ref="AU14:AV14"/>
    <mergeCell ref="AU12:AV12"/>
    <mergeCell ref="BI66:BJ66"/>
    <mergeCell ref="BA26:BB26"/>
    <mergeCell ref="BC26:BD26"/>
    <mergeCell ref="BA16:BB16"/>
    <mergeCell ref="BG66:BH66"/>
    <mergeCell ref="BA46:BB46"/>
    <mergeCell ref="BC46:BD46"/>
    <mergeCell ref="BG46:BH46"/>
    <mergeCell ref="BA56:BB56"/>
    <mergeCell ref="BC56:BD56"/>
    <mergeCell ref="BG56:BH56"/>
    <mergeCell ref="BC66:BD66"/>
    <mergeCell ref="BG26:BH26"/>
    <mergeCell ref="BA36:BB36"/>
    <mergeCell ref="BC36:BD36"/>
    <mergeCell ref="BG36:BH36"/>
    <mergeCell ref="BA66:BB66"/>
    <mergeCell ref="BI16:BJ16"/>
    <mergeCell ref="BI6:BJ6"/>
    <mergeCell ref="BI4:BJ4"/>
    <mergeCell ref="BI5:BJ5"/>
    <mergeCell ref="BG11:BH11"/>
    <mergeCell ref="BI11:BJ11"/>
    <mergeCell ref="BG10:BH10"/>
    <mergeCell ref="BI10:BJ10"/>
    <mergeCell ref="BI9:BJ9"/>
    <mergeCell ref="BI26:BJ26"/>
    <mergeCell ref="BG8:BH8"/>
    <mergeCell ref="BG9:BH9"/>
    <mergeCell ref="BI7:BJ7"/>
    <mergeCell ref="BI8:BJ8"/>
    <mergeCell ref="BG14:BH14"/>
    <mergeCell ref="BG15:BH15"/>
    <mergeCell ref="BI12:BJ12"/>
    <mergeCell ref="BI13:BJ13"/>
    <mergeCell ref="BI14:BJ14"/>
    <mergeCell ref="BI15:BJ15"/>
    <mergeCell ref="BG12:BH12"/>
    <mergeCell ref="BG13:BH13"/>
    <mergeCell ref="BM9:BN9"/>
    <mergeCell ref="BM10:BN10"/>
    <mergeCell ref="BM11:BN11"/>
    <mergeCell ref="BM12:BN12"/>
    <mergeCell ref="BM13:BN13"/>
    <mergeCell ref="BM4:BN4"/>
    <mergeCell ref="BM5:BN5"/>
    <mergeCell ref="BM6:BN6"/>
    <mergeCell ref="BM7:BN7"/>
    <mergeCell ref="BM8:BN8"/>
    <mergeCell ref="BK9:BL9"/>
    <mergeCell ref="BK10:BL10"/>
    <mergeCell ref="BK11:BL11"/>
    <mergeCell ref="BK12:BL12"/>
    <mergeCell ref="BK13:BL13"/>
    <mergeCell ref="BK4:BL4"/>
    <mergeCell ref="BK5:BL5"/>
    <mergeCell ref="BK6:BL6"/>
    <mergeCell ref="BK7:BL7"/>
    <mergeCell ref="BK8:BL8"/>
    <mergeCell ref="BK26:BL26"/>
    <mergeCell ref="BM26:BN26"/>
    <mergeCell ref="BK36:BL36"/>
    <mergeCell ref="BM36:BN36"/>
    <mergeCell ref="AW36:AX36"/>
    <mergeCell ref="BM14:BN14"/>
    <mergeCell ref="BM15:BN15"/>
    <mergeCell ref="BM16:BN16"/>
    <mergeCell ref="BK14:BL14"/>
    <mergeCell ref="BK15:BL15"/>
    <mergeCell ref="BK16:BL16"/>
    <mergeCell ref="AW14:AX14"/>
    <mergeCell ref="AW15:AX15"/>
    <mergeCell ref="AW16:AX16"/>
    <mergeCell ref="BI36:BJ36"/>
  </mergeCells>
  <phoneticPr fontId="0" type="noConversion"/>
  <printOptions horizontalCentered="1"/>
  <pageMargins left="0.23622047244094491" right="0.23622047244094491" top="0.23622047244094491" bottom="0.23622047244094491" header="0" footer="0"/>
  <pageSetup paperSize="9" scale="43" orientation="landscape" horizontalDpi="300" verticalDpi="300" r:id="rId2"/>
  <headerFooter alignWithMargins="0"/>
  <drawing r:id="rId3"/>
  <picture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O49"/>
  <sheetViews>
    <sheetView zoomScale="75" zoomScaleNormal="75" workbookViewId="0">
      <selection activeCell="H17" sqref="H17"/>
    </sheetView>
  </sheetViews>
  <sheetFormatPr defaultRowHeight="12.75"/>
  <cols>
    <col min="1" max="1" width="4.5703125" customWidth="1"/>
    <col min="2" max="2" width="15.42578125" customWidth="1"/>
    <col min="3" max="3" width="8.42578125" customWidth="1"/>
    <col min="6" max="7" width="8.5703125" customWidth="1"/>
    <col min="8" max="8" width="10.5703125" customWidth="1"/>
    <col min="12" max="12" width="8.7109375" bestFit="1" customWidth="1"/>
    <col min="13" max="13" width="36.42578125" customWidth="1"/>
    <col min="14" max="15" width="5.7109375" bestFit="1" customWidth="1"/>
    <col min="16" max="16" width="7.5703125" bestFit="1" customWidth="1"/>
    <col min="18" max="18" width="3.42578125" bestFit="1" customWidth="1"/>
    <col min="19" max="19" width="5.7109375" bestFit="1" customWidth="1"/>
    <col min="20" max="20" width="5.5703125" customWidth="1"/>
    <col min="21" max="23" width="5.5703125" bestFit="1" customWidth="1"/>
    <col min="24" max="24" width="10" customWidth="1"/>
    <col min="25" max="25" width="6" bestFit="1" customWidth="1"/>
    <col min="26" max="26" width="5.5703125" customWidth="1"/>
    <col min="27" max="33" width="5.5703125" bestFit="1" customWidth="1"/>
    <col min="34" max="41" width="4.28515625" bestFit="1" customWidth="1"/>
  </cols>
  <sheetData>
    <row r="1" spans="1:41" ht="18.75" thickBot="1">
      <c r="A1" s="41"/>
      <c r="B1" s="41"/>
      <c r="C1" s="43"/>
      <c r="D1" s="41"/>
      <c r="E1" s="41"/>
      <c r="F1" s="43"/>
      <c r="G1" s="43"/>
      <c r="H1" s="43"/>
      <c r="I1" s="43"/>
      <c r="J1" s="43"/>
      <c r="K1" s="43"/>
      <c r="L1" s="43"/>
      <c r="R1" s="560"/>
      <c r="T1" s="560">
        <v>2</v>
      </c>
      <c r="U1" s="560">
        <v>3</v>
      </c>
      <c r="V1" s="560">
        <v>4</v>
      </c>
      <c r="W1" s="560">
        <v>5</v>
      </c>
      <c r="Z1" s="562" t="s">
        <v>423</v>
      </c>
    </row>
    <row r="2" spans="1:41" ht="18.75">
      <c r="A2" s="41"/>
      <c r="B2" s="74" t="s">
        <v>1</v>
      </c>
      <c r="C2" s="174" t="str">
        <f>MAIN!C2</f>
        <v>Spreadsheets to  EC2</v>
      </c>
      <c r="D2" s="235"/>
      <c r="E2" s="236"/>
      <c r="F2" s="237"/>
      <c r="G2" s="236"/>
      <c r="H2" s="236"/>
      <c r="I2" s="235"/>
      <c r="J2" s="236"/>
      <c r="K2" s="237"/>
      <c r="L2" s="238"/>
      <c r="P2" s="550"/>
      <c r="Q2" s="550"/>
      <c r="R2" s="2"/>
      <c r="S2" s="560" t="s">
        <v>225</v>
      </c>
      <c r="T2" s="560">
        <v>0.15</v>
      </c>
      <c r="U2" s="560">
        <v>0.3</v>
      </c>
      <c r="V2" s="560">
        <v>0.5</v>
      </c>
      <c r="W2" s="560">
        <v>0.7</v>
      </c>
      <c r="X2" s="2"/>
      <c r="Y2" s="2"/>
      <c r="Z2" s="1318" t="s">
        <v>419</v>
      </c>
      <c r="AA2" s="1319"/>
      <c r="AB2" s="1319"/>
      <c r="AC2" s="1320"/>
      <c r="AD2" s="1318" t="s">
        <v>420</v>
      </c>
      <c r="AE2" s="1319"/>
      <c r="AF2" s="1319"/>
      <c r="AG2" s="1320"/>
      <c r="AH2" s="1318" t="s">
        <v>421</v>
      </c>
      <c r="AI2" s="1319"/>
      <c r="AJ2" s="1319"/>
      <c r="AK2" s="1320"/>
      <c r="AL2" s="1318" t="s">
        <v>422</v>
      </c>
      <c r="AM2" s="1319"/>
      <c r="AN2" s="1319"/>
      <c r="AO2" s="1320"/>
    </row>
    <row r="3" spans="1:41" ht="18">
      <c r="A3" s="41"/>
      <c r="B3" s="75" t="s">
        <v>6</v>
      </c>
      <c r="C3" s="175" t="str">
        <f>MAIN!C4</f>
        <v>Column D2</v>
      </c>
      <c r="D3" s="231"/>
      <c r="E3" s="232"/>
      <c r="F3" s="233"/>
      <c r="G3" s="232"/>
      <c r="H3" s="232"/>
      <c r="I3" s="231"/>
      <c r="J3" s="231"/>
      <c r="K3" s="233"/>
      <c r="L3" s="239"/>
      <c r="P3" s="550"/>
      <c r="Q3" s="550"/>
      <c r="R3" s="551" t="s">
        <v>419</v>
      </c>
      <c r="S3" s="564">
        <v>0.1</v>
      </c>
      <c r="T3" s="552">
        <f>VLOOKUP($L$7,$Y3:$AC8,T$1)</f>
        <v>150</v>
      </c>
      <c r="U3" s="553">
        <f>VLOOKUP($L$7,$Y3:$AC8,U$1)</f>
        <v>200</v>
      </c>
      <c r="V3" s="553">
        <f>VLOOKUP($L$7,$Y3:$AC8,V$1)</f>
        <v>300</v>
      </c>
      <c r="W3" s="554">
        <f>VLOOKUP($L$7,$Y3:$AC8,W$1)</f>
        <v>500</v>
      </c>
      <c r="X3" s="563" t="s">
        <v>424</v>
      </c>
      <c r="Y3" s="2">
        <v>30</v>
      </c>
      <c r="Z3" s="552">
        <v>150</v>
      </c>
      <c r="AA3" s="553">
        <v>150</v>
      </c>
      <c r="AB3" s="553">
        <v>200</v>
      </c>
      <c r="AC3" s="554">
        <v>300</v>
      </c>
      <c r="AD3" s="552">
        <v>150</v>
      </c>
      <c r="AE3" s="553">
        <v>150</v>
      </c>
      <c r="AF3" s="553">
        <v>250</v>
      </c>
      <c r="AG3" s="554">
        <v>350</v>
      </c>
      <c r="AH3" s="552">
        <v>25</v>
      </c>
      <c r="AI3" s="553">
        <v>25</v>
      </c>
      <c r="AJ3" s="553">
        <v>30</v>
      </c>
      <c r="AK3" s="554">
        <v>30</v>
      </c>
      <c r="AL3" s="552">
        <v>25</v>
      </c>
      <c r="AM3" s="553">
        <v>25</v>
      </c>
      <c r="AN3" s="553">
        <v>25</v>
      </c>
      <c r="AO3" s="554">
        <v>25</v>
      </c>
    </row>
    <row r="4" spans="1:41" ht="18">
      <c r="A4" s="41"/>
      <c r="B4" s="117"/>
      <c r="C4" s="176" t="str">
        <f>MAIN!C5</f>
        <v>SYMMETRICALLY REINFORCED RECTANGULAR COLUMN DESIGN, BENT ABOUT TWO AXES TO EN 1992-1 : 2004</v>
      </c>
      <c r="D4" s="231"/>
      <c r="E4" s="232"/>
      <c r="F4" s="233"/>
      <c r="G4" s="232"/>
      <c r="H4" s="232"/>
      <c r="I4" s="231"/>
      <c r="J4" s="234"/>
      <c r="K4" s="233"/>
      <c r="L4" s="239"/>
      <c r="R4" s="551"/>
      <c r="S4" s="564">
        <v>0.5</v>
      </c>
      <c r="T4" s="555">
        <f>VLOOKUP($L$7,$Y9:$AC14,T$1)</f>
        <v>150</v>
      </c>
      <c r="U4" s="64">
        <f>VLOOKUP($L$7,$Y9:$AC14,U$1)</f>
        <v>150</v>
      </c>
      <c r="V4" s="64">
        <f>VLOOKUP($L$7,$Y9:$AC14,V$1)</f>
        <v>250</v>
      </c>
      <c r="W4" s="556">
        <f>VLOOKUP($L$7,$Y9:$AC14,W$1)</f>
        <v>350</v>
      </c>
      <c r="X4" s="2"/>
      <c r="Y4" s="2">
        <v>60</v>
      </c>
      <c r="Z4" s="555">
        <v>150</v>
      </c>
      <c r="AA4" s="64">
        <v>200</v>
      </c>
      <c r="AB4" s="64">
        <v>300</v>
      </c>
      <c r="AC4" s="556">
        <v>500</v>
      </c>
      <c r="AD4" s="555">
        <v>200</v>
      </c>
      <c r="AE4" s="64">
        <v>300</v>
      </c>
      <c r="AF4" s="64">
        <v>500</v>
      </c>
      <c r="AG4" s="556">
        <v>500</v>
      </c>
      <c r="AH4" s="555">
        <v>30</v>
      </c>
      <c r="AI4" s="64">
        <v>40</v>
      </c>
      <c r="AJ4" s="64">
        <v>40</v>
      </c>
      <c r="AK4" s="556">
        <v>25</v>
      </c>
      <c r="AL4" s="555">
        <v>25</v>
      </c>
      <c r="AM4" s="64">
        <v>25</v>
      </c>
      <c r="AN4" s="64">
        <v>25</v>
      </c>
      <c r="AO4" s="556">
        <v>25</v>
      </c>
    </row>
    <row r="5" spans="1:41" ht="18.75" thickBot="1">
      <c r="A5" s="41"/>
      <c r="B5" s="143"/>
      <c r="C5" s="144" t="str">
        <f ca="1">CHARTS!C6</f>
        <v>Originated from TCC53.xls  v4.45                     © 2000-19 TCC</v>
      </c>
      <c r="D5" s="240"/>
      <c r="E5" s="241"/>
      <c r="F5" s="242"/>
      <c r="G5" s="242"/>
      <c r="H5" s="242"/>
      <c r="I5" s="242"/>
      <c r="J5" s="242"/>
      <c r="K5" s="242"/>
      <c r="L5" s="243"/>
      <c r="R5" s="551"/>
      <c r="S5" s="564">
        <v>1</v>
      </c>
      <c r="T5" s="557">
        <f>VLOOKUP($L$7,$Y15:$AC20,T$1)</f>
        <v>150</v>
      </c>
      <c r="U5" s="558">
        <f>VLOOKUP($L$7,$Y15:$AC20,U$1)</f>
        <v>150</v>
      </c>
      <c r="V5" s="558">
        <f>VLOOKUP($L$7,$Y15:$AC20,V$1)</f>
        <v>250</v>
      </c>
      <c r="W5" s="559">
        <f>VLOOKUP($L$7,$Y15:$AC20,W$1)</f>
        <v>300</v>
      </c>
      <c r="X5" s="2"/>
      <c r="Y5" s="2">
        <v>90</v>
      </c>
      <c r="Z5" s="555">
        <v>200</v>
      </c>
      <c r="AA5" s="64">
        <v>300</v>
      </c>
      <c r="AB5" s="64">
        <v>500</v>
      </c>
      <c r="AC5" s="556">
        <v>550</v>
      </c>
      <c r="AD5" s="555">
        <v>250</v>
      </c>
      <c r="AE5" s="64">
        <v>400</v>
      </c>
      <c r="AF5" s="64">
        <v>550</v>
      </c>
      <c r="AG5" s="556">
        <v>600</v>
      </c>
      <c r="AH5" s="555">
        <v>40</v>
      </c>
      <c r="AI5" s="64">
        <v>40</v>
      </c>
      <c r="AJ5" s="64">
        <v>50</v>
      </c>
      <c r="AK5" s="556">
        <v>40</v>
      </c>
      <c r="AL5" s="555">
        <v>25</v>
      </c>
      <c r="AM5" s="64">
        <v>25</v>
      </c>
      <c r="AN5" s="64">
        <v>25</v>
      </c>
      <c r="AO5" s="556">
        <v>25</v>
      </c>
    </row>
    <row r="6" spans="1:41" ht="18">
      <c r="B6" s="565"/>
      <c r="C6" s="594"/>
      <c r="D6" s="594"/>
      <c r="E6" s="594"/>
      <c r="F6" s="594"/>
      <c r="G6" s="594"/>
      <c r="H6" s="594"/>
      <c r="I6" s="594"/>
      <c r="J6" s="594"/>
      <c r="K6" s="594"/>
      <c r="L6" s="595"/>
      <c r="R6" s="551" t="s">
        <v>420</v>
      </c>
      <c r="S6" s="564">
        <v>0.1</v>
      </c>
      <c r="T6" s="552">
        <f>VLOOKUP($L$7,$Y$3:$AO$8,T$1+4)</f>
        <v>200</v>
      </c>
      <c r="U6" s="553">
        <f>VLOOKUP($L$7,$Y$3:$AO$8,U$1+4)</f>
        <v>300</v>
      </c>
      <c r="V6" s="553">
        <f>VLOOKUP($L$7,$Y$3:$AO$8,V$1+4)</f>
        <v>500</v>
      </c>
      <c r="W6" s="554">
        <f>VLOOKUP($L$7,$Y$3:$AO$8,W$1+4)</f>
        <v>500</v>
      </c>
      <c r="X6" s="2"/>
      <c r="Y6" s="2">
        <v>120</v>
      </c>
      <c r="Z6" s="555">
        <v>250</v>
      </c>
      <c r="AA6" s="64">
        <v>400</v>
      </c>
      <c r="AB6" s="64">
        <v>550</v>
      </c>
      <c r="AC6" s="556">
        <v>550</v>
      </c>
      <c r="AD6" s="555">
        <v>350</v>
      </c>
      <c r="AE6" s="64">
        <v>550</v>
      </c>
      <c r="AF6" s="64">
        <v>550</v>
      </c>
      <c r="AG6" s="556">
        <v>600</v>
      </c>
      <c r="AH6" s="555">
        <v>50</v>
      </c>
      <c r="AI6" s="64">
        <v>50</v>
      </c>
      <c r="AJ6" s="64">
        <v>25</v>
      </c>
      <c r="AK6" s="556">
        <v>60</v>
      </c>
      <c r="AL6" s="555">
        <v>25</v>
      </c>
      <c r="AM6" s="64">
        <v>25</v>
      </c>
      <c r="AN6" s="64">
        <v>25</v>
      </c>
      <c r="AO6" s="556">
        <v>45</v>
      </c>
    </row>
    <row r="7" spans="1:41" ht="18">
      <c r="B7" s="566" t="s">
        <v>427</v>
      </c>
      <c r="C7" s="596"/>
      <c r="D7" s="596"/>
      <c r="E7" s="596"/>
      <c r="F7" s="596"/>
      <c r="G7" s="596"/>
      <c r="H7" s="596"/>
      <c r="I7" s="596"/>
      <c r="J7" s="597"/>
      <c r="K7" s="598" t="s">
        <v>428</v>
      </c>
      <c r="L7" s="599">
        <f>VALUE(MID(MAIN!T29,3,LEN(MAIN!T29)-2))</f>
        <v>60</v>
      </c>
      <c r="P7" s="71"/>
      <c r="Q7" s="71"/>
      <c r="R7" s="551"/>
      <c r="S7" s="564">
        <v>0.5</v>
      </c>
      <c r="T7" s="555">
        <f>VLOOKUP($L$7,$Y$9:$AO$14,T$1+4)</f>
        <v>150</v>
      </c>
      <c r="U7" s="64">
        <f>VLOOKUP($L$7,$Y$9:$AO$14,U$1+4)</f>
        <v>200</v>
      </c>
      <c r="V7" s="64">
        <f>VLOOKUP($L$7,$Y$9:$AO$14,V$1+4)</f>
        <v>350</v>
      </c>
      <c r="W7" s="556">
        <f>VLOOKUP($L$7,$Y$9:$AO$14,W$1+4)</f>
        <v>550</v>
      </c>
      <c r="X7" s="2"/>
      <c r="Y7" s="2">
        <v>180</v>
      </c>
      <c r="Z7" s="555">
        <v>400</v>
      </c>
      <c r="AA7" s="64">
        <v>500</v>
      </c>
      <c r="AB7" s="64">
        <v>550</v>
      </c>
      <c r="AC7" s="556"/>
      <c r="AD7" s="555">
        <v>500</v>
      </c>
      <c r="AE7" s="64">
        <v>550</v>
      </c>
      <c r="AF7" s="64">
        <v>600</v>
      </c>
      <c r="AG7" s="556"/>
      <c r="AH7" s="555">
        <v>50</v>
      </c>
      <c r="AI7" s="64">
        <v>60</v>
      </c>
      <c r="AJ7" s="64">
        <v>60</v>
      </c>
      <c r="AK7" s="556"/>
      <c r="AL7" s="555">
        <v>25</v>
      </c>
      <c r="AM7" s="64">
        <v>25</v>
      </c>
      <c r="AN7" s="64">
        <v>30</v>
      </c>
      <c r="AO7" s="556"/>
    </row>
    <row r="8" spans="1:41" ht="18">
      <c r="B8" s="567"/>
      <c r="C8" s="600"/>
      <c r="D8" s="600"/>
      <c r="E8" s="600"/>
      <c r="F8" s="600"/>
      <c r="G8" s="600"/>
      <c r="H8" s="600"/>
      <c r="I8" s="600"/>
      <c r="J8" s="600"/>
      <c r="K8" s="600"/>
      <c r="L8" s="601"/>
      <c r="P8" s="71"/>
      <c r="Q8" s="71"/>
      <c r="R8" s="551"/>
      <c r="S8" s="564">
        <v>1</v>
      </c>
      <c r="T8" s="557">
        <f>VLOOKUP($L$7,$Y$15:$AO$20,T$1+4)</f>
        <v>150</v>
      </c>
      <c r="U8" s="558">
        <f>VLOOKUP($L$7,$Y$15:$AO$20,U$1+4)</f>
        <v>200</v>
      </c>
      <c r="V8" s="558">
        <f>VLOOKUP($L$7,$Y$15:$AO$20,V$1+4)</f>
        <v>400</v>
      </c>
      <c r="W8" s="559">
        <f>VLOOKUP($L$7,$Y$15:$AO$20,W$1+4)</f>
        <v>600</v>
      </c>
      <c r="X8" s="548"/>
      <c r="Y8" s="548">
        <v>240</v>
      </c>
      <c r="Z8" s="557">
        <v>500</v>
      </c>
      <c r="AA8" s="558">
        <v>550</v>
      </c>
      <c r="AB8" s="558">
        <v>600</v>
      </c>
      <c r="AC8" s="559"/>
      <c r="AD8" s="557">
        <v>550</v>
      </c>
      <c r="AE8" s="558">
        <v>600</v>
      </c>
      <c r="AF8" s="558">
        <v>600</v>
      </c>
      <c r="AG8" s="559"/>
      <c r="AH8" s="557">
        <v>60</v>
      </c>
      <c r="AI8" s="558">
        <v>40</v>
      </c>
      <c r="AJ8" s="558">
        <v>75</v>
      </c>
      <c r="AK8" s="559"/>
      <c r="AL8" s="557">
        <v>25</v>
      </c>
      <c r="AM8" s="558">
        <v>25</v>
      </c>
      <c r="AN8" s="558">
        <v>75</v>
      </c>
      <c r="AO8" s="559"/>
    </row>
    <row r="9" spans="1:41" ht="19.5">
      <c r="B9" s="567"/>
      <c r="C9" s="602"/>
      <c r="D9" s="602"/>
      <c r="E9" s="588" t="s">
        <v>435</v>
      </c>
      <c r="F9" s="602"/>
      <c r="G9" s="603"/>
      <c r="H9" s="588" t="s">
        <v>433</v>
      </c>
      <c r="I9" s="600"/>
      <c r="J9" s="600"/>
      <c r="K9" s="600"/>
      <c r="L9" s="601"/>
      <c r="P9" s="71"/>
      <c r="Q9" s="71"/>
      <c r="R9" s="551" t="s">
        <v>421</v>
      </c>
      <c r="S9" s="564">
        <v>0.1</v>
      </c>
      <c r="T9" s="552">
        <f>VLOOKUP($L$7,$Y$3:$AO$8,T$1+8)</f>
        <v>30</v>
      </c>
      <c r="U9" s="553">
        <f>VLOOKUP($L$7,$Y$3:$AO$8,U$1+8)</f>
        <v>40</v>
      </c>
      <c r="V9" s="553">
        <f>VLOOKUP($L$7,$Y$3:$AO$8,V$1+8)</f>
        <v>40</v>
      </c>
      <c r="W9" s="554">
        <f>VLOOKUP($L$7,$Y$3:$AO$8,W$1+8)</f>
        <v>25</v>
      </c>
      <c r="X9" s="563" t="s">
        <v>425</v>
      </c>
      <c r="Y9" s="2">
        <v>30</v>
      </c>
      <c r="Z9" s="552">
        <v>150</v>
      </c>
      <c r="AA9" s="553">
        <v>150</v>
      </c>
      <c r="AB9" s="553">
        <v>150</v>
      </c>
      <c r="AC9" s="554">
        <v>200</v>
      </c>
      <c r="AD9" s="552">
        <v>150</v>
      </c>
      <c r="AE9" s="553">
        <v>150</v>
      </c>
      <c r="AF9" s="553">
        <v>150</v>
      </c>
      <c r="AG9" s="554">
        <v>250</v>
      </c>
      <c r="AH9" s="552">
        <v>25</v>
      </c>
      <c r="AI9" s="553">
        <v>25</v>
      </c>
      <c r="AJ9" s="553">
        <v>25</v>
      </c>
      <c r="AK9" s="554">
        <v>30</v>
      </c>
      <c r="AL9" s="552">
        <v>25</v>
      </c>
      <c r="AM9" s="553">
        <v>25</v>
      </c>
      <c r="AN9" s="553">
        <v>25</v>
      </c>
      <c r="AO9" s="554">
        <v>25</v>
      </c>
    </row>
    <row r="10" spans="1:41" ht="19.5">
      <c r="B10" s="567"/>
      <c r="C10" s="612" t="s">
        <v>225</v>
      </c>
      <c r="D10" s="589" t="s">
        <v>436</v>
      </c>
      <c r="E10" s="590" t="s">
        <v>437</v>
      </c>
      <c r="F10" s="591" t="s">
        <v>429</v>
      </c>
      <c r="G10" s="591" t="s">
        <v>93</v>
      </c>
      <c r="H10" s="590" t="s">
        <v>434</v>
      </c>
      <c r="I10" s="604"/>
      <c r="J10" s="604"/>
      <c r="K10" s="604"/>
      <c r="L10" s="605"/>
      <c r="N10" s="70"/>
      <c r="O10" s="70"/>
      <c r="P10" s="593" t="s">
        <v>438</v>
      </c>
      <c r="Q10" s="71"/>
      <c r="R10" s="551"/>
      <c r="S10" s="564">
        <v>0.5</v>
      </c>
      <c r="T10" s="555">
        <f>VLOOKUP($L$7,$Y$9:$AO$14,T$1+8)</f>
        <v>25</v>
      </c>
      <c r="U10" s="64">
        <f>VLOOKUP($L$7,$Y$9:$AO$14,U$1+8)</f>
        <v>35</v>
      </c>
      <c r="V10" s="64">
        <f>VLOOKUP($L$7,$Y$9:$AO$14,V$1+8)</f>
        <v>35</v>
      </c>
      <c r="W10" s="556">
        <f>VLOOKUP($L$7,$Y$9:$AO$14,W$1+8)</f>
        <v>40</v>
      </c>
      <c r="X10" s="548"/>
      <c r="Y10" s="2">
        <v>60</v>
      </c>
      <c r="Z10" s="555">
        <v>150</v>
      </c>
      <c r="AA10" s="64">
        <v>150</v>
      </c>
      <c r="AB10" s="64">
        <v>250</v>
      </c>
      <c r="AC10" s="556">
        <v>350</v>
      </c>
      <c r="AD10" s="555">
        <v>150</v>
      </c>
      <c r="AE10" s="64">
        <v>200</v>
      </c>
      <c r="AF10" s="64">
        <v>350</v>
      </c>
      <c r="AG10" s="556">
        <v>550</v>
      </c>
      <c r="AH10" s="555">
        <v>25</v>
      </c>
      <c r="AI10" s="64">
        <v>35</v>
      </c>
      <c r="AJ10" s="64">
        <v>35</v>
      </c>
      <c r="AK10" s="556">
        <v>40</v>
      </c>
      <c r="AL10" s="555">
        <v>25</v>
      </c>
      <c r="AM10" s="64">
        <v>25</v>
      </c>
      <c r="AN10" s="64">
        <v>25</v>
      </c>
      <c r="AO10" s="556">
        <v>25</v>
      </c>
    </row>
    <row r="11" spans="1:41" ht="18">
      <c r="B11" s="568" t="str">
        <f>"Loadcase "&amp;MAIN!B51</f>
        <v>Loadcase 1</v>
      </c>
      <c r="C11" s="613">
        <f>VLOOKUP(Cases!F24,Slen!$O$34:$R$39,4)</f>
        <v>8.5704147412509271E-2</v>
      </c>
      <c r="D11" s="570">
        <f>0.7*MAIN!C42</f>
        <v>539.91815994136857</v>
      </c>
      <c r="E11" s="570">
        <f>(Z$22+Z$23*MAIN!Q$1*PI()/4*Cases!F24^2)/1000</f>
        <v>8859.3458428860758</v>
      </c>
      <c r="F11" s="569">
        <f t="shared" ref="F11:F16" si="0">D11/0.7/E11</f>
        <v>8.7061919778021746E-2</v>
      </c>
      <c r="G11" s="569">
        <f>VLOOKUP(Cases!F$24,Cases!M$8:V$13,10)</f>
        <v>48</v>
      </c>
      <c r="H11" s="609" t="str">
        <f t="shared" ref="H11:H16" si="1">N11&amp;"/"&amp;O11</f>
        <v>150/30</v>
      </c>
      <c r="I11" s="1313" t="str">
        <f t="shared" ref="I11:I16" si="2">IF(N11=0,"Column size &gt; 600. CHECK",IF(AND(bmin&gt;=N11,G11&gt;=O11),"ok",IF(N11&gt;bmin,"Column size too small","")&amp;IF(P11&lt;3,", Try increasing As","")&amp;IF(O11&gt;D11,", Insufficient cover","")))</f>
        <v>ok</v>
      </c>
      <c r="J11" s="1314"/>
      <c r="K11" s="1314"/>
      <c r="L11" s="1315"/>
      <c r="N11" s="2">
        <f>IF(bmin&gt;=X26,X26,X27)</f>
        <v>150</v>
      </c>
      <c r="O11" s="2">
        <f>IF(N11=X26,X28,X29)</f>
        <v>30</v>
      </c>
      <c r="P11" s="440">
        <f>VLOOKUP(Cases!F$24,Cases!M$8:W$13,11)</f>
        <v>0.44680428851054843</v>
      </c>
      <c r="R11" s="551"/>
      <c r="S11" s="564">
        <v>1</v>
      </c>
      <c r="T11" s="557">
        <f>VLOOKUP($L$7,$Y$15:$AO$20,T$1+8)</f>
        <v>25</v>
      </c>
      <c r="U11" s="558">
        <f>VLOOKUP($L$7,$Y$15:$AO$20,U$1+8)</f>
        <v>30</v>
      </c>
      <c r="V11" s="558">
        <f>VLOOKUP($L$7,$Y$15:$AO$20,V$1+8)</f>
        <v>40</v>
      </c>
      <c r="W11" s="559">
        <f>VLOOKUP($L$7,$Y$15:$AO$20,W$1+8)</f>
        <v>50</v>
      </c>
      <c r="X11" s="548"/>
      <c r="Y11" s="2">
        <v>90</v>
      </c>
      <c r="Z11" s="555">
        <v>150</v>
      </c>
      <c r="AA11" s="64">
        <v>200</v>
      </c>
      <c r="AB11" s="64">
        <v>300</v>
      </c>
      <c r="AC11" s="556">
        <v>550</v>
      </c>
      <c r="AD11" s="555">
        <v>200</v>
      </c>
      <c r="AE11" s="64">
        <v>300</v>
      </c>
      <c r="AF11" s="64">
        <v>550</v>
      </c>
      <c r="AG11" s="556">
        <v>600</v>
      </c>
      <c r="AH11" s="555">
        <v>35</v>
      </c>
      <c r="AI11" s="64">
        <v>45</v>
      </c>
      <c r="AJ11" s="64">
        <v>45</v>
      </c>
      <c r="AK11" s="556">
        <v>50</v>
      </c>
      <c r="AL11" s="555">
        <v>25</v>
      </c>
      <c r="AM11" s="64">
        <v>25</v>
      </c>
      <c r="AN11" s="64">
        <v>25</v>
      </c>
      <c r="AO11" s="556">
        <v>40</v>
      </c>
    </row>
    <row r="12" spans="1:41" ht="18">
      <c r="B12" s="568" t="str">
        <f>"Loadcase "&amp;MAIN!B52</f>
        <v>Loadcase 2</v>
      </c>
      <c r="C12" s="614">
        <f>VLOOKUP(Cases!F34,Slen!$O$34:$R$39,4)</f>
        <v>8.5704147412509271E-2</v>
      </c>
      <c r="D12" s="572">
        <f>0.7*MAIN!C43</f>
        <v>514.88284194136929</v>
      </c>
      <c r="E12" s="572">
        <f>(Z$22+Z$23*MAIN!Q$1*PI()/4*Cases!F34^2)/1000</f>
        <v>8859.3458428860758</v>
      </c>
      <c r="F12" s="571">
        <f t="shared" si="0"/>
        <v>8.3024969349145841E-2</v>
      </c>
      <c r="G12" s="571">
        <f>VLOOKUP(Cases!F$34,Cases!M$8:V$13,10)</f>
        <v>48</v>
      </c>
      <c r="H12" s="610" t="str">
        <f t="shared" si="1"/>
        <v>150/30</v>
      </c>
      <c r="I12" s="1313" t="str">
        <f t="shared" si="2"/>
        <v>ok</v>
      </c>
      <c r="J12" s="1314"/>
      <c r="K12" s="1314"/>
      <c r="L12" s="1315"/>
      <c r="N12" s="2">
        <f>IF(bmin&gt;=X30,X30,X31)</f>
        <v>150</v>
      </c>
      <c r="O12" s="2">
        <f>IF(N12=X30,X32,X33)</f>
        <v>30</v>
      </c>
      <c r="P12" s="440">
        <f>VLOOKUP(Cases!F$34,Cases!M$8:W$13,11)</f>
        <v>0.44680428851054843</v>
      </c>
      <c r="R12" s="551" t="s">
        <v>422</v>
      </c>
      <c r="S12" s="564">
        <v>0.1</v>
      </c>
      <c r="T12" s="552">
        <f>VLOOKUP($L$7,$Y$3:$AO$8,T$1+12)</f>
        <v>25</v>
      </c>
      <c r="U12" s="553">
        <f>VLOOKUP($L$7,$Y$3:$AO$8,U$1+12)</f>
        <v>25</v>
      </c>
      <c r="V12" s="553">
        <f>VLOOKUP($L$7,$Y$3:$AO$8,V$1+12)</f>
        <v>25</v>
      </c>
      <c r="W12" s="554">
        <f>VLOOKUP($L$7,$Y$3:$AO$8,W$1+12)</f>
        <v>25</v>
      </c>
      <c r="X12" s="548"/>
      <c r="Y12" s="2">
        <v>120</v>
      </c>
      <c r="Z12" s="555">
        <v>200</v>
      </c>
      <c r="AA12" s="64">
        <v>300</v>
      </c>
      <c r="AB12" s="64">
        <v>450</v>
      </c>
      <c r="AC12" s="556">
        <v>500</v>
      </c>
      <c r="AD12" s="555">
        <v>300</v>
      </c>
      <c r="AE12" s="64">
        <v>550</v>
      </c>
      <c r="AF12" s="64">
        <v>600</v>
      </c>
      <c r="AG12" s="556">
        <v>600</v>
      </c>
      <c r="AH12" s="555">
        <v>45</v>
      </c>
      <c r="AI12" s="64">
        <v>45</v>
      </c>
      <c r="AJ12" s="64">
        <v>50</v>
      </c>
      <c r="AK12" s="556">
        <v>60</v>
      </c>
      <c r="AL12" s="555">
        <v>25</v>
      </c>
      <c r="AM12" s="64">
        <v>25</v>
      </c>
      <c r="AN12" s="64">
        <v>25</v>
      </c>
      <c r="AO12" s="556">
        <v>50</v>
      </c>
    </row>
    <row r="13" spans="1:41" ht="18">
      <c r="B13" s="568" t="str">
        <f>"Loadcase "&amp;MAIN!B53</f>
        <v>Loadcase 3</v>
      </c>
      <c r="C13" s="614">
        <f>VLOOKUP(Cases!F44,Slen!$O$34:$R$39,4)</f>
        <v>8.5704147412509271E-2</v>
      </c>
      <c r="D13" s="572">
        <f>0.7*MAIN!C44</f>
        <v>514.88284194136929</v>
      </c>
      <c r="E13" s="572">
        <f>(Z$22+Z$23*MAIN!Q$1*PI()/4*Cases!F44^2)/1000</f>
        <v>8859.3458428860758</v>
      </c>
      <c r="F13" s="571">
        <f t="shared" si="0"/>
        <v>8.3024969349145841E-2</v>
      </c>
      <c r="G13" s="571">
        <f>VLOOKUP(Cases!F$44,Cases!M$8:V$13,10)</f>
        <v>48</v>
      </c>
      <c r="H13" s="610" t="str">
        <f t="shared" si="1"/>
        <v>150/30</v>
      </c>
      <c r="I13" s="1313" t="str">
        <f t="shared" si="2"/>
        <v>ok</v>
      </c>
      <c r="J13" s="1314"/>
      <c r="K13" s="1314"/>
      <c r="L13" s="1315"/>
      <c r="N13" s="2">
        <f>IF(bmin&gt;=X34,X34,X35)</f>
        <v>150</v>
      </c>
      <c r="O13" s="2">
        <f>IF(N13=X34,X36,X37)</f>
        <v>30</v>
      </c>
      <c r="P13" s="440">
        <f>VLOOKUP(Cases!F$44,Cases!M$8:W$13,11)</f>
        <v>0.44680428851054843</v>
      </c>
      <c r="R13" s="551"/>
      <c r="S13" s="564">
        <v>0.5</v>
      </c>
      <c r="T13" s="555">
        <f>VLOOKUP($L$7,$Y$9:$AO$14,T$1+12)</f>
        <v>25</v>
      </c>
      <c r="U13" s="64">
        <f>VLOOKUP($L$7,$Y$9:$AO$14,U$1+12)</f>
        <v>25</v>
      </c>
      <c r="V13" s="64">
        <f>VLOOKUP($L$7,$Y$9:$AO$14,V$1+12)</f>
        <v>25</v>
      </c>
      <c r="W13" s="556">
        <f>VLOOKUP($L$7,$Y$9:$AO$14,W$1+12)</f>
        <v>25</v>
      </c>
      <c r="X13" s="548"/>
      <c r="Y13" s="2">
        <v>180</v>
      </c>
      <c r="Z13" s="555">
        <v>300</v>
      </c>
      <c r="AA13" s="64">
        <v>450</v>
      </c>
      <c r="AB13" s="64">
        <v>500</v>
      </c>
      <c r="AC13" s="556">
        <v>600</v>
      </c>
      <c r="AD13" s="555">
        <v>450</v>
      </c>
      <c r="AE13" s="64">
        <v>600</v>
      </c>
      <c r="AF13" s="64">
        <v>600</v>
      </c>
      <c r="AG13" s="556">
        <v>600</v>
      </c>
      <c r="AH13" s="555">
        <v>45</v>
      </c>
      <c r="AI13" s="64">
        <v>50</v>
      </c>
      <c r="AJ13" s="64">
        <v>60</v>
      </c>
      <c r="AK13" s="556">
        <v>75</v>
      </c>
      <c r="AL13" s="555">
        <v>25</v>
      </c>
      <c r="AM13" s="64">
        <v>25</v>
      </c>
      <c r="AN13" s="64">
        <v>50</v>
      </c>
      <c r="AO13" s="556">
        <v>75</v>
      </c>
    </row>
    <row r="14" spans="1:41" ht="18">
      <c r="B14" s="568" t="str">
        <f>"Loadcase "&amp;MAIN!B54</f>
        <v>Loadcase 4</v>
      </c>
      <c r="C14" s="614" t="e">
        <f>VLOOKUP(Cases!F54,Slen!$O$34:$R$39,4)</f>
        <v>#N/A</v>
      </c>
      <c r="D14" s="572">
        <f>0.7*MAIN!C45</f>
        <v>0</v>
      </c>
      <c r="E14" s="572">
        <f>(Z$22+Z$23*MAIN!Q$1*PI()/4*Cases!F54^2)/1000</f>
        <v>8160</v>
      </c>
      <c r="F14" s="571">
        <f t="shared" si="0"/>
        <v>0</v>
      </c>
      <c r="G14" s="571" t="e">
        <f>VLOOKUP(Cases!F$54,Cases!M$8:V$13,10)</f>
        <v>#N/A</v>
      </c>
      <c r="H14" s="610" t="e">
        <f t="shared" si="1"/>
        <v>#N/A</v>
      </c>
      <c r="I14" s="1313" t="e">
        <f t="shared" si="2"/>
        <v>#N/A</v>
      </c>
      <c r="J14" s="1314"/>
      <c r="K14" s="1314"/>
      <c r="L14" s="1315"/>
      <c r="N14" s="2" t="e">
        <f>IF(bmin&gt;=X38,X38,X39)</f>
        <v>#N/A</v>
      </c>
      <c r="O14" s="2" t="e">
        <f>IF(N14=X38,X40,X41)</f>
        <v>#N/A</v>
      </c>
      <c r="P14" s="440" t="e">
        <f>VLOOKUP(Cases!F$54,Cases!M$8:W$13,11)</f>
        <v>#N/A</v>
      </c>
      <c r="R14" s="551"/>
      <c r="S14" s="564">
        <v>1</v>
      </c>
      <c r="T14" s="557">
        <f>VLOOKUP($L$7,$Y$15:$AO$20,T$1+12)</f>
        <v>25</v>
      </c>
      <c r="U14" s="558">
        <f>VLOOKUP($L$7,$Y$15:$AO$20,U$1+12)</f>
        <v>25</v>
      </c>
      <c r="V14" s="558">
        <f>VLOOKUP($L$7,$Y$15:$AO$20,V$1+12)</f>
        <v>25</v>
      </c>
      <c r="W14" s="559">
        <f>VLOOKUP($L$7,$Y$15:$AO$20,W$1+12)</f>
        <v>30</v>
      </c>
      <c r="X14" s="548"/>
      <c r="Y14" s="548">
        <v>240</v>
      </c>
      <c r="Z14" s="557">
        <v>450</v>
      </c>
      <c r="AA14" s="558">
        <v>550</v>
      </c>
      <c r="AB14" s="558">
        <v>600</v>
      </c>
      <c r="AC14" s="559"/>
      <c r="AD14" s="557">
        <v>500</v>
      </c>
      <c r="AE14" s="558">
        <v>600</v>
      </c>
      <c r="AF14" s="558">
        <v>600</v>
      </c>
      <c r="AG14" s="559"/>
      <c r="AH14" s="557">
        <v>45</v>
      </c>
      <c r="AI14" s="558">
        <v>55</v>
      </c>
      <c r="AJ14" s="558">
        <v>70</v>
      </c>
      <c r="AK14" s="559"/>
      <c r="AL14" s="557">
        <v>25</v>
      </c>
      <c r="AM14" s="558">
        <v>25</v>
      </c>
      <c r="AN14" s="558">
        <v>70</v>
      </c>
      <c r="AO14" s="559"/>
    </row>
    <row r="15" spans="1:41" ht="18">
      <c r="B15" s="568" t="str">
        <f>"Loadcase "&amp;MAIN!B55</f>
        <v>Loadcase 5</v>
      </c>
      <c r="C15" s="614" t="e">
        <f>VLOOKUP(Cases!F64,Slen!$O$34:$R$39,4)</f>
        <v>#N/A</v>
      </c>
      <c r="D15" s="572">
        <f>0.7*MAIN!C46</f>
        <v>0</v>
      </c>
      <c r="E15" s="572">
        <f>(Z$22+Z$23*MAIN!Q$1*PI()/4*Cases!F64^2)/1000</f>
        <v>8160</v>
      </c>
      <c r="F15" s="571">
        <f t="shared" si="0"/>
        <v>0</v>
      </c>
      <c r="G15" s="571" t="e">
        <f>VLOOKUP(Cases!F$64,Cases!M$8:V$13,10)</f>
        <v>#N/A</v>
      </c>
      <c r="H15" s="610" t="e">
        <f t="shared" si="1"/>
        <v>#N/A</v>
      </c>
      <c r="I15" s="1313" t="e">
        <f t="shared" si="2"/>
        <v>#N/A</v>
      </c>
      <c r="J15" s="1314"/>
      <c r="K15" s="1314"/>
      <c r="L15" s="1315"/>
      <c r="N15" s="2" t="e">
        <f>IF(bmin&gt;=X42,X42,X43)</f>
        <v>#N/A</v>
      </c>
      <c r="O15" s="2" t="e">
        <f>IF(N15=X42,X44,X45)</f>
        <v>#N/A</v>
      </c>
      <c r="P15" s="440" t="e">
        <f>VLOOKUP(Cases!F$64,Cases!M$8:W$13,11)</f>
        <v>#N/A</v>
      </c>
      <c r="R15" s="548"/>
      <c r="S15" s="548"/>
      <c r="T15" s="548"/>
      <c r="U15" s="548"/>
      <c r="V15" s="548"/>
      <c r="W15" s="548"/>
      <c r="X15" s="563" t="s">
        <v>426</v>
      </c>
      <c r="Y15" s="2">
        <v>30</v>
      </c>
      <c r="Z15" s="552">
        <v>150</v>
      </c>
      <c r="AA15" s="553">
        <v>150</v>
      </c>
      <c r="AB15" s="553">
        <v>150</v>
      </c>
      <c r="AC15" s="554">
        <v>200</v>
      </c>
      <c r="AD15" s="552">
        <v>150</v>
      </c>
      <c r="AE15" s="553">
        <v>150</v>
      </c>
      <c r="AF15" s="553">
        <v>150</v>
      </c>
      <c r="AG15" s="554">
        <v>300</v>
      </c>
      <c r="AH15" s="552">
        <v>25</v>
      </c>
      <c r="AI15" s="553">
        <v>25</v>
      </c>
      <c r="AJ15" s="553">
        <v>25</v>
      </c>
      <c r="AK15" s="554">
        <v>30</v>
      </c>
      <c r="AL15" s="552">
        <v>25</v>
      </c>
      <c r="AM15" s="553">
        <v>25</v>
      </c>
      <c r="AN15" s="553">
        <v>25</v>
      </c>
      <c r="AO15" s="554">
        <v>25</v>
      </c>
    </row>
    <row r="16" spans="1:41" ht="18">
      <c r="B16" s="568" t="str">
        <f>"Loadcase "&amp;MAIN!B56</f>
        <v>Loadcase 6</v>
      </c>
      <c r="C16" s="615" t="e">
        <f>VLOOKUP(Cases!F74,Slen!$O$34:$R$39,4)</f>
        <v>#N/A</v>
      </c>
      <c r="D16" s="574">
        <f>0.7*MAIN!C47</f>
        <v>0</v>
      </c>
      <c r="E16" s="574">
        <f>(Z$22+Z$23*MAIN!Q$1*PI()/4*Cases!F74^2)/1000</f>
        <v>8160</v>
      </c>
      <c r="F16" s="573">
        <f t="shared" si="0"/>
        <v>0</v>
      </c>
      <c r="G16" s="573" t="e">
        <f>VLOOKUP(Cases!F$74,Cases!M$8:V$13,10)</f>
        <v>#N/A</v>
      </c>
      <c r="H16" s="611" t="e">
        <f t="shared" si="1"/>
        <v>#N/A</v>
      </c>
      <c r="I16" s="1313" t="e">
        <f t="shared" si="2"/>
        <v>#N/A</v>
      </c>
      <c r="J16" s="1314"/>
      <c r="K16" s="1314"/>
      <c r="L16" s="1315"/>
      <c r="N16" s="2" t="e">
        <f>IF(bmin&gt;=X46,X46,X47)</f>
        <v>#N/A</v>
      </c>
      <c r="O16" s="2" t="e">
        <f>IF(N16=X46,X48,X49)</f>
        <v>#N/A</v>
      </c>
      <c r="P16" s="440" t="e">
        <f>VLOOKUP(Cases!F$74,Cases!M$8:W$13,11)</f>
        <v>#N/A</v>
      </c>
      <c r="R16" s="2"/>
      <c r="U16" s="575"/>
      <c r="V16" s="2"/>
      <c r="W16" s="2"/>
      <c r="X16" s="548"/>
      <c r="Y16" s="2">
        <v>60</v>
      </c>
      <c r="Z16" s="555">
        <v>150</v>
      </c>
      <c r="AA16" s="64">
        <v>150</v>
      </c>
      <c r="AB16" s="64">
        <v>250</v>
      </c>
      <c r="AC16" s="556">
        <v>300</v>
      </c>
      <c r="AD16" s="555">
        <v>150</v>
      </c>
      <c r="AE16" s="64">
        <v>200</v>
      </c>
      <c r="AF16" s="64">
        <v>400</v>
      </c>
      <c r="AG16" s="556">
        <v>600</v>
      </c>
      <c r="AH16" s="555">
        <v>25</v>
      </c>
      <c r="AI16" s="64">
        <v>30</v>
      </c>
      <c r="AJ16" s="64">
        <v>40</v>
      </c>
      <c r="AK16" s="556">
        <v>50</v>
      </c>
      <c r="AL16" s="555">
        <v>25</v>
      </c>
      <c r="AM16" s="64">
        <v>25</v>
      </c>
      <c r="AN16" s="64">
        <v>25</v>
      </c>
      <c r="AO16" s="556">
        <v>30</v>
      </c>
    </row>
    <row r="17" spans="2:41" ht="15.75" thickBot="1">
      <c r="B17" s="606"/>
      <c r="C17" s="607"/>
      <c r="D17" s="607"/>
      <c r="E17" s="607"/>
      <c r="F17" s="607"/>
      <c r="G17" s="607"/>
      <c r="H17" s="607"/>
      <c r="I17" s="607"/>
      <c r="J17" s="607"/>
      <c r="K17" s="607"/>
      <c r="L17" s="608"/>
      <c r="U17" s="576"/>
      <c r="X17" s="2"/>
      <c r="Y17" s="2">
        <v>90</v>
      </c>
      <c r="Z17" s="555">
        <v>200</v>
      </c>
      <c r="AA17" s="64">
        <v>200</v>
      </c>
      <c r="AB17" s="64">
        <v>250</v>
      </c>
      <c r="AC17" s="556">
        <v>500</v>
      </c>
      <c r="AD17" s="555">
        <v>200</v>
      </c>
      <c r="AE17" s="64">
        <v>300</v>
      </c>
      <c r="AF17" s="64">
        <v>550</v>
      </c>
      <c r="AG17" s="556">
        <v>600</v>
      </c>
      <c r="AH17" s="555">
        <v>25</v>
      </c>
      <c r="AI17" s="64">
        <v>40</v>
      </c>
      <c r="AJ17" s="64">
        <v>40</v>
      </c>
      <c r="AK17" s="556">
        <v>50</v>
      </c>
      <c r="AL17" s="555">
        <v>25</v>
      </c>
      <c r="AM17" s="64">
        <v>25</v>
      </c>
      <c r="AN17" s="64">
        <v>25</v>
      </c>
      <c r="AO17" s="556">
        <v>45</v>
      </c>
    </row>
    <row r="18" spans="2:41" ht="19.5">
      <c r="S18" s="435" t="s">
        <v>432</v>
      </c>
      <c r="T18" s="433">
        <f>MIN(MAIN!C13:C14)</f>
        <v>300</v>
      </c>
      <c r="Y18" s="2">
        <v>120</v>
      </c>
      <c r="Z18" s="555">
        <v>200</v>
      </c>
      <c r="AA18" s="64">
        <v>250</v>
      </c>
      <c r="AB18" s="64">
        <v>450</v>
      </c>
      <c r="AC18" s="556">
        <v>600</v>
      </c>
      <c r="AD18" s="555">
        <v>250</v>
      </c>
      <c r="AE18" s="64">
        <v>400</v>
      </c>
      <c r="AF18" s="64">
        <v>600</v>
      </c>
      <c r="AG18" s="556">
        <v>600</v>
      </c>
      <c r="AH18" s="555">
        <v>40</v>
      </c>
      <c r="AI18" s="64">
        <v>50</v>
      </c>
      <c r="AJ18" s="64">
        <v>45</v>
      </c>
      <c r="AK18" s="556">
        <v>60</v>
      </c>
      <c r="AL18" s="555">
        <v>25</v>
      </c>
      <c r="AM18" s="64">
        <v>25</v>
      </c>
      <c r="AN18" s="64">
        <v>30</v>
      </c>
      <c r="AO18" s="556">
        <v>60</v>
      </c>
    </row>
    <row r="19" spans="2:41" ht="15">
      <c r="B19" s="54"/>
      <c r="C19" s="54"/>
      <c r="D19" s="54"/>
      <c r="E19" s="54"/>
      <c r="F19" s="54"/>
      <c r="G19" s="54"/>
      <c r="H19" s="54"/>
      <c r="I19" s="54"/>
      <c r="J19" s="54"/>
      <c r="K19" s="54"/>
      <c r="L19" s="54"/>
      <c r="O19" s="433" t="s">
        <v>440</v>
      </c>
      <c r="Y19" s="2">
        <v>180</v>
      </c>
      <c r="Z19" s="555">
        <v>300</v>
      </c>
      <c r="AA19" s="64">
        <v>450</v>
      </c>
      <c r="AB19" s="64">
        <v>500</v>
      </c>
      <c r="AC19" s="556"/>
      <c r="AD19" s="555">
        <v>400</v>
      </c>
      <c r="AE19" s="64">
        <v>550</v>
      </c>
      <c r="AF19" s="64">
        <v>600</v>
      </c>
      <c r="AG19" s="556"/>
      <c r="AH19" s="555">
        <v>35</v>
      </c>
      <c r="AI19" s="64">
        <v>50</v>
      </c>
      <c r="AJ19" s="64">
        <v>60</v>
      </c>
      <c r="AK19" s="556"/>
      <c r="AL19" s="555">
        <v>25</v>
      </c>
      <c r="AM19" s="64">
        <v>25</v>
      </c>
      <c r="AN19" s="64">
        <v>45</v>
      </c>
      <c r="AO19" s="556"/>
    </row>
    <row r="20" spans="2:41" ht="15">
      <c r="B20" s="2"/>
      <c r="C20" s="2"/>
      <c r="D20" s="2"/>
      <c r="E20" s="2"/>
      <c r="F20" s="2"/>
      <c r="G20" s="2"/>
      <c r="H20" s="2"/>
      <c r="I20" s="2"/>
      <c r="J20" s="2"/>
      <c r="K20" s="2"/>
      <c r="L20" s="2"/>
      <c r="O20" s="433" t="s">
        <v>828</v>
      </c>
      <c r="Y20" s="548">
        <v>240</v>
      </c>
      <c r="Z20" s="557">
        <v>400</v>
      </c>
      <c r="AA20" s="558">
        <v>500</v>
      </c>
      <c r="AB20" s="558">
        <v>600</v>
      </c>
      <c r="AC20" s="559"/>
      <c r="AD20" s="557">
        <v>500</v>
      </c>
      <c r="AE20" s="558">
        <v>600</v>
      </c>
      <c r="AF20" s="558">
        <v>600</v>
      </c>
      <c r="AG20" s="559"/>
      <c r="AH20" s="557">
        <v>45</v>
      </c>
      <c r="AI20" s="558">
        <v>40</v>
      </c>
      <c r="AJ20" s="558">
        <v>60</v>
      </c>
      <c r="AK20" s="559"/>
      <c r="AL20" s="557">
        <v>25</v>
      </c>
      <c r="AM20" s="558">
        <v>30</v>
      </c>
      <c r="AN20" s="558">
        <v>60</v>
      </c>
      <c r="AO20" s="559"/>
    </row>
    <row r="21" spans="2:41" ht="15">
      <c r="B21" s="2"/>
      <c r="D21" s="2"/>
      <c r="E21" s="2"/>
      <c r="F21" s="2"/>
      <c r="G21" s="2"/>
      <c r="H21" s="2"/>
      <c r="J21" s="2"/>
      <c r="K21" s="2"/>
      <c r="L21" s="2"/>
      <c r="O21" s="433" t="s">
        <v>439</v>
      </c>
    </row>
    <row r="22" spans="2:41" ht="19.5">
      <c r="B22" s="2"/>
      <c r="D22" s="2"/>
      <c r="E22" s="2"/>
      <c r="F22" s="2"/>
      <c r="G22" s="2"/>
      <c r="H22" s="2"/>
      <c r="I22" s="2"/>
      <c r="J22" s="2"/>
      <c r="K22" s="2"/>
      <c r="L22" s="2"/>
      <c r="O22" s="433" t="s">
        <v>443</v>
      </c>
      <c r="Y22" s="45" t="s">
        <v>430</v>
      </c>
      <c r="Z22" s="1316">
        <f>Ycal!C9*MAIN!C13*MAIN!C14</f>
        <v>8160000</v>
      </c>
      <c r="AA22" s="1316"/>
    </row>
    <row r="23" spans="2:41" ht="19.5">
      <c r="B23" s="2"/>
      <c r="D23" s="2"/>
      <c r="E23" s="2"/>
      <c r="F23" s="2"/>
      <c r="G23" s="2"/>
      <c r="H23" s="2"/>
      <c r="I23" s="2"/>
      <c r="J23" s="2"/>
      <c r="K23" s="2"/>
      <c r="L23" s="2"/>
      <c r="Y23" s="45" t="s">
        <v>431</v>
      </c>
      <c r="Z23" s="1317">
        <f>Ycal!C10</f>
        <v>434.78260869565219</v>
      </c>
      <c r="AA23" s="1317"/>
    </row>
    <row r="24" spans="2:41" ht="15">
      <c r="B24" s="2"/>
      <c r="C24" s="2"/>
      <c r="D24" s="2"/>
      <c r="E24" s="2"/>
      <c r="F24" s="2"/>
      <c r="G24" s="2"/>
      <c r="H24" s="2"/>
      <c r="I24" s="2"/>
      <c r="J24" s="2"/>
      <c r="K24" s="2"/>
      <c r="L24" s="2"/>
    </row>
    <row r="25" spans="2:41" ht="15">
      <c r="B25" s="2"/>
      <c r="C25" s="2"/>
      <c r="D25" s="2"/>
      <c r="E25" s="2"/>
      <c r="F25" s="2"/>
      <c r="G25" s="2"/>
      <c r="H25" s="2"/>
      <c r="I25" s="2"/>
      <c r="J25" s="2"/>
      <c r="K25" s="2"/>
      <c r="L25" s="2"/>
    </row>
    <row r="26" spans="2:41" ht="18">
      <c r="B26" s="2"/>
      <c r="C26" s="2"/>
      <c r="D26" s="2"/>
      <c r="E26" s="2"/>
      <c r="F26" s="2"/>
      <c r="G26" s="2"/>
      <c r="H26" s="2"/>
      <c r="I26" s="2"/>
      <c r="J26" s="2"/>
      <c r="K26" s="2"/>
      <c r="L26" s="2"/>
      <c r="P26" s="67"/>
      <c r="Q26" s="67"/>
      <c r="R26" s="435" t="str">
        <f>B11</f>
        <v>Loadcase 1</v>
      </c>
      <c r="S26" s="577" t="s">
        <v>419</v>
      </c>
      <c r="T26" s="552">
        <f>IF($C$11&gt;0.51,T$5,IF($C$11&gt;0.11,T$4,T$3))</f>
        <v>150</v>
      </c>
      <c r="U26" s="553">
        <f>IF($C$11&gt;0.51,U$5,IF($C$11&gt;0.11,U$4,U$3))</f>
        <v>200</v>
      </c>
      <c r="V26" s="553">
        <f>IF($C$11&gt;0.51,V$5,IF($C$11&gt;0.11,V$4,V$3))</f>
        <v>300</v>
      </c>
      <c r="W26" s="554">
        <f>IF($C$11&gt;0.51,W$5,IF($C$11&gt;0.11,W$4,W$3))</f>
        <v>500</v>
      </c>
      <c r="X26" s="585">
        <f>IF($F$11&gt;0.51,W26,IF($F$11&gt;0.31,V26,IF($F$11&gt;0.16,U26,T26)))</f>
        <v>150</v>
      </c>
      <c r="Y26" s="578"/>
      <c r="Z26" s="578"/>
      <c r="AA26" s="67"/>
      <c r="AB26" s="67"/>
    </row>
    <row r="27" spans="2:41" ht="18">
      <c r="B27" s="2"/>
      <c r="C27" s="2"/>
      <c r="D27" s="2"/>
      <c r="E27" s="2"/>
      <c r="F27" s="2"/>
      <c r="G27" s="2"/>
      <c r="H27" s="2"/>
      <c r="I27" s="2"/>
      <c r="J27" s="2"/>
      <c r="K27" s="2"/>
      <c r="L27" s="2"/>
      <c r="P27" s="67"/>
      <c r="Q27" s="67"/>
      <c r="R27" s="578"/>
      <c r="S27" s="577" t="s">
        <v>420</v>
      </c>
      <c r="T27" s="555">
        <f>IF($C$11&gt;0.51,T$8,IF($C$11&gt;0.11,T$7,T$6))</f>
        <v>200</v>
      </c>
      <c r="U27" s="64">
        <f>IF($C$11&gt;0.51,U$8,IF($C$11&gt;0.11,U$7,U$6))</f>
        <v>300</v>
      </c>
      <c r="V27" s="64">
        <f>IF($C$11&gt;0.51,V$8,IF($C$11&gt;0.11,V$7,V$6))</f>
        <v>500</v>
      </c>
      <c r="W27" s="556">
        <f>IF($C$11&gt;0.51,W$8,IF($C$11&gt;0.11,W$7,W$6))</f>
        <v>500</v>
      </c>
      <c r="X27" s="586">
        <f>IF($F$11&gt;0.51,W27,IF($F$11&gt;0.31,V27,IF($F$11&gt;0.16,U27,T27)))</f>
        <v>200</v>
      </c>
      <c r="AA27" s="67"/>
      <c r="AB27" s="67"/>
    </row>
    <row r="28" spans="2:41" ht="18">
      <c r="B28" s="2"/>
      <c r="C28" s="2"/>
      <c r="D28" s="2"/>
      <c r="E28" s="2"/>
      <c r="F28" s="2"/>
      <c r="G28" s="2"/>
      <c r="H28" s="2"/>
      <c r="I28" s="2"/>
      <c r="J28" s="2"/>
      <c r="K28" s="2"/>
      <c r="L28" s="2"/>
      <c r="P28" s="67"/>
      <c r="Q28" s="67"/>
      <c r="R28" s="578"/>
      <c r="S28" s="577" t="s">
        <v>421</v>
      </c>
      <c r="T28" s="555">
        <f>IF($C$11&gt;0.51,T$11,IF($C$11&gt;0.11,T$10,T$9))</f>
        <v>30</v>
      </c>
      <c r="U28" s="64">
        <f>IF($C$11&gt;0.51,U$11,IF($C$11&gt;0.11,U$10,U$9))</f>
        <v>40</v>
      </c>
      <c r="V28" s="64">
        <f>IF($C$11&gt;0.51,V$11,IF($C$11&gt;0.11,V$10,V$9))</f>
        <v>40</v>
      </c>
      <c r="W28" s="556">
        <f>IF($C$11&gt;0.51,W$11,IF($C$11&gt;0.11,W$10,W$9))</f>
        <v>25</v>
      </c>
      <c r="X28" s="586">
        <f>IF($F$11&gt;0.51,W28,IF($F$11&gt;0.31,V28,IF($F$11&gt;0.16,U28,T28)))</f>
        <v>30</v>
      </c>
      <c r="Y28" s="578"/>
      <c r="Z28" s="592"/>
      <c r="AA28" s="67"/>
      <c r="AB28" s="67"/>
    </row>
    <row r="29" spans="2:41" ht="18">
      <c r="B29" s="2"/>
      <c r="C29" s="2"/>
      <c r="D29" s="2"/>
      <c r="E29" s="2"/>
      <c r="F29" s="2"/>
      <c r="G29" s="2"/>
      <c r="H29" s="2"/>
      <c r="I29" s="2"/>
      <c r="J29" s="2"/>
      <c r="K29" s="2"/>
      <c r="L29" s="2"/>
      <c r="P29" s="67"/>
      <c r="Q29" s="67"/>
      <c r="R29" s="578"/>
      <c r="S29" s="577" t="s">
        <v>422</v>
      </c>
      <c r="T29" s="582">
        <f>IF($C$11&gt;0.51,T$14,IF($C$11&gt;0.11,T$13,T$12))</f>
        <v>25</v>
      </c>
      <c r="U29" s="583">
        <f>IF($C$11&gt;0.51,U$14,IF($C$11&gt;0.11,U$13,U$12))</f>
        <v>25</v>
      </c>
      <c r="V29" s="583">
        <f>IF($C$11&gt;0.51,V$14,IF($C$11&gt;0.11,V$13,V$12))</f>
        <v>25</v>
      </c>
      <c r="W29" s="584">
        <f>IF($C$11&gt;0.51,W$14,IF($C$11&gt;0.11,W$13,W$12))</f>
        <v>25</v>
      </c>
      <c r="X29" s="587">
        <f>IF($F$11&gt;0.51,W29,IF($F$11&gt;0.31,V29,IF($F$11&gt;0.16,U29,T29)))</f>
        <v>25</v>
      </c>
      <c r="Z29" s="592"/>
      <c r="AA29" s="67"/>
      <c r="AB29" s="67"/>
    </row>
    <row r="30" spans="2:41" ht="18">
      <c r="B30" s="2"/>
      <c r="C30" s="2"/>
      <c r="D30" s="2"/>
      <c r="E30" s="2"/>
      <c r="F30" s="2"/>
      <c r="G30" s="2"/>
      <c r="H30" s="2"/>
      <c r="I30" s="2"/>
      <c r="J30" s="2"/>
      <c r="K30" s="2"/>
      <c r="L30" s="2"/>
      <c r="P30" s="67"/>
      <c r="Q30" s="67"/>
      <c r="R30" s="435" t="str">
        <f>B12</f>
        <v>Loadcase 2</v>
      </c>
      <c r="S30" s="577" t="s">
        <v>419</v>
      </c>
      <c r="T30" s="552">
        <f>IF($C$12&gt;0.51,T$5,IF($C$12&gt;0.11,T$4,T$3))</f>
        <v>150</v>
      </c>
      <c r="U30" s="553">
        <f>IF($C$12&gt;0.51,U$5,IF($C$12&gt;0.11,U$4,U$3))</f>
        <v>200</v>
      </c>
      <c r="V30" s="553">
        <f>IF($C$12&gt;0.51,V$5,IF($C$12&gt;0.11,V$4,V$3))</f>
        <v>300</v>
      </c>
      <c r="W30" s="554">
        <f>IF($C$12&gt;0.51,W$5,IF($C$12&gt;0.11,W$4,W$3))</f>
        <v>500</v>
      </c>
      <c r="X30" s="585">
        <f>IF($F$12&gt;0.51,W30,IF($F$12&gt;0.31,V30,IF($F$12&gt;0.16,U30,T30)))</f>
        <v>150</v>
      </c>
      <c r="Y30" s="578"/>
      <c r="Z30" s="592"/>
      <c r="AA30" s="67"/>
      <c r="AB30" s="67"/>
    </row>
    <row r="31" spans="2:41" ht="18">
      <c r="B31" s="2"/>
      <c r="C31" s="2"/>
      <c r="D31" s="2"/>
      <c r="E31" s="2"/>
      <c r="F31" s="2"/>
      <c r="G31" s="2"/>
      <c r="H31" s="2"/>
      <c r="I31" s="2"/>
      <c r="J31" s="2"/>
      <c r="K31" s="2"/>
      <c r="L31" s="2"/>
      <c r="P31" s="67"/>
      <c r="Q31" s="67"/>
      <c r="R31" s="578"/>
      <c r="S31" s="577" t="s">
        <v>420</v>
      </c>
      <c r="T31" s="555">
        <f>IF($C$12&gt;0.51,T$8,IF($C$12&gt;0.11,T$7,T$6))</f>
        <v>200</v>
      </c>
      <c r="U31" s="64">
        <f>IF($C$12&gt;0.51,U$8,IF($C$12&gt;0.11,U$7,U$6))</f>
        <v>300</v>
      </c>
      <c r="V31" s="64">
        <f>IF($C$12&gt;0.51,V$8,IF($C$12&gt;0.11,V$7,V$6))</f>
        <v>500</v>
      </c>
      <c r="W31" s="556">
        <f>IF($C$12&gt;0.51,W$8,IF($C$12&gt;0.11,W$7,W$6))</f>
        <v>500</v>
      </c>
      <c r="X31" s="586">
        <f>IF($F$12&gt;0.51,W31,IF($F$12&gt;0.31,V31,IF($F$12&gt;0.16,U31,T31)))</f>
        <v>200</v>
      </c>
      <c r="AA31" s="67"/>
      <c r="AB31" s="67"/>
    </row>
    <row r="32" spans="2:41" ht="18">
      <c r="B32" s="2"/>
      <c r="C32" s="2"/>
      <c r="D32" s="2"/>
      <c r="E32" s="2"/>
      <c r="F32" s="2"/>
      <c r="G32" s="2"/>
      <c r="H32" s="2"/>
      <c r="I32" s="2"/>
      <c r="J32" s="2"/>
      <c r="K32" s="2"/>
      <c r="L32" s="2"/>
      <c r="P32" s="67"/>
      <c r="Q32" s="67"/>
      <c r="R32" s="578"/>
      <c r="S32" s="577" t="s">
        <v>421</v>
      </c>
      <c r="T32" s="555">
        <f>IF($C$12&gt;0.51,T$11,IF($C$12&gt;0.11,T$10,T$9))</f>
        <v>30</v>
      </c>
      <c r="U32" s="64">
        <f>IF($C$12&gt;0.51,U$11,IF($C$12&gt;0.11,U$10,U$9))</f>
        <v>40</v>
      </c>
      <c r="V32" s="64">
        <f>IF($C$12&gt;0.51,V$11,IF($C$12&gt;0.11,V$10,V$9))</f>
        <v>40</v>
      </c>
      <c r="W32" s="556">
        <f>IF($C$12&gt;0.51,W$11,IF($C$12&gt;0.11,W$10,W$9))</f>
        <v>25</v>
      </c>
      <c r="X32" s="586">
        <f>IF($F$12&gt;0.51,W32,IF($F$12&gt;0.31,V32,IF($F$12&gt;0.16,U32,T32)))</f>
        <v>30</v>
      </c>
      <c r="Y32" s="578"/>
      <c r="Z32" s="592"/>
      <c r="AA32" s="67"/>
      <c r="AB32" s="67"/>
    </row>
    <row r="33" spans="16:28" ht="18">
      <c r="P33" s="67"/>
      <c r="Q33" s="67"/>
      <c r="R33" s="578"/>
      <c r="S33" s="577" t="s">
        <v>422</v>
      </c>
      <c r="T33" s="582">
        <f>IF($C$12&gt;0.51,T$14,IF($C$12&gt;0.11,T$13,T$12))</f>
        <v>25</v>
      </c>
      <c r="U33" s="583">
        <f>IF($C$12&gt;0.51,U$14,IF($C$12&gt;0.11,U$13,U$12))</f>
        <v>25</v>
      </c>
      <c r="V33" s="583">
        <f>IF($C$12&gt;0.51,V$14,IF($C$12&gt;0.11,V$13,V$12))</f>
        <v>25</v>
      </c>
      <c r="W33" s="584">
        <f>IF($C$12&gt;0.51,W$14,IF($C$12&gt;0.11,W$13,W$12))</f>
        <v>25</v>
      </c>
      <c r="X33" s="587">
        <f>IF($F$12&gt;0.51,W33,IF($F$12&gt;0.31,V33,IF($F$12&gt;0.16,U33,T33)))</f>
        <v>25</v>
      </c>
      <c r="Z33" s="592"/>
      <c r="AA33" s="67"/>
      <c r="AB33" s="67"/>
    </row>
    <row r="34" spans="16:28" ht="18">
      <c r="P34" s="67"/>
      <c r="Q34" s="67"/>
      <c r="R34" s="435" t="str">
        <f>B13</f>
        <v>Loadcase 3</v>
      </c>
      <c r="S34" s="577" t="s">
        <v>419</v>
      </c>
      <c r="T34" s="552">
        <f>IF($C$13&gt;0.51,T$5,IF($C$13&gt;0.11,T$4,T$3))</f>
        <v>150</v>
      </c>
      <c r="U34" s="553">
        <f>IF($C$13&gt;0.51,U$5,IF($C$13&gt;0.11,U$4,U$3))</f>
        <v>200</v>
      </c>
      <c r="V34" s="553">
        <f>IF($C$13&gt;0.51,V$5,IF($C$13&gt;0.11,V$4,V$3))</f>
        <v>300</v>
      </c>
      <c r="W34" s="554">
        <f>IF($C$13&gt;0.51,W$5,IF($C$13&gt;0.11,W$4,W$3))</f>
        <v>500</v>
      </c>
      <c r="X34" s="585">
        <f>IF($F$13&gt;0.51,W34,IF($F$13&gt;0.31,V34,IF($F$13&gt;0.16,U34,T34)))</f>
        <v>150</v>
      </c>
      <c r="Y34" s="578"/>
      <c r="Z34" s="561"/>
      <c r="AA34" s="67"/>
      <c r="AB34" s="67"/>
    </row>
    <row r="35" spans="16:28" ht="18">
      <c r="P35" s="67"/>
      <c r="Q35" s="67"/>
      <c r="R35" s="578"/>
      <c r="S35" s="577" t="s">
        <v>420</v>
      </c>
      <c r="T35" s="555">
        <f>IF($C$13&gt;0.51,T$8,IF($C$13&gt;0.11,T$7,T$6))</f>
        <v>200</v>
      </c>
      <c r="U35" s="64">
        <f>IF($C$13&gt;0.51,U$8,IF($C$13&gt;0.11,U$7,U$6))</f>
        <v>300</v>
      </c>
      <c r="V35" s="64">
        <f>IF($C$13&gt;0.51,V$8,IF($C$13&gt;0.11,V$7,V$6))</f>
        <v>500</v>
      </c>
      <c r="W35" s="556">
        <f>IF($C$13&gt;0.51,W$8,IF($C$13&gt;0.11,W$7,W$6))</f>
        <v>500</v>
      </c>
      <c r="X35" s="586">
        <f>IF($F$13&gt;0.51,W35,IF($F$13&gt;0.31,V35,IF($F$13&gt;0.16,U35,T35)))</f>
        <v>200</v>
      </c>
      <c r="AA35" s="67"/>
      <c r="AB35" s="67"/>
    </row>
    <row r="36" spans="16:28" ht="18">
      <c r="P36" s="67"/>
      <c r="Q36" s="67"/>
      <c r="R36" s="578"/>
      <c r="S36" s="577" t="s">
        <v>421</v>
      </c>
      <c r="T36" s="555">
        <f>IF($C$13&gt;0.51,T$11,IF($C$13&gt;0.11,T$10,T$9))</f>
        <v>30</v>
      </c>
      <c r="U36" s="64">
        <f>IF($C$13&gt;0.51,U$11,IF($C$13&gt;0.11,U$10,U$9))</f>
        <v>40</v>
      </c>
      <c r="V36" s="64">
        <f>IF($C$13&gt;0.51,V$11,IF($C$13&gt;0.11,V$10,V$9))</f>
        <v>40</v>
      </c>
      <c r="W36" s="556">
        <f>IF($C$13&gt;0.51,W$11,IF($C$13&gt;0.11,W$10,W$9))</f>
        <v>25</v>
      </c>
      <c r="X36" s="586">
        <f>IF($F$13&gt;0.51,W36,IF($F$13&gt;0.31,V36,IF($F$13&gt;0.16,U36,T36)))</f>
        <v>30</v>
      </c>
      <c r="Y36" s="578"/>
      <c r="Z36" s="561"/>
      <c r="AA36" s="67"/>
      <c r="AB36" s="67"/>
    </row>
    <row r="37" spans="16:28" ht="18">
      <c r="P37" s="67"/>
      <c r="Q37" s="67"/>
      <c r="R37" s="578"/>
      <c r="S37" s="577" t="s">
        <v>422</v>
      </c>
      <c r="T37" s="582">
        <f>IF($C$13&gt;0.51,T$14,IF($C$13&gt;0.11,T$13,T$12))</f>
        <v>25</v>
      </c>
      <c r="U37" s="583">
        <f>IF($C$13&gt;0.51,U$14,IF($C$13&gt;0.11,U$13,U$12))</f>
        <v>25</v>
      </c>
      <c r="V37" s="583">
        <f>IF($C$13&gt;0.51,V$14,IF($C$13&gt;0.11,V$13,V$12))</f>
        <v>25</v>
      </c>
      <c r="W37" s="584">
        <f>IF($C$13&gt;0.51,W$14,IF($C$13&gt;0.11,W$13,W$12))</f>
        <v>25</v>
      </c>
      <c r="X37" s="587">
        <f>IF($F$13&gt;0.51,W37,IF($F$13&gt;0.31,V37,IF($F$13&gt;0.16,U37,T37)))</f>
        <v>25</v>
      </c>
      <c r="Z37" s="561"/>
      <c r="AA37" s="67"/>
      <c r="AB37" s="67"/>
    </row>
    <row r="38" spans="16:28" ht="18">
      <c r="P38" s="67"/>
      <c r="Q38" s="67"/>
      <c r="R38" s="435" t="str">
        <f>B14</f>
        <v>Loadcase 4</v>
      </c>
      <c r="S38" s="577" t="s">
        <v>419</v>
      </c>
      <c r="T38" s="552" t="e">
        <f>IF($C$14&gt;0.51,T$5,IF($C$14&gt;0.11,T$4,T$3))</f>
        <v>#N/A</v>
      </c>
      <c r="U38" s="553" t="e">
        <f>IF($C$14&gt;0.51,U$5,IF($C$14&gt;0.11,U$4,U$3))</f>
        <v>#N/A</v>
      </c>
      <c r="V38" s="553" t="e">
        <f>IF($C$14&gt;0.51,V$5,IF($C$14&gt;0.11,V$4,V$3))</f>
        <v>#N/A</v>
      </c>
      <c r="W38" s="554" t="e">
        <f>IF($C$14&gt;0.51,W$5,IF($C$14&gt;0.11,W$4,W$3))</f>
        <v>#N/A</v>
      </c>
      <c r="X38" s="585" t="e">
        <f>IF($F$14&gt;0.51,W38,IF($F$14&gt;0.31,V38,IF($F$14&gt;0.16,U38,T38)))</f>
        <v>#N/A</v>
      </c>
      <c r="Y38" s="578"/>
      <c r="Z38" s="561"/>
      <c r="AA38" s="67"/>
      <c r="AB38" s="67"/>
    </row>
    <row r="39" spans="16:28" ht="18">
      <c r="R39" s="578"/>
      <c r="S39" s="577" t="s">
        <v>420</v>
      </c>
      <c r="T39" s="555" t="e">
        <f>IF($C$14&gt;0.51,T$8,IF($C$14&gt;0.11,T$7,T$6))</f>
        <v>#N/A</v>
      </c>
      <c r="U39" s="64" t="e">
        <f>IF($C$14&gt;0.51,U$8,IF($C$14&gt;0.11,U$7,U$6))</f>
        <v>#N/A</v>
      </c>
      <c r="V39" s="64" t="e">
        <f>IF($C$14&gt;0.51,V$8,IF($C$14&gt;0.11,V$7,V$6))</f>
        <v>#N/A</v>
      </c>
      <c r="W39" s="556" t="e">
        <f>IF($C$14&gt;0.51,W$8,IF($C$14&gt;0.11,W$7,W$6))</f>
        <v>#N/A</v>
      </c>
      <c r="X39" s="586" t="e">
        <f>IF($F$14&gt;0.51,W39,IF($F$14&gt;0.31,V39,IF($F$14&gt;0.16,U39,T39)))</f>
        <v>#N/A</v>
      </c>
    </row>
    <row r="40" spans="16:28" ht="18">
      <c r="R40" s="578"/>
      <c r="S40" s="577" t="s">
        <v>421</v>
      </c>
      <c r="T40" s="555" t="e">
        <f>IF($C$14&gt;0.51,T$11,IF($C$14&gt;0.11,T$10,T$9))</f>
        <v>#N/A</v>
      </c>
      <c r="U40" s="64" t="e">
        <f>IF($C$14&gt;0.51,U$11,IF($C$14&gt;0.11,U$10,U$9))</f>
        <v>#N/A</v>
      </c>
      <c r="V40" s="64" t="e">
        <f>IF($C$14&gt;0.51,V$11,IF($C$14&gt;0.11,V$10,V$9))</f>
        <v>#N/A</v>
      </c>
      <c r="W40" s="556" t="e">
        <f>IF($C$14&gt;0.51,W$11,IF($C$14&gt;0.11,W$10,W$9))</f>
        <v>#N/A</v>
      </c>
      <c r="X40" s="586" t="e">
        <f>IF($F$14&gt;0.51,W40,IF($F$14&gt;0.31,V40,IF($F$14&gt;0.16,U40,T40)))</f>
        <v>#N/A</v>
      </c>
      <c r="Y40" s="578"/>
      <c r="Z40" s="69"/>
    </row>
    <row r="41" spans="16:28" ht="18">
      <c r="R41" s="578"/>
      <c r="S41" s="577" t="s">
        <v>422</v>
      </c>
      <c r="T41" s="582" t="e">
        <f>IF($C$14&gt;0.51,T$14,IF($C$14&gt;0.11,T$13,T$12))</f>
        <v>#N/A</v>
      </c>
      <c r="U41" s="583" t="e">
        <f>IF($C$14&gt;0.51,U$14,IF($C$14&gt;0.11,U$13,U$12))</f>
        <v>#N/A</v>
      </c>
      <c r="V41" s="583" t="e">
        <f>IF($C$14&gt;0.51,V$14,IF($C$14&gt;0.11,V$13,V$12))</f>
        <v>#N/A</v>
      </c>
      <c r="W41" s="584" t="e">
        <f>IF($C$14&gt;0.51,W$14,IF($C$14&gt;0.11,W$13,W$12))</f>
        <v>#N/A</v>
      </c>
      <c r="X41" s="587" t="e">
        <f>IF($F$14&gt;0.51,W41,IF($F$14&gt;0.31,V41,IF($F$14&gt;0.16,U41,T41)))</f>
        <v>#N/A</v>
      </c>
      <c r="Z41" s="69"/>
    </row>
    <row r="42" spans="16:28" ht="18">
      <c r="R42" s="435" t="str">
        <f>B15</f>
        <v>Loadcase 5</v>
      </c>
      <c r="S42" s="577" t="s">
        <v>419</v>
      </c>
      <c r="T42" s="552" t="e">
        <f>IF($C$15&gt;0.51,T$5,IF($C$15&gt;0.11,T$4,T$3))</f>
        <v>#N/A</v>
      </c>
      <c r="U42" s="553" t="e">
        <f>IF($C$15&gt;0.51,U$5,IF($C$15&gt;0.11,U$4,U$3))</f>
        <v>#N/A</v>
      </c>
      <c r="V42" s="553" t="e">
        <f>IF($C$15&gt;0.51,V$5,IF($C$15&gt;0.11,V$4,V$3))</f>
        <v>#N/A</v>
      </c>
      <c r="W42" s="554" t="e">
        <f>IF($C$15&gt;0.51,W$5,IF($C$15&gt;0.11,W$4,W$3))</f>
        <v>#N/A</v>
      </c>
      <c r="X42" s="585" t="e">
        <f>IF($F$15&gt;0.51,W42,IF($F$15&gt;0.31,V42,IF($F$15&gt;0.16,U42,T42)))</f>
        <v>#N/A</v>
      </c>
      <c r="Y42" s="578"/>
      <c r="Z42" s="69"/>
    </row>
    <row r="43" spans="16:28" ht="18">
      <c r="R43" s="578"/>
      <c r="S43" s="577" t="s">
        <v>420</v>
      </c>
      <c r="T43" s="555" t="e">
        <f>IF($C$15&gt;0.51,T$8,IF($C$15&gt;0.11,T$7,T$6))</f>
        <v>#N/A</v>
      </c>
      <c r="U43" s="64" t="e">
        <f>IF($C$15&gt;0.51,U$8,IF($C$15&gt;0.11,U$7,U$6))</f>
        <v>#N/A</v>
      </c>
      <c r="V43" s="64" t="e">
        <f>IF($C$15&gt;0.51,V$8,IF($C$15&gt;0.11,V$7,V$6))</f>
        <v>#N/A</v>
      </c>
      <c r="W43" s="556" t="e">
        <f>IF($C$15&gt;0.51,W$8,IF($C$15&gt;0.11,W$7,W$6))</f>
        <v>#N/A</v>
      </c>
      <c r="X43" s="586" t="e">
        <f>IF($F$15&gt;0.51,W43,IF($F$15&gt;0.31,V43,IF($F$15&gt;0.16,U43,T43)))</f>
        <v>#N/A</v>
      </c>
    </row>
    <row r="44" spans="16:28" ht="18">
      <c r="R44" s="578"/>
      <c r="S44" s="577" t="s">
        <v>421</v>
      </c>
      <c r="T44" s="555" t="e">
        <f>IF($C$15&gt;0.51,T$11,IF($C$15&gt;0.11,T$10,T$9))</f>
        <v>#N/A</v>
      </c>
      <c r="U44" s="64" t="e">
        <f>IF($C$15&gt;0.51,U$11,IF($C$15&gt;0.11,U$10,U$9))</f>
        <v>#N/A</v>
      </c>
      <c r="V44" s="64" t="e">
        <f>IF($C$15&gt;0.51,V$11,IF($C$15&gt;0.11,V$10,V$9))</f>
        <v>#N/A</v>
      </c>
      <c r="W44" s="556" t="e">
        <f>IF($C$15&gt;0.51,W$11,IF($C$15&gt;0.11,W$10,W$9))</f>
        <v>#N/A</v>
      </c>
      <c r="X44" s="586" t="e">
        <f>IF($F$15&gt;0.51,W44,IF($F$15&gt;0.31,V44,IF($F$15&gt;0.16,U44,T44)))</f>
        <v>#N/A</v>
      </c>
      <c r="Y44" s="578"/>
      <c r="Z44" s="69"/>
    </row>
    <row r="45" spans="16:28" ht="18">
      <c r="R45" s="578"/>
      <c r="S45" s="577" t="s">
        <v>422</v>
      </c>
      <c r="T45" s="582" t="e">
        <f>IF($C$15&gt;0.51,T$14,IF($C$15&gt;0.11,T$13,T$12))</f>
        <v>#N/A</v>
      </c>
      <c r="U45" s="583" t="e">
        <f>IF($C$15&gt;0.51,U$14,IF($C$15&gt;0.11,U$13,U$12))</f>
        <v>#N/A</v>
      </c>
      <c r="V45" s="583" t="e">
        <f>IF($C$15&gt;0.51,V$14,IF($C$15&gt;0.11,V$13,V$12))</f>
        <v>#N/A</v>
      </c>
      <c r="W45" s="584" t="e">
        <f>IF($C$15&gt;0.51,W$14,IF($C$15&gt;0.11,W$13,W$12))</f>
        <v>#N/A</v>
      </c>
      <c r="X45" s="587" t="e">
        <f>IF($F$15&gt;0.51,W45,IF($F$15&gt;0.31,V45,IF($F$15&gt;0.16,U45,T45)))</f>
        <v>#N/A</v>
      </c>
      <c r="Z45" s="69"/>
    </row>
    <row r="46" spans="16:28" ht="18">
      <c r="R46" s="435" t="str">
        <f>B16</f>
        <v>Loadcase 6</v>
      </c>
      <c r="S46" s="577" t="s">
        <v>419</v>
      </c>
      <c r="T46" s="552" t="e">
        <f>IF($C$16&gt;0.51,T$5,IF($C$16&gt;0.11,T$4,T$3))</f>
        <v>#N/A</v>
      </c>
      <c r="U46" s="553" t="e">
        <f>IF($C$16&gt;0.51,U$5,IF($C$16&gt;0.11,U$4,U$3))</f>
        <v>#N/A</v>
      </c>
      <c r="V46" s="553" t="e">
        <f>IF($C$16&gt;0.51,V$5,IF($C$16&gt;0.11,V$4,V$3))</f>
        <v>#N/A</v>
      </c>
      <c r="W46" s="554" t="e">
        <f>IF($C$16&gt;0.51,W$5,IF($C$16&gt;0.11,W$4,W$3))</f>
        <v>#N/A</v>
      </c>
      <c r="X46" s="585" t="e">
        <f>IF($F$16&gt;0.51,W46,IF($F$16&gt;0.31,V46,IF($F$16&gt;0.16,U46,T46)))</f>
        <v>#N/A</v>
      </c>
      <c r="Y46" s="578"/>
      <c r="Z46" s="69"/>
    </row>
    <row r="47" spans="16:28" ht="18">
      <c r="R47" s="578"/>
      <c r="S47" s="577" t="s">
        <v>420</v>
      </c>
      <c r="T47" s="555" t="e">
        <f>IF($C$16&gt;0.51,T$8,IF($C$16&gt;0.11,T$7,T$6))</f>
        <v>#N/A</v>
      </c>
      <c r="U47" s="64" t="e">
        <f>IF($C$16&gt;0.51,U$8,IF($C$16&gt;0.11,U$7,U$6))</f>
        <v>#N/A</v>
      </c>
      <c r="V47" s="64" t="e">
        <f>IF($C$16&gt;0.51,V$8,IF($C$16&gt;0.11,V$7,V$6))</f>
        <v>#N/A</v>
      </c>
      <c r="W47" s="556" t="e">
        <f>IF($C$16&gt;0.51,W$8,IF($C$16&gt;0.11,W$7,W$6))</f>
        <v>#N/A</v>
      </c>
      <c r="X47" s="586" t="e">
        <f>IF($F$16&gt;0.51,W47,IF($F$16&gt;0.31,V47,IF($F$16&gt;0.16,U47,T47)))</f>
        <v>#N/A</v>
      </c>
    </row>
    <row r="48" spans="16:28" ht="18">
      <c r="R48" s="578"/>
      <c r="S48" s="577" t="s">
        <v>421</v>
      </c>
      <c r="T48" s="555" t="e">
        <f>IF($C$16&gt;0.51,T$11,IF($C$16&gt;0.11,T$10,T$9))</f>
        <v>#N/A</v>
      </c>
      <c r="U48" s="64" t="e">
        <f>IF($C$16&gt;0.51,U$11,IF($C$16&gt;0.11,U$10,U$9))</f>
        <v>#N/A</v>
      </c>
      <c r="V48" s="64" t="e">
        <f>IF($C$16&gt;0.51,V$11,IF($C$16&gt;0.11,V$10,V$9))</f>
        <v>#N/A</v>
      </c>
      <c r="W48" s="556" t="e">
        <f>IF($C$16&gt;0.51,W$11,IF($C$16&gt;0.11,W$10,W$9))</f>
        <v>#N/A</v>
      </c>
      <c r="X48" s="586" t="e">
        <f>IF($F$16&gt;0.51,W48,IF($F$16&gt;0.31,V48,IF($F$16&gt;0.16,U48,T48)))</f>
        <v>#N/A</v>
      </c>
      <c r="Y48" s="578"/>
      <c r="Z48" s="69"/>
    </row>
    <row r="49" spans="18:26" ht="18">
      <c r="R49" s="578"/>
      <c r="S49" s="577" t="s">
        <v>422</v>
      </c>
      <c r="T49" s="582" t="e">
        <f>IF($C$16&gt;0.51,T$14,IF($C$16&gt;0.11,T$13,T$12))</f>
        <v>#N/A</v>
      </c>
      <c r="U49" s="583" t="e">
        <f>IF($C$16&gt;0.51,U$14,IF($C$16&gt;0.11,U$13,U$12))</f>
        <v>#N/A</v>
      </c>
      <c r="V49" s="583" t="e">
        <f>IF($C$16&gt;0.51,V$14,IF($C$16&gt;0.11,V$13,V$12))</f>
        <v>#N/A</v>
      </c>
      <c r="W49" s="584" t="e">
        <f>IF($C$16&gt;0.51,W$14,IF($C$16&gt;0.11,W$13,W$12))</f>
        <v>#N/A</v>
      </c>
      <c r="X49" s="587" t="e">
        <f>IF($F$16&gt;0.51,W49,IF($F$16&gt;0.31,V49,IF($F$16&gt;0.16,U49,T49)))</f>
        <v>#N/A</v>
      </c>
      <c r="Z49" s="69"/>
    </row>
  </sheetData>
  <customSheetViews>
    <customSheetView guid="{065FF312-67E2-4E5F-894A-2CE2F41260A3}" scale="75">
      <pageMargins left="0.7" right="0.7" top="0.75" bottom="0.75" header="0.3" footer="0.3"/>
    </customSheetView>
  </customSheetViews>
  <mergeCells count="12">
    <mergeCell ref="Z22:AA22"/>
    <mergeCell ref="Z23:AA23"/>
    <mergeCell ref="AH2:AK2"/>
    <mergeCell ref="AL2:AO2"/>
    <mergeCell ref="Z2:AC2"/>
    <mergeCell ref="AD2:AG2"/>
    <mergeCell ref="I16:L16"/>
    <mergeCell ref="I11:L11"/>
    <mergeCell ref="I12:L12"/>
    <mergeCell ref="I13:L13"/>
    <mergeCell ref="I14:L14"/>
    <mergeCell ref="I15:L15"/>
  </mergeCells>
  <conditionalFormatting sqref="I11:L16">
    <cfRule type="cellIs" dxfId="2" priority="3" operator="equal">
      <formula>"ok"</formula>
    </cfRule>
  </conditionalFormatting>
  <conditionalFormatting sqref="H11">
    <cfRule type="expression" dxfId="1" priority="2">
      <formula>$I11="ok"</formula>
    </cfRule>
  </conditionalFormatting>
  <conditionalFormatting sqref="H12:H16">
    <cfRule type="expression" dxfId="0" priority="1">
      <formula>$I12="ok"</formula>
    </cfRule>
  </conditionalFormatting>
  <pageMargins left="0.7" right="0.7" top="0.75" bottom="0.75" header="0.3" footer="0.3"/>
  <drawing r:id="rId1"/>
  <picture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indexed="53"/>
  </sheetPr>
  <dimension ref="A1:W57"/>
  <sheetViews>
    <sheetView zoomScale="75" zoomScaleNormal="75" zoomScaleSheetLayoutView="75" workbookViewId="0"/>
  </sheetViews>
  <sheetFormatPr defaultRowHeight="12.75"/>
  <cols>
    <col min="1" max="1" width="2.7109375" customWidth="1"/>
    <col min="2" max="2" width="15.5703125" customWidth="1"/>
    <col min="3" max="3" width="11.28515625" customWidth="1"/>
    <col min="4" max="4" width="8.42578125" style="70" bestFit="1" customWidth="1"/>
    <col min="5" max="5" width="25.42578125" style="70" bestFit="1" customWidth="1"/>
    <col min="6" max="6" width="5.7109375" style="70" customWidth="1"/>
    <col min="7" max="7" width="11.42578125" bestFit="1" customWidth="1"/>
    <col min="8" max="8" width="9.28515625" customWidth="1"/>
    <col min="9" max="9" width="6.5703125" customWidth="1"/>
    <col min="10" max="10" width="9.28515625" customWidth="1"/>
    <col min="11" max="11" width="11" customWidth="1"/>
    <col min="12" max="13" width="2.28515625" customWidth="1"/>
    <col min="14" max="14" width="15.5703125" customWidth="1"/>
    <col min="15" max="15" width="11.28515625" customWidth="1"/>
    <col min="16" max="16" width="8.42578125" customWidth="1"/>
    <col min="17" max="17" width="25.42578125" customWidth="1"/>
    <col min="18" max="18" width="5.7109375" customWidth="1"/>
    <col min="19" max="19" width="11.42578125" style="69" customWidth="1"/>
    <col min="20" max="20" width="9.28515625" customWidth="1"/>
    <col min="21" max="21" width="6.5703125" customWidth="1"/>
    <col min="22" max="22" width="9.28515625" customWidth="1"/>
    <col min="23" max="23" width="11" customWidth="1"/>
    <col min="24" max="24" width="2.28515625" customWidth="1"/>
    <col min="25" max="26" width="6" customWidth="1"/>
    <col min="28" max="28" width="8.5703125" bestFit="1" customWidth="1"/>
    <col min="29" max="29" width="6" bestFit="1" customWidth="1"/>
    <col min="30" max="37" width="6" customWidth="1"/>
    <col min="38" max="45" width="4.5703125" customWidth="1"/>
  </cols>
  <sheetData>
    <row r="1" spans="1:23" ht="13.5" thickBot="1"/>
    <row r="2" spans="1:23" ht="21" customHeight="1" thickTop="1" thickBot="1">
      <c r="B2" s="953" t="s">
        <v>1</v>
      </c>
      <c r="C2" s="954" t="str">
        <f>MAIN!C2</f>
        <v>Spreadsheets to  EC2</v>
      </c>
      <c r="D2" s="955"/>
      <c r="E2" s="956"/>
      <c r="F2" s="956"/>
      <c r="G2" s="956"/>
      <c r="H2" s="1332" t="str">
        <f>MAIN!I2</f>
        <v>The Concrete Centre</v>
      </c>
      <c r="I2" s="1333"/>
      <c r="J2" s="1333"/>
      <c r="K2" s="1334"/>
      <c r="N2" s="704" t="s">
        <v>1</v>
      </c>
      <c r="O2" s="970" t="str">
        <f>MAIN!C2</f>
        <v>Spreadsheets to  EC2</v>
      </c>
      <c r="P2" s="971"/>
      <c r="Q2" s="972"/>
      <c r="R2" s="972"/>
      <c r="S2" s="972"/>
      <c r="T2" s="1347" t="str">
        <f>MAIN!I2</f>
        <v>The Concrete Centre</v>
      </c>
      <c r="U2" s="1348"/>
      <c r="V2" s="1348"/>
      <c r="W2" s="1349"/>
    </row>
    <row r="3" spans="1:23" ht="15.6" customHeight="1">
      <c r="B3" s="957" t="s">
        <v>2</v>
      </c>
      <c r="C3" s="175" t="str">
        <f>MAIN!C3</f>
        <v>Advisory Group</v>
      </c>
      <c r="D3" s="449"/>
      <c r="E3" s="231"/>
      <c r="F3" s="231"/>
      <c r="G3" s="231"/>
      <c r="H3" s="942" t="s">
        <v>40</v>
      </c>
      <c r="I3" s="1341" t="s">
        <v>4</v>
      </c>
      <c r="J3" s="1341"/>
      <c r="K3" s="958" t="s">
        <v>5</v>
      </c>
      <c r="N3" s="708" t="s">
        <v>2</v>
      </c>
      <c r="O3" s="175" t="str">
        <f>MAIN!C3</f>
        <v>Advisory Group</v>
      </c>
      <c r="P3" s="449"/>
      <c r="Q3" s="231"/>
      <c r="R3" s="231"/>
      <c r="S3" s="231"/>
      <c r="T3" s="942" t="s">
        <v>40</v>
      </c>
      <c r="U3" s="1341" t="s">
        <v>4</v>
      </c>
      <c r="V3" s="1341"/>
      <c r="W3" s="973" t="s">
        <v>5</v>
      </c>
    </row>
    <row r="4" spans="1:23" ht="15.6" customHeight="1">
      <c r="B4" s="957" t="s">
        <v>6</v>
      </c>
      <c r="C4" s="175" t="str">
        <f>MAIN!$C$4</f>
        <v>Column D2</v>
      </c>
      <c r="D4" s="449"/>
      <c r="E4" s="231"/>
      <c r="F4" s="231"/>
      <c r="G4" s="231"/>
      <c r="H4" s="943" t="str">
        <f>MAIN!I4</f>
        <v>chg</v>
      </c>
      <c r="I4" s="1342">
        <f ca="1">MAIN!J4</f>
        <v>43629</v>
      </c>
      <c r="J4" s="1342"/>
      <c r="K4" s="959">
        <f>IF(MAIN!K4=0,"",4+MAIN!K4)</f>
        <v>283</v>
      </c>
      <c r="N4" s="708" t="s">
        <v>6</v>
      </c>
      <c r="O4" s="175" t="str">
        <f>MAIN!$C$4</f>
        <v>Column D2</v>
      </c>
      <c r="P4" s="449"/>
      <c r="Q4" s="231"/>
      <c r="R4" s="231"/>
      <c r="S4" s="231"/>
      <c r="T4" s="943" t="s">
        <v>768</v>
      </c>
      <c r="U4" s="1342">
        <f ca="1">MAIN!J4</f>
        <v>43629</v>
      </c>
      <c r="V4" s="1342"/>
      <c r="W4" s="974">
        <f>IF(MAIN!K4=0,"",5+MAIN!K4)</f>
        <v>284</v>
      </c>
    </row>
    <row r="5" spans="1:23" ht="27.75" customHeight="1">
      <c r="B5" s="960"/>
      <c r="C5" s="1261" t="str">
        <f>MAIN!C5</f>
        <v>SYMMETRICALLY REINFORCED RECTANGULAR COLUMN DESIGN, BENT ABOUT TWO AXES TO EN 1992-1 : 2004</v>
      </c>
      <c r="D5" s="1236"/>
      <c r="E5" s="1236"/>
      <c r="F5" s="1236"/>
      <c r="G5" s="1236"/>
      <c r="H5" s="944" t="s">
        <v>41</v>
      </c>
      <c r="I5" s="1339" t="s">
        <v>9</v>
      </c>
      <c r="J5" s="1340"/>
      <c r="K5" s="961" t="s">
        <v>10</v>
      </c>
      <c r="N5" s="975"/>
      <c r="O5" s="1261" t="str">
        <f>MAIN!C5</f>
        <v>SYMMETRICALLY REINFORCED RECTANGULAR COLUMN DESIGN, BENT ABOUT TWO AXES TO EN 1992-1 : 2004</v>
      </c>
      <c r="P5" s="1236"/>
      <c r="Q5" s="1236"/>
      <c r="R5" s="1236"/>
      <c r="S5" s="1236"/>
      <c r="T5" s="944" t="s">
        <v>41</v>
      </c>
      <c r="U5" s="1339" t="s">
        <v>9</v>
      </c>
      <c r="V5" s="1340"/>
      <c r="W5" s="976" t="s">
        <v>10</v>
      </c>
    </row>
    <row r="6" spans="1:23" ht="16.149999999999999" customHeight="1" thickBot="1">
      <c r="A6" s="419"/>
      <c r="B6" s="962"/>
      <c r="C6" s="845" t="str">
        <f ca="1">MAIN!D6&amp;MAIN!E6</f>
        <v>Originated from TCC53.xls  v4.45                     © 2000-19 TCC</v>
      </c>
      <c r="D6" s="846"/>
      <c r="E6" s="231"/>
      <c r="F6" s="231"/>
      <c r="G6" s="231"/>
      <c r="H6" s="945" t="str">
        <f>IF(MAIN!I6=0,"",MAIN!I6)</f>
        <v/>
      </c>
      <c r="I6" s="1325" t="str">
        <f>IF(MAIN!J6=0,"",MAIN!J6)</f>
        <v>-</v>
      </c>
      <c r="J6" s="1326"/>
      <c r="K6" s="963" t="str">
        <f>IF(MAIN!K6=0,"",MAIN!K6)</f>
        <v>FB625</v>
      </c>
      <c r="L6" s="549"/>
      <c r="M6" s="549"/>
      <c r="N6" s="977"/>
      <c r="O6" s="966" t="str">
        <f ca="1">MAIN!S6&amp;MAIN!E6</f>
        <v>536 v4.45                     © 2000-19 TCC</v>
      </c>
      <c r="P6" s="967"/>
      <c r="Q6" s="968"/>
      <c r="R6" s="968"/>
      <c r="S6" s="969"/>
      <c r="T6" s="945"/>
      <c r="U6" s="1325"/>
      <c r="V6" s="1326"/>
      <c r="W6" s="978" t="str">
        <f>IF(MAIN!K6=0,"",MAIN!K6)</f>
        <v>FB625</v>
      </c>
    </row>
    <row r="7" spans="1:23" ht="17.25" customHeight="1">
      <c r="A7" s="87"/>
      <c r="B7" s="1327" t="s">
        <v>151</v>
      </c>
      <c r="C7" s="1329" t="s">
        <v>152</v>
      </c>
      <c r="D7" s="1329" t="s">
        <v>153</v>
      </c>
      <c r="E7" s="1343"/>
      <c r="F7" s="1343"/>
      <c r="G7" s="1343"/>
      <c r="H7" s="1335" t="s">
        <v>744</v>
      </c>
      <c r="I7" s="1345"/>
      <c r="J7" s="1335" t="s">
        <v>154</v>
      </c>
      <c r="K7" s="1336"/>
      <c r="L7" s="689"/>
      <c r="M7" s="549"/>
      <c r="N7" s="979"/>
      <c r="O7" s="980"/>
      <c r="P7" s="980"/>
      <c r="Q7" s="980"/>
      <c r="R7" s="980"/>
      <c r="S7" s="981"/>
      <c r="T7" s="689"/>
      <c r="U7" s="689"/>
      <c r="V7" s="689"/>
      <c r="W7" s="982"/>
    </row>
    <row r="8" spans="1:23" ht="16.149999999999999" customHeight="1" thickBot="1">
      <c r="A8" s="87"/>
      <c r="B8" s="1328"/>
      <c r="C8" s="1330"/>
      <c r="D8" s="1330"/>
      <c r="E8" s="1344"/>
      <c r="F8" s="1344"/>
      <c r="G8" s="1344"/>
      <c r="H8" s="1337"/>
      <c r="I8" s="1346"/>
      <c r="J8" s="1337"/>
      <c r="K8" s="1338"/>
      <c r="L8" s="689"/>
      <c r="M8" s="549"/>
      <c r="N8" s="979"/>
      <c r="O8" s="980"/>
      <c r="P8" s="980"/>
      <c r="Q8" s="980"/>
      <c r="R8" s="980"/>
      <c r="S8" s="981"/>
      <c r="T8" s="689"/>
      <c r="U8" s="689"/>
      <c r="V8" s="689"/>
      <c r="W8" s="982"/>
    </row>
    <row r="9" spans="1:23" ht="18.600000000000001" customHeight="1">
      <c r="A9" s="87"/>
      <c r="B9" s="1322" t="s">
        <v>155</v>
      </c>
      <c r="C9" s="1323" t="s">
        <v>233</v>
      </c>
      <c r="D9" s="1324">
        <v>1.5</v>
      </c>
      <c r="E9" s="1331" t="s">
        <v>156</v>
      </c>
      <c r="F9" s="425"/>
      <c r="G9" s="941"/>
      <c r="H9" s="1321">
        <v>1.5</v>
      </c>
      <c r="I9" s="949"/>
      <c r="J9" s="1321">
        <v>1.5</v>
      </c>
      <c r="K9" s="841"/>
      <c r="M9" s="549"/>
      <c r="N9" s="979"/>
      <c r="O9" s="980"/>
      <c r="P9" s="980"/>
      <c r="Q9" s="980"/>
      <c r="R9" s="980"/>
      <c r="S9" s="983"/>
      <c r="T9" s="689"/>
      <c r="U9" s="689"/>
      <c r="V9" s="689"/>
      <c r="W9" s="982"/>
    </row>
    <row r="10" spans="1:23" ht="16.149999999999999" customHeight="1">
      <c r="A10" s="87"/>
      <c r="B10" s="1322"/>
      <c r="C10" s="1323"/>
      <c r="D10" s="1324"/>
      <c r="E10" s="1331"/>
      <c r="F10" s="425"/>
      <c r="G10" s="941"/>
      <c r="H10" s="1321"/>
      <c r="I10" s="949"/>
      <c r="J10" s="1321"/>
      <c r="K10" s="841"/>
      <c r="M10" s="549"/>
      <c r="N10" s="979"/>
      <c r="O10" s="980"/>
      <c r="P10" s="980"/>
      <c r="Q10" s="980"/>
      <c r="R10" s="980"/>
      <c r="S10" s="983"/>
      <c r="T10" s="689"/>
      <c r="U10" s="689"/>
      <c r="V10" s="689"/>
      <c r="W10" s="982"/>
    </row>
    <row r="11" spans="1:23" ht="27" customHeight="1">
      <c r="A11" s="87"/>
      <c r="B11" s="835" t="s">
        <v>155</v>
      </c>
      <c r="C11" s="422" t="s">
        <v>234</v>
      </c>
      <c r="D11" s="423">
        <v>1.1499999999999999</v>
      </c>
      <c r="E11" s="424" t="s">
        <v>157</v>
      </c>
      <c r="F11" s="425"/>
      <c r="G11" s="941"/>
      <c r="H11" s="946">
        <v>1.1499999999999999</v>
      </c>
      <c r="I11" s="949"/>
      <c r="J11" s="946">
        <v>1.1499999999999999</v>
      </c>
      <c r="K11" s="841"/>
      <c r="M11" s="549"/>
      <c r="N11" s="979"/>
      <c r="O11" s="980"/>
      <c r="P11" s="980"/>
      <c r="Q11" s="980"/>
      <c r="R11" s="980"/>
      <c r="S11" s="983"/>
      <c r="T11" s="689"/>
      <c r="U11" s="689"/>
      <c r="V11" s="689"/>
      <c r="W11" s="982"/>
    </row>
    <row r="12" spans="1:23" s="71" customFormat="1" ht="27" customHeight="1">
      <c r="A12" s="420"/>
      <c r="B12" s="835" t="s">
        <v>158</v>
      </c>
      <c r="C12" s="422" t="s">
        <v>235</v>
      </c>
      <c r="D12" s="426">
        <v>0.85</v>
      </c>
      <c r="E12" s="424" t="s">
        <v>159</v>
      </c>
      <c r="F12" s="425"/>
      <c r="G12" s="941"/>
      <c r="H12" s="946">
        <v>1</v>
      </c>
      <c r="I12" s="949"/>
      <c r="J12" s="947">
        <v>0.85</v>
      </c>
      <c r="K12" s="841"/>
      <c r="L12"/>
      <c r="M12" s="549"/>
      <c r="N12" s="979"/>
      <c r="O12" s="980"/>
      <c r="P12" s="980"/>
      <c r="Q12" s="980"/>
      <c r="R12" s="980"/>
      <c r="S12" s="912"/>
      <c r="T12" s="912"/>
      <c r="U12" s="912"/>
      <c r="V12" s="912"/>
      <c r="W12" s="984"/>
    </row>
    <row r="13" spans="1:23" s="71" customFormat="1" ht="27" customHeight="1">
      <c r="A13" s="420"/>
      <c r="B13" s="835" t="s">
        <v>160</v>
      </c>
      <c r="C13" s="422" t="s">
        <v>237</v>
      </c>
      <c r="D13" s="423">
        <f>1/200</f>
        <v>5.0000000000000001E-3</v>
      </c>
      <c r="E13" s="424" t="s">
        <v>161</v>
      </c>
      <c r="F13" s="425"/>
      <c r="G13" s="941"/>
      <c r="H13" s="946">
        <f>1/200</f>
        <v>5.0000000000000001E-3</v>
      </c>
      <c r="I13" s="949"/>
      <c r="J13" s="946">
        <f>1/200</f>
        <v>5.0000000000000001E-3</v>
      </c>
      <c r="K13" s="841"/>
      <c r="L13"/>
      <c r="M13" s="549"/>
      <c r="N13" s="979"/>
      <c r="O13" s="980"/>
      <c r="P13" s="980"/>
      <c r="Q13" s="980"/>
      <c r="R13" s="980"/>
      <c r="S13" s="912"/>
      <c r="T13" s="912"/>
      <c r="U13" s="912"/>
      <c r="V13" s="912"/>
      <c r="W13" s="984"/>
    </row>
    <row r="14" spans="1:23" s="71" customFormat="1" ht="27" customHeight="1">
      <c r="A14" s="420"/>
      <c r="B14" s="835" t="s">
        <v>162</v>
      </c>
      <c r="C14" s="422" t="s">
        <v>163</v>
      </c>
      <c r="D14" s="423">
        <v>1</v>
      </c>
      <c r="E14" s="424" t="s">
        <v>164</v>
      </c>
      <c r="F14" s="425"/>
      <c r="G14" s="950"/>
      <c r="H14" s="946">
        <v>1</v>
      </c>
      <c r="I14" s="949"/>
      <c r="J14" s="947" t="s">
        <v>165</v>
      </c>
      <c r="K14" s="841"/>
      <c r="L14"/>
      <c r="M14" s="549"/>
      <c r="N14" s="979"/>
      <c r="O14" s="980"/>
      <c r="P14" s="980"/>
      <c r="Q14" s="980"/>
      <c r="R14" s="980"/>
      <c r="S14" s="912"/>
      <c r="T14" s="912"/>
      <c r="U14" s="912"/>
      <c r="V14" s="912"/>
      <c r="W14" s="984"/>
    </row>
    <row r="15" spans="1:23" s="71" customFormat="1" ht="27" customHeight="1">
      <c r="A15" s="420"/>
      <c r="B15" s="835" t="s">
        <v>166</v>
      </c>
      <c r="C15" s="422" t="s">
        <v>167</v>
      </c>
      <c r="D15" s="423">
        <v>5</v>
      </c>
      <c r="E15" s="427" t="s">
        <v>166</v>
      </c>
      <c r="F15" s="425"/>
      <c r="G15" s="950"/>
      <c r="H15" s="946">
        <v>5</v>
      </c>
      <c r="I15" s="949"/>
      <c r="J15" s="947" t="s">
        <v>165</v>
      </c>
      <c r="K15" s="841"/>
      <c r="L15"/>
      <c r="M15" s="549"/>
      <c r="N15" s="979"/>
      <c r="O15" s="980"/>
      <c r="P15" s="980"/>
      <c r="Q15" s="980"/>
      <c r="R15" s="980"/>
      <c r="S15" s="912"/>
      <c r="T15" s="912"/>
      <c r="U15" s="912"/>
      <c r="V15" s="912"/>
      <c r="W15" s="984"/>
    </row>
    <row r="16" spans="1:23" s="71" customFormat="1" ht="27" customHeight="1">
      <c r="A16" s="420"/>
      <c r="B16" s="835" t="s">
        <v>168</v>
      </c>
      <c r="C16" s="422" t="s">
        <v>238</v>
      </c>
      <c r="D16" s="423">
        <v>12</v>
      </c>
      <c r="E16" s="424" t="s">
        <v>169</v>
      </c>
      <c r="F16" s="425"/>
      <c r="G16" s="950"/>
      <c r="H16" s="946">
        <v>8</v>
      </c>
      <c r="I16" s="949"/>
      <c r="J16" s="947">
        <v>12</v>
      </c>
      <c r="K16" s="841"/>
      <c r="L16"/>
      <c r="M16" s="549"/>
      <c r="N16" s="979"/>
      <c r="O16" s="980"/>
      <c r="P16" s="980"/>
      <c r="Q16" s="980"/>
      <c r="R16" s="980"/>
      <c r="S16" s="912"/>
      <c r="T16" s="912"/>
      <c r="U16" s="912"/>
      <c r="V16" s="912"/>
      <c r="W16" s="984"/>
    </row>
    <row r="17" spans="1:23" s="71" customFormat="1" ht="27" customHeight="1">
      <c r="A17" s="420"/>
      <c r="B17" s="835" t="s">
        <v>170</v>
      </c>
      <c r="C17" s="422" t="s">
        <v>239</v>
      </c>
      <c r="D17" s="428">
        <v>2E-3</v>
      </c>
      <c r="E17" s="424" t="s">
        <v>171</v>
      </c>
      <c r="F17" s="423">
        <v>0.1</v>
      </c>
      <c r="G17" s="951" t="s">
        <v>172</v>
      </c>
      <c r="H17" s="948">
        <v>2E-3</v>
      </c>
      <c r="I17" s="949">
        <v>0.1</v>
      </c>
      <c r="J17" s="948">
        <v>2E-3</v>
      </c>
      <c r="K17" s="842">
        <v>0.1</v>
      </c>
      <c r="L17"/>
      <c r="M17" s="549"/>
      <c r="N17" s="979"/>
      <c r="O17" s="980"/>
      <c r="P17" s="980"/>
      <c r="Q17" s="980"/>
      <c r="R17" s="980"/>
      <c r="S17" s="912"/>
      <c r="T17" s="912"/>
      <c r="U17" s="912"/>
      <c r="V17" s="912"/>
      <c r="W17" s="984"/>
    </row>
    <row r="18" spans="1:23" s="71" customFormat="1" ht="27" customHeight="1" thickBot="1">
      <c r="A18" s="420"/>
      <c r="B18" s="836" t="s">
        <v>173</v>
      </c>
      <c r="C18" s="837" t="s">
        <v>236</v>
      </c>
      <c r="D18" s="838">
        <v>5.5E-2</v>
      </c>
      <c r="E18" s="839" t="s">
        <v>174</v>
      </c>
      <c r="F18" s="840"/>
      <c r="G18" s="952"/>
      <c r="H18" s="964">
        <v>0.04</v>
      </c>
      <c r="I18" s="965"/>
      <c r="J18" s="964">
        <v>0.04</v>
      </c>
      <c r="K18" s="843"/>
      <c r="L18"/>
      <c r="M18" s="549"/>
      <c r="N18" s="979"/>
      <c r="O18" s="980"/>
      <c r="P18" s="980"/>
      <c r="Q18" s="980"/>
      <c r="R18" s="980"/>
      <c r="S18" s="912"/>
      <c r="T18" s="912"/>
      <c r="U18" s="912"/>
      <c r="V18" s="912"/>
      <c r="W18" s="984"/>
    </row>
    <row r="19" spans="1:23" s="71" customFormat="1" ht="27" customHeight="1" thickTop="1">
      <c r="A19" s="420"/>
      <c r="L19"/>
      <c r="M19" s="549"/>
      <c r="N19" s="979"/>
      <c r="O19" s="980"/>
      <c r="P19" s="980"/>
      <c r="Q19" s="980"/>
      <c r="R19" s="980"/>
      <c r="S19" s="912"/>
      <c r="T19" s="912"/>
      <c r="U19" s="912"/>
      <c r="V19" s="912"/>
      <c r="W19" s="984"/>
    </row>
    <row r="20" spans="1:23" s="71" customFormat="1" ht="27" customHeight="1">
      <c r="A20" s="420"/>
      <c r="L20"/>
      <c r="M20" s="549"/>
      <c r="N20" s="979"/>
      <c r="O20" s="980"/>
      <c r="P20" s="980"/>
      <c r="Q20" s="980"/>
      <c r="R20" s="980"/>
      <c r="S20" s="912"/>
      <c r="T20" s="912"/>
      <c r="U20" s="912"/>
      <c r="V20" s="912"/>
      <c r="W20" s="984"/>
    </row>
    <row r="21" spans="1:23" s="67" customFormat="1" ht="16.5">
      <c r="A21" s="87"/>
      <c r="B21" s="87"/>
      <c r="C21" s="87"/>
      <c r="D21" s="88"/>
      <c r="E21" s="88"/>
      <c r="F21" s="88"/>
      <c r="G21" s="87"/>
      <c r="H21" s="549"/>
      <c r="I21" s="549"/>
      <c r="J21" s="549"/>
      <c r="K21" s="549"/>
      <c r="L21" s="549"/>
      <c r="M21" s="87"/>
      <c r="N21" s="979"/>
      <c r="O21" s="980"/>
      <c r="P21" s="980"/>
      <c r="Q21" s="980"/>
      <c r="R21" s="980"/>
      <c r="S21" s="985"/>
      <c r="T21" s="986"/>
      <c r="U21" s="986"/>
      <c r="V21" s="986"/>
      <c r="W21" s="987"/>
    </row>
    <row r="22" spans="1:23" ht="12.6" customHeight="1">
      <c r="M22" s="87"/>
      <c r="N22" s="979"/>
      <c r="O22" s="980"/>
      <c r="P22" s="980"/>
      <c r="Q22" s="980"/>
      <c r="R22" s="980"/>
      <c r="S22" s="983"/>
      <c r="T22" s="689"/>
      <c r="U22" s="689"/>
      <c r="V22" s="689"/>
      <c r="W22" s="982"/>
    </row>
    <row r="23" spans="1:23" ht="12.6" customHeight="1">
      <c r="M23" s="87"/>
      <c r="N23" s="979"/>
      <c r="O23" s="980"/>
      <c r="P23" s="980"/>
      <c r="Q23" s="980"/>
      <c r="R23" s="980"/>
      <c r="S23" s="983"/>
      <c r="T23" s="689"/>
      <c r="U23" s="689"/>
      <c r="V23" s="689"/>
      <c r="W23" s="982"/>
    </row>
    <row r="24" spans="1:23" ht="13.15" customHeight="1">
      <c r="M24" s="87"/>
      <c r="N24" s="979"/>
      <c r="O24" s="980"/>
      <c r="P24" s="980"/>
      <c r="Q24" s="980"/>
      <c r="R24" s="980"/>
      <c r="S24" s="983"/>
      <c r="T24" s="689"/>
      <c r="U24" s="689"/>
      <c r="V24" s="689"/>
      <c r="W24" s="982"/>
    </row>
    <row r="25" spans="1:23" ht="20.100000000000001" customHeight="1">
      <c r="M25" s="87"/>
      <c r="N25" s="979"/>
      <c r="O25" s="980"/>
      <c r="P25" s="980"/>
      <c r="Q25" s="980"/>
      <c r="R25" s="980"/>
      <c r="S25" s="983"/>
      <c r="T25" s="689"/>
      <c r="U25" s="689"/>
      <c r="V25" s="689"/>
      <c r="W25" s="982"/>
    </row>
    <row r="26" spans="1:23" ht="12.6" customHeight="1">
      <c r="N26" s="979"/>
      <c r="O26" s="980"/>
      <c r="P26" s="980"/>
      <c r="Q26" s="980"/>
      <c r="R26" s="980"/>
      <c r="S26" s="983"/>
      <c r="T26" s="689"/>
      <c r="U26" s="689"/>
      <c r="V26" s="689"/>
      <c r="W26" s="982"/>
    </row>
    <row r="27" spans="1:23" ht="12.6" customHeight="1">
      <c r="N27" s="979"/>
      <c r="O27" s="980"/>
      <c r="P27" s="980"/>
      <c r="Q27" s="980"/>
      <c r="R27" s="980"/>
      <c r="S27" s="983"/>
      <c r="T27" s="689"/>
      <c r="U27" s="689"/>
      <c r="V27" s="689"/>
      <c r="W27" s="982"/>
    </row>
    <row r="28" spans="1:23" ht="12.6" customHeight="1">
      <c r="N28" s="979"/>
      <c r="O28" s="980"/>
      <c r="P28" s="980"/>
      <c r="Q28" s="980"/>
      <c r="R28" s="980"/>
      <c r="S28" s="983"/>
      <c r="T28" s="689"/>
      <c r="U28" s="689"/>
      <c r="V28" s="689"/>
      <c r="W28" s="982"/>
    </row>
    <row r="29" spans="1:23" ht="12.6" customHeight="1">
      <c r="N29" s="979"/>
      <c r="O29" s="980"/>
      <c r="P29" s="980"/>
      <c r="Q29" s="980"/>
      <c r="R29" s="980"/>
      <c r="S29" s="983"/>
      <c r="T29" s="689"/>
      <c r="U29" s="689"/>
      <c r="V29" s="689"/>
      <c r="W29" s="982"/>
    </row>
    <row r="30" spans="1:23">
      <c r="N30" s="988"/>
      <c r="O30" s="689"/>
      <c r="P30" s="689"/>
      <c r="Q30" s="689"/>
      <c r="R30" s="689"/>
      <c r="S30" s="983"/>
      <c r="T30" s="689"/>
      <c r="U30" s="689"/>
      <c r="V30" s="689"/>
      <c r="W30" s="982"/>
    </row>
    <row r="31" spans="1:23">
      <c r="N31" s="988"/>
      <c r="O31" s="689"/>
      <c r="P31" s="689"/>
      <c r="Q31" s="689"/>
      <c r="R31" s="689"/>
      <c r="S31" s="983"/>
      <c r="T31" s="689"/>
      <c r="U31" s="689"/>
      <c r="V31" s="689"/>
      <c r="W31" s="982"/>
    </row>
    <row r="32" spans="1:23">
      <c r="N32" s="988"/>
      <c r="O32" s="689"/>
      <c r="P32" s="689"/>
      <c r="Q32" s="689"/>
      <c r="R32" s="689"/>
      <c r="S32" s="983"/>
      <c r="T32" s="689"/>
      <c r="U32" s="689"/>
      <c r="V32" s="689"/>
      <c r="W32" s="982"/>
    </row>
    <row r="33" spans="14:23">
      <c r="N33" s="988"/>
      <c r="O33" s="689"/>
      <c r="P33" s="689"/>
      <c r="Q33" s="689"/>
      <c r="R33" s="689"/>
      <c r="S33" s="983"/>
      <c r="T33" s="689"/>
      <c r="U33" s="689"/>
      <c r="V33" s="689"/>
      <c r="W33" s="982"/>
    </row>
    <row r="34" spans="14:23">
      <c r="N34" s="988"/>
      <c r="O34" s="689"/>
      <c r="P34" s="689"/>
      <c r="Q34" s="689"/>
      <c r="R34" s="689"/>
      <c r="S34" s="983"/>
      <c r="T34" s="689"/>
      <c r="U34" s="689"/>
      <c r="V34" s="689"/>
      <c r="W34" s="982"/>
    </row>
    <row r="35" spans="14:23">
      <c r="N35" s="988"/>
      <c r="O35" s="689"/>
      <c r="P35" s="689"/>
      <c r="Q35" s="689"/>
      <c r="R35" s="689"/>
      <c r="S35" s="983"/>
      <c r="T35" s="689"/>
      <c r="U35" s="689"/>
      <c r="V35" s="689"/>
      <c r="W35" s="982"/>
    </row>
    <row r="36" spans="14:23">
      <c r="N36" s="988"/>
      <c r="O36" s="689"/>
      <c r="P36" s="689"/>
      <c r="Q36" s="689"/>
      <c r="R36" s="689"/>
      <c r="S36" s="983"/>
      <c r="T36" s="689"/>
      <c r="U36" s="689"/>
      <c r="V36" s="689"/>
      <c r="W36" s="982"/>
    </row>
    <row r="37" spans="14:23">
      <c r="N37" s="988"/>
      <c r="O37" s="689"/>
      <c r="P37" s="689"/>
      <c r="Q37" s="689"/>
      <c r="R37" s="689"/>
      <c r="S37" s="983"/>
      <c r="T37" s="689"/>
      <c r="U37" s="689"/>
      <c r="V37" s="689"/>
      <c r="W37" s="982"/>
    </row>
    <row r="38" spans="14:23">
      <c r="N38" s="988"/>
      <c r="O38" s="689"/>
      <c r="P38" s="689"/>
      <c r="Q38" s="689"/>
      <c r="R38" s="689"/>
      <c r="S38" s="983"/>
      <c r="T38" s="689"/>
      <c r="U38" s="689"/>
      <c r="V38" s="689"/>
      <c r="W38" s="982"/>
    </row>
    <row r="39" spans="14:23">
      <c r="N39" s="988"/>
      <c r="O39" s="689"/>
      <c r="P39" s="689"/>
      <c r="Q39" s="689"/>
      <c r="R39" s="689"/>
      <c r="S39" s="983"/>
      <c r="T39" s="689"/>
      <c r="U39" s="689"/>
      <c r="V39" s="689"/>
      <c r="W39" s="982"/>
    </row>
    <row r="40" spans="14:23">
      <c r="N40" s="988"/>
      <c r="O40" s="689"/>
      <c r="P40" s="689"/>
      <c r="Q40" s="689"/>
      <c r="R40" s="689"/>
      <c r="S40" s="983"/>
      <c r="T40" s="689"/>
      <c r="U40" s="689"/>
      <c r="V40" s="689"/>
      <c r="W40" s="982"/>
    </row>
    <row r="41" spans="14:23">
      <c r="N41" s="988"/>
      <c r="O41" s="689"/>
      <c r="P41" s="689"/>
      <c r="Q41" s="689"/>
      <c r="R41" s="689"/>
      <c r="S41" s="983"/>
      <c r="T41" s="689"/>
      <c r="U41" s="689"/>
      <c r="V41" s="689"/>
      <c r="W41" s="982"/>
    </row>
    <row r="42" spans="14:23">
      <c r="N42" s="988"/>
      <c r="O42" s="689"/>
      <c r="P42" s="689"/>
      <c r="Q42" s="689"/>
      <c r="R42" s="689"/>
      <c r="S42" s="983"/>
      <c r="T42" s="689"/>
      <c r="U42" s="689"/>
      <c r="V42" s="689"/>
      <c r="W42" s="982"/>
    </row>
    <row r="43" spans="14:23">
      <c r="N43" s="988"/>
      <c r="O43" s="689"/>
      <c r="P43" s="689"/>
      <c r="Q43" s="689"/>
      <c r="R43" s="689"/>
      <c r="S43" s="983"/>
      <c r="T43" s="689"/>
      <c r="U43" s="689"/>
      <c r="V43" s="689"/>
      <c r="W43" s="982"/>
    </row>
    <row r="44" spans="14:23">
      <c r="N44" s="988"/>
      <c r="O44" s="689"/>
      <c r="P44" s="689"/>
      <c r="Q44" s="689"/>
      <c r="R44" s="689"/>
      <c r="S44" s="983"/>
      <c r="T44" s="689"/>
      <c r="U44" s="689"/>
      <c r="V44" s="689"/>
      <c r="W44" s="982"/>
    </row>
    <row r="45" spans="14:23">
      <c r="N45" s="988"/>
      <c r="O45" s="689"/>
      <c r="P45" s="689"/>
      <c r="Q45" s="689"/>
      <c r="R45" s="689"/>
      <c r="S45" s="983"/>
      <c r="T45" s="689"/>
      <c r="U45" s="689"/>
      <c r="V45" s="689"/>
      <c r="W45" s="982"/>
    </row>
    <row r="46" spans="14:23">
      <c r="N46" s="988"/>
      <c r="O46" s="689"/>
      <c r="P46" s="689"/>
      <c r="Q46" s="689"/>
      <c r="R46" s="689"/>
      <c r="S46" s="983"/>
      <c r="T46" s="689"/>
      <c r="U46" s="689"/>
      <c r="V46" s="689"/>
      <c r="W46" s="982"/>
    </row>
    <row r="47" spans="14:23">
      <c r="N47" s="988"/>
      <c r="O47" s="689"/>
      <c r="P47" s="689"/>
      <c r="Q47" s="689"/>
      <c r="R47" s="689"/>
      <c r="S47" s="983"/>
      <c r="T47" s="689"/>
      <c r="U47" s="689"/>
      <c r="V47" s="689"/>
      <c r="W47" s="982"/>
    </row>
    <row r="48" spans="14:23">
      <c r="N48" s="988"/>
      <c r="O48" s="689"/>
      <c r="P48" s="689"/>
      <c r="Q48" s="689"/>
      <c r="R48" s="689"/>
      <c r="S48" s="983"/>
      <c r="T48" s="689"/>
      <c r="U48" s="689"/>
      <c r="V48" s="689"/>
      <c r="W48" s="982"/>
    </row>
    <row r="49" spans="14:23">
      <c r="N49" s="988"/>
      <c r="O49" s="689"/>
      <c r="P49" s="689"/>
      <c r="Q49" s="689"/>
      <c r="R49" s="689"/>
      <c r="S49" s="983"/>
      <c r="T49" s="689"/>
      <c r="U49" s="689"/>
      <c r="V49" s="689"/>
      <c r="W49" s="982"/>
    </row>
    <row r="50" spans="14:23">
      <c r="N50" s="988"/>
      <c r="O50" s="689"/>
      <c r="P50" s="689"/>
      <c r="Q50" s="689"/>
      <c r="R50" s="689"/>
      <c r="S50" s="983"/>
      <c r="T50" s="689"/>
      <c r="U50" s="689"/>
      <c r="V50" s="689"/>
      <c r="W50" s="982"/>
    </row>
    <row r="51" spans="14:23">
      <c r="N51" s="988"/>
      <c r="O51" s="689"/>
      <c r="P51" s="689"/>
      <c r="Q51" s="689"/>
      <c r="R51" s="689"/>
      <c r="S51" s="983"/>
      <c r="T51" s="689"/>
      <c r="U51" s="689"/>
      <c r="V51" s="689"/>
      <c r="W51" s="982"/>
    </row>
    <row r="52" spans="14:23">
      <c r="N52" s="988"/>
      <c r="O52" s="689"/>
      <c r="P52" s="689"/>
      <c r="Q52" s="689"/>
      <c r="R52" s="689"/>
      <c r="S52" s="983"/>
      <c r="T52" s="689"/>
      <c r="U52" s="689"/>
      <c r="V52" s="689"/>
      <c r="W52" s="982"/>
    </row>
    <row r="53" spans="14:23">
      <c r="N53" s="988"/>
      <c r="O53" s="689"/>
      <c r="P53" s="689"/>
      <c r="Q53" s="689"/>
      <c r="R53" s="689"/>
      <c r="S53" s="983"/>
      <c r="T53" s="689"/>
      <c r="U53" s="689"/>
      <c r="V53" s="689"/>
      <c r="W53" s="982"/>
    </row>
    <row r="54" spans="14:23">
      <c r="N54" s="988"/>
      <c r="O54" s="689"/>
      <c r="P54" s="689"/>
      <c r="Q54" s="689"/>
      <c r="R54" s="689"/>
      <c r="S54" s="983"/>
      <c r="T54" s="689"/>
      <c r="U54" s="689"/>
      <c r="V54" s="689"/>
      <c r="W54" s="982"/>
    </row>
    <row r="55" spans="14:23">
      <c r="N55" s="988"/>
      <c r="O55" s="689"/>
      <c r="P55" s="689"/>
      <c r="Q55" s="689"/>
      <c r="R55" s="689"/>
      <c r="S55" s="983"/>
      <c r="T55" s="689"/>
      <c r="U55" s="689"/>
      <c r="V55" s="689"/>
      <c r="W55" s="982"/>
    </row>
    <row r="56" spans="14:23">
      <c r="N56" s="988"/>
      <c r="O56" s="689"/>
      <c r="P56" s="689"/>
      <c r="Q56" s="689"/>
      <c r="R56" s="689"/>
      <c r="S56" s="983"/>
      <c r="T56" s="689"/>
      <c r="U56" s="689"/>
      <c r="V56" s="689"/>
      <c r="W56" s="982"/>
    </row>
    <row r="57" spans="14:23" ht="13.5" thickBot="1">
      <c r="N57" s="989"/>
      <c r="O57" s="990"/>
      <c r="P57" s="990"/>
      <c r="Q57" s="990"/>
      <c r="R57" s="990"/>
      <c r="S57" s="991"/>
      <c r="T57" s="990"/>
      <c r="U57" s="990"/>
      <c r="V57" s="990"/>
      <c r="W57" s="992"/>
    </row>
  </sheetData>
  <customSheetViews>
    <customSheetView guid="{065FF312-67E2-4E5F-894A-2CE2F41260A3}" scale="75" showPageBreaks="1" printArea="1" view="pageBreakPreview">
      <colBreaks count="1" manualBreakCount="1">
        <brk id="12" max="58" man="1"/>
      </colBreaks>
      <pageMargins left="0.19685039370078741" right="0.19685039370078741" top="0.31496062992125984" bottom="0.31496062992125984" header="0.51181102362204722" footer="0.51181102362204722"/>
      <printOptions horizontalCentered="1"/>
      <pageSetup paperSize="9" scale="85" orientation="portrait" r:id="rId1"/>
      <headerFooter alignWithMargins="0"/>
    </customSheetView>
  </customSheetViews>
  <mergeCells count="24">
    <mergeCell ref="T2:W2"/>
    <mergeCell ref="U3:V3"/>
    <mergeCell ref="U4:V4"/>
    <mergeCell ref="O5:S5"/>
    <mergeCell ref="U5:V5"/>
    <mergeCell ref="C5:G5"/>
    <mergeCell ref="H2:K2"/>
    <mergeCell ref="J7:K8"/>
    <mergeCell ref="I5:J5"/>
    <mergeCell ref="I6:J6"/>
    <mergeCell ref="I3:J3"/>
    <mergeCell ref="I4:J4"/>
    <mergeCell ref="E7:G8"/>
    <mergeCell ref="H7:I8"/>
    <mergeCell ref="J9:J10"/>
    <mergeCell ref="B9:B10"/>
    <mergeCell ref="C9:C10"/>
    <mergeCell ref="D9:D10"/>
    <mergeCell ref="U6:V6"/>
    <mergeCell ref="B7:B8"/>
    <mergeCell ref="C7:C8"/>
    <mergeCell ref="D7:D8"/>
    <mergeCell ref="E9:E10"/>
    <mergeCell ref="H9:H10"/>
  </mergeCells>
  <phoneticPr fontId="0" type="noConversion"/>
  <printOptions horizontalCentered="1"/>
  <pageMargins left="0.19685039370078741" right="0.19685039370078741" top="0.31496062992125984" bottom="0.31496062992125984" header="0.51181102362204722" footer="0.51181102362204722"/>
  <pageSetup paperSize="9" scale="85" orientation="portrait" r:id="rId2"/>
  <headerFooter alignWithMargins="0"/>
  <colBreaks count="1" manualBreakCount="1">
    <brk id="12" max="58" man="1"/>
  </colBreaks>
  <drawing r:id="rId3"/>
  <picture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indexed="53"/>
  </sheetPr>
  <dimension ref="A1:O114"/>
  <sheetViews>
    <sheetView zoomScale="75" zoomScaleNormal="75" workbookViewId="0"/>
  </sheetViews>
  <sheetFormatPr defaultColWidth="9.28515625" defaultRowHeight="12.75"/>
  <cols>
    <col min="1" max="1" width="3.5703125" style="489" customWidth="1"/>
    <col min="2" max="3" width="12.5703125" style="489" customWidth="1"/>
    <col min="4" max="4" width="62.5703125" style="489" customWidth="1"/>
    <col min="5" max="5" width="11.28515625" style="489" customWidth="1"/>
    <col min="6" max="6" width="5.5703125" style="489" customWidth="1"/>
    <col min="7" max="7" width="11.7109375" style="489" customWidth="1"/>
    <col min="8" max="10" width="9.28515625" style="489"/>
    <col min="11" max="11" width="11.28515625" style="489" bestFit="1" customWidth="1"/>
    <col min="12" max="13" width="9.28515625" style="489"/>
    <col min="14" max="14" width="10.42578125" style="489" bestFit="1" customWidth="1"/>
    <col min="15" max="16384" width="9.28515625" style="489"/>
  </cols>
  <sheetData>
    <row r="1" spans="1:15">
      <c r="A1" s="486"/>
      <c r="B1" s="486"/>
      <c r="C1" s="486"/>
      <c r="D1" s="486"/>
      <c r="E1" s="486"/>
      <c r="F1" s="486"/>
      <c r="G1" s="487"/>
      <c r="H1" s="487"/>
      <c r="I1" s="487"/>
      <c r="J1" s="488"/>
      <c r="K1" s="488"/>
      <c r="L1" s="488"/>
      <c r="M1" s="488"/>
      <c r="N1" s="488"/>
      <c r="O1" s="488"/>
    </row>
    <row r="2" spans="1:15" ht="21.6" customHeight="1">
      <c r="A2" s="486"/>
      <c r="B2" s="490" t="s">
        <v>91</v>
      </c>
      <c r="C2" s="491"/>
      <c r="D2" s="491"/>
      <c r="E2" s="491"/>
      <c r="F2" s="492"/>
      <c r="G2" s="493"/>
      <c r="H2" s="494"/>
      <c r="I2" s="493"/>
      <c r="J2" s="495"/>
      <c r="K2" s="496"/>
      <c r="L2" s="497"/>
      <c r="M2" s="497"/>
      <c r="N2" s="497"/>
      <c r="O2" s="497"/>
    </row>
    <row r="3" spans="1:15" ht="21.6" customHeight="1">
      <c r="A3" s="486"/>
      <c r="B3" s="1351" t="s">
        <v>379</v>
      </c>
      <c r="C3" s="1352"/>
      <c r="D3" s="1352"/>
      <c r="E3" s="1352"/>
      <c r="F3" s="492"/>
      <c r="G3" s="498"/>
      <c r="H3" s="498"/>
      <c r="I3" s="498"/>
      <c r="J3" s="499"/>
      <c r="K3" s="500"/>
      <c r="L3" s="499"/>
      <c r="M3" s="499"/>
      <c r="N3" s="499"/>
      <c r="O3" s="499"/>
    </row>
    <row r="4" spans="1:15" ht="21.6" customHeight="1">
      <c r="A4" s="486"/>
      <c r="B4" s="1352"/>
      <c r="C4" s="1352"/>
      <c r="D4" s="1352"/>
      <c r="E4" s="1352"/>
      <c r="F4" s="492"/>
      <c r="G4" s="498"/>
      <c r="H4" s="498"/>
      <c r="I4" s="498"/>
      <c r="J4" s="499"/>
      <c r="K4" s="499"/>
      <c r="L4" s="499"/>
      <c r="M4" s="499"/>
      <c r="N4" s="499"/>
      <c r="O4" s="501"/>
    </row>
    <row r="5" spans="1:15" ht="21.6" customHeight="1">
      <c r="A5" s="486"/>
      <c r="B5" s="1352"/>
      <c r="C5" s="1352"/>
      <c r="D5" s="1352"/>
      <c r="E5" s="1352"/>
      <c r="F5" s="492"/>
      <c r="G5" s="498"/>
      <c r="H5" s="498"/>
      <c r="I5" s="498"/>
      <c r="J5" s="499"/>
      <c r="K5" s="499"/>
      <c r="L5" s="499"/>
      <c r="M5" s="499"/>
      <c r="N5" s="499"/>
      <c r="O5" s="499"/>
    </row>
    <row r="6" spans="1:15" ht="21.6" customHeight="1">
      <c r="A6" s="486"/>
      <c r="B6" s="1352"/>
      <c r="C6" s="1352"/>
      <c r="D6" s="1352"/>
      <c r="E6" s="1352"/>
      <c r="F6" s="492"/>
      <c r="G6" s="498"/>
      <c r="H6" s="498"/>
      <c r="I6" s="498"/>
      <c r="J6" s="499"/>
      <c r="K6" s="499"/>
      <c r="L6" s="499"/>
      <c r="M6" s="499"/>
      <c r="N6" s="499"/>
      <c r="O6" s="499"/>
    </row>
    <row r="7" spans="1:15" ht="21.6" customHeight="1">
      <c r="A7" s="486"/>
      <c r="B7" s="1352"/>
      <c r="C7" s="1352"/>
      <c r="D7" s="1352"/>
      <c r="E7" s="1352"/>
      <c r="F7" s="492"/>
      <c r="G7" s="498"/>
      <c r="H7" s="498"/>
      <c r="I7" s="498"/>
      <c r="J7" s="499"/>
      <c r="K7" s="499"/>
      <c r="L7" s="499"/>
      <c r="M7" s="499"/>
      <c r="N7" s="499"/>
      <c r="O7" s="499"/>
    </row>
    <row r="8" spans="1:15" ht="21.6" customHeight="1">
      <c r="A8" s="486"/>
      <c r="B8" s="1352"/>
      <c r="C8" s="1352"/>
      <c r="D8" s="1352"/>
      <c r="E8" s="1352"/>
      <c r="F8" s="492"/>
      <c r="G8" s="498"/>
      <c r="H8" s="498"/>
      <c r="I8" s="498"/>
      <c r="J8" s="499"/>
      <c r="K8" s="499"/>
      <c r="L8" s="499"/>
      <c r="M8" s="499"/>
      <c r="N8" s="499"/>
      <c r="O8" s="499"/>
    </row>
    <row r="9" spans="1:15" ht="10.9" customHeight="1">
      <c r="A9" s="486"/>
      <c r="B9" s="1352"/>
      <c r="C9" s="1352"/>
      <c r="D9" s="1352"/>
      <c r="E9" s="1352"/>
      <c r="F9" s="492"/>
      <c r="G9" s="498"/>
      <c r="H9" s="498"/>
      <c r="I9" s="498"/>
      <c r="J9" s="499"/>
      <c r="K9" s="499"/>
      <c r="L9" s="499"/>
      <c r="M9" s="499"/>
      <c r="N9" s="499"/>
      <c r="O9" s="499"/>
    </row>
    <row r="10" spans="1:15" ht="11.65" customHeight="1">
      <c r="A10" s="486"/>
      <c r="B10" s="1352"/>
      <c r="C10" s="1352"/>
      <c r="D10" s="1352"/>
      <c r="E10" s="1352"/>
      <c r="F10" s="492"/>
      <c r="G10" s="486"/>
      <c r="H10" s="486"/>
      <c r="I10" s="486"/>
    </row>
    <row r="11" spans="1:15" ht="19.5" customHeight="1">
      <c r="A11" s="486"/>
      <c r="B11" s="502" t="s">
        <v>92</v>
      </c>
      <c r="C11" s="491"/>
      <c r="D11" s="1350" t="s">
        <v>380</v>
      </c>
      <c r="E11" s="1350"/>
      <c r="F11" s="492"/>
      <c r="G11" s="498"/>
      <c r="H11" s="498"/>
      <c r="I11" s="498"/>
      <c r="J11" s="499"/>
      <c r="K11" s="499"/>
      <c r="L11" s="499"/>
      <c r="M11" s="499"/>
      <c r="N11" s="499"/>
      <c r="O11" s="499"/>
    </row>
    <row r="12" spans="1:15" ht="18.75">
      <c r="A12" s="486"/>
      <c r="B12" s="503" t="s">
        <v>363</v>
      </c>
      <c r="C12" s="491"/>
      <c r="D12" s="1350"/>
      <c r="E12" s="1350"/>
      <c r="F12" s="492"/>
      <c r="G12" s="498"/>
      <c r="H12" s="498"/>
      <c r="I12" s="498"/>
      <c r="J12" s="499"/>
      <c r="K12" s="499"/>
      <c r="L12" s="499"/>
      <c r="M12" s="499"/>
      <c r="N12" s="499"/>
      <c r="O12" s="499"/>
    </row>
    <row r="13" spans="1:15" ht="18.75">
      <c r="A13" s="486"/>
      <c r="B13" s="486"/>
      <c r="C13" s="491"/>
      <c r="D13" s="1350"/>
      <c r="E13" s="1350"/>
      <c r="F13" s="492"/>
      <c r="G13" s="498"/>
      <c r="H13" s="498"/>
      <c r="I13" s="498"/>
      <c r="J13" s="499"/>
      <c r="K13" s="499"/>
      <c r="L13" s="499"/>
      <c r="M13" s="499"/>
      <c r="N13" s="499"/>
      <c r="O13" s="499"/>
    </row>
    <row r="14" spans="1:15" ht="18.75">
      <c r="A14" s="486"/>
      <c r="B14" s="486"/>
      <c r="C14" s="491"/>
      <c r="D14" s="504"/>
      <c r="E14" s="504"/>
      <c r="F14" s="492"/>
      <c r="G14" s="498"/>
      <c r="H14" s="498"/>
      <c r="I14" s="498"/>
      <c r="J14" s="499"/>
      <c r="K14" s="499"/>
      <c r="L14" s="499"/>
      <c r="M14" s="499"/>
      <c r="N14" s="499"/>
      <c r="O14" s="499"/>
    </row>
    <row r="15" spans="1:15" ht="18.75" thickBot="1">
      <c r="A15" s="486"/>
      <c r="B15" s="502" t="s">
        <v>371</v>
      </c>
      <c r="C15" s="486"/>
      <c r="D15" s="486"/>
      <c r="E15" s="486"/>
      <c r="F15" s="492"/>
      <c r="G15" s="498"/>
      <c r="H15" s="498"/>
      <c r="I15" s="498"/>
      <c r="J15" s="499"/>
      <c r="K15" s="499"/>
      <c r="L15" s="499"/>
      <c r="M15" s="499"/>
      <c r="N15" s="499"/>
      <c r="O15" s="499"/>
    </row>
    <row r="16" spans="1:15" ht="18.75" thickBot="1">
      <c r="A16" s="486"/>
      <c r="B16" s="505" t="s">
        <v>83</v>
      </c>
      <c r="C16" s="506" t="s">
        <v>84</v>
      </c>
      <c r="D16" s="507" t="s">
        <v>85</v>
      </c>
      <c r="E16" s="508" t="s">
        <v>372</v>
      </c>
      <c r="F16" s="486"/>
      <c r="G16" s="498"/>
      <c r="H16" s="498"/>
      <c r="I16" s="498"/>
      <c r="J16" s="499"/>
      <c r="K16" s="499"/>
      <c r="L16" s="499"/>
      <c r="M16" s="499"/>
      <c r="N16" s="499"/>
      <c r="O16" s="499"/>
    </row>
    <row r="17" spans="1:15" ht="33.75" thickBot="1">
      <c r="A17" s="486"/>
      <c r="B17" s="654">
        <v>43179</v>
      </c>
      <c r="C17" s="659" t="s">
        <v>934</v>
      </c>
      <c r="D17" s="792" t="s">
        <v>935</v>
      </c>
      <c r="E17" s="655">
        <v>1375</v>
      </c>
      <c r="F17" s="486"/>
      <c r="G17" s="498"/>
      <c r="H17" s="498"/>
      <c r="I17" s="498"/>
      <c r="J17" s="499"/>
      <c r="K17" s="499"/>
      <c r="L17" s="499"/>
      <c r="M17" s="499"/>
      <c r="N17" s="499"/>
      <c r="O17" s="499"/>
    </row>
    <row r="18" spans="1:15" ht="33.75" thickBot="1">
      <c r="A18" s="486"/>
      <c r="B18" s="654">
        <v>43178</v>
      </c>
      <c r="C18" s="659" t="s">
        <v>931</v>
      </c>
      <c r="D18" s="792" t="s">
        <v>932</v>
      </c>
      <c r="E18" s="655">
        <v>1375</v>
      </c>
      <c r="F18" s="486"/>
      <c r="G18" s="498"/>
      <c r="H18" s="498"/>
      <c r="I18" s="498"/>
      <c r="J18" s="499"/>
      <c r="K18" s="499"/>
      <c r="L18" s="499"/>
      <c r="M18" s="499"/>
      <c r="N18" s="499"/>
      <c r="O18" s="499"/>
    </row>
    <row r="19" spans="1:15" ht="33.75" thickBot="1">
      <c r="A19" s="486"/>
      <c r="B19" s="654">
        <v>43177</v>
      </c>
      <c r="C19" s="659" t="s">
        <v>929</v>
      </c>
      <c r="D19" s="792" t="s">
        <v>930</v>
      </c>
      <c r="E19" s="655">
        <v>1375</v>
      </c>
      <c r="F19" s="486"/>
      <c r="G19" s="498"/>
      <c r="H19" s="498"/>
      <c r="I19" s="498"/>
      <c r="J19" s="499"/>
      <c r="K19" s="499"/>
      <c r="L19" s="499"/>
      <c r="M19" s="499"/>
      <c r="N19" s="499"/>
      <c r="O19" s="499"/>
    </row>
    <row r="20" spans="1:15" ht="83.25" thickBot="1">
      <c r="A20" s="486"/>
      <c r="B20" s="654">
        <v>43176</v>
      </c>
      <c r="C20" s="659" t="s">
        <v>926</v>
      </c>
      <c r="D20" s="792" t="s">
        <v>927</v>
      </c>
      <c r="E20" s="655">
        <v>1375</v>
      </c>
      <c r="F20" s="486"/>
      <c r="G20" s="498"/>
      <c r="H20" s="498"/>
      <c r="I20" s="498"/>
      <c r="J20" s="499"/>
      <c r="K20" s="499"/>
      <c r="L20" s="499"/>
      <c r="M20" s="499"/>
      <c r="N20" s="499"/>
      <c r="O20" s="499"/>
    </row>
    <row r="21" spans="1:15" ht="33.75" thickBot="1">
      <c r="A21" s="486"/>
      <c r="B21" s="654">
        <v>43175</v>
      </c>
      <c r="C21" s="659" t="s">
        <v>924</v>
      </c>
      <c r="D21" s="792" t="s">
        <v>925</v>
      </c>
      <c r="E21" s="655">
        <v>1375</v>
      </c>
      <c r="F21" s="486"/>
      <c r="G21" s="498"/>
      <c r="H21" s="498"/>
      <c r="I21" s="498"/>
      <c r="J21" s="499"/>
      <c r="K21" s="499"/>
      <c r="L21" s="499"/>
      <c r="M21" s="499"/>
      <c r="N21" s="499"/>
      <c r="O21" s="499"/>
    </row>
    <row r="22" spans="1:15" ht="18.75" thickBot="1">
      <c r="A22" s="486"/>
      <c r="B22" s="654">
        <v>43173</v>
      </c>
      <c r="C22" s="659" t="s">
        <v>919</v>
      </c>
      <c r="D22" s="792" t="s">
        <v>920</v>
      </c>
      <c r="E22" s="655">
        <v>1375</v>
      </c>
      <c r="F22" s="486"/>
      <c r="G22" s="498"/>
      <c r="H22" s="498"/>
      <c r="I22" s="498"/>
      <c r="J22" s="499"/>
      <c r="K22" s="499"/>
      <c r="L22" s="499"/>
      <c r="M22" s="499"/>
      <c r="N22" s="499"/>
      <c r="O22" s="499"/>
    </row>
    <row r="23" spans="1:15" ht="33.75" thickBot="1">
      <c r="A23" s="486"/>
      <c r="B23" s="654">
        <v>43172</v>
      </c>
      <c r="C23" s="659" t="s">
        <v>915</v>
      </c>
      <c r="D23" s="792" t="s">
        <v>916</v>
      </c>
      <c r="E23" s="655">
        <v>1375</v>
      </c>
      <c r="F23" s="486"/>
      <c r="G23" s="498"/>
      <c r="H23" s="498"/>
      <c r="I23" s="498"/>
      <c r="J23" s="499"/>
      <c r="K23" s="499"/>
      <c r="L23" s="499"/>
      <c r="M23" s="499"/>
      <c r="N23" s="499"/>
      <c r="O23" s="499"/>
    </row>
    <row r="24" spans="1:15" ht="18.75" thickBot="1">
      <c r="A24" s="486"/>
      <c r="B24" s="654">
        <v>43159</v>
      </c>
      <c r="C24" s="659" t="s">
        <v>905</v>
      </c>
      <c r="D24" s="792" t="s">
        <v>906</v>
      </c>
      <c r="E24" s="655">
        <v>1375</v>
      </c>
      <c r="F24" s="486"/>
      <c r="G24" s="498"/>
      <c r="H24" s="498"/>
      <c r="I24" s="498"/>
      <c r="J24" s="499"/>
      <c r="K24" s="499"/>
      <c r="L24" s="499"/>
      <c r="M24" s="499"/>
      <c r="N24" s="499"/>
      <c r="O24" s="499"/>
    </row>
    <row r="25" spans="1:15" ht="66.75" thickBot="1">
      <c r="A25" s="486"/>
      <c r="B25" s="654">
        <v>43158</v>
      </c>
      <c r="C25" s="659" t="s">
        <v>904</v>
      </c>
      <c r="D25" s="792" t="s">
        <v>895</v>
      </c>
      <c r="E25" s="655">
        <v>1375</v>
      </c>
      <c r="F25" s="486"/>
      <c r="G25" s="498"/>
      <c r="H25" s="498"/>
      <c r="I25" s="498"/>
      <c r="J25" s="499"/>
      <c r="K25" s="499"/>
      <c r="L25" s="499"/>
      <c r="M25" s="499"/>
      <c r="N25" s="499"/>
      <c r="O25" s="499"/>
    </row>
    <row r="26" spans="1:15" ht="83.25" thickBot="1">
      <c r="A26" s="486"/>
      <c r="B26" s="654">
        <v>43156</v>
      </c>
      <c r="C26" s="659" t="s">
        <v>866</v>
      </c>
      <c r="D26" s="792" t="s">
        <v>887</v>
      </c>
      <c r="E26" s="655">
        <v>1033</v>
      </c>
      <c r="F26" s="486"/>
      <c r="G26" s="498"/>
      <c r="H26" s="498"/>
      <c r="I26" s="498"/>
      <c r="J26" s="499"/>
      <c r="K26" s="499"/>
      <c r="L26" s="499"/>
      <c r="M26" s="499"/>
      <c r="N26" s="499"/>
      <c r="O26" s="499"/>
    </row>
    <row r="27" spans="1:15" ht="35.25" thickBot="1">
      <c r="A27" s="486"/>
      <c r="B27" s="654">
        <v>43154</v>
      </c>
      <c r="C27" s="659" t="s">
        <v>856</v>
      </c>
      <c r="D27" s="792" t="s">
        <v>855</v>
      </c>
      <c r="E27" s="655">
        <v>1033</v>
      </c>
      <c r="F27" s="486"/>
      <c r="G27" s="498"/>
      <c r="H27" s="498"/>
      <c r="I27" s="498"/>
      <c r="J27" s="499"/>
      <c r="K27" s="499"/>
      <c r="L27" s="499"/>
      <c r="M27" s="499"/>
      <c r="N27" s="499"/>
      <c r="O27" s="499"/>
    </row>
    <row r="28" spans="1:15" ht="53.25" thickBot="1">
      <c r="A28" s="486"/>
      <c r="B28" s="654">
        <v>43153</v>
      </c>
      <c r="C28" s="659" t="s">
        <v>848</v>
      </c>
      <c r="D28" s="792" t="s">
        <v>849</v>
      </c>
      <c r="E28" s="655">
        <v>1033</v>
      </c>
      <c r="F28" s="486"/>
      <c r="G28" s="498"/>
      <c r="H28" s="498"/>
      <c r="I28" s="498"/>
      <c r="J28" s="499"/>
      <c r="K28" s="499"/>
      <c r="L28" s="499"/>
      <c r="M28" s="499"/>
      <c r="N28" s="499"/>
      <c r="O28" s="499"/>
    </row>
    <row r="29" spans="1:15" ht="83.25" thickBot="1">
      <c r="A29" s="486"/>
      <c r="B29" s="654">
        <v>43133</v>
      </c>
      <c r="C29" s="659" t="s">
        <v>843</v>
      </c>
      <c r="D29" s="792" t="s">
        <v>854</v>
      </c>
      <c r="E29" s="655">
        <v>1033</v>
      </c>
      <c r="F29" s="486"/>
      <c r="G29" s="498"/>
      <c r="H29" s="498"/>
      <c r="I29" s="498"/>
      <c r="J29" s="499"/>
      <c r="K29" s="499"/>
      <c r="L29" s="499"/>
      <c r="M29" s="499"/>
      <c r="N29" s="499"/>
      <c r="O29" s="499"/>
    </row>
    <row r="30" spans="1:15" ht="122.25" thickBot="1">
      <c r="A30" s="486"/>
      <c r="B30" s="654">
        <v>43130</v>
      </c>
      <c r="C30" s="659" t="s">
        <v>830</v>
      </c>
      <c r="D30" s="792" t="s">
        <v>837</v>
      </c>
      <c r="E30" s="655">
        <v>1033</v>
      </c>
      <c r="F30" s="486"/>
      <c r="G30" s="498"/>
      <c r="H30" s="498"/>
      <c r="I30" s="498"/>
      <c r="J30" s="499"/>
      <c r="K30" s="499"/>
      <c r="L30" s="499"/>
      <c r="M30" s="499"/>
      <c r="N30" s="499"/>
      <c r="O30" s="499"/>
    </row>
    <row r="31" spans="1:15" ht="51.75" thickBot="1">
      <c r="A31" s="486"/>
      <c r="B31" s="654">
        <v>43130</v>
      </c>
      <c r="C31" s="659" t="s">
        <v>827</v>
      </c>
      <c r="D31" s="792" t="s">
        <v>831</v>
      </c>
      <c r="E31" s="655">
        <v>1033</v>
      </c>
      <c r="F31" s="486"/>
      <c r="G31" s="498"/>
      <c r="H31" s="498"/>
      <c r="I31" s="498"/>
      <c r="J31" s="499"/>
      <c r="K31" s="499"/>
      <c r="L31" s="499"/>
      <c r="M31" s="499"/>
      <c r="N31" s="499"/>
      <c r="O31" s="499"/>
    </row>
    <row r="32" spans="1:15" ht="68.25" thickBot="1">
      <c r="A32" s="486"/>
      <c r="B32" s="654">
        <v>43129</v>
      </c>
      <c r="C32" s="659" t="s">
        <v>824</v>
      </c>
      <c r="D32" s="792" t="s">
        <v>825</v>
      </c>
      <c r="E32" s="655">
        <v>2633</v>
      </c>
      <c r="F32" s="486"/>
      <c r="G32" s="498"/>
      <c r="H32" s="498"/>
      <c r="I32" s="498"/>
      <c r="J32" s="499"/>
      <c r="K32" s="499"/>
      <c r="L32" s="499"/>
      <c r="M32" s="499"/>
      <c r="N32" s="499"/>
      <c r="O32" s="499"/>
    </row>
    <row r="33" spans="1:15" ht="33.75" thickBot="1">
      <c r="A33" s="486"/>
      <c r="B33" s="654">
        <v>43129</v>
      </c>
      <c r="C33" s="659" t="s">
        <v>820</v>
      </c>
      <c r="D33" s="792" t="s">
        <v>821</v>
      </c>
      <c r="E33" s="655">
        <v>2633</v>
      </c>
      <c r="F33" s="486"/>
      <c r="G33" s="498"/>
      <c r="H33" s="498"/>
      <c r="I33" s="498"/>
      <c r="J33" s="499"/>
      <c r="K33" s="499"/>
      <c r="L33" s="499"/>
      <c r="M33" s="499"/>
      <c r="N33" s="499"/>
      <c r="O33" s="499"/>
    </row>
    <row r="34" spans="1:15" ht="50.25" thickBot="1">
      <c r="A34" s="486"/>
      <c r="B34" s="654">
        <v>43126</v>
      </c>
      <c r="C34" s="659" t="s">
        <v>802</v>
      </c>
      <c r="D34" s="792" t="s">
        <v>803</v>
      </c>
      <c r="E34" s="655">
        <v>2730</v>
      </c>
      <c r="F34" s="486"/>
      <c r="G34" s="498"/>
      <c r="H34" s="498"/>
      <c r="I34" s="498"/>
      <c r="J34" s="499"/>
      <c r="K34" s="499"/>
      <c r="L34" s="499"/>
      <c r="M34" s="499"/>
      <c r="N34" s="499"/>
      <c r="O34" s="499"/>
    </row>
    <row r="35" spans="1:15" ht="33.75" thickBot="1">
      <c r="A35" s="486"/>
      <c r="B35" s="654">
        <v>43125</v>
      </c>
      <c r="C35" s="659" t="s">
        <v>797</v>
      </c>
      <c r="D35" s="792" t="s">
        <v>798</v>
      </c>
      <c r="E35" s="655">
        <v>2730</v>
      </c>
      <c r="F35" s="486"/>
      <c r="G35" s="498"/>
      <c r="H35" s="498"/>
      <c r="I35" s="498"/>
      <c r="J35" s="499"/>
      <c r="K35" s="499"/>
      <c r="L35" s="499"/>
      <c r="M35" s="499"/>
      <c r="N35" s="499"/>
      <c r="O35" s="499"/>
    </row>
    <row r="36" spans="1:15" ht="66.75" thickBot="1">
      <c r="A36" s="486"/>
      <c r="B36" s="654">
        <v>43124</v>
      </c>
      <c r="C36" s="659" t="s">
        <v>791</v>
      </c>
      <c r="D36" s="792" t="s">
        <v>796</v>
      </c>
      <c r="E36" s="655">
        <v>2730</v>
      </c>
      <c r="F36" s="486"/>
      <c r="G36" s="498"/>
      <c r="H36" s="498"/>
      <c r="I36" s="498"/>
      <c r="J36" s="499"/>
      <c r="K36" s="499"/>
      <c r="L36" s="499"/>
      <c r="M36" s="499"/>
      <c r="N36" s="499"/>
      <c r="O36" s="499"/>
    </row>
    <row r="37" spans="1:15" ht="18.75" thickBot="1">
      <c r="A37" s="486"/>
      <c r="B37" s="654">
        <v>43061</v>
      </c>
      <c r="C37" s="659" t="s">
        <v>786</v>
      </c>
      <c r="D37" s="792" t="s">
        <v>785</v>
      </c>
      <c r="E37" s="655">
        <v>2730</v>
      </c>
      <c r="F37" s="486"/>
      <c r="G37" s="498"/>
      <c r="H37" s="498"/>
      <c r="I37" s="498"/>
      <c r="J37" s="499"/>
      <c r="K37" s="499"/>
      <c r="L37" s="499"/>
      <c r="M37" s="499"/>
      <c r="N37" s="499"/>
      <c r="O37" s="499"/>
    </row>
    <row r="38" spans="1:15" ht="18.75" thickBot="1">
      <c r="A38" s="486"/>
      <c r="B38" s="654">
        <v>43053</v>
      </c>
      <c r="C38" s="659" t="s">
        <v>783</v>
      </c>
      <c r="D38" s="792" t="s">
        <v>784</v>
      </c>
      <c r="E38" s="655">
        <v>2730</v>
      </c>
      <c r="F38" s="486"/>
      <c r="G38" s="498"/>
      <c r="H38" s="498"/>
      <c r="I38" s="498"/>
      <c r="J38" s="499"/>
      <c r="K38" s="499"/>
      <c r="L38" s="499"/>
      <c r="M38" s="499"/>
      <c r="N38" s="499"/>
      <c r="O38" s="499"/>
    </row>
    <row r="39" spans="1:15" ht="18.75" thickBot="1">
      <c r="A39" s="486"/>
      <c r="B39" s="654">
        <v>43038</v>
      </c>
      <c r="C39" s="659" t="s">
        <v>779</v>
      </c>
      <c r="D39" s="792" t="s">
        <v>780</v>
      </c>
      <c r="E39" s="655">
        <v>2730</v>
      </c>
      <c r="F39" s="486"/>
      <c r="G39" s="498"/>
      <c r="H39" s="498"/>
      <c r="I39" s="498"/>
      <c r="J39" s="499"/>
      <c r="K39" s="499"/>
      <c r="L39" s="499"/>
      <c r="M39" s="499"/>
      <c r="N39" s="499"/>
      <c r="O39" s="499"/>
    </row>
    <row r="40" spans="1:15" ht="35.25" thickBot="1">
      <c r="A40" s="486"/>
      <c r="B40" s="654">
        <v>42963</v>
      </c>
      <c r="C40" s="659" t="s">
        <v>775</v>
      </c>
      <c r="D40" s="792" t="s">
        <v>776</v>
      </c>
      <c r="E40" s="655">
        <v>2730</v>
      </c>
      <c r="F40" s="486"/>
      <c r="G40" s="498"/>
      <c r="H40" s="498"/>
      <c r="I40" s="498"/>
      <c r="J40" s="499"/>
      <c r="K40" s="499"/>
      <c r="L40" s="499"/>
      <c r="M40" s="499"/>
      <c r="N40" s="499"/>
      <c r="O40" s="499"/>
    </row>
    <row r="41" spans="1:15" ht="83.25" thickBot="1">
      <c r="A41" s="486"/>
      <c r="B41" s="654">
        <v>42948</v>
      </c>
      <c r="C41" s="659" t="s">
        <v>766</v>
      </c>
      <c r="D41" s="792" t="s">
        <v>767</v>
      </c>
      <c r="E41" s="655">
        <v>2730</v>
      </c>
      <c r="F41" s="486"/>
      <c r="G41" s="498"/>
      <c r="H41" s="498"/>
      <c r="I41" s="498"/>
      <c r="J41" s="499"/>
      <c r="K41" s="499"/>
      <c r="L41" s="499"/>
      <c r="M41" s="499"/>
      <c r="N41" s="499"/>
      <c r="O41" s="499"/>
    </row>
    <row r="42" spans="1:15" ht="33.75" thickBot="1">
      <c r="A42" s="486"/>
      <c r="B42" s="654">
        <v>42948</v>
      </c>
      <c r="C42" s="659" t="s">
        <v>762</v>
      </c>
      <c r="D42" s="792" t="s">
        <v>761</v>
      </c>
      <c r="E42" s="655">
        <v>2730</v>
      </c>
      <c r="F42" s="486"/>
      <c r="G42" s="498"/>
      <c r="H42" s="498"/>
      <c r="I42" s="498"/>
      <c r="J42" s="499"/>
      <c r="K42" s="499"/>
      <c r="L42" s="499"/>
      <c r="M42" s="499"/>
      <c r="N42" s="499"/>
      <c r="O42" s="499"/>
    </row>
    <row r="43" spans="1:15" ht="66.75" thickBot="1">
      <c r="A43" s="486"/>
      <c r="B43" s="654">
        <v>42946</v>
      </c>
      <c r="C43" s="659" t="s">
        <v>743</v>
      </c>
      <c r="D43" s="792" t="s">
        <v>745</v>
      </c>
      <c r="E43" s="655">
        <v>2730</v>
      </c>
      <c r="F43" s="486"/>
      <c r="G43" s="498"/>
      <c r="H43" s="498"/>
      <c r="I43" s="498"/>
      <c r="J43" s="499"/>
      <c r="K43" s="499"/>
      <c r="L43" s="499"/>
      <c r="M43" s="499"/>
      <c r="N43" s="499"/>
      <c r="O43" s="499"/>
    </row>
    <row r="44" spans="1:15" ht="50.25" thickBot="1">
      <c r="A44" s="486"/>
      <c r="B44" s="654">
        <v>42944</v>
      </c>
      <c r="C44" s="659" t="s">
        <v>732</v>
      </c>
      <c r="D44" s="792" t="s">
        <v>737</v>
      </c>
      <c r="E44" s="655">
        <v>1020</v>
      </c>
      <c r="F44" s="486"/>
      <c r="G44" s="498"/>
      <c r="H44" s="498"/>
      <c r="I44" s="498"/>
      <c r="J44" s="499"/>
      <c r="K44" s="499"/>
      <c r="L44" s="499"/>
      <c r="M44" s="499"/>
      <c r="N44" s="499"/>
      <c r="O44" s="499"/>
    </row>
    <row r="45" spans="1:15" ht="53.65" customHeight="1" thickBot="1">
      <c r="A45" s="486"/>
      <c r="B45" s="654">
        <v>42943</v>
      </c>
      <c r="C45" s="659" t="s">
        <v>728</v>
      </c>
      <c r="D45" s="792" t="s">
        <v>731</v>
      </c>
      <c r="E45" s="655">
        <v>1020</v>
      </c>
      <c r="F45" s="486"/>
      <c r="G45" s="498"/>
      <c r="H45" s="498"/>
      <c r="I45" s="498"/>
      <c r="J45" s="499"/>
      <c r="K45" s="499"/>
      <c r="L45" s="499"/>
      <c r="M45" s="499"/>
      <c r="N45" s="499"/>
      <c r="O45" s="499"/>
    </row>
    <row r="46" spans="1:15" ht="99.75" thickBot="1">
      <c r="A46" s="486"/>
      <c r="B46" s="654">
        <v>42942</v>
      </c>
      <c r="C46" s="659" t="s">
        <v>724</v>
      </c>
      <c r="D46" s="792" t="s">
        <v>727</v>
      </c>
      <c r="E46" s="655">
        <v>1020</v>
      </c>
      <c r="F46" s="486"/>
      <c r="G46" s="498"/>
      <c r="H46" s="498"/>
      <c r="I46" s="498"/>
      <c r="J46" s="499"/>
      <c r="K46" s="499"/>
      <c r="L46" s="499"/>
      <c r="M46" s="499"/>
      <c r="N46" s="499"/>
      <c r="O46" s="499"/>
    </row>
    <row r="47" spans="1:15" ht="50.25" thickBot="1">
      <c r="A47" s="486"/>
      <c r="B47" s="654">
        <v>42941</v>
      </c>
      <c r="C47" s="659" t="s">
        <v>722</v>
      </c>
      <c r="D47" s="792" t="s">
        <v>723</v>
      </c>
      <c r="E47" s="655">
        <v>1020</v>
      </c>
      <c r="F47" s="486"/>
      <c r="G47" s="498"/>
      <c r="H47" s="498"/>
      <c r="I47" s="498"/>
      <c r="J47" s="499"/>
      <c r="K47" s="499"/>
      <c r="L47" s="499"/>
      <c r="M47" s="499"/>
      <c r="N47" s="499"/>
      <c r="O47" s="499"/>
    </row>
    <row r="48" spans="1:15" ht="33.75" thickBot="1">
      <c r="A48" s="486"/>
      <c r="B48" s="654">
        <v>42940</v>
      </c>
      <c r="C48" s="659" t="s">
        <v>715</v>
      </c>
      <c r="D48" s="792" t="s">
        <v>717</v>
      </c>
      <c r="E48" s="655">
        <v>1020</v>
      </c>
      <c r="F48" s="486"/>
      <c r="G48" s="498"/>
      <c r="H48" s="498"/>
      <c r="I48" s="498"/>
      <c r="J48" s="499"/>
      <c r="K48" s="499"/>
      <c r="L48" s="499"/>
      <c r="M48" s="499"/>
      <c r="N48" s="499"/>
      <c r="O48" s="499"/>
    </row>
    <row r="49" spans="1:15" ht="83.25" thickBot="1">
      <c r="A49" s="486"/>
      <c r="B49" s="654">
        <v>42939</v>
      </c>
      <c r="C49" s="659" t="s">
        <v>653</v>
      </c>
      <c r="D49" s="792" t="s">
        <v>659</v>
      </c>
      <c r="E49" s="655">
        <v>1020</v>
      </c>
      <c r="F49" s="486"/>
      <c r="G49" s="498"/>
      <c r="H49" s="498"/>
      <c r="I49" s="498"/>
      <c r="J49" s="499"/>
      <c r="K49" s="499"/>
      <c r="L49" s="499"/>
      <c r="M49" s="499"/>
      <c r="N49" s="499"/>
      <c r="O49" s="499"/>
    </row>
    <row r="50" spans="1:15" ht="50.25" thickBot="1">
      <c r="A50" s="486"/>
      <c r="B50" s="654">
        <v>42935</v>
      </c>
      <c r="C50" s="659" t="s">
        <v>621</v>
      </c>
      <c r="D50" s="792" t="s">
        <v>622</v>
      </c>
      <c r="E50" s="655">
        <v>1020</v>
      </c>
      <c r="F50" s="486"/>
      <c r="G50" s="498"/>
      <c r="H50" s="498"/>
      <c r="I50" s="498"/>
      <c r="J50" s="499"/>
      <c r="K50" s="499"/>
      <c r="L50" s="499"/>
      <c r="M50" s="499"/>
      <c r="N50" s="499"/>
      <c r="O50" s="499"/>
    </row>
    <row r="51" spans="1:15" ht="50.25" thickBot="1">
      <c r="A51" s="486"/>
      <c r="B51" s="654">
        <v>42933</v>
      </c>
      <c r="C51" s="659" t="s">
        <v>618</v>
      </c>
      <c r="D51" s="792" t="s">
        <v>619</v>
      </c>
      <c r="E51" s="655">
        <v>1020</v>
      </c>
      <c r="F51" s="486"/>
      <c r="G51" s="498"/>
      <c r="H51" s="498"/>
      <c r="I51" s="498"/>
      <c r="J51" s="499"/>
      <c r="K51" s="499"/>
      <c r="L51" s="499"/>
      <c r="M51" s="499"/>
      <c r="N51" s="499"/>
      <c r="O51" s="499"/>
    </row>
    <row r="52" spans="1:15" ht="33.75" thickBot="1">
      <c r="A52" s="486"/>
      <c r="B52" s="654">
        <v>42718</v>
      </c>
      <c r="C52" s="659" t="s">
        <v>579</v>
      </c>
      <c r="D52" s="635" t="s">
        <v>580</v>
      </c>
      <c r="E52" s="655">
        <v>968</v>
      </c>
      <c r="F52" s="486"/>
      <c r="G52" s="498"/>
      <c r="H52" s="498"/>
      <c r="I52" s="498"/>
      <c r="J52" s="499"/>
      <c r="K52" s="499"/>
      <c r="L52" s="499"/>
      <c r="M52" s="499"/>
      <c r="N52" s="499"/>
      <c r="O52" s="499"/>
    </row>
    <row r="53" spans="1:15" ht="71.25" thickBot="1">
      <c r="A53" s="486"/>
      <c r="B53" s="654">
        <v>42717</v>
      </c>
      <c r="C53" s="659" t="s">
        <v>557</v>
      </c>
      <c r="D53" s="635" t="s">
        <v>574</v>
      </c>
      <c r="E53" s="655">
        <v>968</v>
      </c>
      <c r="F53" s="486"/>
      <c r="G53" s="498"/>
      <c r="H53" s="498"/>
      <c r="I53" s="498"/>
      <c r="J53" s="499"/>
      <c r="K53" s="499"/>
      <c r="L53" s="499"/>
      <c r="M53" s="499"/>
      <c r="N53" s="499"/>
      <c r="O53" s="499"/>
    </row>
    <row r="54" spans="1:15" ht="132.75" thickBot="1">
      <c r="A54" s="486"/>
      <c r="B54" s="654">
        <v>42715</v>
      </c>
      <c r="C54" s="659" t="s">
        <v>546</v>
      </c>
      <c r="D54" s="635" t="s">
        <v>547</v>
      </c>
      <c r="E54" s="655">
        <v>968</v>
      </c>
      <c r="F54" s="486"/>
      <c r="G54" s="498"/>
      <c r="H54" s="498"/>
      <c r="I54" s="498"/>
      <c r="J54" s="499"/>
      <c r="K54" s="499"/>
      <c r="L54" s="499"/>
      <c r="M54" s="499"/>
      <c r="N54" s="499"/>
      <c r="O54" s="499"/>
    </row>
    <row r="55" spans="1:15" ht="50.25" thickBot="1">
      <c r="A55" s="486"/>
      <c r="B55" s="654">
        <v>42713</v>
      </c>
      <c r="C55" s="659" t="s">
        <v>500</v>
      </c>
      <c r="D55" s="635" t="s">
        <v>515</v>
      </c>
      <c r="E55" s="655">
        <v>956</v>
      </c>
      <c r="F55" s="486"/>
      <c r="G55" s="498"/>
      <c r="H55" s="498"/>
      <c r="I55" s="498"/>
      <c r="J55" s="499"/>
      <c r="K55" s="499"/>
      <c r="L55" s="499"/>
      <c r="M55" s="499"/>
      <c r="N55" s="499"/>
      <c r="O55" s="499"/>
    </row>
    <row r="56" spans="1:15" ht="33.75" thickBot="1">
      <c r="A56" s="486"/>
      <c r="B56" s="654">
        <v>42577</v>
      </c>
      <c r="C56" s="659" t="s">
        <v>498</v>
      </c>
      <c r="D56" s="635" t="s">
        <v>499</v>
      </c>
      <c r="E56" s="655">
        <v>956</v>
      </c>
      <c r="F56" s="486"/>
      <c r="G56" s="498"/>
      <c r="H56" s="498"/>
      <c r="I56" s="498"/>
      <c r="J56" s="499"/>
      <c r="K56" s="499"/>
      <c r="L56" s="499"/>
      <c r="M56" s="499"/>
      <c r="N56" s="499"/>
      <c r="O56" s="499"/>
    </row>
    <row r="57" spans="1:15" ht="46.15" customHeight="1" thickBot="1">
      <c r="A57" s="486"/>
      <c r="B57" s="654">
        <v>42576</v>
      </c>
      <c r="C57" s="659" t="s">
        <v>496</v>
      </c>
      <c r="D57" s="635" t="s">
        <v>497</v>
      </c>
      <c r="E57" s="655">
        <v>956</v>
      </c>
      <c r="F57" s="486"/>
      <c r="G57" s="498"/>
      <c r="H57" s="498"/>
      <c r="I57" s="498"/>
      <c r="J57" s="499"/>
      <c r="K57" s="499"/>
      <c r="L57" s="499"/>
      <c r="M57" s="499"/>
      <c r="N57" s="499"/>
      <c r="O57" s="499"/>
    </row>
    <row r="58" spans="1:15" ht="89.65" customHeight="1" thickBot="1">
      <c r="A58" s="486"/>
      <c r="B58" s="654">
        <v>42381</v>
      </c>
      <c r="C58" s="659" t="s">
        <v>489</v>
      </c>
      <c r="D58" s="635" t="s">
        <v>495</v>
      </c>
      <c r="E58" s="655">
        <v>956</v>
      </c>
      <c r="F58" s="486"/>
      <c r="G58" s="498"/>
      <c r="H58" s="498"/>
      <c r="I58" s="498"/>
      <c r="J58" s="499"/>
      <c r="K58" s="499"/>
      <c r="L58" s="499"/>
      <c r="M58" s="499"/>
      <c r="N58" s="499"/>
      <c r="O58" s="499"/>
    </row>
    <row r="59" spans="1:15" ht="18">
      <c r="A59" s="486"/>
      <c r="B59" s="654">
        <v>42248</v>
      </c>
      <c r="C59" s="634" t="s">
        <v>483</v>
      </c>
      <c r="D59" s="635" t="s">
        <v>484</v>
      </c>
      <c r="E59" s="655">
        <v>956</v>
      </c>
      <c r="F59" s="486"/>
      <c r="G59" s="498"/>
      <c r="H59" s="498"/>
      <c r="I59" s="498"/>
      <c r="J59" s="499"/>
      <c r="K59" s="499"/>
      <c r="L59" s="499"/>
      <c r="M59" s="499"/>
      <c r="N59" s="499"/>
      <c r="O59" s="499"/>
    </row>
    <row r="60" spans="1:15" ht="18">
      <c r="A60" s="486"/>
      <c r="B60" s="509">
        <v>42233</v>
      </c>
      <c r="C60" s="510" t="s">
        <v>481</v>
      </c>
      <c r="D60" s="511" t="s">
        <v>482</v>
      </c>
      <c r="E60" s="512">
        <v>956</v>
      </c>
      <c r="F60" s="486"/>
      <c r="G60" s="498"/>
      <c r="H60" s="498"/>
      <c r="I60" s="498"/>
      <c r="J60" s="499"/>
      <c r="K60" s="499"/>
      <c r="L60" s="499"/>
      <c r="M60" s="499"/>
      <c r="N60" s="499"/>
      <c r="O60" s="499"/>
    </row>
    <row r="61" spans="1:15" ht="34.5">
      <c r="A61" s="486"/>
      <c r="B61" s="509">
        <v>42081</v>
      </c>
      <c r="C61" s="510" t="s">
        <v>478</v>
      </c>
      <c r="D61" s="511" t="s">
        <v>479</v>
      </c>
      <c r="E61" s="512">
        <v>954</v>
      </c>
      <c r="F61" s="486"/>
      <c r="G61" s="498"/>
      <c r="H61" s="498"/>
      <c r="I61" s="498"/>
      <c r="J61" s="499"/>
      <c r="K61" s="499"/>
      <c r="L61" s="499"/>
      <c r="M61" s="499"/>
      <c r="N61" s="499"/>
      <c r="O61" s="499"/>
    </row>
    <row r="62" spans="1:15" ht="18">
      <c r="A62" s="486"/>
      <c r="B62" s="509">
        <v>42079</v>
      </c>
      <c r="C62" s="510" t="s">
        <v>475</v>
      </c>
      <c r="D62" s="511" t="s">
        <v>476</v>
      </c>
      <c r="E62" s="512">
        <v>952</v>
      </c>
      <c r="F62" s="486"/>
      <c r="G62" s="498"/>
      <c r="H62" s="498"/>
      <c r="I62" s="498"/>
      <c r="J62" s="499"/>
      <c r="K62" s="499"/>
      <c r="L62" s="499"/>
      <c r="M62" s="499"/>
      <c r="N62" s="499"/>
      <c r="O62" s="499"/>
    </row>
    <row r="63" spans="1:15" ht="18">
      <c r="A63" s="486"/>
      <c r="B63" s="509">
        <v>42077</v>
      </c>
      <c r="C63" s="510" t="s">
        <v>472</v>
      </c>
      <c r="D63" s="511" t="s">
        <v>474</v>
      </c>
      <c r="E63" s="512">
        <v>952</v>
      </c>
      <c r="F63" s="486"/>
      <c r="G63" s="498"/>
      <c r="H63" s="498"/>
      <c r="I63" s="498"/>
      <c r="J63" s="499"/>
      <c r="K63" s="499"/>
      <c r="L63" s="499"/>
      <c r="M63" s="499"/>
      <c r="N63" s="499"/>
      <c r="O63" s="499"/>
    </row>
    <row r="64" spans="1:15" ht="18">
      <c r="A64" s="486"/>
      <c r="B64" s="513">
        <v>42067</v>
      </c>
      <c r="C64" s="514" t="s">
        <v>471</v>
      </c>
      <c r="D64" s="515" t="s">
        <v>473</v>
      </c>
      <c r="E64" s="516">
        <v>946</v>
      </c>
      <c r="F64" s="486"/>
      <c r="G64" s="498"/>
      <c r="H64" s="498"/>
      <c r="I64" s="498"/>
      <c r="J64" s="499"/>
      <c r="K64" s="499"/>
      <c r="L64" s="499"/>
      <c r="M64" s="499"/>
      <c r="N64" s="499"/>
      <c r="O64" s="499"/>
    </row>
    <row r="65" spans="1:15" ht="18">
      <c r="A65" s="486"/>
      <c r="B65" s="513">
        <v>42016</v>
      </c>
      <c r="C65" s="514" t="s">
        <v>469</v>
      </c>
      <c r="D65" s="515" t="s">
        <v>470</v>
      </c>
      <c r="E65" s="516">
        <v>946</v>
      </c>
      <c r="F65" s="486"/>
      <c r="G65" s="498"/>
      <c r="H65" s="498"/>
      <c r="I65" s="498"/>
      <c r="J65" s="499"/>
      <c r="K65" s="499"/>
      <c r="L65" s="499"/>
      <c r="M65" s="499"/>
      <c r="N65" s="499"/>
      <c r="O65" s="499"/>
    </row>
    <row r="66" spans="1:15" ht="18">
      <c r="A66" s="486"/>
      <c r="B66" s="513">
        <v>42012</v>
      </c>
      <c r="C66" s="510" t="s">
        <v>467</v>
      </c>
      <c r="D66" s="511" t="s">
        <v>480</v>
      </c>
      <c r="E66" s="516">
        <v>948</v>
      </c>
      <c r="F66" s="486"/>
      <c r="G66" s="498"/>
      <c r="H66" s="498"/>
      <c r="I66" s="498"/>
      <c r="J66" s="499"/>
      <c r="K66" s="499"/>
      <c r="L66" s="499"/>
      <c r="M66" s="499"/>
      <c r="N66" s="499"/>
      <c r="O66" s="499"/>
    </row>
    <row r="67" spans="1:15" ht="18">
      <c r="A67" s="486"/>
      <c r="B67" s="513">
        <v>41993</v>
      </c>
      <c r="C67" s="510" t="s">
        <v>465</v>
      </c>
      <c r="D67" s="511" t="s">
        <v>468</v>
      </c>
      <c r="E67" s="516">
        <v>946</v>
      </c>
      <c r="F67" s="486"/>
      <c r="G67" s="498"/>
      <c r="H67" s="498"/>
      <c r="I67" s="498"/>
      <c r="J67" s="499"/>
      <c r="K67" s="499"/>
      <c r="L67" s="499"/>
      <c r="M67" s="499"/>
      <c r="N67" s="499"/>
      <c r="O67" s="499"/>
    </row>
    <row r="68" spans="1:15" ht="18">
      <c r="A68" s="486"/>
      <c r="B68" s="513">
        <v>41970</v>
      </c>
      <c r="C68" s="514" t="s">
        <v>462</v>
      </c>
      <c r="D68" s="511" t="s">
        <v>466</v>
      </c>
      <c r="E68" s="516">
        <v>946</v>
      </c>
      <c r="F68" s="486"/>
      <c r="G68" s="498"/>
      <c r="H68" s="498"/>
      <c r="I68" s="498"/>
      <c r="J68" s="499"/>
      <c r="K68" s="499"/>
      <c r="L68" s="499"/>
      <c r="M68" s="499"/>
      <c r="N68" s="499"/>
      <c r="O68" s="499"/>
    </row>
    <row r="69" spans="1:15" ht="18">
      <c r="A69" s="486"/>
      <c r="B69" s="513">
        <v>41969</v>
      </c>
      <c r="C69" s="514" t="s">
        <v>460</v>
      </c>
      <c r="D69" s="515" t="s">
        <v>461</v>
      </c>
      <c r="E69" s="516">
        <v>911</v>
      </c>
      <c r="F69" s="486"/>
      <c r="G69" s="498"/>
      <c r="H69" s="498"/>
      <c r="I69" s="498"/>
      <c r="J69" s="499"/>
      <c r="K69" s="499"/>
      <c r="L69" s="499"/>
      <c r="M69" s="499"/>
      <c r="N69" s="499"/>
      <c r="O69" s="499"/>
    </row>
    <row r="70" spans="1:15" ht="18">
      <c r="A70" s="486"/>
      <c r="B70" s="513">
        <v>41964</v>
      </c>
      <c r="C70" s="514" t="s">
        <v>458</v>
      </c>
      <c r="D70" s="515" t="s">
        <v>459</v>
      </c>
      <c r="E70" s="516">
        <v>910</v>
      </c>
      <c r="F70" s="486"/>
      <c r="G70" s="498"/>
      <c r="H70" s="498"/>
      <c r="I70" s="498"/>
      <c r="J70" s="499"/>
      <c r="K70" s="499"/>
      <c r="L70" s="499"/>
      <c r="M70" s="499"/>
      <c r="N70" s="499"/>
      <c r="O70" s="499"/>
    </row>
    <row r="71" spans="1:15" ht="18">
      <c r="A71" s="486"/>
      <c r="B71" s="513">
        <v>41670</v>
      </c>
      <c r="C71" s="514" t="s">
        <v>456</v>
      </c>
      <c r="D71" s="515" t="s">
        <v>457</v>
      </c>
      <c r="E71" s="516">
        <v>909</v>
      </c>
      <c r="F71" s="486"/>
      <c r="G71" s="498"/>
      <c r="H71" s="498"/>
      <c r="I71" s="498"/>
      <c r="J71" s="499"/>
      <c r="K71" s="499"/>
      <c r="L71" s="499"/>
      <c r="M71" s="499"/>
      <c r="N71" s="499"/>
      <c r="O71" s="499"/>
    </row>
    <row r="72" spans="1:15" ht="36">
      <c r="A72" s="486"/>
      <c r="B72" s="513">
        <v>41519</v>
      </c>
      <c r="C72" s="514" t="s">
        <v>454</v>
      </c>
      <c r="D72" s="515" t="s">
        <v>455</v>
      </c>
      <c r="E72" s="516">
        <v>909</v>
      </c>
      <c r="F72" s="486"/>
      <c r="G72" s="498"/>
      <c r="H72" s="498"/>
      <c r="I72" s="498"/>
      <c r="J72" s="499"/>
      <c r="K72" s="499"/>
      <c r="L72" s="499"/>
      <c r="M72" s="499"/>
      <c r="N72" s="499"/>
      <c r="O72" s="499"/>
    </row>
    <row r="73" spans="1:15" ht="34.5">
      <c r="A73" s="486"/>
      <c r="B73" s="513">
        <v>41513</v>
      </c>
      <c r="C73" s="514" t="s">
        <v>451</v>
      </c>
      <c r="D73" s="515" t="s">
        <v>452</v>
      </c>
      <c r="E73" s="516">
        <v>909</v>
      </c>
      <c r="F73" s="486"/>
      <c r="G73" s="498"/>
      <c r="H73" s="498"/>
      <c r="I73" s="498"/>
      <c r="J73" s="499"/>
      <c r="K73" s="499"/>
      <c r="L73" s="499"/>
      <c r="M73" s="499"/>
      <c r="N73" s="499"/>
      <c r="O73" s="499"/>
    </row>
    <row r="74" spans="1:15" ht="34.5">
      <c r="A74" s="486"/>
      <c r="B74" s="513">
        <v>41465</v>
      </c>
      <c r="C74" s="514" t="s">
        <v>449</v>
      </c>
      <c r="D74" s="515" t="s">
        <v>450</v>
      </c>
      <c r="E74" s="516">
        <v>908</v>
      </c>
      <c r="F74" s="486"/>
      <c r="G74" s="498"/>
      <c r="H74" s="498"/>
      <c r="I74" s="498"/>
      <c r="J74" s="499"/>
      <c r="K74" s="499"/>
      <c r="L74" s="499"/>
      <c r="M74" s="499"/>
      <c r="N74" s="499"/>
      <c r="O74" s="499"/>
    </row>
    <row r="75" spans="1:15" ht="18">
      <c r="A75" s="486"/>
      <c r="B75" s="513">
        <v>41417</v>
      </c>
      <c r="C75" s="514" t="s">
        <v>446</v>
      </c>
      <c r="D75" s="515" t="s">
        <v>447</v>
      </c>
      <c r="E75" s="516">
        <v>908</v>
      </c>
      <c r="F75" s="486"/>
      <c r="G75" s="498"/>
      <c r="H75" s="498"/>
      <c r="I75" s="498"/>
      <c r="J75" s="499"/>
      <c r="K75" s="499"/>
      <c r="L75" s="499"/>
      <c r="M75" s="499"/>
      <c r="N75" s="499"/>
      <c r="O75" s="499"/>
    </row>
    <row r="76" spans="1:15" ht="18">
      <c r="A76" s="486"/>
      <c r="B76" s="513">
        <v>41358</v>
      </c>
      <c r="C76" s="514" t="s">
        <v>444</v>
      </c>
      <c r="D76" s="515" t="s">
        <v>445</v>
      </c>
      <c r="E76" s="516">
        <v>909</v>
      </c>
      <c r="F76" s="486"/>
      <c r="G76" s="498"/>
      <c r="H76" s="498"/>
      <c r="I76" s="498"/>
      <c r="J76" s="499"/>
      <c r="K76" s="499"/>
      <c r="L76" s="499"/>
      <c r="M76" s="499"/>
      <c r="N76" s="499"/>
      <c r="O76" s="499"/>
    </row>
    <row r="77" spans="1:15" ht="18">
      <c r="A77" s="486"/>
      <c r="B77" s="513">
        <v>41344</v>
      </c>
      <c r="C77" s="514" t="s">
        <v>408</v>
      </c>
      <c r="D77" s="515" t="s">
        <v>409</v>
      </c>
      <c r="E77" s="516">
        <v>880</v>
      </c>
      <c r="F77" s="486"/>
      <c r="G77" s="498"/>
      <c r="H77" s="498"/>
      <c r="I77" s="498"/>
      <c r="J77" s="499"/>
      <c r="K77" s="499"/>
      <c r="L77" s="499"/>
      <c r="M77" s="499"/>
      <c r="N77" s="499"/>
      <c r="O77" s="499"/>
    </row>
    <row r="78" spans="1:15" ht="33">
      <c r="A78" s="486"/>
      <c r="B78" s="513">
        <v>41287</v>
      </c>
      <c r="C78" s="514" t="s">
        <v>405</v>
      </c>
      <c r="D78" s="515" t="s">
        <v>406</v>
      </c>
      <c r="E78" s="516">
        <v>939</v>
      </c>
      <c r="F78" s="486"/>
      <c r="G78" s="498"/>
      <c r="H78" s="498"/>
      <c r="I78" s="498"/>
      <c r="J78" s="499"/>
      <c r="K78" s="499"/>
      <c r="L78" s="499"/>
      <c r="M78" s="499"/>
      <c r="N78" s="499"/>
      <c r="O78" s="499"/>
    </row>
    <row r="79" spans="1:15" ht="34.5">
      <c r="A79" s="486"/>
      <c r="B79" s="509">
        <v>40909</v>
      </c>
      <c r="C79" s="510" t="s">
        <v>399</v>
      </c>
      <c r="D79" s="511" t="s">
        <v>400</v>
      </c>
      <c r="E79" s="512">
        <v>2455</v>
      </c>
      <c r="F79" s="486"/>
      <c r="G79" s="498"/>
      <c r="H79" s="498"/>
      <c r="I79" s="498"/>
      <c r="J79" s="499"/>
      <c r="K79" s="499"/>
      <c r="L79" s="499"/>
      <c r="M79" s="499"/>
      <c r="N79" s="499"/>
      <c r="O79" s="499"/>
    </row>
    <row r="80" spans="1:15" ht="51">
      <c r="A80" s="486"/>
      <c r="B80" s="509">
        <v>40842</v>
      </c>
      <c r="C80" s="510" t="s">
        <v>395</v>
      </c>
      <c r="D80" s="511" t="s">
        <v>398</v>
      </c>
      <c r="E80" s="512">
        <v>2451</v>
      </c>
      <c r="F80" s="486"/>
      <c r="G80" s="498"/>
      <c r="H80" s="498"/>
      <c r="I80" s="498"/>
      <c r="J80" s="499"/>
      <c r="K80" s="499"/>
      <c r="L80" s="499"/>
      <c r="M80" s="499"/>
      <c r="N80" s="499"/>
      <c r="O80" s="499"/>
    </row>
    <row r="81" spans="1:15" ht="18">
      <c r="A81" s="486"/>
      <c r="B81" s="509">
        <v>40840</v>
      </c>
      <c r="C81" s="510" t="s">
        <v>391</v>
      </c>
      <c r="D81" s="511" t="s">
        <v>392</v>
      </c>
      <c r="E81" s="512">
        <v>2453</v>
      </c>
      <c r="F81" s="486"/>
      <c r="G81" s="498"/>
      <c r="H81" s="498"/>
      <c r="I81" s="498"/>
      <c r="J81" s="499"/>
      <c r="K81" s="499"/>
      <c r="L81" s="499"/>
      <c r="M81" s="499"/>
      <c r="N81" s="499"/>
      <c r="O81" s="499"/>
    </row>
    <row r="82" spans="1:15" ht="18">
      <c r="A82" s="486"/>
      <c r="B82" s="509">
        <v>40791</v>
      </c>
      <c r="C82" s="510" t="s">
        <v>389</v>
      </c>
      <c r="D82" s="511" t="s">
        <v>390</v>
      </c>
      <c r="E82" s="512">
        <v>2453</v>
      </c>
      <c r="F82" s="486"/>
      <c r="G82" s="498"/>
      <c r="H82" s="498"/>
      <c r="I82" s="498"/>
      <c r="J82" s="499"/>
      <c r="K82" s="499"/>
      <c r="L82" s="499"/>
      <c r="M82" s="499"/>
      <c r="N82" s="499"/>
      <c r="O82" s="499"/>
    </row>
    <row r="83" spans="1:15" ht="18">
      <c r="A83" s="486"/>
      <c r="B83" s="513">
        <v>40715</v>
      </c>
      <c r="C83" s="514" t="s">
        <v>387</v>
      </c>
      <c r="D83" s="515" t="s">
        <v>388</v>
      </c>
      <c r="E83" s="516">
        <v>2455</v>
      </c>
      <c r="F83" s="486"/>
      <c r="G83" s="498"/>
      <c r="H83" s="498"/>
      <c r="I83" s="498"/>
      <c r="J83" s="499"/>
      <c r="K83" s="499"/>
      <c r="L83" s="499"/>
      <c r="M83" s="499"/>
      <c r="N83" s="499"/>
      <c r="O83" s="499"/>
    </row>
    <row r="84" spans="1:15" ht="18">
      <c r="A84" s="486"/>
      <c r="B84" s="513">
        <v>40644</v>
      </c>
      <c r="C84" s="514" t="s">
        <v>385</v>
      </c>
      <c r="D84" s="515" t="s">
        <v>386</v>
      </c>
      <c r="E84" s="516">
        <v>2453</v>
      </c>
      <c r="F84" s="486"/>
      <c r="G84" s="498"/>
      <c r="H84" s="498"/>
      <c r="I84" s="498"/>
      <c r="J84" s="499"/>
      <c r="K84" s="499"/>
      <c r="L84" s="499"/>
      <c r="M84" s="499"/>
      <c r="N84" s="499"/>
      <c r="O84" s="499"/>
    </row>
    <row r="85" spans="1:15" ht="18">
      <c r="A85" s="486"/>
      <c r="B85" s="509">
        <v>40604</v>
      </c>
      <c r="C85" s="510" t="s">
        <v>383</v>
      </c>
      <c r="D85" s="511" t="s">
        <v>384</v>
      </c>
      <c r="E85" s="512">
        <v>2453</v>
      </c>
      <c r="F85" s="486"/>
      <c r="G85" s="498"/>
      <c r="H85" s="498"/>
      <c r="I85" s="498"/>
      <c r="J85" s="499"/>
      <c r="K85" s="499"/>
      <c r="L85" s="499"/>
      <c r="M85" s="499"/>
      <c r="N85" s="499"/>
      <c r="O85" s="499"/>
    </row>
    <row r="86" spans="1:15" ht="18">
      <c r="A86" s="486"/>
      <c r="B86" s="513">
        <v>40472</v>
      </c>
      <c r="C86" s="514" t="s">
        <v>381</v>
      </c>
      <c r="D86" s="515" t="s">
        <v>382</v>
      </c>
      <c r="E86" s="516">
        <v>2452</v>
      </c>
      <c r="F86" s="486"/>
      <c r="G86" s="498"/>
      <c r="H86" s="498"/>
      <c r="I86" s="498"/>
      <c r="J86" s="499"/>
      <c r="K86" s="499"/>
      <c r="L86" s="499"/>
      <c r="M86" s="499"/>
      <c r="N86" s="499"/>
      <c r="O86" s="499"/>
    </row>
    <row r="87" spans="1:15" ht="18">
      <c r="A87" s="486"/>
      <c r="B87" s="513">
        <v>40325</v>
      </c>
      <c r="C87" s="514" t="s">
        <v>369</v>
      </c>
      <c r="D87" s="515" t="s">
        <v>370</v>
      </c>
      <c r="E87" s="516">
        <v>2474</v>
      </c>
      <c r="F87" s="486"/>
      <c r="G87" s="498"/>
      <c r="H87" s="498"/>
      <c r="I87" s="498"/>
      <c r="J87" s="499"/>
      <c r="K87" s="499"/>
      <c r="L87" s="499"/>
      <c r="M87" s="499"/>
      <c r="N87" s="499"/>
      <c r="O87" s="499"/>
    </row>
    <row r="88" spans="1:15" ht="18">
      <c r="A88" s="486"/>
      <c r="B88" s="509">
        <v>40262</v>
      </c>
      <c r="C88" s="510" t="s">
        <v>367</v>
      </c>
      <c r="D88" s="511" t="s">
        <v>368</v>
      </c>
      <c r="E88" s="512">
        <v>2474</v>
      </c>
      <c r="F88" s="486"/>
      <c r="G88" s="498"/>
      <c r="H88" s="498"/>
      <c r="I88" s="498"/>
      <c r="J88" s="499"/>
      <c r="K88" s="499"/>
      <c r="L88" s="499"/>
      <c r="M88" s="499"/>
      <c r="N88" s="499"/>
      <c r="O88" s="499"/>
    </row>
    <row r="89" spans="1:15" ht="34.5">
      <c r="A89" s="486"/>
      <c r="B89" s="509">
        <v>40168</v>
      </c>
      <c r="C89" s="510" t="s">
        <v>364</v>
      </c>
      <c r="D89" s="511" t="s">
        <v>373</v>
      </c>
      <c r="E89" s="512">
        <v>2441</v>
      </c>
      <c r="F89" s="486"/>
      <c r="G89" s="498"/>
      <c r="H89" s="498"/>
      <c r="I89" s="498"/>
      <c r="J89" s="499"/>
      <c r="K89" s="499"/>
      <c r="L89" s="499"/>
      <c r="M89" s="499"/>
      <c r="N89" s="499"/>
      <c r="O89" s="499"/>
    </row>
    <row r="90" spans="1:15" ht="18">
      <c r="A90" s="486"/>
      <c r="B90" s="513">
        <v>40056</v>
      </c>
      <c r="C90" s="514" t="s">
        <v>362</v>
      </c>
      <c r="D90" s="515" t="s">
        <v>374</v>
      </c>
      <c r="E90" s="516">
        <v>2436</v>
      </c>
      <c r="F90" s="486"/>
      <c r="G90" s="498"/>
      <c r="H90" s="498"/>
      <c r="I90" s="498"/>
      <c r="J90" s="499"/>
      <c r="K90" s="499"/>
      <c r="L90" s="499"/>
      <c r="M90" s="499"/>
      <c r="N90" s="499"/>
      <c r="O90" s="499"/>
    </row>
    <row r="91" spans="1:15" ht="36">
      <c r="A91" s="486"/>
      <c r="B91" s="513">
        <v>39789</v>
      </c>
      <c r="C91" s="514" t="s">
        <v>361</v>
      </c>
      <c r="D91" s="515" t="s">
        <v>375</v>
      </c>
      <c r="E91" s="516">
        <v>2434</v>
      </c>
      <c r="F91" s="486"/>
      <c r="G91" s="498"/>
      <c r="H91" s="498"/>
      <c r="I91" s="498"/>
      <c r="J91" s="499"/>
      <c r="K91" s="499"/>
      <c r="L91" s="499"/>
      <c r="M91" s="499"/>
      <c r="N91" s="499"/>
      <c r="O91" s="499"/>
    </row>
    <row r="92" spans="1:15" ht="18">
      <c r="A92" s="486"/>
      <c r="B92" s="513">
        <v>39766</v>
      </c>
      <c r="C92" s="514" t="s">
        <v>359</v>
      </c>
      <c r="D92" s="515" t="s">
        <v>376</v>
      </c>
      <c r="E92" s="516">
        <v>2425</v>
      </c>
      <c r="F92" s="486"/>
      <c r="G92" s="498"/>
      <c r="H92" s="498"/>
      <c r="I92" s="498"/>
      <c r="J92" s="499"/>
      <c r="K92" s="499"/>
      <c r="L92" s="499"/>
      <c r="M92" s="499"/>
      <c r="N92" s="499"/>
      <c r="O92" s="499"/>
    </row>
    <row r="93" spans="1:15" ht="18">
      <c r="A93" s="486"/>
      <c r="B93" s="513">
        <v>39722</v>
      </c>
      <c r="C93" s="514" t="s">
        <v>357</v>
      </c>
      <c r="D93" s="515" t="s">
        <v>358</v>
      </c>
      <c r="E93" s="516">
        <v>2423</v>
      </c>
      <c r="F93" s="486"/>
      <c r="G93" s="498"/>
      <c r="H93" s="498"/>
      <c r="I93" s="498"/>
      <c r="J93" s="499"/>
      <c r="K93" s="499"/>
      <c r="L93" s="499"/>
      <c r="M93" s="499"/>
      <c r="N93" s="499"/>
      <c r="O93" s="499"/>
    </row>
    <row r="94" spans="1:15" ht="18">
      <c r="A94" s="486"/>
      <c r="B94" s="513">
        <v>39713</v>
      </c>
      <c r="C94" s="514" t="s">
        <v>299</v>
      </c>
      <c r="D94" s="511" t="s">
        <v>377</v>
      </c>
      <c r="E94" s="516">
        <v>2353</v>
      </c>
      <c r="F94" s="486"/>
      <c r="G94" s="498"/>
      <c r="H94" s="498"/>
      <c r="I94" s="498"/>
      <c r="J94" s="499"/>
      <c r="K94" s="499"/>
      <c r="L94" s="499"/>
      <c r="M94" s="499"/>
      <c r="N94" s="499"/>
      <c r="O94" s="499"/>
    </row>
    <row r="95" spans="1:15" ht="52.5">
      <c r="A95" s="486"/>
      <c r="B95" s="513">
        <v>39511</v>
      </c>
      <c r="C95" s="510" t="s">
        <v>272</v>
      </c>
      <c r="D95" s="511" t="s">
        <v>378</v>
      </c>
      <c r="E95" s="516">
        <v>2327</v>
      </c>
      <c r="F95" s="486"/>
      <c r="G95" s="498"/>
      <c r="H95" s="498"/>
      <c r="I95" s="498"/>
      <c r="J95" s="499"/>
      <c r="K95" s="499"/>
      <c r="L95" s="499"/>
      <c r="M95" s="499"/>
      <c r="N95" s="499"/>
      <c r="O95" s="499"/>
    </row>
    <row r="96" spans="1:15" ht="18">
      <c r="A96" s="486"/>
      <c r="B96" s="513">
        <v>38896</v>
      </c>
      <c r="C96" s="514" t="s">
        <v>253</v>
      </c>
      <c r="D96" s="515" t="s">
        <v>252</v>
      </c>
      <c r="E96" s="516">
        <v>2160</v>
      </c>
      <c r="F96" s="486"/>
      <c r="G96" s="498"/>
      <c r="H96" s="498"/>
      <c r="I96" s="498"/>
      <c r="J96" s="499"/>
      <c r="K96" s="499"/>
      <c r="L96" s="499"/>
      <c r="M96" s="499"/>
      <c r="N96" s="499"/>
      <c r="O96" s="499"/>
    </row>
    <row r="97" spans="1:15" ht="18">
      <c r="A97" s="486"/>
      <c r="B97" s="513">
        <v>38476</v>
      </c>
      <c r="C97" s="514" t="s">
        <v>241</v>
      </c>
      <c r="D97" s="515" t="s">
        <v>240</v>
      </c>
      <c r="E97" s="516">
        <v>2221</v>
      </c>
      <c r="F97" s="486"/>
      <c r="G97" s="498"/>
      <c r="H97" s="498"/>
      <c r="I97" s="498"/>
      <c r="J97" s="499"/>
      <c r="K97" s="499"/>
      <c r="L97" s="499"/>
      <c r="M97" s="499"/>
      <c r="N97" s="499"/>
      <c r="O97" s="499"/>
    </row>
    <row r="98" spans="1:15" ht="33">
      <c r="A98" s="486"/>
      <c r="B98" s="509">
        <v>38336</v>
      </c>
      <c r="C98" s="510" t="s">
        <v>198</v>
      </c>
      <c r="D98" s="511" t="s">
        <v>199</v>
      </c>
      <c r="E98" s="512">
        <v>1787</v>
      </c>
      <c r="F98" s="486"/>
      <c r="G98" s="498"/>
      <c r="H98" s="498"/>
      <c r="I98" s="498"/>
      <c r="J98" s="499"/>
      <c r="K98" s="499"/>
      <c r="L98" s="499"/>
      <c r="M98" s="499"/>
      <c r="N98" s="499"/>
      <c r="O98" s="499"/>
    </row>
    <row r="99" spans="1:15" ht="18">
      <c r="A99" s="486"/>
      <c r="B99" s="509">
        <v>38286</v>
      </c>
      <c r="C99" s="510" t="s">
        <v>189</v>
      </c>
      <c r="D99" s="511" t="s">
        <v>184</v>
      </c>
      <c r="E99" s="512">
        <v>1773</v>
      </c>
      <c r="F99" s="486"/>
      <c r="G99" s="498"/>
      <c r="H99" s="498"/>
      <c r="I99" s="498"/>
      <c r="J99" s="499"/>
      <c r="K99" s="499"/>
      <c r="L99" s="499"/>
      <c r="M99" s="499"/>
      <c r="N99" s="499"/>
      <c r="O99" s="499"/>
    </row>
    <row r="100" spans="1:15" ht="18">
      <c r="A100" s="486"/>
      <c r="B100" s="509">
        <v>38118</v>
      </c>
      <c r="C100" s="510" t="s">
        <v>190</v>
      </c>
      <c r="D100" s="511" t="s">
        <v>242</v>
      </c>
      <c r="E100" s="512">
        <v>1767</v>
      </c>
      <c r="F100" s="486"/>
      <c r="G100" s="498"/>
      <c r="H100" s="498"/>
      <c r="I100" s="498"/>
      <c r="J100" s="499"/>
      <c r="K100" s="499"/>
      <c r="L100" s="499"/>
      <c r="M100" s="499"/>
      <c r="N100" s="499"/>
      <c r="O100" s="499"/>
    </row>
    <row r="101" spans="1:15" ht="18">
      <c r="A101" s="486"/>
      <c r="B101" s="509">
        <v>38012</v>
      </c>
      <c r="C101" s="510" t="s">
        <v>191</v>
      </c>
      <c r="D101" s="511" t="s">
        <v>183</v>
      </c>
      <c r="E101" s="512">
        <v>1766</v>
      </c>
      <c r="F101" s="486"/>
      <c r="G101" s="498"/>
      <c r="H101" s="498"/>
      <c r="I101" s="498"/>
      <c r="J101" s="499"/>
      <c r="K101" s="499"/>
      <c r="L101" s="499"/>
      <c r="M101" s="499"/>
      <c r="N101" s="499"/>
      <c r="O101" s="499"/>
    </row>
    <row r="102" spans="1:15" ht="18">
      <c r="A102" s="486"/>
      <c r="B102" s="509">
        <v>37845</v>
      </c>
      <c r="C102" s="510" t="s">
        <v>192</v>
      </c>
      <c r="D102" s="511" t="s">
        <v>182</v>
      </c>
      <c r="E102" s="512">
        <v>1762</v>
      </c>
      <c r="F102" s="517"/>
      <c r="G102" s="498"/>
      <c r="H102" s="498"/>
      <c r="I102" s="498"/>
      <c r="J102" s="499"/>
      <c r="K102" s="499"/>
      <c r="L102" s="499"/>
      <c r="M102" s="499"/>
      <c r="N102" s="499"/>
      <c r="O102" s="499"/>
    </row>
    <row r="103" spans="1:15" ht="49.5">
      <c r="A103" s="518"/>
      <c r="B103" s="509">
        <v>37708</v>
      </c>
      <c r="C103" s="510" t="s">
        <v>193</v>
      </c>
      <c r="D103" s="511" t="s">
        <v>177</v>
      </c>
      <c r="E103" s="512">
        <v>1761</v>
      </c>
      <c r="F103" s="517"/>
      <c r="G103" s="498"/>
      <c r="H103" s="498"/>
      <c r="I103" s="498"/>
      <c r="J103" s="499"/>
      <c r="K103" s="499"/>
      <c r="L103" s="499"/>
      <c r="M103" s="499"/>
      <c r="N103" s="499"/>
      <c r="O103" s="499"/>
    </row>
    <row r="104" spans="1:15" ht="18">
      <c r="A104" s="492"/>
      <c r="B104" s="509">
        <v>37260</v>
      </c>
      <c r="C104" s="510" t="s">
        <v>194</v>
      </c>
      <c r="D104" s="511" t="s">
        <v>148</v>
      </c>
      <c r="E104" s="512">
        <v>1764</v>
      </c>
      <c r="F104" s="492"/>
      <c r="G104" s="498"/>
      <c r="H104" s="498"/>
      <c r="I104" s="498"/>
      <c r="J104" s="499"/>
      <c r="K104" s="499"/>
      <c r="L104" s="499"/>
      <c r="M104" s="499"/>
      <c r="N104" s="499"/>
      <c r="O104" s="499"/>
    </row>
    <row r="105" spans="1:15" ht="18">
      <c r="A105" s="492"/>
      <c r="B105" s="509">
        <v>37102</v>
      </c>
      <c r="C105" s="510" t="s">
        <v>195</v>
      </c>
      <c r="D105" s="511" t="s">
        <v>243</v>
      </c>
      <c r="E105" s="512">
        <v>1759</v>
      </c>
      <c r="F105" s="492"/>
      <c r="G105" s="498"/>
      <c r="H105" s="498"/>
      <c r="I105" s="498"/>
      <c r="J105" s="499"/>
      <c r="K105" s="499"/>
      <c r="L105" s="499"/>
      <c r="M105" s="499"/>
      <c r="N105" s="499"/>
      <c r="O105" s="499"/>
    </row>
    <row r="106" spans="1:15" ht="18">
      <c r="A106" s="492"/>
      <c r="B106" s="509">
        <v>37084</v>
      </c>
      <c r="C106" s="510" t="s">
        <v>196</v>
      </c>
      <c r="D106" s="511" t="s">
        <v>142</v>
      </c>
      <c r="E106" s="512">
        <v>1758</v>
      </c>
      <c r="F106" s="492"/>
      <c r="G106" s="498"/>
      <c r="H106" s="498"/>
      <c r="I106" s="498"/>
      <c r="J106" s="499"/>
      <c r="K106" s="499"/>
      <c r="L106" s="499"/>
      <c r="M106" s="499"/>
      <c r="N106" s="499"/>
    </row>
    <row r="107" spans="1:15" ht="18.75" thickBot="1">
      <c r="A107" s="519"/>
      <c r="B107" s="520">
        <v>37080</v>
      </c>
      <c r="C107" s="521" t="s">
        <v>197</v>
      </c>
      <c r="D107" s="522" t="s">
        <v>140</v>
      </c>
      <c r="E107" s="523">
        <v>1757</v>
      </c>
      <c r="F107" s="519"/>
      <c r="G107" s="498"/>
      <c r="H107" s="498"/>
      <c r="I107" s="498"/>
      <c r="J107" s="499"/>
      <c r="K107" s="499"/>
      <c r="L107" s="499"/>
      <c r="M107" s="499"/>
      <c r="N107" s="499"/>
    </row>
    <row r="108" spans="1:15" ht="18">
      <c r="A108" s="519"/>
      <c r="B108" s="519"/>
      <c r="C108" s="519"/>
      <c r="D108" s="519"/>
      <c r="E108" s="519"/>
      <c r="F108" s="519"/>
      <c r="G108" s="498"/>
      <c r="H108" s="498"/>
      <c r="I108" s="498"/>
      <c r="J108" s="499"/>
      <c r="K108" s="499"/>
      <c r="L108" s="499"/>
      <c r="M108" s="499"/>
      <c r="N108" s="499"/>
    </row>
    <row r="109" spans="1:15" ht="18">
      <c r="B109" s="486"/>
      <c r="C109" s="486"/>
      <c r="D109" s="486"/>
      <c r="E109" s="486"/>
      <c r="G109" s="498"/>
      <c r="H109" s="498"/>
      <c r="I109" s="498"/>
      <c r="J109" s="499"/>
      <c r="K109" s="499"/>
      <c r="L109" s="499"/>
      <c r="M109" s="499"/>
      <c r="N109" s="499"/>
    </row>
    <row r="110" spans="1:15" ht="18">
      <c r="G110" s="498"/>
      <c r="H110" s="498"/>
      <c r="I110" s="498"/>
      <c r="J110" s="499"/>
      <c r="K110" s="499"/>
      <c r="L110" s="499"/>
      <c r="M110" s="499"/>
      <c r="N110" s="499"/>
    </row>
    <row r="111" spans="1:15" ht="18">
      <c r="G111" s="498"/>
      <c r="H111" s="498"/>
      <c r="I111" s="498"/>
      <c r="J111" s="499"/>
      <c r="K111" s="499"/>
      <c r="L111" s="499"/>
      <c r="M111" s="499"/>
      <c r="N111" s="499"/>
    </row>
    <row r="112" spans="1:15" ht="18">
      <c r="G112" s="498"/>
      <c r="H112" s="498"/>
      <c r="I112" s="498"/>
      <c r="J112" s="499"/>
      <c r="K112" s="499"/>
      <c r="L112" s="499"/>
      <c r="M112" s="499"/>
      <c r="N112" s="499"/>
    </row>
    <row r="113" spans="7:14" ht="18">
      <c r="G113" s="498"/>
      <c r="H113" s="498"/>
      <c r="I113" s="498"/>
      <c r="J113" s="499"/>
      <c r="K113" s="499"/>
      <c r="L113" s="499"/>
      <c r="M113" s="499"/>
      <c r="N113" s="499"/>
    </row>
    <row r="114" spans="7:14" ht="18">
      <c r="G114" s="498"/>
      <c r="H114" s="498"/>
      <c r="I114" s="498"/>
      <c r="J114" s="499"/>
      <c r="K114" s="499"/>
      <c r="L114" s="499"/>
      <c r="M114" s="499"/>
      <c r="N114" s="499"/>
    </row>
  </sheetData>
  <customSheetViews>
    <customSheetView guid="{065FF312-67E2-4E5F-894A-2CE2F41260A3}" printArea="1">
      <pageMargins left="0.75" right="0.75" top="1" bottom="1" header="0.5" footer="0.5"/>
      <pageSetup paperSize="9" scale="81" orientation="portrait" horizontalDpi="525" verticalDpi="525" r:id="rId1"/>
      <headerFooter alignWithMargins="0"/>
    </customSheetView>
  </customSheetViews>
  <mergeCells count="2">
    <mergeCell ref="D11:E13"/>
    <mergeCell ref="B3:E10"/>
  </mergeCells>
  <phoneticPr fontId="88" type="noConversion"/>
  <pageMargins left="0.75" right="0.75" top="1" bottom="1" header="0.5" footer="0.5"/>
  <pageSetup paperSize="9" scale="81" orientation="portrait" horizontalDpi="525" verticalDpi="525" r:id="rId2"/>
  <headerFooter alignWithMargins="0"/>
  <picture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03B00-F2A4-4B5C-B132-F4EC2DEC25F7}">
  <sheetPr codeName="Sheet9"/>
  <dimension ref="A1:AR9"/>
  <sheetViews>
    <sheetView tabSelected="1" workbookViewId="0">
      <selection activeCell="H15" sqref="H15"/>
    </sheetView>
  </sheetViews>
  <sheetFormatPr defaultRowHeight="12.75"/>
  <sheetData>
    <row r="1" spans="1:44">
      <c r="A1">
        <v>6</v>
      </c>
      <c r="J1" t="s">
        <v>941</v>
      </c>
      <c r="O1" t="s">
        <v>942</v>
      </c>
      <c r="T1" t="s">
        <v>943</v>
      </c>
      <c r="AF1" t="s">
        <v>941</v>
      </c>
      <c r="AK1" t="s">
        <v>942</v>
      </c>
      <c r="AP1" t="s">
        <v>943</v>
      </c>
    </row>
    <row r="2" spans="1:44">
      <c r="B2" t="s">
        <v>936</v>
      </c>
      <c r="C2" t="s">
        <v>937</v>
      </c>
      <c r="D2" t="s">
        <v>938</v>
      </c>
      <c r="E2" t="s">
        <v>939</v>
      </c>
      <c r="F2" t="s">
        <v>940</v>
      </c>
      <c r="G2" t="s">
        <v>673</v>
      </c>
      <c r="H2" t="s">
        <v>944</v>
      </c>
      <c r="I2" t="s">
        <v>945</v>
      </c>
      <c r="J2" t="s">
        <v>946</v>
      </c>
      <c r="K2" t="s">
        <v>947</v>
      </c>
      <c r="L2" t="s">
        <v>948</v>
      </c>
      <c r="M2" t="s">
        <v>944</v>
      </c>
      <c r="N2" t="s">
        <v>945</v>
      </c>
      <c r="O2" t="s">
        <v>946</v>
      </c>
      <c r="P2" t="s">
        <v>947</v>
      </c>
      <c r="Q2" t="s">
        <v>948</v>
      </c>
      <c r="R2" t="s">
        <v>949</v>
      </c>
      <c r="S2" t="s">
        <v>945</v>
      </c>
      <c r="T2" t="s">
        <v>946</v>
      </c>
      <c r="U2" t="s">
        <v>947</v>
      </c>
      <c r="V2" t="s">
        <v>948</v>
      </c>
      <c r="X2" t="s">
        <v>936</v>
      </c>
      <c r="Y2" t="s">
        <v>937</v>
      </c>
      <c r="Z2" t="s">
        <v>938</v>
      </c>
      <c r="AA2" t="s">
        <v>939</v>
      </c>
      <c r="AB2" t="s">
        <v>940</v>
      </c>
      <c r="AC2" t="s">
        <v>673</v>
      </c>
      <c r="AD2" t="s">
        <v>944</v>
      </c>
      <c r="AE2" t="s">
        <v>945</v>
      </c>
      <c r="AF2" t="s">
        <v>946</v>
      </c>
      <c r="AG2" t="s">
        <v>947</v>
      </c>
      <c r="AH2" t="s">
        <v>948</v>
      </c>
      <c r="AI2" t="s">
        <v>944</v>
      </c>
      <c r="AJ2" t="s">
        <v>945</v>
      </c>
      <c r="AK2" t="s">
        <v>946</v>
      </c>
      <c r="AL2" t="s">
        <v>947</v>
      </c>
      <c r="AM2" t="s">
        <v>948</v>
      </c>
      <c r="AN2" t="s">
        <v>949</v>
      </c>
      <c r="AO2" t="s">
        <v>945</v>
      </c>
      <c r="AP2" t="s">
        <v>946</v>
      </c>
      <c r="AQ2" t="s">
        <v>947</v>
      </c>
      <c r="AR2" t="s">
        <v>948</v>
      </c>
    </row>
    <row r="4" spans="1:44">
      <c r="A4">
        <v>1</v>
      </c>
      <c r="B4" t="s">
        <v>951</v>
      </c>
      <c r="C4">
        <v>1601</v>
      </c>
      <c r="D4">
        <v>40</v>
      </c>
      <c r="E4">
        <v>1</v>
      </c>
      <c r="F4">
        <v>0</v>
      </c>
      <c r="G4">
        <v>3</v>
      </c>
      <c r="H4">
        <v>507.22089220766202</v>
      </c>
      <c r="I4" s="1353">
        <v>6.6666672182691402E-15</v>
      </c>
      <c r="J4">
        <v>-246.50990215517101</v>
      </c>
      <c r="K4">
        <v>0</v>
      </c>
      <c r="L4">
        <v>124.023424231059</v>
      </c>
      <c r="M4">
        <v>471.456152207662</v>
      </c>
      <c r="N4" s="1353">
        <v>6.6666672182691402E-15</v>
      </c>
      <c r="O4">
        <v>-246.50990215517101</v>
      </c>
      <c r="P4">
        <v>0</v>
      </c>
      <c r="Q4">
        <v>124.023424231059</v>
      </c>
      <c r="R4">
        <v>471.456152207662</v>
      </c>
      <c r="S4" s="1353">
        <v>6.6666672182691402E-15</v>
      </c>
      <c r="T4">
        <v>-246.50990215517101</v>
      </c>
      <c r="U4">
        <v>0</v>
      </c>
      <c r="V4">
        <v>124.023424231059</v>
      </c>
      <c r="W4" t="s">
        <v>953</v>
      </c>
    </row>
    <row r="5" spans="1:44">
      <c r="A5">
        <v>1</v>
      </c>
      <c r="B5" t="s">
        <v>951</v>
      </c>
      <c r="C5">
        <v>401</v>
      </c>
      <c r="D5">
        <v>40</v>
      </c>
      <c r="E5">
        <v>2</v>
      </c>
      <c r="F5">
        <v>0</v>
      </c>
      <c r="G5">
        <v>3</v>
      </c>
      <c r="H5">
        <v>396.37589303011498</v>
      </c>
      <c r="I5" s="1353">
        <v>4.7066350816748996E-15</v>
      </c>
      <c r="J5">
        <v>100.311695808171</v>
      </c>
      <c r="K5">
        <v>0</v>
      </c>
      <c r="L5">
        <v>-49.265716103874801</v>
      </c>
      <c r="M5">
        <v>360.61115303011502</v>
      </c>
      <c r="N5" s="1353">
        <v>4.7066350816748996E-15</v>
      </c>
      <c r="O5">
        <v>100.311695808171</v>
      </c>
      <c r="P5">
        <v>0</v>
      </c>
      <c r="Q5">
        <v>-49.265716103874801</v>
      </c>
      <c r="R5">
        <v>360.61115303011502</v>
      </c>
      <c r="S5" s="1353">
        <v>4.7066350816748996E-15</v>
      </c>
      <c r="T5">
        <v>100.311695808171</v>
      </c>
      <c r="U5">
        <v>0</v>
      </c>
      <c r="V5">
        <v>-49.265716103874801</v>
      </c>
      <c r="W5" t="s">
        <v>954</v>
      </c>
    </row>
    <row r="6" spans="1:44">
      <c r="A6">
        <v>1</v>
      </c>
      <c r="B6" t="s">
        <v>952</v>
      </c>
      <c r="C6">
        <v>1001</v>
      </c>
      <c r="D6">
        <v>40</v>
      </c>
      <c r="E6">
        <v>3</v>
      </c>
      <c r="F6">
        <v>0</v>
      </c>
      <c r="G6">
        <v>3</v>
      </c>
      <c r="H6">
        <v>792.22856353217105</v>
      </c>
      <c r="I6">
        <v>119.907857395202</v>
      </c>
      <c r="J6" s="1353">
        <v>8.8249407781404496E-16</v>
      </c>
      <c r="K6">
        <v>-58.4607750150671</v>
      </c>
      <c r="L6">
        <v>0</v>
      </c>
      <c r="M6">
        <v>531.45376353627603</v>
      </c>
      <c r="N6">
        <v>82.755798672836903</v>
      </c>
      <c r="O6" s="1353">
        <v>1.9056756173085898E-15</v>
      </c>
      <c r="P6">
        <v>-40.326617646875299</v>
      </c>
      <c r="Q6">
        <v>0</v>
      </c>
      <c r="R6">
        <v>750.503033532171</v>
      </c>
      <c r="S6">
        <v>119.907857395202</v>
      </c>
      <c r="T6" s="1353">
        <v>8.8249407781404496E-16</v>
      </c>
      <c r="U6">
        <v>-58.4607750150671</v>
      </c>
      <c r="V6">
        <v>0</v>
      </c>
      <c r="W6" t="s">
        <v>950</v>
      </c>
    </row>
    <row r="7" spans="1:44">
      <c r="A7">
        <v>1</v>
      </c>
      <c r="B7" t="s">
        <v>951</v>
      </c>
      <c r="C7">
        <v>1701</v>
      </c>
      <c r="D7">
        <v>40</v>
      </c>
      <c r="E7">
        <v>4</v>
      </c>
      <c r="F7">
        <v>0</v>
      </c>
      <c r="G7">
        <v>3</v>
      </c>
      <c r="H7">
        <v>523.22133486631799</v>
      </c>
      <c r="I7" s="1353">
        <v>-1.5859313862165399E-15</v>
      </c>
      <c r="J7">
        <v>-254.28649787971099</v>
      </c>
      <c r="K7">
        <v>0</v>
      </c>
      <c r="L7">
        <v>128.04767464017101</v>
      </c>
      <c r="M7">
        <v>487.45659486631803</v>
      </c>
      <c r="N7" s="1353">
        <v>-1.5859313862165399E-15</v>
      </c>
      <c r="O7">
        <v>-254.28649787971099</v>
      </c>
      <c r="P7">
        <v>0</v>
      </c>
      <c r="Q7">
        <v>128.04767464017101</v>
      </c>
      <c r="R7">
        <v>395.76385890753897</v>
      </c>
      <c r="S7" s="1353">
        <v>-1.70530256582424E-15</v>
      </c>
      <c r="T7">
        <v>-209.61136972984701</v>
      </c>
      <c r="U7">
        <v>0</v>
      </c>
      <c r="V7">
        <v>105.542606542698</v>
      </c>
      <c r="W7" t="s">
        <v>955</v>
      </c>
    </row>
    <row r="8" spans="1:44">
      <c r="A8">
        <v>1</v>
      </c>
      <c r="B8" t="s">
        <v>951</v>
      </c>
      <c r="C8">
        <v>501</v>
      </c>
      <c r="D8">
        <v>40</v>
      </c>
      <c r="E8">
        <v>0</v>
      </c>
      <c r="F8">
        <v>0</v>
      </c>
      <c r="G8">
        <v>3</v>
      </c>
      <c r="H8">
        <v>385.11596314412799</v>
      </c>
      <c r="I8" s="1353">
        <v>2.7178259642823802E-16</v>
      </c>
      <c r="J8">
        <v>94.369172422655296</v>
      </c>
      <c r="K8">
        <v>0</v>
      </c>
      <c r="L8">
        <v>-46.325184036163002</v>
      </c>
      <c r="M8">
        <v>349.35122314412803</v>
      </c>
      <c r="N8" s="1353">
        <v>2.7178259642823802E-16</v>
      </c>
      <c r="O8">
        <v>94.369172422655296</v>
      </c>
      <c r="P8">
        <v>0</v>
      </c>
      <c r="Q8">
        <v>-46.325184036163002</v>
      </c>
      <c r="R8">
        <v>349.07871421445799</v>
      </c>
      <c r="S8" s="1353">
        <v>2.8776980798284098E-16</v>
      </c>
      <c r="T8">
        <v>94.242620111773803</v>
      </c>
      <c r="U8">
        <v>0</v>
      </c>
      <c r="V8">
        <v>-46.265502856286801</v>
      </c>
      <c r="W8" t="s">
        <v>954</v>
      </c>
    </row>
    <row r="9" spans="1:44">
      <c r="A9">
        <v>1</v>
      </c>
      <c r="B9" t="s">
        <v>951</v>
      </c>
      <c r="C9">
        <v>1101</v>
      </c>
      <c r="D9">
        <v>40</v>
      </c>
      <c r="E9">
        <v>0</v>
      </c>
      <c r="F9">
        <v>0</v>
      </c>
      <c r="G9">
        <v>3</v>
      </c>
      <c r="H9">
        <v>771.31165705909802</v>
      </c>
      <c r="I9">
        <v>124.694734508658</v>
      </c>
      <c r="J9" s="1353">
        <v>2.2957635792408801E-15</v>
      </c>
      <c r="K9">
        <v>-61.199526109531803</v>
      </c>
      <c r="L9">
        <v>0</v>
      </c>
      <c r="M9">
        <v>735.54691705909897</v>
      </c>
      <c r="N9">
        <v>124.694734508658</v>
      </c>
      <c r="O9" s="1353">
        <v>2.2957635792408801E-15</v>
      </c>
      <c r="P9">
        <v>-61.199526109531803</v>
      </c>
      <c r="Q9">
        <v>0</v>
      </c>
      <c r="R9">
        <v>735.54691705909897</v>
      </c>
      <c r="S9">
        <v>124.694734508658</v>
      </c>
      <c r="T9" s="1353">
        <v>2.2957635792408801E-15</v>
      </c>
      <c r="U9">
        <v>-61.199526109531803</v>
      </c>
      <c r="V9">
        <v>0</v>
      </c>
      <c r="W9" t="s">
        <v>954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10</vt:i4>
      </vt:variant>
    </vt:vector>
  </HeadingPairs>
  <TitlesOfParts>
    <vt:vector size="21" baseType="lpstr">
      <vt:lpstr>MAIN</vt:lpstr>
      <vt:lpstr>CHARTS</vt:lpstr>
      <vt:lpstr>Calc</vt:lpstr>
      <vt:lpstr>Ycal</vt:lpstr>
      <vt:lpstr>Zcal</vt:lpstr>
      <vt:lpstr>Slen</vt:lpstr>
      <vt:lpstr>Cases</vt:lpstr>
      <vt:lpstr>Fire</vt:lpstr>
      <vt:lpstr>Refs</vt:lpstr>
      <vt:lpstr>Notes</vt:lpstr>
      <vt:lpstr>Paste Here</vt:lpstr>
      <vt:lpstr>bmin</vt:lpstr>
      <vt:lpstr>Calc!Print_Area</vt:lpstr>
      <vt:lpstr>Cases!Print_Area</vt:lpstr>
      <vt:lpstr>CHARTS!Print_Area</vt:lpstr>
      <vt:lpstr>MAIN!Print_Area</vt:lpstr>
      <vt:lpstr>Notes!Print_Area</vt:lpstr>
      <vt:lpstr>Refs!Print_Area</vt:lpstr>
      <vt:lpstr>Slen!Print_Area</vt:lpstr>
      <vt:lpstr>Ycal!Print_Area</vt:lpstr>
      <vt:lpstr>Zcal!Print_Area</vt:lpstr>
    </vt:vector>
  </TitlesOfParts>
  <Company>Concrete Innovation &amp; Design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 Webster</dc:creator>
  <cp:keywords>Concrete, Columns, EC2</cp:keywords>
  <cp:lastModifiedBy>Sam Marshall</cp:lastModifiedBy>
  <cp:lastPrinted>2018-03-18T19:17:26Z</cp:lastPrinted>
  <dcterms:created xsi:type="dcterms:W3CDTF">1998-02-24T15:57:17Z</dcterms:created>
  <dcterms:modified xsi:type="dcterms:W3CDTF">2019-06-13T09:08:14Z</dcterms:modified>
</cp:coreProperties>
</file>