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customgroupspa-my.sharepoint.com/personal/s_lazzaro_custom_it/Documents/Desktop/Finance/"/>
    </mc:Choice>
  </mc:AlternateContent>
  <xr:revisionPtr revIDLastSave="26" documentId="13_ncr:1_{6FCC4D85-850E-4258-B04B-49572BDB1F7F}" xr6:coauthVersionLast="47" xr6:coauthVersionMax="47" xr10:uidLastSave="{90863371-40BB-4FE5-8A5B-68E63CF0E0C9}"/>
  <bookViews>
    <workbookView xWindow="-108" yWindow="-108" windowWidth="23256" windowHeight="12576" activeTab="1" xr2:uid="{00000000-000D-0000-FFFF-FFFF00000000}"/>
  </bookViews>
  <sheets>
    <sheet name="Gennaio" sheetId="1" r:id="rId1"/>
    <sheet name="Febbraio" sheetId="2" r:id="rId2"/>
    <sheet name="Marz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2" l="1"/>
  <c r="I37" i="2"/>
  <c r="J35" i="3"/>
  <c r="I35" i="3"/>
  <c r="J38" i="2"/>
  <c r="J36" i="2"/>
  <c r="J35" i="2"/>
  <c r="J34" i="2"/>
  <c r="J39" i="3"/>
  <c r="J38" i="3"/>
  <c r="J37" i="3"/>
  <c r="J36" i="3"/>
  <c r="J34" i="3"/>
  <c r="J33" i="3"/>
  <c r="I9" i="3"/>
  <c r="I53" i="1"/>
  <c r="I52" i="1"/>
  <c r="I38" i="2"/>
  <c r="I39" i="3"/>
  <c r="I38" i="3"/>
  <c r="I27" i="3" l="1"/>
  <c r="I26" i="2"/>
  <c r="I25" i="3"/>
  <c r="I41" i="1"/>
  <c r="I39" i="1"/>
  <c r="I40" i="1" s="1"/>
  <c r="I28" i="2"/>
  <c r="I27" i="2" l="1"/>
  <c r="I26" i="3" s="1"/>
  <c r="I31" i="3" s="1"/>
  <c r="I45" i="1"/>
  <c r="J45" i="1"/>
  <c r="I36" i="3"/>
  <c r="J32" i="2" l="1"/>
  <c r="I32" i="2"/>
  <c r="J31" i="3"/>
  <c r="I37" i="3"/>
  <c r="I34" i="3"/>
  <c r="J7" i="3"/>
  <c r="J8" i="2"/>
  <c r="J7" i="2"/>
  <c r="I7" i="3"/>
  <c r="I3" i="3" l="1"/>
  <c r="I4" i="3"/>
  <c r="L4" i="3" s="1"/>
  <c r="I5" i="3"/>
  <c r="L5" i="3" s="1"/>
  <c r="I6" i="3"/>
  <c r="L8" i="3"/>
  <c r="I2" i="3"/>
  <c r="L2" i="3" s="1"/>
  <c r="I33" i="3"/>
  <c r="J7" i="1"/>
  <c r="L5" i="2"/>
  <c r="L4" i="2"/>
  <c r="L2" i="2"/>
  <c r="L7" i="3" l="1"/>
  <c r="K7" i="3"/>
  <c r="L3" i="3" s="1"/>
  <c r="I36" i="2"/>
  <c r="I35" i="2"/>
  <c r="I34" i="2"/>
  <c r="I51" i="1"/>
  <c r="I50" i="1"/>
  <c r="I49" i="1"/>
  <c r="I9" i="2"/>
  <c r="J9" i="2" s="1"/>
  <c r="J35" i="1" l="1"/>
  <c r="J34" i="1"/>
  <c r="J33" i="1"/>
  <c r="J32" i="1"/>
  <c r="J31" i="1"/>
  <c r="I7" i="2"/>
  <c r="I7" i="1"/>
  <c r="K7" i="1" s="1"/>
  <c r="L7" i="2" l="1"/>
  <c r="L8" i="2"/>
  <c r="K7" i="2"/>
  <c r="L3" i="2" s="1"/>
  <c r="I9" i="1"/>
</calcChain>
</file>

<file path=xl/sharedStrings.xml><?xml version="1.0" encoding="utf-8"?>
<sst xmlns="http://schemas.openxmlformats.org/spreadsheetml/2006/main" count="447" uniqueCount="120">
  <si>
    <t>Entrate</t>
  </si>
  <si>
    <t>Uscite</t>
  </si>
  <si>
    <t>Causale</t>
  </si>
  <si>
    <t>Easypark</t>
  </si>
  <si>
    <t>Federici Gioielleria</t>
  </si>
  <si>
    <t>Data contabile</t>
  </si>
  <si>
    <t>Wind Tre internet casa</t>
  </si>
  <si>
    <t>Wind Tre telefono</t>
  </si>
  <si>
    <t>Camp Baselga + iscr. Ghiaccio</t>
  </si>
  <si>
    <t>Mc Donald's</t>
  </si>
  <si>
    <t>Diesel golf</t>
  </si>
  <si>
    <t>Bolletta Alfa Srl Acqua</t>
  </si>
  <si>
    <t>Hotel Olimpic caffe</t>
  </si>
  <si>
    <t>Spesa</t>
  </si>
  <si>
    <t>Trade Republic</t>
  </si>
  <si>
    <t>Stipendio</t>
  </si>
  <si>
    <t>Farmacia</t>
  </si>
  <si>
    <t>Scalable Capital</t>
  </si>
  <si>
    <t>Pizza</t>
  </si>
  <si>
    <t>Spesa carne</t>
  </si>
  <si>
    <t>Caffe lavoro</t>
  </si>
  <si>
    <t>Amazon</t>
  </si>
  <si>
    <t>Conto Arancio</t>
  </si>
  <si>
    <t>Conto Corrente Arancio</t>
  </si>
  <si>
    <t>BBVA</t>
  </si>
  <si>
    <t>CA a CCA</t>
  </si>
  <si>
    <t>CCA a BBVA</t>
  </si>
  <si>
    <t>Spese mese corrente</t>
  </si>
  <si>
    <t>CA a Trade Rep</t>
  </si>
  <si>
    <t>Trade Rep a CA</t>
  </si>
  <si>
    <t>PayPal</t>
  </si>
  <si>
    <t>Alberto capodanno</t>
  </si>
  <si>
    <t>Sonia capodanno</t>
  </si>
  <si>
    <t>Ilaria capodanno</t>
  </si>
  <si>
    <t>Vendita poltrona</t>
  </si>
  <si>
    <t>EasyPark</t>
  </si>
  <si>
    <t>Conto di riferimento</t>
  </si>
  <si>
    <t>Capodanno</t>
  </si>
  <si>
    <t>Antichi Sapori Pizzeria</t>
  </si>
  <si>
    <t>Tigota</t>
  </si>
  <si>
    <t>CA a CCa</t>
  </si>
  <si>
    <t>CCA a CA</t>
  </si>
  <si>
    <t>Impianto risalita Andalo</t>
  </si>
  <si>
    <t>Paypal</t>
  </si>
  <si>
    <t>Bollo auto</t>
  </si>
  <si>
    <t>Tari Busto Arsizio</t>
  </si>
  <si>
    <t>Wind Tre casa</t>
  </si>
  <si>
    <t>Wind Tre cellulare</t>
  </si>
  <si>
    <t>BBVA a CCA</t>
  </si>
  <si>
    <t xml:space="preserve">Saldo finale persiane </t>
  </si>
  <si>
    <t>Inizio mese</t>
  </si>
  <si>
    <t>Fine mese</t>
  </si>
  <si>
    <t>Rifugio Dosson</t>
  </si>
  <si>
    <t>Parcheggio Andalo</t>
  </si>
  <si>
    <t>La tana dell'ermellino Andalo</t>
  </si>
  <si>
    <t>ODS</t>
  </si>
  <si>
    <t>Jysk</t>
  </si>
  <si>
    <t>EasyJet</t>
  </si>
  <si>
    <t>Blackblade Barbershop</t>
  </si>
  <si>
    <t>Pizzamorefantasia</t>
  </si>
  <si>
    <t>Autogrill</t>
  </si>
  <si>
    <t>Interessi BBVA</t>
  </si>
  <si>
    <t>BBVA a Trade Rep</t>
  </si>
  <si>
    <t>Saldo Conto Arancio</t>
  </si>
  <si>
    <t>Saldo Conto Corrente Arancio</t>
  </si>
  <si>
    <t>Saldo BBVA</t>
  </si>
  <si>
    <t>Saldo Paypal</t>
  </si>
  <si>
    <t>Saldo Totale</t>
  </si>
  <si>
    <t>Saldo Trade Republic</t>
  </si>
  <si>
    <t>Paypal Alessia Pizza</t>
  </si>
  <si>
    <t>Margine saldo totale</t>
  </si>
  <si>
    <t>Spesa totale diesel</t>
  </si>
  <si>
    <t>Spesa totale "spesa"</t>
  </si>
  <si>
    <t>Spesa totale carne</t>
  </si>
  <si>
    <t>Bolletta luce</t>
  </si>
  <si>
    <t>Pasticceria Bianchi</t>
  </si>
  <si>
    <t>--------</t>
  </si>
  <si>
    <t>Vicolungo Timberland</t>
  </si>
  <si>
    <t>Mangia e Pasta</t>
  </si>
  <si>
    <t>Cashback</t>
  </si>
  <si>
    <t>Bollo Certificato di Stato di famiglia</t>
  </si>
  <si>
    <t>BlackBlade Barber Shop</t>
  </si>
  <si>
    <t>City Garments maglione</t>
  </si>
  <si>
    <t>Birra</t>
  </si>
  <si>
    <t>Caffè Bergamo</t>
  </si>
  <si>
    <t>Pranzo Bergamo</t>
  </si>
  <si>
    <t>Parcheggio Malpensa</t>
  </si>
  <si>
    <t>BTP Valore</t>
  </si>
  <si>
    <t>JustEat</t>
  </si>
  <si>
    <t>Spese extra (persiane + BTP)</t>
  </si>
  <si>
    <t>Spese mese corrente (con e senza spese extra)</t>
  </si>
  <si>
    <t>Liquidità in Trade Republic</t>
  </si>
  <si>
    <t>Investimenti in Trade Republic</t>
  </si>
  <si>
    <t>Capitale a fine mese in Trade Republic</t>
  </si>
  <si>
    <t>Guadagni mensili</t>
  </si>
  <si>
    <t>Fine mese calcolato</t>
  </si>
  <si>
    <t>BBVA verso Trade Republic</t>
  </si>
  <si>
    <t>Caffe bar</t>
  </si>
  <si>
    <t>Pizzeria</t>
  </si>
  <si>
    <t>Bar</t>
  </si>
  <si>
    <t>Onyon</t>
  </si>
  <si>
    <t>Brico</t>
  </si>
  <si>
    <t>BBVA verso CCA</t>
  </si>
  <si>
    <t>CCA verso BBVA</t>
  </si>
  <si>
    <t>Ristoranti</t>
  </si>
  <si>
    <t>Gelateria</t>
  </si>
  <si>
    <t>Pensione nonna</t>
  </si>
  <si>
    <t>CCA</t>
  </si>
  <si>
    <t>Wind Tre</t>
  </si>
  <si>
    <t>Wind Tre Internet</t>
  </si>
  <si>
    <t>Condominio</t>
  </si>
  <si>
    <t>Spesa totale ristoranti</t>
  </si>
  <si>
    <t>Spesa totale bar</t>
  </si>
  <si>
    <t>Compleanno</t>
  </si>
  <si>
    <t>iCloud</t>
  </si>
  <si>
    <t>Parcheggio</t>
  </si>
  <si>
    <t>Capitale mensile investito in Trade Rep</t>
  </si>
  <si>
    <t>Capitale totale investito in Trade Republic</t>
  </si>
  <si>
    <t>Capitale mensile investito in Trade Republic</t>
  </si>
  <si>
    <t>Bolletta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</si>
</sst>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\ * #,##0.00_-;\-&quot;€&quot;\ * #,##0.00_-;_-&quot;€&quot;\ * &quot;-&quot;??_-;_-@_-"/>
    <numFmt numFmtId="165" formatCode="_-* #,##0.00\ [$€-410]_-;\-* #,##0.00\ [$€-410]_-;_-* &quot;-&quot;??\ [$€-410]_-;_-@_-"/>
    <numFmt numFmtId="166" formatCode="&quot;€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5" fontId="0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64" fontId="0" fillId="0" borderId="0" xfId="1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4" fillId="0" borderId="0" xfId="0" applyNumberFormat="1" applyFont="1" applyAlignment="1">
      <alignment vertical="center"/>
    </xf>
    <xf numFmtId="164" fontId="3" fillId="0" borderId="0" xfId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0" fontId="2" fillId="2" borderId="0" xfId="2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0" fillId="0" borderId="0" xfId="1" applyNumberFormat="1" applyFont="1" applyAlignment="1">
      <alignment vertical="center"/>
    </xf>
    <xf numFmtId="0" fontId="0" fillId="0" borderId="0" xfId="0" quotePrefix="1" applyAlignment="1">
      <alignment vertical="center"/>
    </xf>
    <xf numFmtId="166" fontId="0" fillId="0" borderId="0" xfId="0" applyNumberFormat="1" applyAlignment="1">
      <alignment vertical="center"/>
    </xf>
    <xf numFmtId="10" fontId="0" fillId="2" borderId="0" xfId="1" applyNumberFormat="1" applyFont="1" applyFill="1" applyAlignment="1">
      <alignment vertical="center"/>
    </xf>
    <xf numFmtId="10" fontId="0" fillId="3" borderId="0" xfId="2" applyNumberFormat="1" applyFont="1" applyFill="1" applyAlignment="1">
      <alignment vertical="center"/>
    </xf>
    <xf numFmtId="0" fontId="2" fillId="0" borderId="0" xfId="1" applyNumberFormat="1" applyFont="1" applyAlignment="1">
      <alignment vertical="center"/>
    </xf>
    <xf numFmtId="165" fontId="0" fillId="4" borderId="0" xfId="0" applyNumberFormat="1" applyFill="1" applyAlignment="1">
      <alignment vertical="center"/>
    </xf>
    <xf numFmtId="166" fontId="0" fillId="2" borderId="0" xfId="1" applyNumberFormat="1" applyFont="1" applyFill="1" applyAlignment="1">
      <alignment vertical="center"/>
    </xf>
    <xf numFmtId="10" fontId="0" fillId="0" borderId="0" xfId="1" applyNumberFormat="1" applyFont="1" applyAlignment="1">
      <alignment vertical="center"/>
    </xf>
    <xf numFmtId="165" fontId="3" fillId="0" borderId="0" xfId="1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</cellXfs>
  <cellStyles count="3">
    <cellStyle name="Normale" xfId="0" builtinId="0"/>
    <cellStyle name="Percentuale" xfId="2" builtinId="5"/>
    <cellStyle name="Valuta" xfId="1" builtinId="4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Percentuale</a:t>
            </a:r>
            <a:r>
              <a:rPr lang="it-IT" baseline="0"/>
              <a:t> spese / totale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 h="0"/>
              </a:sp3d>
            </c:spPr>
            <c:extLst>
              <c:ext xmlns:c16="http://schemas.microsoft.com/office/drawing/2014/chart" uri="{C3380CC4-5D6E-409C-BE32-E72D297353CC}">
                <c16:uniqueId val="{00000001-52F0-4440-959F-A3D00DEC245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2F0-4440-959F-A3D00DEC245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52F0-4440-959F-A3D00DEC245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52F0-4440-959F-A3D00DEC245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52F0-4440-959F-A3D00DEC24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Febbraio!$H$34:$H$38</c:f>
              <c:strCache>
                <c:ptCount val="5"/>
                <c:pt idx="0">
                  <c:v>Spesa totale diesel</c:v>
                </c:pt>
                <c:pt idx="1">
                  <c:v>Spesa totale "spesa"</c:v>
                </c:pt>
                <c:pt idx="2">
                  <c:v>Spesa totale carne</c:v>
                </c:pt>
                <c:pt idx="3">
                  <c:v>Bolletta gas</c:v>
                </c:pt>
                <c:pt idx="4">
                  <c:v>Bolletta luce</c:v>
                </c:pt>
              </c:strCache>
            </c:strRef>
          </c:cat>
          <c:val>
            <c:numRef>
              <c:f>Febbraio!$J$34:$J$38</c:f>
              <c:numCache>
                <c:formatCode>0.00%</c:formatCode>
                <c:ptCount val="5"/>
                <c:pt idx="0">
                  <c:v>0.19649740527230267</c:v>
                </c:pt>
                <c:pt idx="1">
                  <c:v>0.12086483252212139</c:v>
                </c:pt>
                <c:pt idx="2">
                  <c:v>4.4933089394410125E-2</c:v>
                </c:pt>
                <c:pt idx="3">
                  <c:v>0</c:v>
                </c:pt>
                <c:pt idx="4">
                  <c:v>8.7219671602977916E-2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B-473D-9604-1AB2CFB023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7171916010499"/>
          <c:y val="0.2364683581219014"/>
          <c:w val="0.33761614173228344"/>
          <c:h val="0.524886993292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Percentuale</a:t>
            </a:r>
            <a:r>
              <a:rPr lang="it-IT" baseline="0"/>
              <a:t> spese / 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283-48D2-BBA7-D86115817C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283-48D2-BBA7-D86115817C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A283-48D2-BBA7-D86115817C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A283-48D2-BBA7-D86115817C2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A283-48D2-BBA7-D86115817C2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A283-48D2-BBA7-D86115817C2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A283-48D2-BBA7-D86115817C29}"/>
              </c:ext>
            </c:extLst>
          </c:dPt>
          <c:dLbls>
            <c:dLbl>
              <c:idx val="5"/>
              <c:tx>
                <c:rich>
                  <a:bodyPr/>
                  <a:lstStyle/>
                  <a:p>
                    <a:fld id="{159F215B-2345-435E-A6BF-1D7B9D5E7E96}" type="VALUE">
                      <a:rPr lang="en-US"/>
                      <a:pPr/>
                      <a:t>[VALORE]</a:t>
                    </a:fld>
                    <a:endParaRPr lang="it-IT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A283-48D2-BBA7-D86115817C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Marzo!$H$33:$H$39</c:f>
              <c:strCache>
                <c:ptCount val="7"/>
                <c:pt idx="0">
                  <c:v>Spesa totale diesel</c:v>
                </c:pt>
                <c:pt idx="1">
                  <c:v>Spesa totale "spesa"</c:v>
                </c:pt>
                <c:pt idx="2">
                  <c:v>Spesa totale carne</c:v>
                </c:pt>
                <c:pt idx="3">
                  <c:v>Spesa totale ristoranti</c:v>
                </c:pt>
                <c:pt idx="4">
                  <c:v>Spesa totale bar</c:v>
                </c:pt>
                <c:pt idx="5">
                  <c:v>Bolletta gas</c:v>
                </c:pt>
                <c:pt idx="6">
                  <c:v>Bolletta luce</c:v>
                </c:pt>
              </c:strCache>
            </c:strRef>
          </c:cat>
          <c:val>
            <c:numRef>
              <c:f>Marzo!$J$33:$J$39</c:f>
              <c:numCache>
                <c:formatCode>0.00%</c:formatCode>
                <c:ptCount val="7"/>
                <c:pt idx="0">
                  <c:v>5.7983928455706046E-2</c:v>
                </c:pt>
                <c:pt idx="1">
                  <c:v>0.11318935908236666</c:v>
                </c:pt>
                <c:pt idx="2">
                  <c:v>0</c:v>
                </c:pt>
                <c:pt idx="3">
                  <c:v>5.1438662432765209E-2</c:v>
                </c:pt>
                <c:pt idx="4">
                  <c:v>2.9486099410278011E-2</c:v>
                </c:pt>
                <c:pt idx="5">
                  <c:v>0.20065938694835073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2-43D7-BC8B-85929420EF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48053368328961"/>
          <c:y val="0.20000947798191893"/>
          <c:w val="0.34585279965004373"/>
          <c:h val="0.63947142023913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38</xdr:row>
      <xdr:rowOff>163830</xdr:rowOff>
    </xdr:from>
    <xdr:to>
      <xdr:col>10</xdr:col>
      <xdr:colOff>0</xdr:colOff>
      <xdr:row>53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39C2956-4B5D-98C9-AC3D-8D6FE0378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40</xdr:row>
      <xdr:rowOff>72390</xdr:rowOff>
    </xdr:from>
    <xdr:to>
      <xdr:col>9</xdr:col>
      <xdr:colOff>457200</xdr:colOff>
      <xdr:row>55</xdr:row>
      <xdr:rowOff>72390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112C5D7-9DC3-1920-9160-90A776EF3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W63"/>
  <sheetViews>
    <sheetView zoomScaleNormal="100" workbookViewId="0">
      <selection activeCell="I33" sqref="I33"/>
    </sheetView>
  </sheetViews>
  <sheetFormatPr defaultColWidth="9.109375" defaultRowHeight="14.4" x14ac:dyDescent="0.3"/>
  <cols>
    <col min="1" max="1" width="18" style="5" bestFit="1" customWidth="1"/>
    <col min="2" max="2" width="27" style="1" bestFit="1" customWidth="1"/>
    <col min="3" max="3" width="27" style="1" customWidth="1"/>
    <col min="4" max="5" width="11" style="6" bestFit="1" customWidth="1"/>
    <col min="6" max="7" width="9.109375" style="1"/>
    <col min="8" max="8" width="39" style="5" bestFit="1" customWidth="1"/>
    <col min="9" max="9" width="34.5546875" style="9" bestFit="1" customWidth="1"/>
    <col min="10" max="10" width="12" style="9" bestFit="1" customWidth="1"/>
    <col min="11" max="11" width="19.5546875" style="9" bestFit="1" customWidth="1"/>
    <col min="12" max="12" width="10.44140625" style="9" customWidth="1"/>
    <col min="13" max="13" width="11.44140625" style="13" bestFit="1" customWidth="1"/>
    <col min="14" max="14" width="10.109375" style="9" bestFit="1" customWidth="1"/>
    <col min="15" max="15" width="9.109375" style="9"/>
    <col min="16" max="16" width="19.33203125" style="9" bestFit="1" customWidth="1"/>
    <col min="17" max="17" width="10.109375" style="9" bestFit="1" customWidth="1"/>
    <col min="18" max="18" width="9.109375" style="9"/>
    <col min="19" max="19" width="11.44140625" style="9" bestFit="1" customWidth="1"/>
    <col min="20" max="20" width="10.109375" style="9" bestFit="1" customWidth="1"/>
    <col min="21" max="21" width="9.109375" style="1"/>
    <col min="22" max="22" width="11.44140625" style="1" bestFit="1" customWidth="1"/>
    <col min="23" max="23" width="10.109375" style="1" bestFit="1" customWidth="1"/>
    <col min="24" max="16384" width="9.109375" style="1"/>
  </cols>
  <sheetData>
    <row r="1" spans="1:23" s="3" customFormat="1" ht="18" x14ac:dyDescent="0.3">
      <c r="A1" s="2" t="s">
        <v>5</v>
      </c>
      <c r="B1" s="3" t="s">
        <v>2</v>
      </c>
      <c r="C1" s="3" t="s">
        <v>36</v>
      </c>
      <c r="D1" s="4" t="s">
        <v>0</v>
      </c>
      <c r="E1" s="4" t="s">
        <v>1</v>
      </c>
      <c r="H1" s="12"/>
      <c r="I1" s="18" t="s">
        <v>50</v>
      </c>
      <c r="J1" s="18" t="s">
        <v>51</v>
      </c>
      <c r="K1" s="18" t="s">
        <v>70</v>
      </c>
      <c r="L1" s="12"/>
      <c r="M1" s="14"/>
      <c r="N1" s="12"/>
      <c r="O1" s="12"/>
      <c r="P1" s="12"/>
      <c r="Q1" s="12"/>
      <c r="R1" s="11"/>
      <c r="S1" s="11"/>
      <c r="T1" s="11"/>
    </row>
    <row r="2" spans="1:23" x14ac:dyDescent="0.3">
      <c r="A2" s="5">
        <v>45293</v>
      </c>
      <c r="B2" s="5" t="s">
        <v>3</v>
      </c>
      <c r="C2" s="5" t="s">
        <v>23</v>
      </c>
      <c r="E2" s="6">
        <v>1.21</v>
      </c>
      <c r="H2" s="7" t="s">
        <v>63</v>
      </c>
      <c r="I2" s="6">
        <v>25500</v>
      </c>
      <c r="J2" s="6">
        <v>50</v>
      </c>
      <c r="K2" s="1"/>
      <c r="L2" s="1"/>
      <c r="M2" s="15"/>
      <c r="N2" s="1"/>
      <c r="O2" s="1"/>
      <c r="P2" s="1"/>
      <c r="Q2" s="1"/>
    </row>
    <row r="3" spans="1:23" x14ac:dyDescent="0.3">
      <c r="A3" s="5">
        <v>45293</v>
      </c>
      <c r="B3" s="1" t="s">
        <v>4</v>
      </c>
      <c r="C3" s="5" t="s">
        <v>23</v>
      </c>
      <c r="E3" s="6">
        <v>27</v>
      </c>
      <c r="H3" s="7" t="s">
        <v>64</v>
      </c>
      <c r="I3" s="6">
        <v>320.43</v>
      </c>
      <c r="J3" s="6">
        <v>342.43</v>
      </c>
      <c r="K3" s="1"/>
      <c r="L3" s="1"/>
      <c r="M3" s="16"/>
      <c r="N3" s="1"/>
      <c r="O3" s="1"/>
    </row>
    <row r="4" spans="1:23" x14ac:dyDescent="0.3">
      <c r="A4" s="5">
        <v>45293</v>
      </c>
      <c r="B4" s="1" t="s">
        <v>37</v>
      </c>
      <c r="C4" s="5" t="s">
        <v>23</v>
      </c>
      <c r="E4" s="6">
        <v>197.92</v>
      </c>
      <c r="H4" s="7" t="s">
        <v>65</v>
      </c>
      <c r="I4" s="6">
        <v>0</v>
      </c>
      <c r="J4" s="6">
        <v>25972.29</v>
      </c>
      <c r="K4" s="1"/>
      <c r="L4" s="1"/>
      <c r="M4" s="15"/>
      <c r="N4" s="1"/>
      <c r="O4" s="1"/>
    </row>
    <row r="5" spans="1:23" x14ac:dyDescent="0.3">
      <c r="A5" s="5">
        <v>45293</v>
      </c>
      <c r="B5" s="1" t="s">
        <v>6</v>
      </c>
      <c r="C5" s="5" t="s">
        <v>23</v>
      </c>
      <c r="E5" s="6">
        <v>20.98</v>
      </c>
      <c r="H5" s="8" t="s">
        <v>66</v>
      </c>
      <c r="I5" s="9">
        <v>0</v>
      </c>
      <c r="J5" s="9">
        <v>228.43</v>
      </c>
    </row>
    <row r="6" spans="1:23" x14ac:dyDescent="0.3">
      <c r="A6" s="5">
        <v>45293</v>
      </c>
      <c r="B6" s="1" t="s">
        <v>7</v>
      </c>
      <c r="C6" s="5" t="s">
        <v>23</v>
      </c>
      <c r="E6" s="6">
        <v>10</v>
      </c>
      <c r="H6" s="8" t="s">
        <v>68</v>
      </c>
      <c r="I6" s="9">
        <v>0</v>
      </c>
      <c r="J6" s="9">
        <v>460</v>
      </c>
    </row>
    <row r="7" spans="1:23" x14ac:dyDescent="0.3">
      <c r="A7" s="5">
        <v>45293</v>
      </c>
      <c r="B7" s="1" t="s">
        <v>8</v>
      </c>
      <c r="C7" s="5" t="s">
        <v>23</v>
      </c>
      <c r="E7" s="6">
        <v>200</v>
      </c>
      <c r="H7" s="19" t="s">
        <v>67</v>
      </c>
      <c r="I7" s="21">
        <f>SUM(I2:I6)</f>
        <v>25820.43</v>
      </c>
      <c r="J7" s="21">
        <f>SUM(J2:J6)</f>
        <v>27053.15</v>
      </c>
      <c r="K7" s="20">
        <f>(J7-I7)/I7</f>
        <v>4.7742039927297926E-2</v>
      </c>
    </row>
    <row r="8" spans="1:23" x14ac:dyDescent="0.3">
      <c r="A8" s="5">
        <v>45295</v>
      </c>
      <c r="B8" s="1" t="s">
        <v>9</v>
      </c>
      <c r="C8" s="5" t="s">
        <v>23</v>
      </c>
      <c r="E8" s="6">
        <v>4.9000000000000004</v>
      </c>
      <c r="H8" s="1"/>
      <c r="I8" s="1"/>
    </row>
    <row r="9" spans="1:23" x14ac:dyDescent="0.3">
      <c r="A9" s="5">
        <v>45296</v>
      </c>
      <c r="B9" s="1" t="s">
        <v>10</v>
      </c>
      <c r="C9" s="5" t="s">
        <v>23</v>
      </c>
      <c r="E9" s="6">
        <v>40.01</v>
      </c>
      <c r="H9" s="5" t="s">
        <v>27</v>
      </c>
      <c r="I9" s="9">
        <f>SUM(E:E)</f>
        <v>1565.71</v>
      </c>
    </row>
    <row r="10" spans="1:23" ht="18" x14ac:dyDescent="0.3">
      <c r="A10" s="5">
        <v>45296</v>
      </c>
      <c r="B10" s="1" t="s">
        <v>11</v>
      </c>
      <c r="C10" s="5" t="s">
        <v>23</v>
      </c>
      <c r="E10" s="6">
        <v>63.63</v>
      </c>
      <c r="K10" s="11"/>
      <c r="L10" s="11"/>
    </row>
    <row r="11" spans="1:23" ht="21" x14ac:dyDescent="0.3">
      <c r="A11" s="5">
        <v>45297</v>
      </c>
      <c r="B11" s="1" t="s">
        <v>12</v>
      </c>
      <c r="C11" s="5" t="s">
        <v>23</v>
      </c>
      <c r="E11" s="6">
        <v>8.5</v>
      </c>
      <c r="H11" s="2"/>
      <c r="I11" s="1"/>
      <c r="J11" s="32" t="s">
        <v>23</v>
      </c>
      <c r="K11" s="32"/>
      <c r="L11" s="11"/>
      <c r="M11" s="32" t="s">
        <v>22</v>
      </c>
      <c r="N11" s="32"/>
      <c r="O11" s="10"/>
      <c r="P11" s="32" t="s">
        <v>24</v>
      </c>
      <c r="Q11" s="32"/>
      <c r="S11" s="33" t="s">
        <v>14</v>
      </c>
      <c r="T11" s="33"/>
      <c r="V11" s="33" t="s">
        <v>30</v>
      </c>
      <c r="W11" s="33"/>
    </row>
    <row r="12" spans="1:23" ht="18" x14ac:dyDescent="0.3">
      <c r="A12" s="5">
        <v>45298</v>
      </c>
      <c r="B12" s="1" t="s">
        <v>13</v>
      </c>
      <c r="C12" s="5" t="s">
        <v>23</v>
      </c>
      <c r="E12" s="6">
        <v>16.399999999999999</v>
      </c>
      <c r="H12" s="2" t="s">
        <v>5</v>
      </c>
      <c r="I12" s="2" t="s">
        <v>2</v>
      </c>
      <c r="J12" s="11" t="s">
        <v>0</v>
      </c>
      <c r="K12" s="11" t="s">
        <v>1</v>
      </c>
      <c r="M12" s="17" t="s">
        <v>0</v>
      </c>
      <c r="N12" s="11" t="s">
        <v>1</v>
      </c>
      <c r="O12" s="1"/>
      <c r="P12" s="11" t="s">
        <v>0</v>
      </c>
      <c r="Q12" s="11" t="s">
        <v>1</v>
      </c>
      <c r="S12" s="11" t="s">
        <v>0</v>
      </c>
      <c r="T12" s="11" t="s">
        <v>1</v>
      </c>
      <c r="V12" s="11" t="s">
        <v>0</v>
      </c>
      <c r="W12" s="11" t="s">
        <v>1</v>
      </c>
    </row>
    <row r="13" spans="1:23" x14ac:dyDescent="0.3">
      <c r="A13" s="5">
        <v>45301</v>
      </c>
      <c r="B13" s="1" t="s">
        <v>15</v>
      </c>
      <c r="C13" s="5" t="s">
        <v>23</v>
      </c>
      <c r="D13" s="6">
        <v>1807.25</v>
      </c>
      <c r="H13" s="5">
        <v>45292</v>
      </c>
      <c r="I13" s="5" t="s">
        <v>31</v>
      </c>
      <c r="O13" s="1"/>
      <c r="V13" s="9">
        <v>35.92</v>
      </c>
      <c r="W13" s="9"/>
    </row>
    <row r="14" spans="1:23" x14ac:dyDescent="0.3">
      <c r="A14" s="5">
        <v>45301</v>
      </c>
      <c r="B14" s="1" t="s">
        <v>13</v>
      </c>
      <c r="C14" s="5" t="s">
        <v>23</v>
      </c>
      <c r="E14" s="6">
        <v>5.49</v>
      </c>
      <c r="H14" s="5">
        <v>45292</v>
      </c>
      <c r="I14" s="5" t="s">
        <v>32</v>
      </c>
      <c r="O14" s="1"/>
      <c r="V14" s="9">
        <v>63.74</v>
      </c>
      <c r="W14" s="9"/>
    </row>
    <row r="15" spans="1:23" x14ac:dyDescent="0.3">
      <c r="A15" s="5">
        <v>45302</v>
      </c>
      <c r="B15" s="1" t="s">
        <v>16</v>
      </c>
      <c r="C15" s="5" t="s">
        <v>23</v>
      </c>
      <c r="E15" s="6">
        <v>9.4499999999999993</v>
      </c>
      <c r="H15" s="5">
        <v>45292</v>
      </c>
      <c r="I15" s="5" t="s">
        <v>33</v>
      </c>
      <c r="O15" s="1"/>
      <c r="V15" s="9">
        <v>30.54</v>
      </c>
      <c r="W15" s="9"/>
    </row>
    <row r="16" spans="1:23" x14ac:dyDescent="0.3">
      <c r="A16" s="5">
        <v>45302</v>
      </c>
      <c r="B16" s="1" t="s">
        <v>17</v>
      </c>
      <c r="C16" s="5" t="s">
        <v>23</v>
      </c>
      <c r="E16" s="6">
        <v>1</v>
      </c>
      <c r="H16" s="5">
        <v>45292</v>
      </c>
      <c r="I16" s="5" t="s">
        <v>25</v>
      </c>
      <c r="J16" s="9">
        <v>413.13</v>
      </c>
      <c r="N16" s="6">
        <v>413.13</v>
      </c>
      <c r="O16" s="1"/>
    </row>
    <row r="17" spans="1:23" x14ac:dyDescent="0.3">
      <c r="A17" s="5">
        <v>45303</v>
      </c>
      <c r="B17" s="1" t="s">
        <v>18</v>
      </c>
      <c r="C17" s="5" t="s">
        <v>23</v>
      </c>
      <c r="E17" s="6">
        <v>6</v>
      </c>
      <c r="H17" s="5">
        <v>45298</v>
      </c>
      <c r="I17" s="5" t="s">
        <v>25</v>
      </c>
      <c r="J17" s="9">
        <v>372.5</v>
      </c>
      <c r="K17" s="6">
        <v>110</v>
      </c>
      <c r="L17" s="1"/>
      <c r="N17" s="9">
        <v>372.5</v>
      </c>
      <c r="O17" s="1"/>
    </row>
    <row r="18" spans="1:23" x14ac:dyDescent="0.3">
      <c r="A18" s="5">
        <v>45303</v>
      </c>
      <c r="B18" s="1" t="s">
        <v>119</v>
      </c>
      <c r="C18" s="5" t="s">
        <v>23</v>
      </c>
      <c r="E18" s="6">
        <v>128.62</v>
      </c>
      <c r="H18" s="5">
        <v>45299</v>
      </c>
      <c r="I18" s="1" t="s">
        <v>28</v>
      </c>
      <c r="J18" s="6"/>
      <c r="K18" s="6">
        <v>200</v>
      </c>
      <c r="M18" s="15"/>
      <c r="N18" s="1"/>
      <c r="O18" s="1"/>
      <c r="P18" s="1"/>
      <c r="Q18" s="1"/>
      <c r="S18" s="6">
        <v>110</v>
      </c>
    </row>
    <row r="19" spans="1:23" x14ac:dyDescent="0.3">
      <c r="A19" s="5">
        <v>45304</v>
      </c>
      <c r="B19" s="1" t="s">
        <v>13</v>
      </c>
      <c r="C19" s="5" t="s">
        <v>23</v>
      </c>
      <c r="E19" s="6">
        <v>4.34</v>
      </c>
      <c r="H19" s="5">
        <v>45299</v>
      </c>
      <c r="I19" s="1" t="s">
        <v>28</v>
      </c>
      <c r="J19" s="6"/>
      <c r="K19" s="6"/>
      <c r="S19" s="6">
        <v>200</v>
      </c>
      <c r="U19" s="9"/>
    </row>
    <row r="20" spans="1:23" x14ac:dyDescent="0.3">
      <c r="A20" s="5">
        <v>45304</v>
      </c>
      <c r="B20" s="1" t="s">
        <v>19</v>
      </c>
      <c r="C20" s="5" t="s">
        <v>23</v>
      </c>
      <c r="E20" s="6">
        <v>14</v>
      </c>
      <c r="H20" s="5">
        <v>45300</v>
      </c>
      <c r="I20" s="1" t="s">
        <v>29</v>
      </c>
      <c r="J20" s="6">
        <v>0.01</v>
      </c>
      <c r="K20" s="6"/>
      <c r="T20" s="9">
        <v>20</v>
      </c>
      <c r="U20" s="9"/>
      <c r="V20" s="6"/>
      <c r="W20" s="6"/>
    </row>
    <row r="21" spans="1:23" x14ac:dyDescent="0.3">
      <c r="A21" s="5">
        <v>45305</v>
      </c>
      <c r="B21" s="1" t="s">
        <v>10</v>
      </c>
      <c r="C21" s="5" t="s">
        <v>23</v>
      </c>
      <c r="E21" s="6">
        <v>80.33</v>
      </c>
      <c r="H21" s="5">
        <v>45301</v>
      </c>
      <c r="I21" s="1" t="s">
        <v>34</v>
      </c>
      <c r="J21" s="6"/>
      <c r="K21" s="6"/>
      <c r="S21" s="9">
        <v>100</v>
      </c>
      <c r="U21" s="9"/>
      <c r="V21" s="6">
        <v>30</v>
      </c>
      <c r="W21" s="6"/>
    </row>
    <row r="22" spans="1:23" x14ac:dyDescent="0.3">
      <c r="A22" s="5">
        <v>45305</v>
      </c>
      <c r="B22" s="1" t="s">
        <v>20</v>
      </c>
      <c r="C22" s="5" t="s">
        <v>23</v>
      </c>
      <c r="E22" s="6">
        <v>10</v>
      </c>
      <c r="H22" s="5">
        <v>45304</v>
      </c>
      <c r="I22" s="1" t="s">
        <v>35</v>
      </c>
      <c r="J22" s="6"/>
      <c r="K22" s="9">
        <v>600</v>
      </c>
      <c r="S22" s="9">
        <v>20</v>
      </c>
      <c r="U22" s="9"/>
      <c r="V22" s="6"/>
      <c r="W22" s="6">
        <v>0.77</v>
      </c>
    </row>
    <row r="23" spans="1:23" x14ac:dyDescent="0.3">
      <c r="A23" s="5">
        <v>45306</v>
      </c>
      <c r="B23" s="1" t="s">
        <v>4</v>
      </c>
      <c r="C23" s="5" t="s">
        <v>23</v>
      </c>
      <c r="E23" s="6">
        <v>10</v>
      </c>
      <c r="H23" s="5">
        <v>45303</v>
      </c>
      <c r="I23" s="5" t="s">
        <v>26</v>
      </c>
      <c r="K23" s="9">
        <v>8000</v>
      </c>
      <c r="P23" s="9">
        <v>600</v>
      </c>
      <c r="S23" s="9">
        <v>50</v>
      </c>
      <c r="U23" s="9"/>
      <c r="V23" s="6"/>
      <c r="W23" s="6"/>
    </row>
    <row r="24" spans="1:23" x14ac:dyDescent="0.3">
      <c r="A24" s="5">
        <v>45306</v>
      </c>
      <c r="B24" s="1" t="s">
        <v>16</v>
      </c>
      <c r="C24" s="5" t="s">
        <v>23</v>
      </c>
      <c r="E24" s="6">
        <v>10.9</v>
      </c>
      <c r="H24" s="5">
        <v>45306</v>
      </c>
      <c r="I24" s="5" t="s">
        <v>26</v>
      </c>
      <c r="K24" s="9">
        <v>17000</v>
      </c>
      <c r="P24" s="9">
        <v>8000</v>
      </c>
      <c r="U24" s="9"/>
    </row>
    <row r="25" spans="1:23" x14ac:dyDescent="0.3">
      <c r="A25" s="5">
        <v>45306</v>
      </c>
      <c r="B25" s="1" t="s">
        <v>21</v>
      </c>
      <c r="C25" s="5" t="s">
        <v>23</v>
      </c>
      <c r="E25" s="6">
        <v>9.99</v>
      </c>
      <c r="H25" s="5">
        <v>45306</v>
      </c>
      <c r="I25" s="5" t="s">
        <v>26</v>
      </c>
      <c r="P25" s="9">
        <v>17000</v>
      </c>
      <c r="U25" s="9"/>
    </row>
    <row r="26" spans="1:23" x14ac:dyDescent="0.3">
      <c r="A26" s="5">
        <v>45307</v>
      </c>
      <c r="B26" s="1" t="s">
        <v>13</v>
      </c>
      <c r="C26" s="1" t="s">
        <v>23</v>
      </c>
      <c r="E26" s="6">
        <v>4.03</v>
      </c>
      <c r="H26" s="5">
        <v>45309</v>
      </c>
      <c r="I26" s="5" t="s">
        <v>40</v>
      </c>
      <c r="J26" s="9">
        <v>500</v>
      </c>
      <c r="K26" s="9">
        <v>50</v>
      </c>
      <c r="L26" s="1"/>
      <c r="N26" s="9">
        <v>500</v>
      </c>
      <c r="U26" s="9"/>
    </row>
    <row r="27" spans="1:23" x14ac:dyDescent="0.3">
      <c r="A27" s="5">
        <v>45307</v>
      </c>
      <c r="B27" s="1" t="s">
        <v>38</v>
      </c>
      <c r="C27" s="1" t="s">
        <v>23</v>
      </c>
      <c r="E27" s="6">
        <v>60.5</v>
      </c>
      <c r="H27" s="5">
        <v>45309</v>
      </c>
      <c r="I27" s="1" t="s">
        <v>41</v>
      </c>
      <c r="J27" s="1"/>
      <c r="K27" s="9">
        <v>600</v>
      </c>
      <c r="M27" s="6">
        <v>50</v>
      </c>
      <c r="N27" s="1"/>
      <c r="O27" s="1"/>
      <c r="P27" s="1"/>
    </row>
    <row r="28" spans="1:23" x14ac:dyDescent="0.3">
      <c r="A28" s="5">
        <v>45309</v>
      </c>
      <c r="B28" s="1" t="s">
        <v>39</v>
      </c>
      <c r="C28" s="1" t="s">
        <v>23</v>
      </c>
      <c r="E28" s="6">
        <v>22.57</v>
      </c>
      <c r="H28" s="5">
        <v>45310</v>
      </c>
      <c r="I28" s="5" t="s">
        <v>26</v>
      </c>
      <c r="K28" s="9">
        <v>400</v>
      </c>
      <c r="P28" s="9">
        <v>600</v>
      </c>
    </row>
    <row r="29" spans="1:23" x14ac:dyDescent="0.3">
      <c r="A29" s="5">
        <v>45310</v>
      </c>
      <c r="B29" s="1" t="s">
        <v>9</v>
      </c>
      <c r="C29" s="1" t="s">
        <v>24</v>
      </c>
      <c r="E29" s="6">
        <v>17.899999999999999</v>
      </c>
      <c r="H29" s="5">
        <v>45315</v>
      </c>
      <c r="I29" s="5" t="s">
        <v>26</v>
      </c>
      <c r="P29" s="9">
        <v>400</v>
      </c>
    </row>
    <row r="30" spans="1:23" x14ac:dyDescent="0.3">
      <c r="A30" s="5">
        <v>45311</v>
      </c>
      <c r="B30" s="1" t="s">
        <v>52</v>
      </c>
      <c r="C30" s="1" t="s">
        <v>24</v>
      </c>
      <c r="E30" s="6">
        <v>15.9</v>
      </c>
    </row>
    <row r="31" spans="1:23" x14ac:dyDescent="0.3">
      <c r="A31" s="5">
        <v>45311</v>
      </c>
      <c r="B31" s="1" t="s">
        <v>53</v>
      </c>
      <c r="C31" s="1" t="s">
        <v>24</v>
      </c>
      <c r="E31" s="6">
        <v>2.8</v>
      </c>
      <c r="I31" s="22" t="s">
        <v>23</v>
      </c>
      <c r="J31" s="9">
        <f>SUM(J13:J29) - SUM(K13:K29)</f>
        <v>-25674.36</v>
      </c>
      <c r="T31" s="1"/>
    </row>
    <row r="32" spans="1:23" x14ac:dyDescent="0.3">
      <c r="A32" s="5">
        <v>45311</v>
      </c>
      <c r="B32" s="1" t="s">
        <v>13</v>
      </c>
      <c r="C32" s="1" t="s">
        <v>23</v>
      </c>
      <c r="E32" s="6">
        <v>2.2799999999999998</v>
      </c>
      <c r="I32" s="22" t="s">
        <v>22</v>
      </c>
      <c r="J32" s="9">
        <f>SUM(M14:M30) - SUM(N14:N30)</f>
        <v>-1235.6300000000001</v>
      </c>
      <c r="T32" s="1"/>
    </row>
    <row r="33" spans="1:20" x14ac:dyDescent="0.3">
      <c r="A33" s="5">
        <v>45312</v>
      </c>
      <c r="B33" s="1" t="s">
        <v>54</v>
      </c>
      <c r="C33" s="1" t="s">
        <v>24</v>
      </c>
      <c r="E33" s="6">
        <v>37</v>
      </c>
      <c r="I33" s="22" t="s">
        <v>24</v>
      </c>
      <c r="J33" s="9">
        <f>SUM(P15:P31) - SUM(Q15:Q31)</f>
        <v>26600</v>
      </c>
      <c r="T33" s="1"/>
    </row>
    <row r="34" spans="1:20" x14ac:dyDescent="0.3">
      <c r="A34" s="5">
        <v>45312</v>
      </c>
      <c r="B34" s="1" t="s">
        <v>9</v>
      </c>
      <c r="C34" s="1" t="s">
        <v>24</v>
      </c>
      <c r="E34" s="6">
        <v>7</v>
      </c>
      <c r="I34" s="22" t="s">
        <v>14</v>
      </c>
      <c r="J34" s="9">
        <f>SUM(S16:S32) - SUM(T16:T32)</f>
        <v>460</v>
      </c>
      <c r="T34" s="1"/>
    </row>
    <row r="35" spans="1:20" x14ac:dyDescent="0.3">
      <c r="A35" s="5">
        <v>45312</v>
      </c>
      <c r="B35" s="1" t="s">
        <v>10</v>
      </c>
      <c r="C35" s="1" t="s">
        <v>23</v>
      </c>
      <c r="E35" s="6">
        <v>55.81</v>
      </c>
      <c r="I35" s="22" t="s">
        <v>43</v>
      </c>
      <c r="J35" s="9">
        <f>SUM(V17:V33) - SUM(W17:W33)</f>
        <v>29.23</v>
      </c>
      <c r="T35" s="1"/>
    </row>
    <row r="36" spans="1:20" x14ac:dyDescent="0.3">
      <c r="A36" s="5">
        <v>45313</v>
      </c>
      <c r="B36" s="1" t="s">
        <v>42</v>
      </c>
      <c r="C36" s="1" t="s">
        <v>23</v>
      </c>
      <c r="E36" s="6">
        <v>12</v>
      </c>
      <c r="T36" s="1"/>
    </row>
    <row r="37" spans="1:20" x14ac:dyDescent="0.3">
      <c r="A37" s="5">
        <v>45313</v>
      </c>
      <c r="B37" s="1" t="s">
        <v>39</v>
      </c>
      <c r="C37" s="1" t="s">
        <v>24</v>
      </c>
      <c r="E37" s="6">
        <v>4.3499999999999996</v>
      </c>
      <c r="I37" s="22"/>
      <c r="T37" s="1"/>
    </row>
    <row r="38" spans="1:20" x14ac:dyDescent="0.3">
      <c r="A38" s="5">
        <v>45313</v>
      </c>
      <c r="B38" s="1" t="s">
        <v>55</v>
      </c>
      <c r="C38" s="1" t="s">
        <v>24</v>
      </c>
      <c r="E38" s="6">
        <v>2.96</v>
      </c>
      <c r="T38" s="1"/>
    </row>
    <row r="39" spans="1:20" x14ac:dyDescent="0.3">
      <c r="A39" s="5">
        <v>45314</v>
      </c>
      <c r="B39" s="1" t="s">
        <v>43</v>
      </c>
      <c r="C39" s="1" t="s">
        <v>23</v>
      </c>
      <c r="E39" s="6">
        <v>15</v>
      </c>
      <c r="H39" s="8" t="s">
        <v>116</v>
      </c>
      <c r="I39" s="9">
        <f>SUM(S:S)-SUM(T:T)</f>
        <v>460</v>
      </c>
      <c r="T39" s="1"/>
    </row>
    <row r="40" spans="1:20" x14ac:dyDescent="0.3">
      <c r="A40" s="5">
        <v>45315</v>
      </c>
      <c r="B40" s="1" t="s">
        <v>13</v>
      </c>
      <c r="C40" s="1" t="s">
        <v>24</v>
      </c>
      <c r="E40" s="6">
        <v>15.28</v>
      </c>
      <c r="H40" s="8" t="s">
        <v>117</v>
      </c>
      <c r="I40" s="9">
        <f>I39</f>
        <v>460</v>
      </c>
      <c r="T40" s="1"/>
    </row>
    <row r="41" spans="1:20" x14ac:dyDescent="0.3">
      <c r="A41" s="5">
        <v>45315</v>
      </c>
      <c r="B41" s="1" t="s">
        <v>56</v>
      </c>
      <c r="C41" s="1" t="s">
        <v>24</v>
      </c>
      <c r="E41" s="6">
        <v>3</v>
      </c>
      <c r="H41" s="8" t="s">
        <v>93</v>
      </c>
      <c r="I41" s="9">
        <f>I42+I43</f>
        <v>457.05</v>
      </c>
      <c r="T41" s="1"/>
    </row>
    <row r="42" spans="1:20" x14ac:dyDescent="0.3">
      <c r="A42" s="5">
        <v>45315</v>
      </c>
      <c r="B42" s="1" t="s">
        <v>13</v>
      </c>
      <c r="C42" s="1" t="s">
        <v>24</v>
      </c>
      <c r="E42" s="6">
        <v>35.69</v>
      </c>
      <c r="H42" s="28" t="s">
        <v>92</v>
      </c>
      <c r="I42" s="9">
        <v>344.92</v>
      </c>
      <c r="T42" s="1"/>
    </row>
    <row r="43" spans="1:20" x14ac:dyDescent="0.3">
      <c r="A43" s="5">
        <v>45317</v>
      </c>
      <c r="B43" s="1" t="s">
        <v>57</v>
      </c>
      <c r="C43" s="1" t="s">
        <v>24</v>
      </c>
      <c r="E43" s="6">
        <v>103.96</v>
      </c>
      <c r="H43" s="28" t="s">
        <v>91</v>
      </c>
      <c r="I43" s="9">
        <v>112.13</v>
      </c>
      <c r="T43" s="1"/>
    </row>
    <row r="44" spans="1:20" x14ac:dyDescent="0.3">
      <c r="A44" s="5">
        <v>45317</v>
      </c>
      <c r="B44" s="1" t="s">
        <v>58</v>
      </c>
      <c r="C44" s="1" t="s">
        <v>24</v>
      </c>
      <c r="E44" s="6">
        <v>19</v>
      </c>
      <c r="H44" s="23"/>
      <c r="T44" s="1"/>
    </row>
    <row r="45" spans="1:20" x14ac:dyDescent="0.3">
      <c r="A45" s="5">
        <v>45317</v>
      </c>
      <c r="B45" s="1" t="s">
        <v>59</v>
      </c>
      <c r="C45" s="1" t="s">
        <v>24</v>
      </c>
      <c r="E45" s="6">
        <v>21</v>
      </c>
      <c r="H45" s="28" t="s">
        <v>94</v>
      </c>
      <c r="I45" s="30">
        <f>I41-I40</f>
        <v>-2.9499999999999886</v>
      </c>
      <c r="J45" s="26">
        <f>(I41-I40)/I40</f>
        <v>-6.4130434782608452E-3</v>
      </c>
      <c r="T45" s="1"/>
    </row>
    <row r="46" spans="1:20" x14ac:dyDescent="0.3">
      <c r="A46" s="5">
        <v>45318</v>
      </c>
      <c r="B46" s="1" t="s">
        <v>43</v>
      </c>
      <c r="C46" s="1" t="s">
        <v>23</v>
      </c>
      <c r="E46" s="6">
        <v>59</v>
      </c>
      <c r="T46" s="1"/>
    </row>
    <row r="47" spans="1:20" x14ac:dyDescent="0.3">
      <c r="A47" s="5">
        <v>45321</v>
      </c>
      <c r="B47" s="1" t="s">
        <v>10</v>
      </c>
      <c r="C47" s="1" t="s">
        <v>24</v>
      </c>
      <c r="E47" s="6">
        <v>58.52</v>
      </c>
      <c r="T47" s="1"/>
    </row>
    <row r="48" spans="1:20" x14ac:dyDescent="0.3">
      <c r="A48" s="5">
        <v>45321</v>
      </c>
      <c r="B48" s="1" t="s">
        <v>18</v>
      </c>
      <c r="C48" s="1" t="s">
        <v>24</v>
      </c>
      <c r="E48" s="6">
        <v>5</v>
      </c>
      <c r="T48" s="1"/>
    </row>
    <row r="49" spans="1:20" x14ac:dyDescent="0.3">
      <c r="A49" s="5">
        <v>45322</v>
      </c>
      <c r="B49" s="1" t="s">
        <v>44</v>
      </c>
      <c r="C49" s="1" t="s">
        <v>23</v>
      </c>
      <c r="E49" s="6">
        <v>63.14</v>
      </c>
      <c r="H49" s="5" t="s">
        <v>71</v>
      </c>
      <c r="I49" s="9">
        <f>SUMIF(B2:B51, "Diesel golf", E2:E51)</f>
        <v>234.67000000000002</v>
      </c>
      <c r="T49" s="1"/>
    </row>
    <row r="50" spans="1:20" x14ac:dyDescent="0.3">
      <c r="A50" s="5">
        <v>45322</v>
      </c>
      <c r="B50" s="1" t="s">
        <v>45</v>
      </c>
      <c r="C50" s="1" t="s">
        <v>23</v>
      </c>
      <c r="E50" s="6">
        <v>33</v>
      </c>
      <c r="H50" s="5" t="s">
        <v>72</v>
      </c>
      <c r="I50" s="9">
        <f>SUMIF(B2:B51, "Spesa", E2:E51)</f>
        <v>83.509999999999991</v>
      </c>
      <c r="M50" s="9"/>
      <c r="O50" s="1"/>
      <c r="P50" s="1"/>
      <c r="Q50" s="1"/>
      <c r="R50" s="1"/>
      <c r="S50" s="1"/>
      <c r="T50" s="1"/>
    </row>
    <row r="51" spans="1:20" x14ac:dyDescent="0.3">
      <c r="A51" s="5">
        <v>45322</v>
      </c>
      <c r="B51" s="1" t="s">
        <v>60</v>
      </c>
      <c r="C51" s="1" t="s">
        <v>24</v>
      </c>
      <c r="E51" s="6">
        <v>8.35</v>
      </c>
      <c r="H51" s="5" t="s">
        <v>73</v>
      </c>
      <c r="I51" s="9">
        <f>SUMIF(B2:B51, "Spesa carne", E2:E51)</f>
        <v>14</v>
      </c>
      <c r="M51" s="9"/>
      <c r="O51" s="1"/>
      <c r="P51" s="1"/>
      <c r="Q51" s="1"/>
      <c r="R51" s="1"/>
      <c r="S51" s="1"/>
      <c r="T51" s="1"/>
    </row>
    <row r="52" spans="1:20" x14ac:dyDescent="0.3">
      <c r="A52" s="1"/>
      <c r="C52" s="5"/>
      <c r="D52" s="9"/>
      <c r="E52" s="9"/>
      <c r="F52" s="9"/>
      <c r="G52" s="9"/>
      <c r="H52" s="5" t="s">
        <v>119</v>
      </c>
      <c r="I52" s="9">
        <f>SUMIF(B:B, "Bolletta gas",E:E)</f>
        <v>128.62</v>
      </c>
      <c r="M52" s="9"/>
      <c r="O52" s="1"/>
      <c r="P52" s="1"/>
      <c r="Q52" s="1"/>
      <c r="R52" s="1"/>
      <c r="S52" s="1"/>
      <c r="T52" s="1"/>
    </row>
    <row r="53" spans="1:20" x14ac:dyDescent="0.3">
      <c r="F53" s="9"/>
      <c r="G53" s="9"/>
      <c r="H53" s="5" t="s">
        <v>74</v>
      </c>
      <c r="I53" s="9">
        <f>SUMIF(B:B, "Bolletta luce",E:E)</f>
        <v>0</v>
      </c>
      <c r="M53" s="9"/>
      <c r="O53" s="1"/>
      <c r="P53" s="1"/>
      <c r="Q53" s="1"/>
      <c r="R53" s="1"/>
      <c r="S53" s="1"/>
      <c r="T53" s="1"/>
    </row>
    <row r="54" spans="1:20" x14ac:dyDescent="0.3">
      <c r="F54" s="9"/>
      <c r="G54" s="9"/>
      <c r="H54" s="13"/>
      <c r="M54" s="9"/>
      <c r="O54" s="1"/>
      <c r="P54" s="1"/>
      <c r="Q54" s="1"/>
      <c r="R54" s="1"/>
      <c r="S54" s="1"/>
      <c r="T54" s="1"/>
    </row>
    <row r="55" spans="1:20" x14ac:dyDescent="0.3">
      <c r="F55" s="9"/>
      <c r="G55" s="9"/>
      <c r="H55" s="13"/>
      <c r="M55" s="9"/>
      <c r="O55" s="1"/>
      <c r="P55" s="1"/>
      <c r="Q55" s="1"/>
      <c r="R55" s="1"/>
      <c r="S55" s="1"/>
      <c r="T55" s="1"/>
    </row>
    <row r="56" spans="1:20" x14ac:dyDescent="0.3">
      <c r="A56" s="1"/>
      <c r="C56" s="5"/>
      <c r="D56" s="9"/>
      <c r="E56" s="9"/>
      <c r="F56" s="9"/>
      <c r="G56" s="9"/>
      <c r="H56" s="13"/>
      <c r="M56" s="9"/>
      <c r="O56" s="1"/>
      <c r="P56" s="1"/>
      <c r="Q56" s="1"/>
      <c r="R56" s="1"/>
      <c r="S56" s="1"/>
      <c r="T56" s="1"/>
    </row>
    <row r="57" spans="1:20" x14ac:dyDescent="0.3">
      <c r="A57" s="1"/>
      <c r="C57" s="5"/>
      <c r="D57" s="9"/>
      <c r="E57" s="9"/>
      <c r="F57" s="9"/>
      <c r="G57" s="9"/>
      <c r="H57" s="13"/>
      <c r="M57" s="9"/>
      <c r="O57" s="1"/>
      <c r="P57" s="1"/>
      <c r="Q57" s="1"/>
      <c r="R57" s="1"/>
      <c r="S57" s="1"/>
      <c r="T57" s="1"/>
    </row>
    <row r="58" spans="1:20" x14ac:dyDescent="0.3">
      <c r="A58" s="1"/>
      <c r="C58" s="5"/>
      <c r="D58" s="9"/>
      <c r="E58" s="9"/>
      <c r="F58" s="9"/>
      <c r="G58" s="9"/>
      <c r="H58" s="13"/>
      <c r="M58" s="9"/>
      <c r="O58" s="1"/>
      <c r="P58" s="1"/>
      <c r="Q58" s="1"/>
      <c r="R58" s="1"/>
      <c r="S58" s="1"/>
      <c r="T58" s="1"/>
    </row>
    <row r="59" spans="1:20" x14ac:dyDescent="0.3">
      <c r="A59" s="1"/>
      <c r="C59" s="5"/>
      <c r="D59" s="9"/>
      <c r="E59" s="9"/>
      <c r="F59" s="9"/>
      <c r="G59" s="9"/>
      <c r="H59" s="13"/>
      <c r="M59" s="9"/>
      <c r="O59" s="1"/>
      <c r="P59" s="1"/>
      <c r="Q59" s="1"/>
      <c r="R59" s="1"/>
      <c r="S59" s="1"/>
      <c r="T59" s="1"/>
    </row>
    <row r="60" spans="1:20" x14ac:dyDescent="0.3">
      <c r="A60" s="1"/>
      <c r="C60" s="5"/>
      <c r="D60" s="9"/>
      <c r="E60" s="9"/>
      <c r="F60" s="9"/>
      <c r="G60" s="9"/>
      <c r="H60" s="13"/>
      <c r="M60" s="9"/>
      <c r="O60" s="1"/>
      <c r="P60" s="1"/>
      <c r="Q60" s="1"/>
      <c r="R60" s="1"/>
      <c r="S60" s="1"/>
      <c r="T60" s="1"/>
    </row>
    <row r="61" spans="1:20" x14ac:dyDescent="0.3">
      <c r="A61" s="1"/>
      <c r="C61" s="5"/>
      <c r="D61" s="9"/>
      <c r="E61" s="9"/>
      <c r="F61" s="9"/>
      <c r="G61" s="9"/>
      <c r="H61" s="13"/>
      <c r="M61" s="9"/>
      <c r="O61" s="1"/>
      <c r="P61" s="1"/>
      <c r="Q61" s="1"/>
      <c r="R61" s="1"/>
      <c r="S61" s="1"/>
      <c r="T61" s="1"/>
    </row>
    <row r="62" spans="1:20" x14ac:dyDescent="0.3">
      <c r="A62" s="1"/>
      <c r="F62" s="9"/>
      <c r="G62" s="9"/>
      <c r="K62" s="1"/>
      <c r="L62" s="1"/>
      <c r="T62" s="1"/>
    </row>
    <row r="63" spans="1:20" x14ac:dyDescent="0.3">
      <c r="A63" s="1"/>
      <c r="F63" s="9"/>
      <c r="G63" s="9"/>
      <c r="H63" s="1"/>
      <c r="I63" s="1"/>
      <c r="J63" s="1"/>
      <c r="M63" s="1"/>
      <c r="N63" s="1"/>
      <c r="O63" s="1"/>
      <c r="P63" s="1"/>
      <c r="Q63" s="1"/>
      <c r="R63" s="1"/>
      <c r="S63" s="1"/>
      <c r="T63" s="1"/>
    </row>
  </sheetData>
  <mergeCells count="5">
    <mergeCell ref="J11:K11"/>
    <mergeCell ref="S11:T11"/>
    <mergeCell ref="V11:W11"/>
    <mergeCell ref="M11:N11"/>
    <mergeCell ref="P11:Q11"/>
  </mergeCells>
  <conditionalFormatting sqref="J31:J3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W51"/>
  <sheetViews>
    <sheetView tabSelected="1" topLeftCell="D30" zoomScaleNormal="100" workbookViewId="0">
      <selection activeCell="M41" sqref="M41"/>
    </sheetView>
  </sheetViews>
  <sheetFormatPr defaultColWidth="9.109375" defaultRowHeight="14.4" x14ac:dyDescent="0.3"/>
  <cols>
    <col min="1" max="1" width="18" style="5" bestFit="1" customWidth="1"/>
    <col min="2" max="2" width="32.88671875" style="1" bestFit="1" customWidth="1"/>
    <col min="3" max="3" width="24.88671875" style="1" bestFit="1" customWidth="1"/>
    <col min="4" max="4" width="11.44140625" style="6" bestFit="1" customWidth="1"/>
    <col min="5" max="5" width="11" style="6" bestFit="1" customWidth="1"/>
    <col min="6" max="7" width="9.109375" style="1"/>
    <col min="8" max="8" width="43.33203125" style="5" bestFit="1" customWidth="1"/>
    <col min="9" max="9" width="18.6640625" style="9" bestFit="1" customWidth="1"/>
    <col min="10" max="10" width="16.109375" style="9" customWidth="1"/>
    <col min="11" max="11" width="19.5546875" style="9" bestFit="1" customWidth="1"/>
    <col min="12" max="12" width="18.6640625" style="9" bestFit="1" customWidth="1"/>
    <col min="13" max="13" width="11.44140625" style="13" bestFit="1" customWidth="1"/>
    <col min="14" max="14" width="9.44140625" style="9" bestFit="1" customWidth="1"/>
    <col min="15" max="15" width="9.109375" style="9"/>
    <col min="16" max="16" width="19.33203125" style="9" bestFit="1" customWidth="1"/>
    <col min="17" max="17" width="11.5546875" style="9" bestFit="1" customWidth="1"/>
    <col min="18" max="18" width="9.109375" style="9"/>
    <col min="19" max="19" width="11.5546875" style="9" customWidth="1"/>
    <col min="20" max="20" width="11.6640625" style="9" customWidth="1"/>
    <col min="21" max="21" width="9.109375" style="1"/>
    <col min="22" max="22" width="11.44140625" style="1" bestFit="1" customWidth="1"/>
    <col min="23" max="23" width="10.109375" style="1" bestFit="1" customWidth="1"/>
    <col min="24" max="16384" width="9.109375" style="1"/>
  </cols>
  <sheetData>
    <row r="1" spans="1:23" s="3" customFormat="1" ht="18" x14ac:dyDescent="0.3">
      <c r="A1" s="2" t="s">
        <v>5</v>
      </c>
      <c r="B1" s="3" t="s">
        <v>2</v>
      </c>
      <c r="C1" s="3" t="s">
        <v>36</v>
      </c>
      <c r="D1" s="4" t="s">
        <v>0</v>
      </c>
      <c r="E1" s="4" t="s">
        <v>1</v>
      </c>
      <c r="H1" s="12"/>
      <c r="I1" s="18" t="s">
        <v>50</v>
      </c>
      <c r="J1" s="18" t="s">
        <v>51</v>
      </c>
      <c r="K1" s="18" t="s">
        <v>70</v>
      </c>
      <c r="L1" s="18" t="s">
        <v>95</v>
      </c>
      <c r="M1" s="14"/>
      <c r="N1" s="12"/>
      <c r="O1" s="12"/>
      <c r="P1" s="12"/>
      <c r="Q1" s="12"/>
      <c r="R1" s="11"/>
      <c r="S1" s="11"/>
      <c r="T1" s="11"/>
    </row>
    <row r="2" spans="1:23" x14ac:dyDescent="0.3">
      <c r="A2" s="5">
        <v>45323</v>
      </c>
      <c r="B2" s="1" t="s">
        <v>46</v>
      </c>
      <c r="C2" s="1" t="s">
        <v>23</v>
      </c>
      <c r="E2" s="6">
        <v>22.98</v>
      </c>
      <c r="H2" s="7" t="s">
        <v>63</v>
      </c>
      <c r="I2" s="6">
        <v>50</v>
      </c>
      <c r="J2" s="25">
        <v>50</v>
      </c>
      <c r="K2" s="1"/>
      <c r="L2" s="6">
        <f>I2 + SUM(M:M) - SUM(N:N)</f>
        <v>50</v>
      </c>
      <c r="M2" s="15"/>
      <c r="N2" s="1"/>
      <c r="O2" s="1"/>
      <c r="P2" s="1"/>
      <c r="Q2" s="1"/>
    </row>
    <row r="3" spans="1:23" x14ac:dyDescent="0.3">
      <c r="A3" s="5">
        <v>45323</v>
      </c>
      <c r="B3" s="1" t="s">
        <v>47</v>
      </c>
      <c r="C3" s="1" t="s">
        <v>23</v>
      </c>
      <c r="E3" s="6">
        <v>10</v>
      </c>
      <c r="H3" s="7" t="s">
        <v>64</v>
      </c>
      <c r="I3" s="6">
        <v>342.43</v>
      </c>
      <c r="J3" s="25">
        <v>209.71</v>
      </c>
      <c r="K3" s="1"/>
      <c r="L3" s="29">
        <f>I3 + SUM(J12:J23) - SUM(K:K)</f>
        <v>8192.7781868100392</v>
      </c>
      <c r="M3" s="16"/>
      <c r="N3" s="1"/>
      <c r="O3" s="1"/>
    </row>
    <row r="4" spans="1:23" x14ac:dyDescent="0.3">
      <c r="A4" s="5">
        <v>45324</v>
      </c>
      <c r="B4" s="1" t="s">
        <v>61</v>
      </c>
      <c r="C4" s="1" t="s">
        <v>24</v>
      </c>
      <c r="D4" s="6">
        <v>32.1</v>
      </c>
      <c r="H4" s="7" t="s">
        <v>65</v>
      </c>
      <c r="I4" s="6">
        <v>25972.29</v>
      </c>
      <c r="J4" s="25">
        <v>15000.4</v>
      </c>
      <c r="K4" s="1"/>
      <c r="L4" s="29">
        <f>I4 + SUM(P:P) - SUM(Q12:Q23)</f>
        <v>16446.29</v>
      </c>
      <c r="M4" s="15"/>
      <c r="N4" s="1"/>
      <c r="O4" s="1"/>
    </row>
    <row r="5" spans="1:23" x14ac:dyDescent="0.3">
      <c r="A5" s="5">
        <v>45324</v>
      </c>
      <c r="B5" s="1" t="s">
        <v>13</v>
      </c>
      <c r="C5" s="1" t="s">
        <v>24</v>
      </c>
      <c r="E5" s="6">
        <v>12.64</v>
      </c>
      <c r="H5" s="8" t="s">
        <v>66</v>
      </c>
      <c r="I5" s="9">
        <v>228.43</v>
      </c>
      <c r="J5" s="25">
        <v>193.43</v>
      </c>
      <c r="L5" s="9">
        <f>I5 + SUM(V:V) - SUM(W:W)</f>
        <v>193.43</v>
      </c>
    </row>
    <row r="6" spans="1:23" x14ac:dyDescent="0.3">
      <c r="A6" s="5">
        <v>45324</v>
      </c>
      <c r="B6" s="1" t="s">
        <v>19</v>
      </c>
      <c r="C6" s="1" t="s">
        <v>24</v>
      </c>
      <c r="E6" s="6">
        <v>17.850000000000001</v>
      </c>
      <c r="H6" s="8" t="s">
        <v>68</v>
      </c>
      <c r="I6" s="9">
        <v>460</v>
      </c>
      <c r="J6" s="25">
        <v>2180.06</v>
      </c>
    </row>
    <row r="7" spans="1:23" x14ac:dyDescent="0.3">
      <c r="A7" s="5">
        <v>45327</v>
      </c>
      <c r="B7" s="1" t="s">
        <v>10</v>
      </c>
      <c r="C7" s="1" t="s">
        <v>24</v>
      </c>
      <c r="E7" s="6">
        <v>88.79</v>
      </c>
      <c r="H7" s="19" t="s">
        <v>67</v>
      </c>
      <c r="I7" s="6">
        <f>SUM(I2:I6)</f>
        <v>27053.15</v>
      </c>
      <c r="J7" s="6">
        <f>SUM(J2:J6)</f>
        <v>17633.600000000002</v>
      </c>
      <c r="K7" s="27">
        <f>(J7-I7)/I7</f>
        <v>-0.34818681003875701</v>
      </c>
      <c r="L7" s="9">
        <f>J7+J8-I7</f>
        <v>1281.75</v>
      </c>
    </row>
    <row r="8" spans="1:23" x14ac:dyDescent="0.3">
      <c r="A8" s="5">
        <v>45327</v>
      </c>
      <c r="B8" s="1" t="s">
        <v>13</v>
      </c>
      <c r="C8" s="1" t="s">
        <v>24</v>
      </c>
      <c r="E8" s="6">
        <v>12.76</v>
      </c>
      <c r="H8" s="1" t="s">
        <v>89</v>
      </c>
      <c r="I8" s="1"/>
      <c r="J8" s="9">
        <f>E10+J20+J21</f>
        <v>10701.3</v>
      </c>
      <c r="L8" s="26">
        <f>(J7+J8-I7)/I7</f>
        <v>4.7378955870203653E-2</v>
      </c>
    </row>
    <row r="9" spans="1:23" x14ac:dyDescent="0.3">
      <c r="A9" s="5">
        <v>45329</v>
      </c>
      <c r="B9" s="1" t="s">
        <v>13</v>
      </c>
      <c r="C9" s="1" t="s">
        <v>24</v>
      </c>
      <c r="E9" s="6">
        <v>3.89</v>
      </c>
      <c r="H9" s="5" t="s">
        <v>90</v>
      </c>
      <c r="I9" s="9">
        <f>SUM(E:E)</f>
        <v>11570.369999999999</v>
      </c>
      <c r="J9" s="9">
        <f>I9-J8</f>
        <v>869.06999999999971</v>
      </c>
    </row>
    <row r="10" spans="1:23" ht="21" x14ac:dyDescent="0.3">
      <c r="A10" s="5">
        <v>45329</v>
      </c>
      <c r="B10" s="1" t="s">
        <v>49</v>
      </c>
      <c r="C10" s="1" t="s">
        <v>23</v>
      </c>
      <c r="E10" s="6">
        <v>2701.3</v>
      </c>
      <c r="H10" s="2"/>
      <c r="I10" s="1"/>
      <c r="J10" s="32" t="s">
        <v>23</v>
      </c>
      <c r="K10" s="32"/>
      <c r="L10" s="11"/>
      <c r="M10" s="32" t="s">
        <v>22</v>
      </c>
      <c r="N10" s="32"/>
      <c r="O10" s="10"/>
      <c r="P10" s="32" t="s">
        <v>24</v>
      </c>
      <c r="Q10" s="32"/>
      <c r="S10" s="33" t="s">
        <v>14</v>
      </c>
      <c r="T10" s="33"/>
      <c r="V10" s="33" t="s">
        <v>30</v>
      </c>
      <c r="W10" s="33"/>
    </row>
    <row r="11" spans="1:23" ht="18" x14ac:dyDescent="0.3">
      <c r="A11" s="5">
        <v>45331</v>
      </c>
      <c r="B11" s="1" t="s">
        <v>21</v>
      </c>
      <c r="C11" s="1" t="s">
        <v>23</v>
      </c>
      <c r="E11" s="6">
        <v>27.84</v>
      </c>
      <c r="H11" s="2" t="s">
        <v>5</v>
      </c>
      <c r="I11" s="3" t="s">
        <v>2</v>
      </c>
      <c r="J11" s="11" t="s">
        <v>0</v>
      </c>
      <c r="K11" s="11" t="s">
        <v>1</v>
      </c>
      <c r="L11" s="11"/>
      <c r="M11" s="17" t="s">
        <v>0</v>
      </c>
      <c r="N11" s="11" t="s">
        <v>1</v>
      </c>
      <c r="O11" s="1"/>
      <c r="P11" s="11" t="s">
        <v>0</v>
      </c>
      <c r="Q11" s="11" t="s">
        <v>1</v>
      </c>
      <c r="S11" s="11" t="s">
        <v>0</v>
      </c>
      <c r="T11" s="11" t="s">
        <v>1</v>
      </c>
      <c r="V11" s="11" t="s">
        <v>0</v>
      </c>
      <c r="W11" s="11" t="s">
        <v>1</v>
      </c>
    </row>
    <row r="12" spans="1:23" x14ac:dyDescent="0.3">
      <c r="A12" s="5">
        <v>45331</v>
      </c>
      <c r="B12" s="1" t="s">
        <v>15</v>
      </c>
      <c r="C12" s="1" t="s">
        <v>23</v>
      </c>
      <c r="D12" s="6">
        <v>2008.35</v>
      </c>
      <c r="H12" s="5">
        <v>45324</v>
      </c>
      <c r="I12" s="1" t="s">
        <v>62</v>
      </c>
      <c r="Q12" s="9">
        <v>50</v>
      </c>
      <c r="S12" s="9">
        <v>50</v>
      </c>
      <c r="V12" s="9"/>
      <c r="W12" s="9"/>
    </row>
    <row r="13" spans="1:23" x14ac:dyDescent="0.3">
      <c r="A13" s="5">
        <v>45331</v>
      </c>
      <c r="B13" s="1" t="s">
        <v>55</v>
      </c>
      <c r="C13" s="1" t="s">
        <v>24</v>
      </c>
      <c r="E13" s="6">
        <v>4.6500000000000004</v>
      </c>
      <c r="H13" s="5">
        <v>45326</v>
      </c>
      <c r="I13" s="1" t="s">
        <v>69</v>
      </c>
      <c r="V13" s="9"/>
      <c r="W13" s="9">
        <v>8.5</v>
      </c>
    </row>
    <row r="14" spans="1:23" x14ac:dyDescent="0.3">
      <c r="A14" s="5">
        <v>45333</v>
      </c>
      <c r="B14" s="1" t="s">
        <v>39</v>
      </c>
      <c r="C14" s="1" t="s">
        <v>23</v>
      </c>
      <c r="E14" s="6">
        <v>2.88</v>
      </c>
      <c r="H14" s="5">
        <v>45329</v>
      </c>
      <c r="I14" s="23" t="s">
        <v>48</v>
      </c>
      <c r="J14" s="9">
        <v>2700</v>
      </c>
      <c r="Q14" s="9">
        <v>2700</v>
      </c>
      <c r="V14" s="9"/>
      <c r="W14" s="9"/>
    </row>
    <row r="15" spans="1:23" x14ac:dyDescent="0.3">
      <c r="A15" s="5">
        <v>45334</v>
      </c>
      <c r="B15" s="1" t="s">
        <v>75</v>
      </c>
      <c r="C15" s="1" t="s">
        <v>24</v>
      </c>
      <c r="E15" s="6">
        <v>17.899999999999999</v>
      </c>
      <c r="H15" s="5">
        <v>45331</v>
      </c>
      <c r="I15" s="23" t="s">
        <v>26</v>
      </c>
      <c r="K15" s="9">
        <v>2000</v>
      </c>
      <c r="P15" s="9">
        <v>2000</v>
      </c>
      <c r="V15" s="9"/>
      <c r="W15" s="9"/>
    </row>
    <row r="16" spans="1:23" x14ac:dyDescent="0.3">
      <c r="A16" s="5">
        <v>45335</v>
      </c>
      <c r="B16" s="1" t="s">
        <v>21</v>
      </c>
      <c r="C16" s="1" t="s">
        <v>23</v>
      </c>
      <c r="D16" s="6">
        <v>27.84</v>
      </c>
      <c r="H16" s="5">
        <v>45334</v>
      </c>
      <c r="I16" s="23" t="s">
        <v>88</v>
      </c>
      <c r="V16" s="9"/>
      <c r="W16" s="9">
        <v>26.5</v>
      </c>
    </row>
    <row r="17" spans="1:23" x14ac:dyDescent="0.3">
      <c r="A17" s="5">
        <v>45335</v>
      </c>
      <c r="B17" s="1" t="s">
        <v>74</v>
      </c>
      <c r="C17" s="1" t="s">
        <v>23</v>
      </c>
      <c r="E17" s="6">
        <v>75.8</v>
      </c>
      <c r="H17" s="5">
        <v>45334</v>
      </c>
      <c r="I17" s="23" t="s">
        <v>62</v>
      </c>
      <c r="K17" s="9">
        <v>200</v>
      </c>
      <c r="S17" s="9">
        <v>200</v>
      </c>
    </row>
    <row r="18" spans="1:23" x14ac:dyDescent="0.3">
      <c r="A18" s="5">
        <v>45336</v>
      </c>
      <c r="B18" s="1" t="s">
        <v>19</v>
      </c>
      <c r="C18" s="1" t="s">
        <v>24</v>
      </c>
      <c r="E18" s="6">
        <v>21.2</v>
      </c>
      <c r="H18" s="5">
        <v>45337</v>
      </c>
      <c r="I18" s="23" t="s">
        <v>62</v>
      </c>
      <c r="K18" s="9">
        <v>400</v>
      </c>
      <c r="S18" s="9">
        <v>400</v>
      </c>
      <c r="T18" s="1"/>
    </row>
    <row r="19" spans="1:23" x14ac:dyDescent="0.3">
      <c r="A19" s="5">
        <v>45336</v>
      </c>
      <c r="B19" s="1" t="s">
        <v>13</v>
      </c>
      <c r="C19" s="1" t="s">
        <v>24</v>
      </c>
      <c r="E19" s="6">
        <v>17.489999999999998</v>
      </c>
      <c r="H19" s="5">
        <v>45345</v>
      </c>
      <c r="I19" s="23" t="s">
        <v>62</v>
      </c>
      <c r="K19" s="9">
        <v>250</v>
      </c>
      <c r="S19" s="9">
        <v>250</v>
      </c>
      <c r="T19" s="1"/>
    </row>
    <row r="20" spans="1:23" x14ac:dyDescent="0.3">
      <c r="A20" s="5">
        <v>45337</v>
      </c>
      <c r="B20" s="1" t="s">
        <v>39</v>
      </c>
      <c r="C20" s="1" t="s">
        <v>24</v>
      </c>
      <c r="E20" s="6">
        <v>10.45</v>
      </c>
      <c r="H20" s="5">
        <v>45348</v>
      </c>
      <c r="I20" s="23" t="s">
        <v>48</v>
      </c>
      <c r="J20" s="9">
        <v>3000</v>
      </c>
      <c r="Q20" s="9">
        <v>3000</v>
      </c>
      <c r="T20" s="1"/>
      <c r="U20" s="9"/>
    </row>
    <row r="21" spans="1:23" x14ac:dyDescent="0.3">
      <c r="A21" s="5">
        <v>45337</v>
      </c>
      <c r="B21" s="1" t="s">
        <v>13</v>
      </c>
      <c r="C21" s="1" t="s">
        <v>24</v>
      </c>
      <c r="E21" s="6">
        <v>10.45</v>
      </c>
      <c r="H21" s="5">
        <v>45349</v>
      </c>
      <c r="I21" s="23" t="s">
        <v>48</v>
      </c>
      <c r="J21" s="9">
        <v>5000</v>
      </c>
      <c r="Q21" s="9">
        <v>5000</v>
      </c>
      <c r="T21" s="1"/>
      <c r="U21" s="9"/>
      <c r="V21" s="6"/>
      <c r="W21" s="6"/>
    </row>
    <row r="22" spans="1:23" x14ac:dyDescent="0.3">
      <c r="A22" s="5">
        <v>45337</v>
      </c>
      <c r="B22" s="1" t="s">
        <v>55</v>
      </c>
      <c r="C22" s="1" t="s">
        <v>24</v>
      </c>
      <c r="E22" s="6">
        <v>3.14</v>
      </c>
      <c r="H22" s="5">
        <v>45349</v>
      </c>
      <c r="I22" s="23" t="s">
        <v>62</v>
      </c>
      <c r="Q22" s="9">
        <v>600</v>
      </c>
      <c r="S22" s="9">
        <v>600</v>
      </c>
      <c r="T22" s="1"/>
      <c r="U22" s="9"/>
      <c r="V22" s="6"/>
      <c r="W22" s="6"/>
    </row>
    <row r="23" spans="1:23" x14ac:dyDescent="0.3">
      <c r="A23" s="5">
        <v>45341</v>
      </c>
      <c r="B23" s="1" t="s">
        <v>77</v>
      </c>
      <c r="C23" s="1" t="s">
        <v>24</v>
      </c>
      <c r="E23" s="6">
        <v>95.55</v>
      </c>
      <c r="H23" s="5">
        <v>45351</v>
      </c>
      <c r="I23" s="23" t="s">
        <v>62</v>
      </c>
      <c r="Q23" s="9">
        <v>176</v>
      </c>
      <c r="S23" s="9">
        <v>176</v>
      </c>
      <c r="T23" s="1"/>
      <c r="U23" s="9"/>
      <c r="V23" s="6"/>
      <c r="W23" s="6"/>
    </row>
    <row r="24" spans="1:23" x14ac:dyDescent="0.3">
      <c r="A24" s="5">
        <v>45341</v>
      </c>
      <c r="B24" s="1" t="s">
        <v>78</v>
      </c>
      <c r="C24" s="1" t="s">
        <v>24</v>
      </c>
      <c r="E24" s="6">
        <v>48.5</v>
      </c>
      <c r="I24" s="23"/>
      <c r="T24" s="1"/>
      <c r="U24" s="9"/>
      <c r="V24" s="6"/>
      <c r="W24" s="6"/>
    </row>
    <row r="25" spans="1:23" x14ac:dyDescent="0.3">
      <c r="A25" s="5">
        <v>45341</v>
      </c>
      <c r="B25" s="1" t="s">
        <v>13</v>
      </c>
      <c r="C25" s="1" t="s">
        <v>24</v>
      </c>
      <c r="E25" s="6">
        <v>2.5499999999999998</v>
      </c>
      <c r="I25" s="23"/>
      <c r="T25" s="1"/>
      <c r="U25" s="9"/>
    </row>
    <row r="26" spans="1:23" x14ac:dyDescent="0.3">
      <c r="A26" s="5">
        <v>45342</v>
      </c>
      <c r="B26" s="1" t="s">
        <v>79</v>
      </c>
      <c r="C26" s="1" t="s">
        <v>24</v>
      </c>
      <c r="D26" s="6">
        <v>50</v>
      </c>
      <c r="H26" s="8" t="s">
        <v>116</v>
      </c>
      <c r="I26" s="9">
        <f>SUM(S:S)-SUM(T:T)</f>
        <v>1676</v>
      </c>
      <c r="T26" s="1"/>
      <c r="U26" s="9"/>
    </row>
    <row r="27" spans="1:23" x14ac:dyDescent="0.3">
      <c r="A27" s="5">
        <v>45342</v>
      </c>
      <c r="B27" s="1" t="s">
        <v>13</v>
      </c>
      <c r="C27" s="1" t="s">
        <v>24</v>
      </c>
      <c r="E27" s="6">
        <v>3.66</v>
      </c>
      <c r="H27" s="8" t="s">
        <v>117</v>
      </c>
      <c r="I27" s="9">
        <f>I26 + Gennaio!I40</f>
        <v>2136</v>
      </c>
      <c r="T27" s="1"/>
      <c r="U27" s="9"/>
    </row>
    <row r="28" spans="1:23" x14ac:dyDescent="0.3">
      <c r="A28" s="5">
        <v>45343</v>
      </c>
      <c r="B28" s="24" t="s">
        <v>76</v>
      </c>
      <c r="C28" s="1" t="s">
        <v>23</v>
      </c>
      <c r="E28" s="6">
        <v>10</v>
      </c>
      <c r="H28" s="8" t="s">
        <v>93</v>
      </c>
      <c r="I28" s="9">
        <f>I29+I30</f>
        <v>2173.96</v>
      </c>
      <c r="T28" s="1"/>
    </row>
    <row r="29" spans="1:23" x14ac:dyDescent="0.3">
      <c r="A29" s="5">
        <v>45344</v>
      </c>
      <c r="B29" s="24" t="s">
        <v>80</v>
      </c>
      <c r="C29" s="1" t="s">
        <v>24</v>
      </c>
      <c r="E29" s="6">
        <v>16.5</v>
      </c>
      <c r="H29" s="28" t="s">
        <v>92</v>
      </c>
      <c r="I29" s="9">
        <v>1888.37</v>
      </c>
      <c r="T29" s="1"/>
    </row>
    <row r="30" spans="1:23" x14ac:dyDescent="0.3">
      <c r="A30" s="5">
        <v>45344</v>
      </c>
      <c r="B30" s="24" t="s">
        <v>13</v>
      </c>
      <c r="C30" s="1" t="s">
        <v>24</v>
      </c>
      <c r="E30" s="6">
        <v>24.37</v>
      </c>
      <c r="H30" s="28" t="s">
        <v>91</v>
      </c>
      <c r="I30" s="9">
        <v>285.58999999999997</v>
      </c>
      <c r="T30" s="1"/>
    </row>
    <row r="31" spans="1:23" x14ac:dyDescent="0.3">
      <c r="A31" s="5">
        <v>45345</v>
      </c>
      <c r="B31" s="1" t="s">
        <v>21</v>
      </c>
      <c r="C31" s="1" t="s">
        <v>23</v>
      </c>
      <c r="E31" s="6">
        <v>23.5</v>
      </c>
      <c r="H31" s="23"/>
      <c r="T31" s="1"/>
    </row>
    <row r="32" spans="1:23" x14ac:dyDescent="0.3">
      <c r="A32" s="5">
        <v>45345</v>
      </c>
      <c r="B32" s="1" t="s">
        <v>13</v>
      </c>
      <c r="C32" s="1" t="s">
        <v>24</v>
      </c>
      <c r="E32" s="6">
        <v>3.29</v>
      </c>
      <c r="H32" s="28" t="s">
        <v>94</v>
      </c>
      <c r="I32" s="30">
        <f>I28-I27</f>
        <v>37.960000000000036</v>
      </c>
      <c r="J32" s="26">
        <f>(I28-I27)/I27</f>
        <v>1.7771535580524363E-2</v>
      </c>
      <c r="T32" s="1"/>
    </row>
    <row r="33" spans="1:20" x14ac:dyDescent="0.3">
      <c r="A33" s="5">
        <v>45345</v>
      </c>
      <c r="B33" s="1" t="s">
        <v>55</v>
      </c>
      <c r="C33" s="1" t="s">
        <v>24</v>
      </c>
      <c r="E33" s="6">
        <v>5.76</v>
      </c>
      <c r="I33" s="23"/>
      <c r="T33" s="1"/>
    </row>
    <row r="34" spans="1:20" x14ac:dyDescent="0.3">
      <c r="A34" s="5">
        <v>45345</v>
      </c>
      <c r="B34" s="1" t="s">
        <v>13</v>
      </c>
      <c r="C34" s="1" t="s">
        <v>24</v>
      </c>
      <c r="E34" s="6">
        <v>13.94</v>
      </c>
      <c r="H34" s="5" t="s">
        <v>71</v>
      </c>
      <c r="I34" s="9">
        <f xml:space="preserve"> SUMIF(B:B, "Diesel golf",E:E)</f>
        <v>170.77</v>
      </c>
      <c r="J34" s="31">
        <f>I34/J9</f>
        <v>0.19649740527230267</v>
      </c>
      <c r="T34" s="1"/>
    </row>
    <row r="35" spans="1:20" x14ac:dyDescent="0.3">
      <c r="A35" s="5">
        <v>45348</v>
      </c>
      <c r="B35" s="1" t="s">
        <v>81</v>
      </c>
      <c r="C35" s="1" t="s">
        <v>24</v>
      </c>
      <c r="E35" s="6">
        <v>22</v>
      </c>
      <c r="H35" s="5" t="s">
        <v>72</v>
      </c>
      <c r="I35" s="9">
        <f xml:space="preserve"> SUMIF(B:B, "Spesa",E:E)</f>
        <v>105.04</v>
      </c>
      <c r="J35" s="31">
        <f>I35/J9</f>
        <v>0.12086483252212139</v>
      </c>
      <c r="T35" s="1"/>
    </row>
    <row r="36" spans="1:20" x14ac:dyDescent="0.3">
      <c r="A36" s="5">
        <v>45348</v>
      </c>
      <c r="B36" s="1" t="s">
        <v>82</v>
      </c>
      <c r="C36" s="1" t="s">
        <v>24</v>
      </c>
      <c r="E36" s="6">
        <v>31.5</v>
      </c>
      <c r="H36" s="5" t="s">
        <v>73</v>
      </c>
      <c r="I36" s="9">
        <f xml:space="preserve"> SUMIF(B:B, "Spesa carne",E:E)</f>
        <v>39.049999999999997</v>
      </c>
      <c r="J36" s="31">
        <f>I36/J9</f>
        <v>4.4933089394410125E-2</v>
      </c>
      <c r="T36" s="1"/>
    </row>
    <row r="37" spans="1:20" x14ac:dyDescent="0.3">
      <c r="A37" s="5">
        <v>45348</v>
      </c>
      <c r="B37" s="1" t="s">
        <v>21</v>
      </c>
      <c r="C37" s="1" t="s">
        <v>24</v>
      </c>
      <c r="E37" s="6">
        <v>12.9</v>
      </c>
      <c r="H37" s="5" t="s">
        <v>119</v>
      </c>
      <c r="I37" s="9">
        <f>SUMIF(B:B, "Bolletta gas",E:E)</f>
        <v>0</v>
      </c>
      <c r="J37" s="31">
        <f>IF(I37/J9 = 0, 0, I37/J9)</f>
        <v>0</v>
      </c>
      <c r="T37" s="1"/>
    </row>
    <row r="38" spans="1:20" x14ac:dyDescent="0.3">
      <c r="A38" s="5">
        <v>45348</v>
      </c>
      <c r="B38" s="1" t="s">
        <v>83</v>
      </c>
      <c r="C38" s="1" t="s">
        <v>24</v>
      </c>
      <c r="E38" s="6">
        <v>6</v>
      </c>
      <c r="H38" s="5" t="s">
        <v>74</v>
      </c>
      <c r="I38" s="9">
        <f>SUMIF(B:B, "Bolletta luce",E:E)</f>
        <v>75.8</v>
      </c>
      <c r="J38" s="31">
        <f>I38/J9</f>
        <v>8.7219671602977916E-2</v>
      </c>
      <c r="T38" s="1"/>
    </row>
    <row r="39" spans="1:20" x14ac:dyDescent="0.3">
      <c r="A39" s="5">
        <v>45348</v>
      </c>
      <c r="B39" s="1" t="s">
        <v>84</v>
      </c>
      <c r="C39" s="1" t="s">
        <v>24</v>
      </c>
      <c r="E39" s="6">
        <v>3</v>
      </c>
      <c r="I39" s="23"/>
      <c r="J39" s="31"/>
      <c r="T39" s="1"/>
    </row>
    <row r="40" spans="1:20" x14ac:dyDescent="0.3">
      <c r="A40" s="5">
        <v>45348</v>
      </c>
      <c r="B40" s="1" t="s">
        <v>85</v>
      </c>
      <c r="C40" s="1" t="s">
        <v>24</v>
      </c>
      <c r="E40" s="6">
        <v>10.86</v>
      </c>
      <c r="I40" s="23"/>
      <c r="J40" s="31"/>
      <c r="T40" s="1"/>
    </row>
    <row r="41" spans="1:20" x14ac:dyDescent="0.3">
      <c r="A41" s="5">
        <v>45348</v>
      </c>
      <c r="B41" s="1" t="s">
        <v>86</v>
      </c>
      <c r="C41" s="1" t="s">
        <v>24</v>
      </c>
      <c r="E41" s="6">
        <v>75</v>
      </c>
      <c r="I41" s="23"/>
      <c r="T41" s="1"/>
    </row>
    <row r="42" spans="1:20" x14ac:dyDescent="0.3">
      <c r="A42" s="5">
        <v>45348</v>
      </c>
      <c r="B42" s="1" t="s">
        <v>87</v>
      </c>
      <c r="C42" s="1" t="s">
        <v>23</v>
      </c>
      <c r="E42" s="6">
        <v>3008</v>
      </c>
      <c r="I42" s="23"/>
      <c r="T42" s="1"/>
    </row>
    <row r="43" spans="1:20" x14ac:dyDescent="0.3">
      <c r="A43" s="5">
        <v>45349</v>
      </c>
      <c r="B43" s="1" t="s">
        <v>87</v>
      </c>
      <c r="C43" s="1" t="s">
        <v>23</v>
      </c>
      <c r="E43" s="6">
        <v>5009.5</v>
      </c>
      <c r="I43" s="23"/>
      <c r="T43" s="1"/>
    </row>
    <row r="44" spans="1:20" x14ac:dyDescent="0.3">
      <c r="A44" s="5">
        <v>45351</v>
      </c>
      <c r="B44" s="1" t="s">
        <v>10</v>
      </c>
      <c r="C44" s="1" t="s">
        <v>24</v>
      </c>
      <c r="E44" s="6">
        <v>81.98</v>
      </c>
      <c r="I44" s="23"/>
      <c r="T44" s="1"/>
    </row>
    <row r="45" spans="1:20" x14ac:dyDescent="0.3">
      <c r="I45" s="23"/>
      <c r="T45" s="1"/>
    </row>
    <row r="46" spans="1:20" x14ac:dyDescent="0.3">
      <c r="I46" s="23"/>
      <c r="T46" s="1"/>
    </row>
    <row r="47" spans="1:20" x14ac:dyDescent="0.3">
      <c r="I47" s="23"/>
      <c r="T47" s="1"/>
    </row>
    <row r="48" spans="1:20" x14ac:dyDescent="0.3">
      <c r="I48" s="23"/>
      <c r="T48" s="1"/>
    </row>
    <row r="49" spans="8:20" s="1" customFormat="1" x14ac:dyDescent="0.3">
      <c r="H49" s="5"/>
      <c r="I49" s="23"/>
      <c r="J49" s="9"/>
      <c r="K49" s="9"/>
      <c r="L49" s="9"/>
      <c r="M49" s="13"/>
      <c r="N49" s="9"/>
      <c r="O49" s="9"/>
      <c r="P49" s="9"/>
      <c r="Q49" s="9"/>
      <c r="R49" s="9"/>
      <c r="S49" s="9"/>
    </row>
    <row r="50" spans="8:20" s="1" customFormat="1" x14ac:dyDescent="0.3">
      <c r="I50" s="23"/>
      <c r="J50" s="9"/>
    </row>
    <row r="51" spans="8:20" s="1" customFormat="1" x14ac:dyDescent="0.3">
      <c r="H51" s="5"/>
      <c r="K51" s="9"/>
      <c r="L51" s="9"/>
      <c r="M51" s="13"/>
      <c r="N51" s="9"/>
      <c r="O51" s="9"/>
      <c r="P51" s="9"/>
      <c r="Q51" s="9"/>
      <c r="R51" s="9"/>
      <c r="S51" s="9"/>
      <c r="T51" s="9"/>
    </row>
  </sheetData>
  <mergeCells count="5">
    <mergeCell ref="J10:K10"/>
    <mergeCell ref="M10:N10"/>
    <mergeCell ref="P10:Q10"/>
    <mergeCell ref="S10:T10"/>
    <mergeCell ref="V10:W1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/>
  <dimension ref="A1:W57"/>
  <sheetViews>
    <sheetView topLeftCell="C28" zoomScaleNormal="100" workbookViewId="0">
      <selection activeCell="J35" sqref="J35"/>
    </sheetView>
  </sheetViews>
  <sheetFormatPr defaultColWidth="9.109375" defaultRowHeight="14.4" x14ac:dyDescent="0.3"/>
  <cols>
    <col min="1" max="1" width="18" style="5" bestFit="1" customWidth="1"/>
    <col min="2" max="2" width="16.88671875" style="1" bestFit="1" customWidth="1"/>
    <col min="3" max="3" width="24.88671875" style="1" bestFit="1" customWidth="1"/>
    <col min="4" max="4" width="11.44140625" style="6" bestFit="1" customWidth="1"/>
    <col min="5" max="5" width="10.109375" style="6" bestFit="1" customWidth="1"/>
    <col min="6" max="7" width="9.109375" style="1"/>
    <col min="8" max="8" width="40.88671875" style="5" bestFit="1" customWidth="1"/>
    <col min="9" max="9" width="25.109375" style="9" bestFit="1" customWidth="1"/>
    <col min="10" max="10" width="11.44140625" style="9" bestFit="1" customWidth="1"/>
    <col min="11" max="11" width="19.5546875" style="9" bestFit="1" customWidth="1"/>
    <col min="12" max="12" width="18.6640625" style="9" bestFit="1" customWidth="1"/>
    <col min="13" max="13" width="11.44140625" style="13" bestFit="1" customWidth="1"/>
    <col min="14" max="14" width="10.109375" style="9" bestFit="1" customWidth="1"/>
    <col min="15" max="15" width="9.109375" style="9"/>
    <col min="16" max="16" width="11.44140625" style="9" bestFit="1" customWidth="1"/>
    <col min="17" max="17" width="10.109375" style="9" bestFit="1" customWidth="1"/>
    <col min="18" max="18" width="9.109375" style="9"/>
    <col min="19" max="19" width="11.44140625" style="9" bestFit="1" customWidth="1"/>
    <col min="20" max="20" width="10.109375" style="9" bestFit="1" customWidth="1"/>
    <col min="21" max="21" width="9.109375" style="1"/>
    <col min="22" max="22" width="11.44140625" style="1" bestFit="1" customWidth="1"/>
    <col min="23" max="23" width="10.109375" style="1" bestFit="1" customWidth="1"/>
    <col min="24" max="16384" width="9.109375" style="1"/>
  </cols>
  <sheetData>
    <row r="1" spans="1:23" s="3" customFormat="1" ht="18" x14ac:dyDescent="0.3">
      <c r="A1" s="2" t="s">
        <v>5</v>
      </c>
      <c r="B1" s="3" t="s">
        <v>2</v>
      </c>
      <c r="C1" s="3" t="s">
        <v>36</v>
      </c>
      <c r="D1" s="4" t="s">
        <v>0</v>
      </c>
      <c r="E1" s="4" t="s">
        <v>1</v>
      </c>
      <c r="H1" s="12"/>
      <c r="I1" s="18" t="s">
        <v>50</v>
      </c>
      <c r="J1" s="18" t="s">
        <v>51</v>
      </c>
      <c r="K1" s="18" t="s">
        <v>70</v>
      </c>
      <c r="L1" s="18" t="s">
        <v>95</v>
      </c>
      <c r="M1" s="14"/>
      <c r="N1" s="12"/>
      <c r="O1" s="12"/>
      <c r="P1" s="12"/>
      <c r="Q1" s="12"/>
      <c r="R1" s="11"/>
      <c r="S1" s="11"/>
      <c r="T1" s="11"/>
    </row>
    <row r="2" spans="1:23" x14ac:dyDescent="0.3">
      <c r="A2" s="5">
        <v>45352</v>
      </c>
      <c r="B2" s="1" t="s">
        <v>106</v>
      </c>
      <c r="C2" s="1" t="s">
        <v>107</v>
      </c>
      <c r="D2" s="6">
        <v>8.2899999999999991</v>
      </c>
      <c r="H2" s="7" t="s">
        <v>63</v>
      </c>
      <c r="I2" s="6">
        <f>Febbraio!J2</f>
        <v>50</v>
      </c>
      <c r="J2" s="25"/>
      <c r="K2" s="1"/>
      <c r="L2" s="6">
        <f>I2 + SUM(M:M) - SUM(N:N)</f>
        <v>50</v>
      </c>
      <c r="M2" s="15"/>
      <c r="N2" s="1"/>
      <c r="O2" s="1"/>
      <c r="P2" s="1"/>
      <c r="Q2" s="1"/>
    </row>
    <row r="3" spans="1:23" x14ac:dyDescent="0.3">
      <c r="A3" s="5">
        <v>45352</v>
      </c>
      <c r="B3" s="1" t="s">
        <v>108</v>
      </c>
      <c r="C3" s="1" t="s">
        <v>107</v>
      </c>
      <c r="E3" s="6">
        <v>10</v>
      </c>
      <c r="H3" s="7" t="s">
        <v>64</v>
      </c>
      <c r="I3" s="6">
        <f>Febbraio!J3</f>
        <v>209.71</v>
      </c>
      <c r="J3" s="25"/>
      <c r="K3" s="1"/>
      <c r="L3" s="29">
        <f>I3 + SUM(J12:J22) - SUM(K:K)</f>
        <v>-1439.29</v>
      </c>
      <c r="M3" s="16"/>
      <c r="N3" s="1"/>
      <c r="O3" s="1"/>
    </row>
    <row r="4" spans="1:23" x14ac:dyDescent="0.3">
      <c r="A4" s="5">
        <v>45352</v>
      </c>
      <c r="B4" s="1" t="s">
        <v>109</v>
      </c>
      <c r="C4" s="1" t="s">
        <v>107</v>
      </c>
      <c r="E4" s="6">
        <v>22.98</v>
      </c>
      <c r="H4" s="7" t="s">
        <v>65</v>
      </c>
      <c r="I4" s="6">
        <f>Febbraio!J4</f>
        <v>15000.4</v>
      </c>
      <c r="J4" s="25"/>
      <c r="K4" s="1"/>
      <c r="L4" s="29">
        <f>I4 + SUM(P:P) - SUM(Q12:Q22)</f>
        <v>14940.400000000001</v>
      </c>
      <c r="M4" s="15"/>
      <c r="N4" s="1"/>
      <c r="O4" s="1"/>
    </row>
    <row r="5" spans="1:23" x14ac:dyDescent="0.3">
      <c r="A5" s="5">
        <v>45355</v>
      </c>
      <c r="B5" s="1" t="s">
        <v>61</v>
      </c>
      <c r="C5" s="1" t="s">
        <v>24</v>
      </c>
      <c r="D5" s="6">
        <v>54.46</v>
      </c>
      <c r="H5" s="8" t="s">
        <v>66</v>
      </c>
      <c r="I5" s="6">
        <f>Febbraio!J5</f>
        <v>193.43</v>
      </c>
      <c r="J5" s="25"/>
      <c r="L5" s="9">
        <f>I5 + SUM(V:V) - SUM(W:W)</f>
        <v>193.43</v>
      </c>
    </row>
    <row r="6" spans="1:23" x14ac:dyDescent="0.3">
      <c r="A6" s="5">
        <v>45355</v>
      </c>
      <c r="B6" s="1" t="s">
        <v>97</v>
      </c>
      <c r="C6" s="1" t="s">
        <v>24</v>
      </c>
      <c r="E6" s="6">
        <v>3.6</v>
      </c>
      <c r="H6" s="8" t="s">
        <v>68</v>
      </c>
      <c r="I6" s="6">
        <f>Febbraio!J6</f>
        <v>2180.06</v>
      </c>
      <c r="J6" s="25"/>
    </row>
    <row r="7" spans="1:23" x14ac:dyDescent="0.3">
      <c r="A7" s="5">
        <v>45355</v>
      </c>
      <c r="B7" s="1" t="s">
        <v>98</v>
      </c>
      <c r="C7" s="1" t="s">
        <v>24</v>
      </c>
      <c r="E7" s="6">
        <v>26.25</v>
      </c>
      <c r="H7" s="19" t="s">
        <v>67</v>
      </c>
      <c r="I7" s="6">
        <f>Febbraio!J7</f>
        <v>17633.600000000002</v>
      </c>
      <c r="J7" s="6">
        <f>SUM(J2:J6)</f>
        <v>0</v>
      </c>
      <c r="K7" s="27">
        <f>(J7-I7)/I7</f>
        <v>-1</v>
      </c>
      <c r="L7" s="9">
        <f>J7+J8-I7</f>
        <v>-17633.600000000002</v>
      </c>
    </row>
    <row r="8" spans="1:23" x14ac:dyDescent="0.3">
      <c r="A8" s="5">
        <v>45355</v>
      </c>
      <c r="B8" s="1" t="s">
        <v>99</v>
      </c>
      <c r="C8" s="1" t="s">
        <v>24</v>
      </c>
      <c r="E8" s="6">
        <v>28.5</v>
      </c>
      <c r="H8" s="1"/>
      <c r="I8" s="1"/>
      <c r="L8" s="26">
        <f>(J7+J8-I7)/I7</f>
        <v>-1</v>
      </c>
    </row>
    <row r="9" spans="1:23" x14ac:dyDescent="0.3">
      <c r="A9" s="5">
        <v>45355</v>
      </c>
      <c r="B9" s="1" t="s">
        <v>100</v>
      </c>
      <c r="C9" s="1" t="s">
        <v>24</v>
      </c>
      <c r="E9" s="6">
        <v>5.5</v>
      </c>
      <c r="H9" s="5" t="s">
        <v>27</v>
      </c>
      <c r="I9" s="9">
        <f>SUM(E:E)</f>
        <v>1234.48</v>
      </c>
    </row>
    <row r="10" spans="1:23" ht="21" x14ac:dyDescent="0.3">
      <c r="A10" s="5">
        <v>45355</v>
      </c>
      <c r="B10" s="1" t="s">
        <v>98</v>
      </c>
      <c r="C10" s="1" t="s">
        <v>24</v>
      </c>
      <c r="E10" s="6">
        <v>2.77</v>
      </c>
      <c r="H10" s="2"/>
      <c r="I10" s="1"/>
      <c r="J10" s="32" t="s">
        <v>23</v>
      </c>
      <c r="K10" s="32"/>
      <c r="L10" s="11"/>
      <c r="M10" s="32" t="s">
        <v>22</v>
      </c>
      <c r="N10" s="32"/>
      <c r="O10" s="10"/>
      <c r="P10" s="32" t="s">
        <v>24</v>
      </c>
      <c r="Q10" s="32"/>
      <c r="S10" s="33" t="s">
        <v>14</v>
      </c>
      <c r="T10" s="33"/>
      <c r="V10" s="33" t="s">
        <v>30</v>
      </c>
      <c r="W10" s="33"/>
    </row>
    <row r="11" spans="1:23" ht="18" x14ac:dyDescent="0.3">
      <c r="A11" s="5">
        <v>45355</v>
      </c>
      <c r="B11" s="1" t="s">
        <v>21</v>
      </c>
      <c r="C11" s="1" t="s">
        <v>24</v>
      </c>
      <c r="E11" s="6">
        <v>18.45</v>
      </c>
      <c r="H11" s="2" t="s">
        <v>5</v>
      </c>
      <c r="I11" s="3" t="s">
        <v>2</v>
      </c>
      <c r="J11" s="11" t="s">
        <v>0</v>
      </c>
      <c r="K11" s="11" t="s">
        <v>1</v>
      </c>
      <c r="L11" s="11"/>
      <c r="M11" s="17" t="s">
        <v>0</v>
      </c>
      <c r="N11" s="11" t="s">
        <v>1</v>
      </c>
      <c r="O11" s="1"/>
      <c r="P11" s="11" t="s">
        <v>0</v>
      </c>
      <c r="Q11" s="11" t="s">
        <v>1</v>
      </c>
      <c r="S11" s="11" t="s">
        <v>0</v>
      </c>
      <c r="T11" s="11" t="s">
        <v>1</v>
      </c>
      <c r="V11" s="11" t="s">
        <v>0</v>
      </c>
      <c r="W11" s="11" t="s">
        <v>1</v>
      </c>
    </row>
    <row r="12" spans="1:23" x14ac:dyDescent="0.3">
      <c r="A12" s="5">
        <v>45355</v>
      </c>
      <c r="B12" s="1" t="s">
        <v>101</v>
      </c>
      <c r="C12" s="1" t="s">
        <v>24</v>
      </c>
      <c r="E12" s="6">
        <v>4.95</v>
      </c>
      <c r="H12" s="5">
        <v>45356</v>
      </c>
      <c r="I12" s="1" t="s">
        <v>102</v>
      </c>
      <c r="J12" s="9">
        <v>150</v>
      </c>
      <c r="Q12" s="9">
        <v>150</v>
      </c>
      <c r="V12" s="9"/>
      <c r="W12" s="9"/>
    </row>
    <row r="13" spans="1:23" x14ac:dyDescent="0.3">
      <c r="A13" s="5">
        <v>45356</v>
      </c>
      <c r="B13" s="1" t="s">
        <v>110</v>
      </c>
      <c r="C13" s="1" t="s">
        <v>107</v>
      </c>
      <c r="E13" s="6">
        <v>232.11</v>
      </c>
      <c r="H13" s="5">
        <v>45356</v>
      </c>
      <c r="I13" s="23" t="s">
        <v>96</v>
      </c>
      <c r="Q13" s="9">
        <v>300</v>
      </c>
      <c r="S13" s="9">
        <v>300</v>
      </c>
      <c r="V13" s="9"/>
      <c r="W13" s="9"/>
    </row>
    <row r="14" spans="1:23" x14ac:dyDescent="0.3">
      <c r="A14" s="5">
        <v>45356</v>
      </c>
      <c r="B14" s="1" t="s">
        <v>13</v>
      </c>
      <c r="C14" s="1" t="s">
        <v>24</v>
      </c>
      <c r="E14" s="6">
        <v>3.96</v>
      </c>
      <c r="H14" s="5">
        <v>45357</v>
      </c>
      <c r="I14" s="23" t="s">
        <v>96</v>
      </c>
      <c r="Q14" s="9">
        <v>200</v>
      </c>
      <c r="S14" s="9">
        <v>200</v>
      </c>
      <c r="V14" s="9"/>
      <c r="W14" s="9"/>
    </row>
    <row r="15" spans="1:23" x14ac:dyDescent="0.3">
      <c r="A15" s="5">
        <v>45356</v>
      </c>
      <c r="B15" s="1" t="s">
        <v>13</v>
      </c>
      <c r="C15" s="1" t="s">
        <v>24</v>
      </c>
      <c r="E15" s="6">
        <v>19.88</v>
      </c>
      <c r="H15" s="5">
        <v>45359</v>
      </c>
      <c r="I15" s="23" t="s">
        <v>103</v>
      </c>
      <c r="K15" s="9">
        <v>1800</v>
      </c>
      <c r="P15" s="9">
        <v>1800</v>
      </c>
      <c r="V15" s="9"/>
      <c r="W15" s="9"/>
    </row>
    <row r="16" spans="1:23" x14ac:dyDescent="0.3">
      <c r="A16" s="5">
        <v>45359</v>
      </c>
      <c r="B16" s="1" t="s">
        <v>13</v>
      </c>
      <c r="C16" s="1" t="s">
        <v>24</v>
      </c>
      <c r="E16" s="6">
        <v>8.01</v>
      </c>
      <c r="H16" s="5">
        <v>45362</v>
      </c>
      <c r="I16" s="23" t="s">
        <v>96</v>
      </c>
      <c r="Q16" s="9">
        <v>220</v>
      </c>
      <c r="S16" s="9">
        <v>220</v>
      </c>
    </row>
    <row r="17" spans="1:23" x14ac:dyDescent="0.3">
      <c r="A17" s="5">
        <v>45359</v>
      </c>
      <c r="B17" s="1" t="s">
        <v>15</v>
      </c>
      <c r="C17" s="1" t="s">
        <v>107</v>
      </c>
      <c r="D17" s="6">
        <v>1958.81</v>
      </c>
      <c r="H17" s="5">
        <v>45362</v>
      </c>
      <c r="I17" s="23" t="s">
        <v>96</v>
      </c>
      <c r="Q17" s="9">
        <v>300</v>
      </c>
      <c r="S17" s="9">
        <v>300</v>
      </c>
      <c r="T17" s="1"/>
    </row>
    <row r="18" spans="1:23" x14ac:dyDescent="0.3">
      <c r="A18" s="5">
        <v>45362</v>
      </c>
      <c r="B18" s="1" t="s">
        <v>104</v>
      </c>
      <c r="C18" s="1" t="s">
        <v>24</v>
      </c>
      <c r="E18" s="6">
        <v>21.5</v>
      </c>
      <c r="H18" s="5">
        <v>45363</v>
      </c>
      <c r="I18" s="23" t="s">
        <v>96</v>
      </c>
      <c r="Q18" s="9">
        <v>290</v>
      </c>
      <c r="S18" s="9">
        <v>290</v>
      </c>
      <c r="T18" s="1"/>
    </row>
    <row r="19" spans="1:23" x14ac:dyDescent="0.3">
      <c r="A19" s="5">
        <v>45362</v>
      </c>
      <c r="B19" s="1" t="s">
        <v>105</v>
      </c>
      <c r="C19" s="1" t="s">
        <v>24</v>
      </c>
      <c r="E19" s="6">
        <v>200</v>
      </c>
      <c r="H19" s="5">
        <v>45365</v>
      </c>
      <c r="I19" s="23" t="s">
        <v>96</v>
      </c>
      <c r="Q19" s="9">
        <v>200</v>
      </c>
      <c r="S19" s="9">
        <v>200</v>
      </c>
      <c r="T19" s="1"/>
      <c r="U19" s="9"/>
    </row>
    <row r="20" spans="1:23" x14ac:dyDescent="0.3">
      <c r="A20" s="5">
        <v>45362</v>
      </c>
      <c r="B20" s="1" t="s">
        <v>13</v>
      </c>
      <c r="C20" s="1" t="s">
        <v>24</v>
      </c>
      <c r="E20" s="6">
        <v>2.66</v>
      </c>
      <c r="H20" s="5">
        <v>45369</v>
      </c>
      <c r="I20" s="23" t="s">
        <v>96</v>
      </c>
      <c r="Q20" s="9">
        <v>200</v>
      </c>
      <c r="S20" s="9">
        <v>200</v>
      </c>
      <c r="T20" s="1"/>
      <c r="U20" s="9"/>
      <c r="V20" s="6"/>
      <c r="W20" s="6"/>
    </row>
    <row r="21" spans="1:23" x14ac:dyDescent="0.3">
      <c r="A21" s="5">
        <v>45363</v>
      </c>
      <c r="B21" s="1" t="s">
        <v>13</v>
      </c>
      <c r="C21" s="1" t="s">
        <v>24</v>
      </c>
      <c r="E21" s="6">
        <v>3.64</v>
      </c>
      <c r="I21" s="23"/>
      <c r="T21" s="1"/>
      <c r="U21" s="9"/>
      <c r="V21" s="6"/>
      <c r="W21" s="6"/>
    </row>
    <row r="22" spans="1:23" x14ac:dyDescent="0.3">
      <c r="A22" s="5">
        <v>45363</v>
      </c>
      <c r="B22" s="1" t="s">
        <v>113</v>
      </c>
      <c r="C22" s="1" t="s">
        <v>24</v>
      </c>
      <c r="E22" s="6">
        <v>16</v>
      </c>
      <c r="I22" s="23"/>
      <c r="T22" s="1"/>
      <c r="U22" s="9"/>
      <c r="V22" s="6"/>
      <c r="W22" s="6"/>
    </row>
    <row r="23" spans="1:23" x14ac:dyDescent="0.3">
      <c r="A23" s="5">
        <v>45364</v>
      </c>
      <c r="B23" s="1" t="s">
        <v>104</v>
      </c>
      <c r="C23" s="1" t="s">
        <v>24</v>
      </c>
      <c r="E23" s="6">
        <v>7</v>
      </c>
      <c r="I23" s="23"/>
      <c r="T23" s="1"/>
      <c r="U23" s="9"/>
      <c r="V23" s="6"/>
      <c r="W23" s="6"/>
    </row>
    <row r="24" spans="1:23" x14ac:dyDescent="0.3">
      <c r="A24" s="5">
        <v>45365</v>
      </c>
      <c r="B24" s="1" t="s">
        <v>119</v>
      </c>
      <c r="C24" s="1" t="s">
        <v>24</v>
      </c>
      <c r="E24" s="6">
        <v>247.71</v>
      </c>
      <c r="I24" s="23"/>
      <c r="T24" s="1"/>
      <c r="U24" s="9"/>
    </row>
    <row r="25" spans="1:23" x14ac:dyDescent="0.3">
      <c r="A25" s="5">
        <v>45365</v>
      </c>
      <c r="B25" s="1" t="s">
        <v>113</v>
      </c>
      <c r="C25" s="1" t="s">
        <v>24</v>
      </c>
      <c r="E25" s="6">
        <v>100</v>
      </c>
      <c r="H25" s="8" t="s">
        <v>118</v>
      </c>
      <c r="I25" s="9">
        <f>SUM(S:S)-SUM(T:T)</f>
        <v>1710</v>
      </c>
      <c r="T25" s="1"/>
      <c r="U25" s="9"/>
    </row>
    <row r="26" spans="1:23" x14ac:dyDescent="0.3">
      <c r="A26" s="5">
        <v>45368</v>
      </c>
      <c r="B26" s="1" t="s">
        <v>115</v>
      </c>
      <c r="C26" s="1" t="s">
        <v>30</v>
      </c>
      <c r="E26" s="6">
        <v>1.34</v>
      </c>
      <c r="H26" s="8" t="s">
        <v>117</v>
      </c>
      <c r="I26" s="9">
        <f>I25 + Febbraio!I27</f>
        <v>3846</v>
      </c>
      <c r="T26" s="1"/>
      <c r="U26" s="9"/>
    </row>
    <row r="27" spans="1:23" x14ac:dyDescent="0.3">
      <c r="A27" s="5">
        <v>45369</v>
      </c>
      <c r="B27" s="1" t="s">
        <v>114</v>
      </c>
      <c r="C27" s="1" t="s">
        <v>24</v>
      </c>
      <c r="E27" s="6">
        <v>0.99</v>
      </c>
      <c r="H27" s="8" t="s">
        <v>93</v>
      </c>
      <c r="I27" s="9">
        <f>I28+I29</f>
        <v>3895.4500000000003</v>
      </c>
      <c r="T27" s="1"/>
    </row>
    <row r="28" spans="1:23" x14ac:dyDescent="0.3">
      <c r="A28" s="5">
        <v>45369</v>
      </c>
      <c r="B28" s="1" t="s">
        <v>99</v>
      </c>
      <c r="C28" s="1" t="s">
        <v>24</v>
      </c>
      <c r="E28" s="6">
        <v>2.9</v>
      </c>
      <c r="H28" s="28" t="s">
        <v>92</v>
      </c>
      <c r="I28" s="9">
        <v>3840.84</v>
      </c>
      <c r="T28" s="1"/>
    </row>
    <row r="29" spans="1:23" x14ac:dyDescent="0.3">
      <c r="A29" s="5">
        <v>45369</v>
      </c>
      <c r="B29" s="1" t="s">
        <v>105</v>
      </c>
      <c r="C29" s="1" t="s">
        <v>24</v>
      </c>
      <c r="E29" s="6">
        <v>3</v>
      </c>
      <c r="H29" s="28" t="s">
        <v>91</v>
      </c>
      <c r="I29" s="9">
        <v>54.61</v>
      </c>
      <c r="T29" s="1"/>
    </row>
    <row r="30" spans="1:23" x14ac:dyDescent="0.3">
      <c r="A30" s="5">
        <v>45370</v>
      </c>
      <c r="B30" s="1" t="s">
        <v>13</v>
      </c>
      <c r="C30" s="1" t="s">
        <v>24</v>
      </c>
      <c r="E30" s="6">
        <v>25.36</v>
      </c>
      <c r="H30" s="23"/>
      <c r="T30" s="1"/>
    </row>
    <row r="31" spans="1:23" x14ac:dyDescent="0.3">
      <c r="A31" s="5">
        <v>45370</v>
      </c>
      <c r="B31" s="1" t="s">
        <v>13</v>
      </c>
      <c r="C31" s="1" t="s">
        <v>24</v>
      </c>
      <c r="E31" s="6">
        <v>5.12</v>
      </c>
      <c r="H31" s="28" t="s">
        <v>94</v>
      </c>
      <c r="I31" s="30">
        <f>I27-I26</f>
        <v>49.450000000000273</v>
      </c>
      <c r="J31" s="26">
        <f>(I27-I26)/I26</f>
        <v>1.2857514300572094E-2</v>
      </c>
      <c r="T31" s="1"/>
    </row>
    <row r="32" spans="1:23" x14ac:dyDescent="0.3">
      <c r="A32" s="5">
        <v>45370</v>
      </c>
      <c r="B32" s="1" t="s">
        <v>13</v>
      </c>
      <c r="C32" s="1" t="s">
        <v>24</v>
      </c>
      <c r="E32" s="6">
        <v>16.239999999999998</v>
      </c>
      <c r="I32" s="23"/>
      <c r="T32" s="1"/>
    </row>
    <row r="33" spans="1:20" x14ac:dyDescent="0.3">
      <c r="A33" s="5">
        <v>45370</v>
      </c>
      <c r="B33" s="1" t="s">
        <v>13</v>
      </c>
      <c r="C33" s="1" t="s">
        <v>24</v>
      </c>
      <c r="E33" s="6">
        <v>23.79</v>
      </c>
      <c r="H33" s="5" t="s">
        <v>71</v>
      </c>
      <c r="I33" s="9">
        <f xml:space="preserve"> SUMIF(B:B, "Diesel golf",E:E)</f>
        <v>71.58</v>
      </c>
      <c r="J33" s="31">
        <f>I33/I9</f>
        <v>5.7983928455706046E-2</v>
      </c>
      <c r="T33" s="1"/>
    </row>
    <row r="34" spans="1:20" x14ac:dyDescent="0.3">
      <c r="A34" s="5">
        <v>45371</v>
      </c>
      <c r="B34" s="24" t="s">
        <v>61</v>
      </c>
      <c r="C34" s="1" t="s">
        <v>24</v>
      </c>
      <c r="D34" s="6">
        <v>4.9000000000000004</v>
      </c>
      <c r="H34" s="5" t="s">
        <v>72</v>
      </c>
      <c r="I34" s="9">
        <f>SUMIF(B:B, "Spesa",E:E)</f>
        <v>139.72999999999999</v>
      </c>
      <c r="J34" s="31">
        <f>I34/I9</f>
        <v>0.11318935908236666</v>
      </c>
      <c r="T34" s="1"/>
    </row>
    <row r="35" spans="1:20" x14ac:dyDescent="0.3">
      <c r="A35" s="5">
        <v>45372</v>
      </c>
      <c r="B35" s="24" t="s">
        <v>21</v>
      </c>
      <c r="C35" s="1" t="s">
        <v>24</v>
      </c>
      <c r="E35" s="6">
        <v>21.62</v>
      </c>
      <c r="H35" s="5" t="s">
        <v>73</v>
      </c>
      <c r="I35" s="9">
        <f xml:space="preserve"> SUMIF(B:B, "Spesa carne",E:E)</f>
        <v>0</v>
      </c>
      <c r="J35" s="31">
        <f>I35/I9</f>
        <v>0</v>
      </c>
      <c r="T35" s="1"/>
    </row>
    <row r="36" spans="1:20" x14ac:dyDescent="0.3">
      <c r="A36" s="5">
        <v>45372</v>
      </c>
      <c r="B36" s="24" t="s">
        <v>13</v>
      </c>
      <c r="C36" s="1" t="s">
        <v>24</v>
      </c>
      <c r="E36" s="6">
        <v>12.82</v>
      </c>
      <c r="H36" s="5" t="s">
        <v>111</v>
      </c>
      <c r="I36" s="9">
        <f>SUMIF(B:B, "Ristoranti",E:E)</f>
        <v>63.5</v>
      </c>
      <c r="J36" s="31">
        <f>I36/I9</f>
        <v>5.1438662432765209E-2</v>
      </c>
      <c r="T36" s="1"/>
    </row>
    <row r="37" spans="1:20" x14ac:dyDescent="0.3">
      <c r="A37" s="5">
        <v>45373</v>
      </c>
      <c r="B37" s="1" t="s">
        <v>104</v>
      </c>
      <c r="C37" s="1" t="s">
        <v>24</v>
      </c>
      <c r="E37" s="6">
        <v>35</v>
      </c>
      <c r="H37" s="5" t="s">
        <v>112</v>
      </c>
      <c r="I37" s="9">
        <f>SUMIF(B:B, "Bar",E:E)</f>
        <v>36.4</v>
      </c>
      <c r="J37" s="31">
        <f>I37/I9</f>
        <v>2.9486099410278011E-2</v>
      </c>
      <c r="T37" s="1"/>
    </row>
    <row r="38" spans="1:20" x14ac:dyDescent="0.3">
      <c r="A38" s="5">
        <v>45373</v>
      </c>
      <c r="B38" s="1" t="s">
        <v>13</v>
      </c>
      <c r="C38" s="1" t="s">
        <v>24</v>
      </c>
      <c r="E38" s="6">
        <v>3.2</v>
      </c>
      <c r="H38" s="5" t="s">
        <v>119</v>
      </c>
      <c r="I38" s="9">
        <f>SUMIF(B:B, "Bolletta gas",E:E)</f>
        <v>247.71</v>
      </c>
      <c r="J38" s="31">
        <f>I38/I9</f>
        <v>0.20065938694835073</v>
      </c>
      <c r="T38" s="1"/>
    </row>
    <row r="39" spans="1:20" x14ac:dyDescent="0.3">
      <c r="A39" s="5">
        <v>45376</v>
      </c>
      <c r="B39" s="1" t="s">
        <v>13</v>
      </c>
      <c r="C39" s="1" t="s">
        <v>24</v>
      </c>
      <c r="E39" s="6">
        <v>5.39</v>
      </c>
      <c r="H39" s="5" t="s">
        <v>74</v>
      </c>
      <c r="I39" s="9">
        <f>SUMIF(B:B, "Bolletta luce",E:E)</f>
        <v>0</v>
      </c>
      <c r="J39" s="31">
        <f>I39/I9</f>
        <v>0</v>
      </c>
      <c r="T39" s="1"/>
    </row>
    <row r="40" spans="1:20" x14ac:dyDescent="0.3">
      <c r="A40" s="5">
        <v>45376</v>
      </c>
      <c r="B40" s="1" t="s">
        <v>99</v>
      </c>
      <c r="C40" s="1" t="s">
        <v>24</v>
      </c>
      <c r="E40" s="6">
        <v>5</v>
      </c>
      <c r="I40" s="23"/>
      <c r="J40" s="31"/>
      <c r="T40" s="1"/>
    </row>
    <row r="41" spans="1:20" x14ac:dyDescent="0.3">
      <c r="A41" s="5">
        <v>45376</v>
      </c>
      <c r="B41" s="1" t="s">
        <v>105</v>
      </c>
      <c r="C41" s="1" t="s">
        <v>24</v>
      </c>
      <c r="E41" s="6">
        <v>6</v>
      </c>
      <c r="I41" s="23"/>
      <c r="T41" s="1"/>
    </row>
    <row r="42" spans="1:20" x14ac:dyDescent="0.3">
      <c r="A42" s="5">
        <v>45376</v>
      </c>
      <c r="B42" s="1" t="s">
        <v>10</v>
      </c>
      <c r="C42" s="1" t="s">
        <v>24</v>
      </c>
      <c r="E42" s="6">
        <v>71.58</v>
      </c>
      <c r="I42" s="23"/>
      <c r="T42" s="1"/>
    </row>
    <row r="43" spans="1:20" x14ac:dyDescent="0.3">
      <c r="A43" s="5">
        <v>45376</v>
      </c>
      <c r="B43" s="1" t="s">
        <v>13</v>
      </c>
      <c r="C43" s="1" t="s">
        <v>24</v>
      </c>
      <c r="E43" s="6">
        <v>9.66</v>
      </c>
      <c r="I43" s="23"/>
      <c r="T43" s="1"/>
    </row>
    <row r="44" spans="1:20" x14ac:dyDescent="0.3">
      <c r="I44" s="23"/>
      <c r="T44" s="1"/>
    </row>
    <row r="45" spans="1:20" x14ac:dyDescent="0.3">
      <c r="I45" s="23"/>
      <c r="T45" s="1"/>
    </row>
    <row r="46" spans="1:20" x14ac:dyDescent="0.3">
      <c r="I46" s="23"/>
      <c r="T46" s="1"/>
    </row>
    <row r="47" spans="1:20" x14ac:dyDescent="0.3">
      <c r="I47" s="23"/>
      <c r="T47" s="1"/>
    </row>
    <row r="48" spans="1:20" x14ac:dyDescent="0.3">
      <c r="I48" s="23"/>
      <c r="T48" s="1"/>
    </row>
    <row r="49" spans="1:20" x14ac:dyDescent="0.3">
      <c r="H49" s="1"/>
      <c r="I49" s="23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">
      <c r="I50" s="1"/>
      <c r="J50" s="1"/>
    </row>
    <row r="55" spans="1:20" x14ac:dyDescent="0.3">
      <c r="A55" s="1"/>
      <c r="D55" s="1"/>
      <c r="E55" s="1"/>
    </row>
    <row r="56" spans="1:20" x14ac:dyDescent="0.3">
      <c r="A56" s="1"/>
      <c r="D56" s="1"/>
      <c r="E56" s="1"/>
    </row>
    <row r="57" spans="1:20" x14ac:dyDescent="0.3">
      <c r="A57" s="1"/>
      <c r="D57" s="1"/>
      <c r="E57" s="1"/>
    </row>
  </sheetData>
  <mergeCells count="5">
    <mergeCell ref="J10:K10"/>
    <mergeCell ref="M10:N10"/>
    <mergeCell ref="P10:Q10"/>
    <mergeCell ref="S10:T10"/>
    <mergeCell ref="V10:W10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Gennaio</vt:lpstr>
      <vt:lpstr>Febbraio</vt:lpstr>
      <vt:lpstr>Marzo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Lazzaro</dc:creator>
  <cp:lastModifiedBy>Samuel Lazzaro</cp:lastModifiedBy>
  <dcterms:created xsi:type="dcterms:W3CDTF">2024-01-14T15:54:03Z</dcterms:created>
  <dcterms:modified xsi:type="dcterms:W3CDTF">2024-03-27T16:07:08Z</dcterms:modified>
</cp:coreProperties>
</file>