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 de caja" sheetId="1" r:id="rId4"/>
  </sheets>
  <definedNames/>
  <calcPr/>
  <extLst>
    <ext uri="GoogleSheetsCustomDataVersion2">
      <go:sheetsCustomData xmlns:go="http://customooxmlschemas.google.com/" r:id="rId5" roundtripDataChecksum="S8hGJP2TFatBcDeBIlhdGgNxoYxn4yrFlOPuvIVPoXI="/>
    </ext>
  </extLst>
</workbook>
</file>

<file path=xl/sharedStrings.xml><?xml version="1.0" encoding="utf-8"?>
<sst xmlns="http://schemas.openxmlformats.org/spreadsheetml/2006/main" count="88" uniqueCount="80">
  <si>
    <t>Usuarios Sub</t>
  </si>
  <si>
    <t>Licencias Empresas</t>
  </si>
  <si>
    <t>Centros medicos quilicura</t>
  </si>
  <si>
    <t>Centros medicos colina</t>
  </si>
  <si>
    <t>c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</si>
  <si>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</si>
  <si>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</si>
  <si>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</si>
  <si>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</si>
  <si>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</si>
  <si>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</si>
  <si>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</si>
  <si>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</si>
  <si>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</si>
  <si>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</si>
  <si>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</si>
  <si>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</si>
  <si>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</si>
  <si>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</si>
  <si>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Total</t>
  </si>
  <si>
    <t>ANTECEDENTES</t>
  </si>
  <si>
    <t>Sueldos Equipo Desarrollo</t>
  </si>
  <si>
    <t>Ingresos</t>
  </si>
  <si>
    <t>Precio Proyecto</t>
  </si>
  <si>
    <t>Cargo</t>
  </si>
  <si>
    <t>Sueldo Mensual</t>
  </si>
  <si>
    <t>Valor Hora</t>
  </si>
  <si>
    <t>/H</t>
  </si>
  <si>
    <t>"Sueldo Promedio"</t>
  </si>
  <si>
    <t>Inversión</t>
  </si>
  <si>
    <t>Costo</t>
  </si>
  <si>
    <t>Desarrollador</t>
  </si>
  <si>
    <t>Saldo anterior</t>
  </si>
  <si>
    <t>Ganancia</t>
  </si>
  <si>
    <t>Subscripcion</t>
  </si>
  <si>
    <t>Interes Bancario</t>
  </si>
  <si>
    <t>Licencia empresas</t>
  </si>
  <si>
    <t>Prestamo a Solicitar</t>
  </si>
  <si>
    <t>FINANCIERO</t>
  </si>
  <si>
    <t>Total sueldos / mes</t>
  </si>
  <si>
    <t>Otros</t>
  </si>
  <si>
    <t>Tasa Descuento</t>
  </si>
  <si>
    <t>Total sueldo / diario</t>
  </si>
  <si>
    <t>Total Ingresos</t>
  </si>
  <si>
    <t>INVERSION</t>
  </si>
  <si>
    <t>Flujo 1</t>
  </si>
  <si>
    <t>Flujo 5</t>
  </si>
  <si>
    <t>Flujo 9</t>
  </si>
  <si>
    <t>Flujo 13</t>
  </si>
  <si>
    <t>Egresos</t>
  </si>
  <si>
    <t>Flujo 2</t>
  </si>
  <si>
    <t>Flujo 6</t>
  </si>
  <si>
    <t>Flujo 10</t>
  </si>
  <si>
    <t>Flujo 14</t>
  </si>
  <si>
    <t>Flujo 3</t>
  </si>
  <si>
    <t>Flujo 7</t>
  </si>
  <si>
    <t>Flujo 11</t>
  </si>
  <si>
    <t>Registro de Dominio + Hosting</t>
  </si>
  <si>
    <t>Flujo 4</t>
  </si>
  <si>
    <t>Flujo 8</t>
  </si>
  <si>
    <t>Flujo 12</t>
  </si>
  <si>
    <t>Sueldos</t>
  </si>
  <si>
    <t>%</t>
  </si>
  <si>
    <t>VAN</t>
  </si>
  <si>
    <t>Inversion Marketing</t>
  </si>
  <si>
    <t>TIR</t>
  </si>
  <si>
    <t>Amortización Crédito</t>
  </si>
  <si>
    <t>ROI</t>
  </si>
  <si>
    <t>Total Egresos</t>
  </si>
  <si>
    <t>Flujo</t>
  </si>
  <si>
    <t xml:space="preserve">Licencia de empresa </t>
  </si>
  <si>
    <t>Cantidad Doctores</t>
  </si>
  <si>
    <t>Devolucion Total Prestamo</t>
  </si>
  <si>
    <t>&lt; 10 Pacientes</t>
  </si>
  <si>
    <t>Suma</t>
  </si>
  <si>
    <t xml:space="preserve"> ≥ 10 Pacientes</t>
  </si>
  <si>
    <t>Subscripcion usuario</t>
  </si>
  <si>
    <t xml:space="preserve">6 meses </t>
  </si>
  <si>
    <t>Constancia</t>
  </si>
  <si>
    <t>Referidos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</si>
</sst>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* #,##0_ ;_ * \-#,##0_ ;_ * &quot;-&quot;_ ;_ @_ "/>
    <numFmt numFmtId="165" formatCode="[$$]#,##0"/>
    <numFmt numFmtId="166" formatCode="_ * #,##0.00_ ;_ * \-#,##0.00_ ;_ * &quot;-&quot;_ ;_ @_ 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b/>
      <sz val="11.0"/>
      <color theme="1"/>
      <name val="Arial"/>
    </font>
    <font>
      <b/>
      <sz val="12.0"/>
      <color rgb="FFFF0000"/>
      <name val="Calibri"/>
    </font>
    <font>
      <sz val="11.0"/>
      <color theme="1"/>
      <name val="Arial"/>
    </font>
    <font>
      <sz val="11.0"/>
      <color rgb="FF000000"/>
      <name val="Calibri"/>
    </font>
    <font>
      <b/>
      <color rgb="FFFF0000"/>
      <name val="Calibri"/>
      <scheme val="minor"/>
    </font>
    <font>
      <b/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1" fillId="0" fontId="3" numFmtId="0" xfId="0" applyBorder="1" applyFont="1"/>
    <xf borderId="0" fillId="0" fontId="3" numFmtId="0" xfId="0" applyAlignment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4" fillId="2" fontId="1" numFmtId="0" xfId="0" applyAlignment="1" applyBorder="1" applyFill="1" applyFont="1">
      <alignment horizontal="center"/>
    </xf>
    <xf borderId="5" fillId="0" fontId="5" numFmtId="0" xfId="0" applyBorder="1" applyFont="1"/>
    <xf borderId="2" fillId="2" fontId="6" numFmtId="0" xfId="0" applyAlignment="1" applyBorder="1" applyFont="1">
      <alignment horizontal="center"/>
    </xf>
    <xf borderId="6" fillId="0" fontId="5" numFmtId="0" xfId="0" applyBorder="1" applyFont="1"/>
    <xf borderId="3" fillId="0" fontId="5" numFmtId="0" xfId="0" applyBorder="1" applyFont="1"/>
    <xf borderId="1" fillId="2" fontId="7" numFmtId="0" xfId="0" applyAlignment="1" applyBorder="1" applyFont="1">
      <alignment shrinkToFit="0" wrapText="1"/>
    </xf>
    <xf borderId="1" fillId="0" fontId="1" numFmtId="164" xfId="0" applyBorder="1" applyFont="1" applyNumberFormat="1"/>
    <xf borderId="1" fillId="0" fontId="1" numFmtId="164" xfId="0" applyAlignment="1" applyBorder="1" applyFont="1" applyNumberFormat="1">
      <alignment readingOrder="0"/>
    </xf>
    <xf borderId="0" fillId="0" fontId="1" numFmtId="164" xfId="0" applyFont="1" applyNumberFormat="1"/>
    <xf borderId="1" fillId="0" fontId="1" numFmtId="0" xfId="0" applyBorder="1" applyFont="1"/>
    <xf borderId="7" fillId="3" fontId="6" numFmtId="0" xfId="0" applyBorder="1" applyFill="1" applyFont="1"/>
    <xf borderId="8" fillId="3" fontId="6" numFmtId="0" xfId="0" applyBorder="1" applyFont="1"/>
    <xf borderId="8" fillId="3" fontId="6" numFmtId="0" xfId="0" applyAlignment="1" applyBorder="1" applyFont="1">
      <alignment horizontal="right"/>
    </xf>
    <xf borderId="1" fillId="3" fontId="6" numFmtId="0" xfId="0" applyAlignment="1" applyBorder="1" applyFont="1">
      <alignment readingOrder="0"/>
    </xf>
    <xf borderId="1" fillId="0" fontId="4" numFmtId="0" xfId="0" applyAlignment="1" applyBorder="1" applyFont="1">
      <alignment shrinkToFit="0" wrapText="1"/>
    </xf>
    <xf borderId="9" fillId="0" fontId="8" numFmtId="0" xfId="0" applyBorder="1" applyFont="1"/>
    <xf borderId="10" fillId="0" fontId="8" numFmtId="0" xfId="0" applyBorder="1" applyFont="1"/>
    <xf borderId="10" fillId="0" fontId="8" numFmtId="165" xfId="0" applyAlignment="1" applyBorder="1" applyFont="1" applyNumberFormat="1">
      <alignment horizontal="right"/>
    </xf>
    <xf borderId="10" fillId="0" fontId="8" numFmtId="165" xfId="0" applyAlignment="1" applyBorder="1" applyFont="1" applyNumberFormat="1">
      <alignment horizontal="right" readingOrder="0"/>
    </xf>
    <xf borderId="1" fillId="0" fontId="3" numFmtId="3" xfId="0" applyAlignment="1" applyBorder="1" applyFont="1" applyNumberFormat="1">
      <alignment readingOrder="0"/>
    </xf>
    <xf borderId="1" fillId="0" fontId="3" numFmtId="3" xfId="0" applyBorder="1" applyFont="1" applyNumberFormat="1"/>
    <xf borderId="1" fillId="0" fontId="4" numFmtId="0" xfId="0" applyAlignment="1" applyBorder="1" applyFont="1">
      <alignment readingOrder="0" shrinkToFit="0" wrapText="1"/>
    </xf>
    <xf borderId="1" fillId="0" fontId="1" numFmtId="166" xfId="0" applyBorder="1" applyFont="1" applyNumberFormat="1"/>
    <xf borderId="1" fillId="0" fontId="8" numFmtId="0" xfId="0" applyBorder="1" applyFont="1"/>
    <xf borderId="1" fillId="0" fontId="8" numFmtId="165" xfId="0" applyAlignment="1" applyBorder="1" applyFont="1" applyNumberFormat="1">
      <alignment horizontal="right"/>
    </xf>
    <xf borderId="11" fillId="2" fontId="1" numFmtId="0" xfId="0" applyAlignment="1" applyBorder="1" applyFont="1">
      <alignment horizontal="center"/>
    </xf>
    <xf borderId="12" fillId="0" fontId="5" numFmtId="0" xfId="0" applyBorder="1" applyFont="1"/>
    <xf borderId="13" fillId="0" fontId="1" numFmtId="0" xfId="0" applyBorder="1" applyFont="1"/>
    <xf borderId="0" fillId="0" fontId="1" numFmtId="0" xfId="0" applyFont="1"/>
    <xf borderId="1" fillId="0" fontId="1" numFmtId="9" xfId="0" applyAlignment="1" applyBorder="1" applyFont="1" applyNumberFormat="1">
      <alignment readingOrder="0"/>
    </xf>
    <xf borderId="6" fillId="0" fontId="1" numFmtId="164" xfId="0" applyBorder="1" applyFont="1" applyNumberFormat="1"/>
    <xf borderId="1" fillId="0" fontId="3" numFmtId="164" xfId="0" applyBorder="1" applyFont="1" applyNumberFormat="1"/>
    <xf borderId="1" fillId="4" fontId="9" numFmtId="164" xfId="0" applyAlignment="1" applyBorder="1" applyFill="1" applyFont="1" applyNumberFormat="1">
      <alignment horizontal="right" readingOrder="0"/>
    </xf>
    <xf borderId="1" fillId="0" fontId="1" numFmtId="164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readingOrder="0"/>
    </xf>
    <xf borderId="1" fillId="0" fontId="3" numFmtId="164" xfId="0" applyAlignment="1" applyBorder="1" applyFont="1" applyNumberFormat="1">
      <alignment horizontal="center" readingOrder="0"/>
    </xf>
    <xf borderId="1" fillId="0" fontId="9" numFmtId="164" xfId="0" applyAlignment="1" applyBorder="1" applyFont="1" applyNumberFormat="1">
      <alignment readingOrder="0"/>
    </xf>
    <xf borderId="1" fillId="0" fontId="1" numFmtId="10" xfId="0" applyBorder="1" applyFont="1" applyNumberFormat="1"/>
    <xf borderId="1" fillId="0" fontId="1" numFmtId="9" xfId="0" applyBorder="1" applyFont="1" applyNumberFormat="1"/>
    <xf borderId="0" fillId="0" fontId="1" numFmtId="164" xfId="0" applyAlignment="1" applyFont="1" applyNumberFormat="1">
      <alignment horizontal="center" readingOrder="0"/>
    </xf>
    <xf borderId="1" fillId="2" fontId="10" numFmtId="0" xfId="0" applyAlignment="1" applyBorder="1" applyFont="1">
      <alignment horizontal="center" readingOrder="0"/>
    </xf>
    <xf borderId="1" fillId="0" fontId="3" numFmtId="3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left" shrinkToFit="0" vertical="center" wrapText="1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2" fontId="2" numFmtId="3" xfId="0" applyAlignment="1" applyBorder="1" applyFont="1" applyNumberFormat="1">
      <alignment horizontal="center"/>
    </xf>
    <xf borderId="1" fillId="2" fontId="11" numFmtId="0" xfId="0" applyAlignment="1" applyBorder="1" applyFont="1">
      <alignment horizontal="center" readingOrder="0" shrinkToFit="0" wrapText="1"/>
    </xf>
    <xf borderId="1" fillId="0" fontId="3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704850</xdr:colOff>
      <xdr:row>23</xdr:row>
      <xdr:rowOff>190500</xdr:rowOff>
    </xdr:from>
    <xdr:ext cx="7000875" cy="4152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71"/>
    <col customWidth="1" min="3" max="3" width="14.57"/>
    <col customWidth="1" min="4" max="16" width="13.0"/>
    <col customWidth="1" min="17" max="17" width="12.71"/>
    <col customWidth="1" min="18" max="18" width="10.71"/>
    <col customWidth="1" min="19" max="19" width="22.0"/>
    <col customWidth="1" min="20" max="20" width="12.71"/>
    <col customWidth="1" min="21" max="21" width="12.57"/>
    <col customWidth="1" min="22" max="22" width="17.29"/>
    <col customWidth="1" min="23" max="23" width="19.14"/>
    <col customWidth="1" min="24" max="25" width="17.14"/>
    <col customWidth="1" min="26" max="26" width="15.29"/>
    <col customWidth="1" min="27" max="27" width="20.86"/>
    <col customWidth="1" min="28" max="35" width="10.71"/>
  </cols>
  <sheetData>
    <row r="1">
      <c r="B1" s="1"/>
      <c r="D1" s="2" t="s">
        <v>0</v>
      </c>
      <c r="E1" s="3">
        <v>50.0</v>
      </c>
      <c r="F1" s="3">
        <v>100.0</v>
      </c>
      <c r="G1" s="3">
        <v>300.0</v>
      </c>
      <c r="H1" s="3">
        <v>450.0</v>
      </c>
      <c r="I1" s="3">
        <v>500.0</v>
      </c>
      <c r="J1" s="3">
        <v>600.0</v>
      </c>
      <c r="K1" s="3">
        <v>650.0</v>
      </c>
      <c r="L1" s="3">
        <v>750.0</v>
      </c>
      <c r="M1" s="3">
        <v>800.0</v>
      </c>
      <c r="N1" s="3">
        <v>850.0</v>
      </c>
      <c r="O1" s="3">
        <v>950.0</v>
      </c>
      <c r="P1" s="3">
        <v>1000.0</v>
      </c>
    </row>
    <row r="2">
      <c r="B2" s="1"/>
      <c r="D2" s="4" t="s">
        <v>1</v>
      </c>
      <c r="E2" s="5"/>
      <c r="F2" s="6"/>
      <c r="G2" s="3">
        <v>2.0</v>
      </c>
      <c r="H2" s="3">
        <v>5.0</v>
      </c>
      <c r="I2" s="3">
        <v>5.0</v>
      </c>
      <c r="J2" s="3">
        <v>6.0</v>
      </c>
      <c r="K2" s="3">
        <v>6.0</v>
      </c>
      <c r="L2" s="3">
        <v>7.0</v>
      </c>
      <c r="M2" s="3">
        <v>7.0</v>
      </c>
      <c r="N2" s="3">
        <v>7.0</v>
      </c>
      <c r="O2" s="3">
        <v>8.0</v>
      </c>
      <c r="P2" s="3">
        <v>8.0</v>
      </c>
    </row>
    <row r="3">
      <c r="B3" s="1"/>
      <c r="D3" s="4" t="s">
        <v>2</v>
      </c>
      <c r="E3" s="5"/>
      <c r="F3" s="3">
        <v>9.0</v>
      </c>
      <c r="G3" s="2" t="s">
        <v>3</v>
      </c>
      <c r="H3" s="5"/>
      <c r="I3" s="3">
        <v>6.0</v>
      </c>
    </row>
    <row r="4">
      <c r="B4" s="1"/>
      <c r="E4" s="7" t="s">
        <v>4</v>
      </c>
    </row>
    <row r="5">
      <c r="B5" s="1"/>
      <c r="C5" s="8" t="s">
        <v>5</v>
      </c>
      <c r="D5" s="8" t="s">
        <v>6</v>
      </c>
      <c r="E5" s="8" t="s">
        <v>7</v>
      </c>
      <c r="F5" s="8" t="s">
        <v>8</v>
      </c>
      <c r="G5" s="9" t="s">
        <v>9</v>
      </c>
      <c r="H5" s="9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S5" s="10" t="s">
        <v>20</v>
      </c>
      <c r="T5" s="11"/>
      <c r="V5" s="12" t="s">
        <v>21</v>
      </c>
      <c r="W5" s="13"/>
      <c r="X5" s="13"/>
      <c r="Y5" s="13"/>
      <c r="Z5" s="14"/>
    </row>
    <row r="6">
      <c r="B6" s="15" t="s">
        <v>22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  <c r="R6" s="18"/>
      <c r="S6" s="19" t="s">
        <v>23</v>
      </c>
      <c r="T6" s="16">
        <f>SUM(C23:F23)</f>
        <v>12998661</v>
      </c>
      <c r="V6" s="20"/>
      <c r="W6" s="21" t="s">
        <v>24</v>
      </c>
      <c r="X6" s="21" t="s">
        <v>25</v>
      </c>
      <c r="Y6" s="22" t="s">
        <v>26</v>
      </c>
      <c r="Z6" s="21" t="s">
        <v>27</v>
      </c>
      <c r="AA6" s="23" t="s">
        <v>28</v>
      </c>
    </row>
    <row r="7">
      <c r="B7" s="24" t="s">
        <v>29</v>
      </c>
      <c r="C7" s="17">
        <v>2.5E7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>
        <f>SUM(C7:H7)</f>
        <v>25000000</v>
      </c>
      <c r="R7" s="18"/>
      <c r="S7" s="16" t="s">
        <v>30</v>
      </c>
      <c r="T7" s="16">
        <f>Q23</f>
        <v>36934644</v>
      </c>
      <c r="V7" s="25"/>
      <c r="W7" s="26" t="s">
        <v>31</v>
      </c>
      <c r="X7" s="27">
        <f t="shared" ref="X7:X10" si="2">(8*Y7) *20</f>
        <v>400000</v>
      </c>
      <c r="Y7" s="28">
        <v>2500.0</v>
      </c>
      <c r="Z7" s="26" t="s">
        <v>27</v>
      </c>
      <c r="AA7" s="28">
        <v>3000.0</v>
      </c>
    </row>
    <row r="8">
      <c r="B8" s="2" t="s">
        <v>32</v>
      </c>
      <c r="C8" s="29"/>
      <c r="D8" s="30">
        <f>C7-C23</f>
        <v>23400000</v>
      </c>
      <c r="E8" s="30">
        <f t="shared" ref="E8:L8" si="1">D8-D23</f>
        <v>19607113</v>
      </c>
      <c r="F8" s="30">
        <f t="shared" si="1"/>
        <v>15814226</v>
      </c>
      <c r="G8" s="30">
        <f t="shared" si="1"/>
        <v>12001339</v>
      </c>
      <c r="H8" s="30">
        <f t="shared" si="1"/>
        <v>9298452</v>
      </c>
      <c r="I8" s="30">
        <f t="shared" si="1"/>
        <v>6595565</v>
      </c>
      <c r="J8" s="30">
        <f t="shared" si="1"/>
        <v>3992678</v>
      </c>
      <c r="K8" s="30">
        <f t="shared" si="1"/>
        <v>1289791</v>
      </c>
      <c r="L8" s="30">
        <f t="shared" si="1"/>
        <v>-1313096</v>
      </c>
      <c r="M8" s="29">
        <v>0.0</v>
      </c>
      <c r="N8" s="29">
        <v>0.0</v>
      </c>
      <c r="O8" s="29">
        <v>0.0</v>
      </c>
      <c r="P8" s="29">
        <v>0.0</v>
      </c>
      <c r="Q8" s="6"/>
      <c r="R8" s="18"/>
      <c r="S8" s="16" t="s">
        <v>33</v>
      </c>
      <c r="T8" s="16">
        <f>+T6-T7</f>
        <v>-23935983</v>
      </c>
      <c r="V8" s="25"/>
      <c r="W8" s="26" t="s">
        <v>31</v>
      </c>
      <c r="X8" s="27">
        <f t="shared" si="2"/>
        <v>400000</v>
      </c>
      <c r="Y8" s="28">
        <v>2500.0</v>
      </c>
      <c r="Z8" s="26" t="s">
        <v>27</v>
      </c>
      <c r="AA8" s="28">
        <v>3000.0</v>
      </c>
    </row>
    <row r="9">
      <c r="B9" s="31" t="s">
        <v>34</v>
      </c>
      <c r="C9" s="17"/>
      <c r="D9" s="17">
        <v>0.0</v>
      </c>
      <c r="E9" s="17">
        <f t="shared" ref="E9:K9" si="3">3150*E1</f>
        <v>157500</v>
      </c>
      <c r="F9" s="17">
        <f t="shared" si="3"/>
        <v>315000</v>
      </c>
      <c r="G9" s="17">
        <f t="shared" si="3"/>
        <v>945000</v>
      </c>
      <c r="H9" s="17">
        <f t="shared" si="3"/>
        <v>1417500</v>
      </c>
      <c r="I9" s="17">
        <f t="shared" si="3"/>
        <v>1575000</v>
      </c>
      <c r="J9" s="17">
        <f t="shared" si="3"/>
        <v>1890000</v>
      </c>
      <c r="K9" s="17">
        <f t="shared" si="3"/>
        <v>2047500</v>
      </c>
      <c r="L9" s="17">
        <f t="shared" ref="L9:P9" si="4">4500*L1</f>
        <v>3375000</v>
      </c>
      <c r="M9" s="17">
        <f t="shared" si="4"/>
        <v>3600000</v>
      </c>
      <c r="N9" s="17">
        <f t="shared" si="4"/>
        <v>3825000</v>
      </c>
      <c r="O9" s="17">
        <f t="shared" si="4"/>
        <v>4275000</v>
      </c>
      <c r="P9" s="17">
        <f t="shared" si="4"/>
        <v>4500000</v>
      </c>
      <c r="Q9" s="17">
        <f>SUM(E9:P9)</f>
        <v>27922500</v>
      </c>
      <c r="R9" s="18"/>
      <c r="S9" s="16" t="s">
        <v>35</v>
      </c>
      <c r="T9" s="32">
        <f>1.1</f>
        <v>1.1</v>
      </c>
      <c r="V9" s="33"/>
      <c r="W9" s="33" t="s">
        <v>31</v>
      </c>
      <c r="X9" s="34">
        <f t="shared" si="2"/>
        <v>400000</v>
      </c>
      <c r="Y9" s="28">
        <v>2500.0</v>
      </c>
      <c r="Z9" s="33" t="s">
        <v>27</v>
      </c>
      <c r="AA9" s="28">
        <v>3000.0</v>
      </c>
    </row>
    <row r="10">
      <c r="B10" s="31" t="s">
        <v>36</v>
      </c>
      <c r="C10" s="17">
        <v>0.0</v>
      </c>
      <c r="D10" s="17">
        <v>0.0</v>
      </c>
      <c r="E10" s="17">
        <v>0.0</v>
      </c>
      <c r="F10" s="17">
        <v>0.0</v>
      </c>
      <c r="G10" s="17">
        <f t="shared" ref="G10:P10" si="5">340000*G2</f>
        <v>680000</v>
      </c>
      <c r="H10" s="17">
        <f t="shared" si="5"/>
        <v>1700000</v>
      </c>
      <c r="I10" s="17">
        <f t="shared" si="5"/>
        <v>1700000</v>
      </c>
      <c r="J10" s="17">
        <f t="shared" si="5"/>
        <v>2040000</v>
      </c>
      <c r="K10" s="17">
        <f t="shared" si="5"/>
        <v>2040000</v>
      </c>
      <c r="L10" s="17">
        <f t="shared" si="5"/>
        <v>2380000</v>
      </c>
      <c r="M10" s="17">
        <f t="shared" si="5"/>
        <v>2380000</v>
      </c>
      <c r="N10" s="17">
        <f t="shared" si="5"/>
        <v>2380000</v>
      </c>
      <c r="O10" s="17">
        <f t="shared" si="5"/>
        <v>2720000</v>
      </c>
      <c r="P10" s="17">
        <f t="shared" si="5"/>
        <v>2720000</v>
      </c>
      <c r="Q10" s="17">
        <f>SUM(G10:P10)</f>
        <v>20740000</v>
      </c>
      <c r="R10" s="18"/>
      <c r="S10" s="16" t="s">
        <v>37</v>
      </c>
      <c r="T10" s="17">
        <v>2.5E7</v>
      </c>
      <c r="V10" s="19"/>
      <c r="W10" s="33" t="s">
        <v>31</v>
      </c>
      <c r="X10" s="34">
        <f t="shared" si="2"/>
        <v>400000</v>
      </c>
      <c r="Y10" s="28">
        <v>2500.0</v>
      </c>
      <c r="Z10" s="33" t="s">
        <v>27</v>
      </c>
      <c r="AA10" s="28">
        <v>3000.0</v>
      </c>
    </row>
    <row r="11">
      <c r="B11" s="24"/>
      <c r="C11" s="16"/>
      <c r="D11" s="17">
        <v>0.0</v>
      </c>
      <c r="E11" s="17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>
        <f>SUM(C11:H11)</f>
        <v>0</v>
      </c>
      <c r="R11" s="18"/>
      <c r="S11" s="35" t="s">
        <v>38</v>
      </c>
      <c r="T11" s="36"/>
      <c r="V11" s="37"/>
      <c r="W11" s="26" t="s">
        <v>39</v>
      </c>
      <c r="X11" s="27">
        <f>SUM(X7:X10)</f>
        <v>1600000</v>
      </c>
      <c r="Y11" s="38"/>
      <c r="Z11" s="38"/>
    </row>
    <row r="12">
      <c r="B12" s="24" t="s">
        <v>40</v>
      </c>
      <c r="C12" s="16"/>
      <c r="D12" s="17">
        <v>0.0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  <c r="R12" s="18"/>
      <c r="S12" s="16" t="s">
        <v>41</v>
      </c>
      <c r="T12" s="39">
        <v>0.14</v>
      </c>
      <c r="V12" s="37"/>
      <c r="W12" s="26" t="s">
        <v>42</v>
      </c>
      <c r="X12" s="27">
        <f>8*Y7</f>
        <v>20000</v>
      </c>
      <c r="Y12" s="38"/>
      <c r="Z12" s="38"/>
    </row>
    <row r="13">
      <c r="C13" s="18"/>
      <c r="D13" s="40"/>
      <c r="E13" s="18"/>
      <c r="F13" s="40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6"/>
      <c r="T13" s="16"/>
      <c r="V13" s="37"/>
      <c r="W13" s="26"/>
      <c r="X13" s="27"/>
      <c r="Y13" s="38"/>
      <c r="Z13" s="38"/>
    </row>
    <row r="14">
      <c r="B14" s="24" t="s">
        <v>43</v>
      </c>
      <c r="C14" s="16">
        <f>SUM(C7:C13)</f>
        <v>25000000</v>
      </c>
      <c r="D14" s="16">
        <f t="shared" ref="D14:P14" si="6">SUM(D8:D12)</f>
        <v>23400000</v>
      </c>
      <c r="E14" s="16">
        <f t="shared" si="6"/>
        <v>19764613</v>
      </c>
      <c r="F14" s="16">
        <f t="shared" si="6"/>
        <v>16129226</v>
      </c>
      <c r="G14" s="16">
        <f t="shared" si="6"/>
        <v>13626339</v>
      </c>
      <c r="H14" s="16">
        <f t="shared" si="6"/>
        <v>12415952</v>
      </c>
      <c r="I14" s="16">
        <f t="shared" si="6"/>
        <v>9870565</v>
      </c>
      <c r="J14" s="16">
        <f t="shared" si="6"/>
        <v>7922678</v>
      </c>
      <c r="K14" s="16">
        <f t="shared" si="6"/>
        <v>5377291</v>
      </c>
      <c r="L14" s="16">
        <f t="shared" si="6"/>
        <v>4441904</v>
      </c>
      <c r="M14" s="16">
        <f t="shared" si="6"/>
        <v>5980000</v>
      </c>
      <c r="N14" s="16">
        <f t="shared" si="6"/>
        <v>6205000</v>
      </c>
      <c r="O14" s="16">
        <f t="shared" si="6"/>
        <v>6995000</v>
      </c>
      <c r="P14" s="16">
        <f t="shared" si="6"/>
        <v>7220000</v>
      </c>
      <c r="Q14" s="17">
        <f>SUM(Q7:Q10)</f>
        <v>73662500</v>
      </c>
      <c r="R14" s="18"/>
      <c r="S14" s="16" t="s">
        <v>44</v>
      </c>
      <c r="T14" s="16">
        <f>SUM(C7:F7)*-1</f>
        <v>-25000000</v>
      </c>
    </row>
    <row r="15">
      <c r="B15" s="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7" t="s">
        <v>45</v>
      </c>
      <c r="T15" s="16">
        <f>+C25</f>
        <v>23400000</v>
      </c>
      <c r="U15" s="17" t="s">
        <v>46</v>
      </c>
      <c r="V15" s="16">
        <f>+G25</f>
        <v>10923452</v>
      </c>
      <c r="W15" s="3" t="s">
        <v>47</v>
      </c>
      <c r="X15" s="41">
        <f>+K25</f>
        <v>2774404</v>
      </c>
      <c r="Y15" s="3" t="s">
        <v>48</v>
      </c>
      <c r="Z15" s="41">
        <f>+O25</f>
        <v>4292113</v>
      </c>
    </row>
    <row r="16">
      <c r="B16" s="15" t="s">
        <v>49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6" t="s">
        <v>50</v>
      </c>
      <c r="T16" s="16">
        <f>+D25</f>
        <v>19607113</v>
      </c>
      <c r="U16" s="17" t="s">
        <v>51</v>
      </c>
      <c r="V16" s="16">
        <f>+H25</f>
        <v>9713065</v>
      </c>
      <c r="W16" s="3" t="s">
        <v>52</v>
      </c>
      <c r="X16" s="41">
        <f>+L25</f>
        <v>1739017</v>
      </c>
      <c r="Y16" s="3" t="s">
        <v>53</v>
      </c>
      <c r="Z16" s="41">
        <f>+P25</f>
        <v>7210000</v>
      </c>
    </row>
    <row r="17">
      <c r="B17" s="24"/>
      <c r="C17" s="17"/>
      <c r="D17" s="17"/>
      <c r="E17" s="17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17"/>
      <c r="R17" s="18"/>
      <c r="S17" s="16" t="s">
        <v>54</v>
      </c>
      <c r="T17" s="16">
        <f>+E25</f>
        <v>15971726</v>
      </c>
      <c r="U17" s="17" t="s">
        <v>55</v>
      </c>
      <c r="V17" s="43">
        <f>+I25</f>
        <v>7267678</v>
      </c>
      <c r="W17" s="3" t="s">
        <v>56</v>
      </c>
      <c r="X17" s="41">
        <f>+M25</f>
        <v>3377113</v>
      </c>
    </row>
    <row r="18">
      <c r="B18" s="8" t="s">
        <v>57</v>
      </c>
      <c r="C18" s="17">
        <v>0.0</v>
      </c>
      <c r="D18" s="17">
        <v>0.0</v>
      </c>
      <c r="E18" s="17">
        <v>0.0</v>
      </c>
      <c r="F18" s="17">
        <v>20000.0</v>
      </c>
      <c r="G18" s="17">
        <v>10000.0</v>
      </c>
      <c r="H18" s="17">
        <v>10000.0</v>
      </c>
      <c r="I18" s="17">
        <v>10000.0</v>
      </c>
      <c r="J18" s="17">
        <v>10000.0</v>
      </c>
      <c r="K18" s="17">
        <v>10000.0</v>
      </c>
      <c r="L18" s="17">
        <v>10000.0</v>
      </c>
      <c r="M18" s="17">
        <v>10000.0</v>
      </c>
      <c r="N18" s="17">
        <v>10000.0</v>
      </c>
      <c r="O18" s="17">
        <v>10000.0</v>
      </c>
      <c r="P18" s="17">
        <v>10000.0</v>
      </c>
      <c r="Q18" s="16">
        <f t="shared" ref="Q18:Q19" si="7">SUM(C18:H18)</f>
        <v>40000</v>
      </c>
      <c r="R18" s="18"/>
      <c r="S18" s="16" t="s">
        <v>58</v>
      </c>
      <c r="T18" s="16">
        <f>+F25</f>
        <v>12316339</v>
      </c>
      <c r="U18" s="17" t="s">
        <v>59</v>
      </c>
      <c r="V18" s="43">
        <f>+J25</f>
        <v>5219791</v>
      </c>
      <c r="W18" s="3" t="s">
        <v>60</v>
      </c>
      <c r="X18" s="41">
        <f>+N25</f>
        <v>3602113</v>
      </c>
    </row>
    <row r="19">
      <c r="B19" s="24" t="s">
        <v>61</v>
      </c>
      <c r="C19" s="44">
        <v>1600000.0</v>
      </c>
      <c r="D19" s="44">
        <v>1600000.0</v>
      </c>
      <c r="E19" s="44">
        <v>1600000.0</v>
      </c>
      <c r="F19" s="44">
        <v>1600000.0</v>
      </c>
      <c r="G19" s="45">
        <v>400000.0</v>
      </c>
      <c r="H19" s="45">
        <v>400000.0</v>
      </c>
      <c r="I19" s="45">
        <v>400000.0</v>
      </c>
      <c r="J19" s="45">
        <v>400000.0</v>
      </c>
      <c r="K19" s="45">
        <v>400000.0</v>
      </c>
      <c r="L19" s="45">
        <v>400000.0</v>
      </c>
      <c r="M19" s="45">
        <v>400000.0</v>
      </c>
      <c r="N19" s="45">
        <v>400000.0</v>
      </c>
      <c r="O19" s="45">
        <v>400000.0</v>
      </c>
      <c r="P19" s="45" t="s">
        <v>62</v>
      </c>
      <c r="Q19" s="17">
        <f t="shared" si="7"/>
        <v>7200000</v>
      </c>
      <c r="R19" s="18"/>
      <c r="S19" s="16"/>
      <c r="T19" s="16"/>
    </row>
    <row r="20">
      <c r="B20" s="24"/>
      <c r="C20" s="17">
        <v>0.0</v>
      </c>
      <c r="D20" s="17">
        <v>0.0</v>
      </c>
      <c r="E20" s="17">
        <v>0.0</v>
      </c>
      <c r="F20" s="17">
        <v>0.0</v>
      </c>
      <c r="G20" s="17">
        <v>0.0</v>
      </c>
      <c r="H20" s="17">
        <v>0.0</v>
      </c>
      <c r="I20" s="17">
        <v>0.0</v>
      </c>
      <c r="J20" s="17">
        <v>0.0</v>
      </c>
      <c r="K20" s="17">
        <v>0.0</v>
      </c>
      <c r="L20" s="17">
        <v>0.0</v>
      </c>
      <c r="M20" s="17">
        <v>0.0</v>
      </c>
      <c r="N20" s="17">
        <v>0.0</v>
      </c>
      <c r="O20" s="17">
        <v>0.0</v>
      </c>
      <c r="P20" s="17">
        <v>0.0</v>
      </c>
      <c r="Q20" s="16">
        <f>SUM(C20:F20)</f>
        <v>0</v>
      </c>
      <c r="R20" s="18"/>
      <c r="S20" s="16" t="s">
        <v>63</v>
      </c>
      <c r="T20" s="16">
        <f t="array" ref="T20">NPV(T12,T16:T18,V15:V18,X15:X18,Z15:Z16)+T14</f>
        <v>35185645.43</v>
      </c>
      <c r="V20" s="18"/>
    </row>
    <row r="21">
      <c r="B21" s="31" t="s">
        <v>64</v>
      </c>
      <c r="C21" s="17">
        <v>0.0</v>
      </c>
      <c r="D21" s="17">
        <v>0.0</v>
      </c>
      <c r="E21" s="17">
        <v>0.0</v>
      </c>
      <c r="F21" s="17">
        <v>0.0</v>
      </c>
      <c r="G21" s="17">
        <v>100000.0</v>
      </c>
      <c r="H21" s="17">
        <v>100000.0</v>
      </c>
      <c r="I21" s="17"/>
      <c r="J21" s="17">
        <v>100000.0</v>
      </c>
      <c r="K21" s="17"/>
      <c r="L21" s="17">
        <v>100000.0</v>
      </c>
      <c r="M21" s="17"/>
      <c r="N21" s="17"/>
      <c r="O21" s="17">
        <v>100000.0</v>
      </c>
      <c r="P21" s="17"/>
      <c r="Q21" s="46"/>
      <c r="R21" s="18"/>
      <c r="S21" s="16" t="s">
        <v>65</v>
      </c>
      <c r="T21" s="47">
        <f>IRR(T14:T18)</f>
        <v>0.7109766683</v>
      </c>
    </row>
    <row r="22">
      <c r="B22" s="24" t="s">
        <v>66</v>
      </c>
      <c r="D22" s="44">
        <v>2192887.0</v>
      </c>
      <c r="E22" s="44">
        <v>2192887.0</v>
      </c>
      <c r="F22" s="44">
        <v>2192887.0</v>
      </c>
      <c r="G22" s="44">
        <v>2192887.0</v>
      </c>
      <c r="H22" s="44">
        <v>2192887.0</v>
      </c>
      <c r="I22" s="44">
        <v>2192887.0</v>
      </c>
      <c r="J22" s="44">
        <v>2192887.0</v>
      </c>
      <c r="K22" s="44">
        <v>2192887.0</v>
      </c>
      <c r="L22" s="44">
        <v>2192887.0</v>
      </c>
      <c r="M22" s="44">
        <v>2192887.0</v>
      </c>
      <c r="N22" s="44">
        <v>2192887.0</v>
      </c>
      <c r="O22" s="44">
        <v>2192887.0</v>
      </c>
      <c r="P22" s="44">
        <v>0.0</v>
      </c>
      <c r="Q22" s="17"/>
      <c r="R22" s="18"/>
      <c r="S22" s="16" t="s">
        <v>67</v>
      </c>
      <c r="T22" s="48">
        <f>(Q14-Q23)/C7</f>
        <v>1.46911424</v>
      </c>
    </row>
    <row r="23" ht="15.75" customHeight="1">
      <c r="B23" s="24" t="s">
        <v>68</v>
      </c>
      <c r="C23" s="17">
        <f t="shared" ref="C23:P23" si="8">SUM(C17:C22)</f>
        <v>1600000</v>
      </c>
      <c r="D23" s="17">
        <f t="shared" si="8"/>
        <v>3792887</v>
      </c>
      <c r="E23" s="17">
        <f t="shared" si="8"/>
        <v>3792887</v>
      </c>
      <c r="F23" s="17">
        <f t="shared" si="8"/>
        <v>3812887</v>
      </c>
      <c r="G23" s="17">
        <f t="shared" si="8"/>
        <v>2702887</v>
      </c>
      <c r="H23" s="17">
        <f t="shared" si="8"/>
        <v>2702887</v>
      </c>
      <c r="I23" s="17">
        <f t="shared" si="8"/>
        <v>2602887</v>
      </c>
      <c r="J23" s="17">
        <f t="shared" si="8"/>
        <v>2702887</v>
      </c>
      <c r="K23" s="17">
        <f t="shared" si="8"/>
        <v>2602887</v>
      </c>
      <c r="L23" s="17">
        <f t="shared" si="8"/>
        <v>2702887</v>
      </c>
      <c r="M23" s="17">
        <f t="shared" si="8"/>
        <v>2602887</v>
      </c>
      <c r="N23" s="17">
        <f t="shared" si="8"/>
        <v>2602887</v>
      </c>
      <c r="O23" s="17">
        <f t="shared" si="8"/>
        <v>2702887</v>
      </c>
      <c r="P23" s="17">
        <f t="shared" si="8"/>
        <v>10000</v>
      </c>
      <c r="Q23" s="16">
        <f>SUM(C23:P23)</f>
        <v>36934644</v>
      </c>
      <c r="R23" s="18"/>
      <c r="S23" s="18"/>
      <c r="T23" s="18"/>
    </row>
    <row r="24" ht="15.75" customHeight="1">
      <c r="B24" s="1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ht="15.75" customHeight="1">
      <c r="B25" s="15" t="s">
        <v>69</v>
      </c>
      <c r="C25" s="16">
        <f t="shared" ref="C25:Q25" si="9">+C14-C23</f>
        <v>23400000</v>
      </c>
      <c r="D25" s="16">
        <f t="shared" si="9"/>
        <v>19607113</v>
      </c>
      <c r="E25" s="16">
        <f t="shared" si="9"/>
        <v>15971726</v>
      </c>
      <c r="F25" s="16">
        <f t="shared" si="9"/>
        <v>12316339</v>
      </c>
      <c r="G25" s="16">
        <f t="shared" si="9"/>
        <v>10923452</v>
      </c>
      <c r="H25" s="16">
        <f t="shared" si="9"/>
        <v>9713065</v>
      </c>
      <c r="I25" s="16">
        <f t="shared" si="9"/>
        <v>7267678</v>
      </c>
      <c r="J25" s="16">
        <f t="shared" si="9"/>
        <v>5219791</v>
      </c>
      <c r="K25" s="16">
        <f t="shared" si="9"/>
        <v>2774404</v>
      </c>
      <c r="L25" s="16">
        <f t="shared" si="9"/>
        <v>1739017</v>
      </c>
      <c r="M25" s="16">
        <f t="shared" si="9"/>
        <v>3377113</v>
      </c>
      <c r="N25" s="16">
        <f t="shared" si="9"/>
        <v>3602113</v>
      </c>
      <c r="O25" s="16">
        <f t="shared" si="9"/>
        <v>4292113</v>
      </c>
      <c r="P25" s="16">
        <f t="shared" si="9"/>
        <v>7210000</v>
      </c>
      <c r="Q25" s="16">
        <f t="shared" si="9"/>
        <v>36727856</v>
      </c>
      <c r="R25" s="18"/>
      <c r="S25" s="18"/>
      <c r="T25" s="18"/>
    </row>
    <row r="26" ht="15.75" customHeight="1">
      <c r="B26" s="1"/>
      <c r="C26" s="49"/>
      <c r="D26" s="4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S26" s="18"/>
      <c r="T26" s="18"/>
    </row>
    <row r="27" ht="15.75" customHeight="1">
      <c r="B27" s="50" t="s">
        <v>70</v>
      </c>
      <c r="C27" s="51">
        <v>200000.0</v>
      </c>
      <c r="D27" s="52"/>
      <c r="Q27" s="18"/>
    </row>
    <row r="28" ht="48.0" customHeight="1">
      <c r="C28" s="53" t="s">
        <v>19</v>
      </c>
      <c r="E28" s="54" t="s">
        <v>71</v>
      </c>
      <c r="H28" s="55" t="s">
        <v>72</v>
      </c>
      <c r="I28" s="56">
        <f>SUM(D22:N22)</f>
        <v>24121757</v>
      </c>
    </row>
    <row r="29" ht="15.75" customHeight="1">
      <c r="B29" s="53" t="s">
        <v>73</v>
      </c>
      <c r="C29" s="6">
        <f t="shared" ref="C29:C30" si="10">MULTIPLY(E29,D29)</f>
        <v>35000</v>
      </c>
      <c r="D29" s="3">
        <v>17500.0</v>
      </c>
      <c r="E29" s="3">
        <v>2.0</v>
      </c>
      <c r="F29" s="57" t="s">
        <v>74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ht="15.75" customHeight="1">
      <c r="B30" s="59" t="s">
        <v>75</v>
      </c>
      <c r="C30" s="6">
        <f t="shared" si="10"/>
        <v>105000</v>
      </c>
      <c r="D30" s="3">
        <v>35000.0</v>
      </c>
      <c r="E30" s="3">
        <v>3.0</v>
      </c>
      <c r="F30" s="60">
        <f>SUM(C27,C29,C30)</f>
        <v>340000</v>
      </c>
    </row>
    <row r="31" ht="15.75" customHeight="1">
      <c r="B31" s="1"/>
    </row>
    <row r="32" ht="15.75" customHeight="1">
      <c r="B32" s="61" t="s">
        <v>76</v>
      </c>
      <c r="C32" s="3">
        <v>4500.0</v>
      </c>
      <c r="D32" s="6">
        <f>MULTIPLY(C32,E32)</f>
        <v>3150</v>
      </c>
      <c r="E32" s="3">
        <v>0.7</v>
      </c>
      <c r="F32" s="3">
        <v>4000.0</v>
      </c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5.75" customHeight="1">
      <c r="B33" s="1"/>
      <c r="D33" s="3" t="s">
        <v>77</v>
      </c>
      <c r="E33" s="62">
        <v>0.3</v>
      </c>
      <c r="F33" s="3" t="s">
        <v>78</v>
      </c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5.75" customHeight="1">
      <c r="B34" s="1"/>
      <c r="C34" s="7"/>
      <c r="D34" s="7"/>
    </row>
    <row r="35" ht="15.75" customHeight="1">
      <c r="B35" s="61" t="s">
        <v>79</v>
      </c>
      <c r="C35" s="3">
        <v>4500.0</v>
      </c>
      <c r="D35" s="3">
        <v>2500.0</v>
      </c>
      <c r="E35" s="3">
        <v>3000.0</v>
      </c>
    </row>
    <row r="36" ht="15.75" customHeight="1">
      <c r="B36" s="1"/>
    </row>
    <row r="37" ht="15.75" customHeight="1"/>
    <row r="38" ht="15.75" customHeight="1">
      <c r="B38" s="1"/>
      <c r="D38" s="7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  <row r="1001" ht="15.75" customHeight="1">
      <c r="B1001" s="1"/>
    </row>
    <row r="1002" ht="15.75" customHeight="1">
      <c r="B1002" s="1"/>
    </row>
  </sheetData>
  <mergeCells count="3">
    <mergeCell ref="S5:T5"/>
    <mergeCell ref="V5:Z5"/>
    <mergeCell ref="S11:T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2022-05-06T14:02:52Z</dcterms:created>
  <dc:creator>cetecom</dc:creator>
</cp:coreProperties>
</file>